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 Ads" sheetId="1" r:id="rId5"/>
    <sheet state="visible" name="Meta Ads" sheetId="2" r:id="rId6"/>
    <sheet state="visible" name="Insta reel research" sheetId="3" r:id="rId7"/>
    <sheet state="visible" name="Linkedin ad research" sheetId="4" r:id="rId8"/>
  </sheets>
  <definedNames/>
  <calcPr/>
</workbook>
</file>

<file path=xl/sharedStrings.xml><?xml version="1.0" encoding="utf-8"?>
<sst xmlns="http://schemas.openxmlformats.org/spreadsheetml/2006/main" count="91633" uniqueCount="7532">
  <si>
    <t>#</t>
  </si>
  <si>
    <t>Company</t>
  </si>
  <si>
    <t>Item Number</t>
  </si>
  <si>
    <t>Category of Ad</t>
  </si>
  <si>
    <t>Title / Hook</t>
  </si>
  <si>
    <t>What the Reel Is About</t>
  </si>
  <si>
    <t>Ad / Landing Page Link</t>
  </si>
  <si>
    <t>Reel Content Summary</t>
  </si>
  <si>
    <t>Content Type</t>
  </si>
  <si>
    <t>Advertiser / Brand</t>
  </si>
  <si>
    <t>Key Topics</t>
  </si>
  <si>
    <t>Ad Summary</t>
  </si>
  <si>
    <t>Advertiser</t>
  </si>
  <si>
    <t>Views</t>
  </si>
  <si>
    <t>Meta Ad Library Link</t>
  </si>
  <si>
    <t>Likes</t>
  </si>
  <si>
    <t>Comments</t>
  </si>
  <si>
    <t>Meta Ad ID</t>
  </si>
  <si>
    <t>Source / Google Ads Transparency Link</t>
  </si>
  <si>
    <t>Reel Link</t>
  </si>
  <si>
    <t>Additional Ad Information</t>
  </si>
  <si>
    <t>Caption</t>
  </si>
  <si>
    <t>Hashtags</t>
  </si>
  <si>
    <t>Important Observations</t>
  </si>
  <si>
    <t>Verification Status</t>
  </si>
  <si>
    <t>Advertiser / Account</t>
  </si>
  <si>
    <t>Verification Notes</t>
  </si>
  <si>
    <t>Ad Number</t>
  </si>
  <si>
    <t>Ad Link</t>
  </si>
  <si>
    <t>Ad Format</t>
  </si>
  <si>
    <t>Ad Headline</t>
  </si>
  <si>
    <t>Primary Ad Text / Caption</t>
  </si>
  <si>
    <t>Keywords / Topics</t>
  </si>
  <si>
    <t>Creative Type</t>
  </si>
  <si>
    <t>Image / Video / Creative Link</t>
  </si>
  <si>
    <t>CTA</t>
  </si>
  <si>
    <t>Paid For By</t>
  </si>
  <si>
    <t>Additional Ad Details</t>
  </si>
  <si>
    <t>Peec AI (@peec__ai)</t>
  </si>
  <si>
    <t>TryProfound</t>
  </si>
  <si>
    <t>Semrush</t>
  </si>
  <si>
    <t>Non-Reel Post / Carousel</t>
  </si>
  <si>
    <t>TDDeepDive, TechDogs, GEO, AEO</t>
  </si>
  <si>
    <t>Not visible</t>
  </si>
  <si>
    <t>Software / AI</t>
  </si>
  <si>
    <t>https://www.tryprofound.com/</t>
  </si>
  <si>
    <t>App / Software / AI</t>
  </si>
  <si>
    <t>https://www.tryprofound.com/customers/mongodb</t>
  </si>
  <si>
    <t>Ever wondered if your brand even shows up when someone asks ChatGPT or Gemini for advice?   These 7 GEO and AEO tools help you find out, and fix it before your competitors take the spotlight.   Profound gives enterprise teams a deep look at how AI systems crawl and present their brand, while Peec AI keeps things simple with clean prompt-level track</t>
  </si>
  <si>
    <t>No hashtags</t>
  </si>
  <si>
    <t>Tagged non-reel item (carousel/photo) at grid position #1.</t>
  </si>
  <si>
    <t>DISCOVERED</t>
  </si>
  <si>
    <t>Document Ad</t>
  </si>
  <si>
    <t>Grid item #1. Discovered from Tagged page grid in sequential order.</t>
  </si>
  <si>
    <t>No explicit headline</t>
  </si>
  <si>
    <t>A durable visibility strategy needs a true operating model. Get the blueprint for aligned people, processes, and teams for coordinated execution.</t>
  </si>
  <si>
    <t>Search Visibility</t>
  </si>
  <si>
    <t>Reel</t>
  </si>
  <si>
    <t>AI Search &amp; GEO, Digital Marketing, Startup &amp; Growth</t>
  </si>
  <si>
    <t>Not publicly exposed</t>
  </si>
  <si>
    <t>Learn more</t>
  </si>
  <si>
    <t>Semrush Inc</t>
  </si>
  <si>
    <t>Ran from Sep 4, 2026 to Sep 8, 2026</t>
  </si>
  <si>
    <t>Verified</t>
  </si>
  <si>
    <t>Authentic text and creative extracted from live detail DOM</t>
  </si>
  <si>
    <t>Cooper Square Technologies, Inc</t>
  </si>
  <si>
    <t>AI brand visibility and answer engine optimization</t>
  </si>
  <si>
    <t>https://adstransparency.google.com/advertiser/AR01693402396748677121</t>
  </si>
  <si>
    <t>MongoDB used Profound Agents to cut schema markup update time by almost 30%, while keeping expert review in the loop.</t>
  </si>
  <si>
    <t>AI shapes which brands get discovered, trusted, and recommended. Get the strategic framework for building lasting visibility.</t>
  </si>
  <si>
    <t>Ein Startup stellt Werbetafeln direkt vor die Büros der eigenen Konkurrenz 😏  @peec__ai 16 Monate alt. 5 auf 10 Mio. $ Umsatz in nur 5 Monaten.  Eine Werbefläche, zwei Zielgruppen: die Talente der Konkurrenz UND deren Kunden, die vorbeifahren.  Mein Business-IQ Score: 8/10! Mut, den den meisten B2B-Startups fehlt.  Was würdest du geben?  #Startup #Marketing #GEO #B2B</t>
  </si>
  <si>
    <t>#Startup, #Marketing, #GEO, #B2B</t>
  </si>
  <si>
    <t>https://www.facebook.com/ads/library/?active_status=all&amp;ad_type=all&amp;country=ALL&amp;is_targeted_country=false&amp;media_type=all&amp;search_type=page&amp;sort_data[direction]=desc&amp;sort_data[mode]=total_impressions&amp;view_all_page_id=1091907147349154</t>
  </si>
  <si>
    <t>Tagged video reel at grid position #2.</t>
  </si>
  <si>
    <t>VERIFIED</t>
  </si>
  <si>
    <t>Clicked item #2 from Tagged grid. Opened reel popup. Link obtained via Instagram Three Dot -&gt; Copy Link. Video and caption verified.</t>
  </si>
  <si>
    <t>Ran from Sep 4, 2026 to Sep 7, 2026</t>
  </si>
  <si>
    <t>AI Search &amp; GEO, Startup &amp; Growth</t>
  </si>
  <si>
    <t>Single Image Ad</t>
  </si>
  <si>
    <t>+373% visibility for ZoomInfo Dominating their GTM category</t>
  </si>
  <si>
    <t>3 days in Berlin exploring the startup ecosystem with @start_berlin 🩵  Coming back with lots of insights and even more motivation to build after amazing visits to Peec AI, Superchat, b2venture and the delta campus!</t>
  </si>
  <si>
    <t>Search visibility can shape how an entire market sees your brand.  ZoomInfo used Semrush Enterprise to benchmark competitors, identify high-potential topics, optimize content, and track its progress in real time—helping increase its share of voice for GTM-related keywords by 373%.  Now, Enterprise AIO brings that same data-led approach to AI search: track your brand, uncover competitive gaps, and prioritize what to optimize next.</t>
  </si>
  <si>
    <t>Tagged video reel at grid position #3.</t>
  </si>
  <si>
    <t>AI Search &amp; GEO, Search Visibility, Enterprise &amp; GTM, Content Strategy, Competitive Intelligence</t>
  </si>
  <si>
    <t>Clicked item #3 from Tagged grid. Opened reel popup. Link obtained via Instagram Three Dot -&gt; Copy Link. Video and caption verified.</t>
  </si>
  <si>
    <t>AI Search &amp; GEO, Video Marketing</t>
  </si>
  <si>
    <t>Product / Autonomous AI</t>
  </si>
  <si>
    <t>https://www.tryprofound.com/features/aim</t>
  </si>
  <si>
    <t>Ran from Aug 27, 2026 to Aug 28, 2026</t>
  </si>
  <si>
    <t>PENDING FINAL VERIFICATION</t>
  </si>
  <si>
    <t>In January, I had the pleasure of animating the official launch for @peec__ai  My focus was on the full visual execution,turning their tech-driven vision into a seamless, high-end motion experience. Great to see this project out in the world!  #motiondesign #motiongraphics #app #vfx #launch</t>
  </si>
  <si>
    <t>Discovered at visual grid position #3. Verified Ad Details URL. Format: Single Image Ad.</t>
  </si>
  <si>
    <t>#motiondesign, #motiongraphics, #app, #vfx, #launch</t>
  </si>
  <si>
    <t>Tagged video reel at grid position #4.</t>
  </si>
  <si>
    <t>Clicked item #4 from Tagged grid. Opened reel popup. Link obtained via Instagram Three Dot -&gt; Copy Link. Video and caption verified.</t>
  </si>
  <si>
    <t>tum, cseeBatch26</t>
  </si>
  <si>
    <t>50 engineers. One mission: solve industry challenges and ship fast.  No toy projects. Only systems that have to work. Built by CS professionals at #tum: from slides to products.  Huge shoutout to our project partners for bringing ambitious challenges: Peec AI, Lio, CHECK24, FGS Global, CSMM. Special shoutout to Guy, our program manager and lecturer</t>
  </si>
  <si>
    <t>Most marketers are treating AI search like another SEO update.  I think that's a mistake.  The old job was getting your page to rank when someone searched for something relevant to your business.  The new job is getting your brand to exist inside the answer when someone asks ChatGPT, Google AI, an agent or whatever comes next.  And that's a much bigger change than swapping one set of SEO tactics for another.  Because these systems aren't just deciding which websites deserve position 1, 2 or 3.  They're deciding which brands to mention.  Which sources to trust.  Which products to recommend.  And sometimes they're doing all of that without the user ever clicking through to a website.  Which changes who owns the problem.  This isn't just a case of:  'SEO needs to learn GEO'  Brand matters.  PR matters.  Content matters.  Authority matters.  What the rest of the internet says about you matters.  If your entire AI search strategy is buying another tool and asking the SEO team to sort it... Good luck.  I also don't need another conference where 14 people sit on a panel and agree that 'AI is changing marketing.'  We know.  I don’t want another panel telling me AI is changing marketing.  I want Marcus Tober to tell me what replaces clicks when search goes zero-click.  I want Lily Ray to explain what real authority looks like when synthetic expertise is everywhere.  I want Frederick Vallaeys to show how agents and MCPs actually work inside PPC workflows.  I want Daniel Hulme to tell me what happens when the customer making the choice isn’t human.  That’s the kind of conversation I’m interested in.  Which is why I’m partnering with Semrush for Spotlight in London on October 13th.  If you work in SEO, growth or marketing and you're still trying to work out what the hell happens next, this is probably a useful room to be in.  Get tickets at https://bit.ly/3S1oWeN using SPOTLIGHT25 promo code for 25% discount until September 1st.  #Ad | Paid partnership with Semrush.</t>
  </si>
  <si>
    <t>#tum</t>
  </si>
  <si>
    <t>#Ad</t>
  </si>
  <si>
    <t>SEO, AI Search &amp; GEO, Content Strategy, Industry Event, Growth Marketing</t>
  </si>
  <si>
    <t>Tagged non-reel item (carousel/photo) at grid position #5.</t>
  </si>
  <si>
    <t>Grid item #5. Discovered from Tagged page grid in sequential order.</t>
  </si>
  <si>
    <t>Profound Aim - Autonomous AI marketer and background agent that transforms AI search and prompt data into marketing execution and content workflows.</t>
  </si>
  <si>
    <t>https://adstransparency.google.com/advertiser/AR01693402396748677121?region=anywhere</t>
  </si>
  <si>
    <t>AI Search &amp; GEO, Industry Event</t>
  </si>
  <si>
    <t>No explicit CTA</t>
  </si>
  <si>
    <t>Discovered at visual grid position #4. Verified Ad Details URL. Format: Single Image Ad.</t>
  </si>
  <si>
    <t>Web Performance Summit 2026 🚀  We just wrapped up a very successful fourth edition of the Web Performance Summit, actually the most energetic, focused and best attended edition to date.  100+ corporate web professionals from BASF, Bayer, Roche, Unilever, Volkswagen and many more met for a day and discussed the state of the corporate website.  Lots of networking and great on-point presentations inc</t>
  </si>
  <si>
    <t>#corporatewebsite, #ai, #webperformance, #event</t>
  </si>
  <si>
    <t>Tagged video reel at grid position #6.</t>
  </si>
  <si>
    <t>Clicked item #6 from Tagged grid. Opened reel popup. Link obtained via Instagram Three Dot -&gt; Copy Link. Video and caption verified.</t>
  </si>
  <si>
    <t>Marketing, AI, SaaS, Tagged Content</t>
  </si>
  <si>
    <t>2193572328042545</t>
  </si>
  <si>
    <t>Optimizing your brand in AI search shouldn’t be based on guesswork. Power your brand visibility strategy with proven data and connected optimization tools for SEO and GEO.  Semrush for Enterprise enables you to clearly understand your market, find opportunities at local or global scale, and move before your competitors. Leading brands are growing their visibility, conversions, and ROI:  See our data in action with a walkthrough tailored to your business.</t>
  </si>
  <si>
    <t>Status: Active | Started: 26 Aug 2026 | Platforms: Meta | Format: Video | CTA: TryProfound</t>
  </si>
  <si>
    <t>SEO, AI Search &amp; GEO, Search Visibility</t>
  </si>
  <si>
    <t>Ran from Sep 1, 2026 to Sep 8, 2026</t>
  </si>
  <si>
    <t>Comparison / Case Study</t>
  </si>
  <si>
    <t>𝗥𝗲𝗰𝗮𝗽 𝗳𝗿𝗼𝗺 𝗥𝗧𝗦𝗦 𝗕𝗲𝗿𝗹𝗶𝗻 𝟮𝟬𝟮𝟲 🚀  An evening in Berlin focused on what it really takes to build.  We opened the event with Axel Täubert, Head of Startups Northern &amp; Eastern Europe at Google, sharing his perspective on building startups in the AI era. From working with hundreds of early-stage companies, his message was clear: innovation is accelerating</t>
  </si>
  <si>
    <t>Tagged non-reel item (carousel/photo) at grid position #7.</t>
  </si>
  <si>
    <t>Video Ad</t>
  </si>
  <si>
    <t>Grid item #7. Discovered from Tagged page grid in sequential order.</t>
  </si>
  <si>
    <t>See you at Spotlight London</t>
  </si>
  <si>
    <t>Ready to go all in on AI search? Learn from OpenAI, Spotify, Uber, and 80+ speakers at Spotlight.</t>
  </si>
  <si>
    <t>Hinterland26, Hinterland26, HinterlandOfThings, Founders</t>
  </si>
  <si>
    <t>Status: Active | Started: 25 Aug 2026 | Platforms: Meta | Format: Video | CTA: TryProfound</t>
  </si>
  <si>
    <t>Demo / Consultation</t>
  </si>
  <si>
    <t>Sign Up</t>
  </si>
  <si>
    <t>https://www.tryprofound.com/contact-sales</t>
  </si>
  <si>
    <t>Discovered at visual grid position #6. Verified Ad Details URL. Format: Video Ad.</t>
  </si>
  <si>
    <t>Founders. Operators. Builders. Investors.  At #Hinterland26, the stage belongs to those who actually build. Here’s a small sneak peek of the founders joining us on stage. And trust us, there’s much more to come.  Dr. Annika von Mutius, Co-Founder &amp; CEO of Empion. Mathematician, robotics background in Silicon Valley, board member of the German Feder</t>
  </si>
  <si>
    <t>#Hinterland26</t>
  </si>
  <si>
    <t>Tagged non-reel item (carousel/photo) at grid position #8.</t>
  </si>
  <si>
    <t>Enterprise Case Study - How MongoDB increased AI search visibility by 50% and captured top recommendations in answer engines using Profound Agents.</t>
  </si>
  <si>
    <t>Grid item #8. Discovered from Tagged page grid in sequential order.</t>
  </si>
  <si>
    <t>Subscription / Pricing</t>
  </si>
  <si>
    <t>https://www.tryprofound.com/pricing</t>
  </si>
  <si>
    <t>Brand discovery used to be dependent on social media + SEO.  AI search has changed that. And I'm still figuring it out.  If you're trying to work out what AI search actually means for your marketing, rather than just reading another article about it, this is well worth attending...  Instead of searching on Google, people are now asking AI chatbots like Claude and ChatGPT for recommendations and comparisons.  But marketers and brands are still playing by the old playbook, optimising their presence to increase rankings, traffic and click-through rates.  But if the answer is being generated by AI before someone ever sees a search results page, there’s a different question to think about:  Does AI actually know your brand well enough to mention it?  That’s why I’m attending Semrush's Spotlight Conference this year. (use my discount code below)  When is it?: October 13, 2026  Who's attending?: Marketers who can’t afford to be invisible. SEOs, digital marketers, growth leads, and CMOs navigating the shift to AI-driven discovery.  Where?: Old Billingsgate, London.  → 1,000+ Attendees → 700+ top companies under one roof: Amazon, OpenAI, Google, TikTok, Meta, Adidas → 80+ best-in-class speakers from OpenAI, Visa, Uber, Wix, Spotify, and more → 30+ Keynote presentations → 100+ Masterminds &amp; Workshops  The conference is focused specifically on what happens to brand visibility when AI runs the search layer.  Grab your ticket: https://bit.ly/45gIS0c, use code SPOTLIGHT25 for 25% off.  Looking forward to seeing you there... Come say hello!  #SemrushPartner</t>
  </si>
  <si>
    <t>#SemrushPartner</t>
  </si>
  <si>
    <t>SEO, AI Search &amp; GEO, Search Visibility, Industry Event, Growth Marketing</t>
  </si>
  <si>
    <t>We recently sat down with Daniel, Co-Founder of Peec AI, to talk about what’s next for AI search, and how brands should be preparing as discovery shifts away from traditional engines.  From why he’s so confident the future of discovery won’t look like Google as we know it, to what visibility means in an AI-mediated world, the landscape is moving fast.  We’re excited to be partnering with Peec AI a</t>
  </si>
  <si>
    <t>Tagged video reel at grid position #9.</t>
  </si>
  <si>
    <t>Clicked item #9 from Tagged grid. Opened reel popup. Link obtained via Instagram Three Dot -&gt; Copy Link. Video and caption verified.</t>
  </si>
  <si>
    <t>Discovered at visual grid position #7. Verified Ad Details URL. Format: Single Image Ad.</t>
  </si>
  <si>
    <t>Numbers don’t lie. Marius Meiners from Peec AI saw the spikes in week-on-week growth and realized: demand was real, and the timing was perfect. Listen to the full episode now. Link in bio. . . . #vc #venturecapital #tech #founder</t>
  </si>
  <si>
    <t>Profound Platform Pricing - Tiered subscription plans and enterprise pricing for AEO tracking, prompt volume analytics, and autonomous marketing agents.</t>
  </si>
  <si>
    <t>#vc, #venturecapital, #tech, #founder</t>
  </si>
  <si>
    <t>Profound helps SEO leaders and professionals improve AI visibility, which transl - TRYPROFOUND.COM Book a Free AEO Audit Call for Your Company Currently available through customized enterprise pricing. P</t>
  </si>
  <si>
    <t>Tagged video reel at grid position #10.</t>
  </si>
  <si>
    <t>Clicked item #10 from Tagged grid. Opened reel popup. Link obtained via Instagram Three Dot -&gt; Copy Link. Video and caption verified.</t>
  </si>
  <si>
    <t>2551656428642731</t>
  </si>
  <si>
    <t>Status: Active | Started: 28 Aug 2026 | Platforms: Meta | Format: Image | CTA: TryProfound</t>
  </si>
  <si>
    <t>Demo / Consultation / Free Trial</t>
  </si>
  <si>
    <t>Free Brand Audit &amp; Demo - Get real-time visibility data and brand citation analysis across 10+ major LLMs (ChatGPT, Perplexity, Gemini, Claude, Grok).</t>
  </si>
  <si>
    <t>B2B / Agency Services</t>
  </si>
  <si>
    <t>Discovered at visual grid position #8. Verified Ad Details URL. Format: Single Image Ad.</t>
  </si>
  <si>
    <t>White-Label AEO Platform for Agencies - Purpose-built tools for digital agencies to monitor client AI search visibility, multi-client dashboards, and agent analytics.</t>
  </si>
  <si>
    <t>1386806943543749</t>
  </si>
  <si>
    <t>Harmonic Hot 25 Startups 🔥🚀 Powered by Harmonic  This latest batch highlights where capital is flowing across AI, enterprise software, data infrastructure, and next-gen platforms as investors continue to back scale, speed, and defensibility.  From foundational AI to verticalized software and breakout platforms, here are the companies defining this</t>
  </si>
  <si>
    <t>Tagged non-reel item (carousel/photo) at grid position #11.</t>
  </si>
  <si>
    <t>Comparison / Competitor Positioning</t>
  </si>
  <si>
    <t>Grid item #11. Discovered from Tagged page grid in sequential order.</t>
  </si>
  <si>
    <t>Profound vs. Searchable &amp; Scrunch - Competitive comparison campaign promoting Profound as G2's definitive leader in AEO (Answer Engine Optimization).</t>
  </si>
  <si>
    <t>Discover how ChatGPT and Google AI Mode differ in the brands they mention, the sources they trust, and the competitive sets they create.</t>
  </si>
  <si>
    <t>SEO, AI Search &amp; GEO, Content Marketing</t>
  </si>
  <si>
    <t>AI Search &amp; GEO</t>
  </si>
  <si>
    <t>Ecommerce / Healthcare</t>
  </si>
  <si>
    <t>https://hmesus.com/products/glucose-meter</t>
  </si>
  <si>
    <t>Status: Active | Started: 29 Aug 2026 | Platforms: Meta | Format: Image | CTA: TryProfound</t>
  </si>
  <si>
    <t>Suchanfragen wandern von Google zu ChatGPT: Geschwindigkeit entscheidet ⚡ @peec__ai @smxmunich  Navigation? Google. Preis checken? Google oder Idealo. Aber Research? Immer mehr Leute nutzen Chat gpt. Einfach weil's schneller zur Antwort führt.  Google hat das Problem erkannt. Deshalb AI Overviews, um die Migration zu stoppen. Aber viele User sind schon gewechselt. Die Plattform, die schneller lief</t>
  </si>
  <si>
    <t>#podcast, #woxow, #seo, #llm, #research</t>
  </si>
  <si>
    <t>Tagged video reel at grid position #12.</t>
  </si>
  <si>
    <t>Clicked item #12 from Tagged grid. Opened reel popup. Link obtained via Instagram Three Dot -&gt; Copy Link. Video and caption verified.</t>
  </si>
  <si>
    <t>1290800953023341</t>
  </si>
  <si>
    <t>Non-Invasive Smart Glucose Meter - Promotional video campaign for portable health monitor device tracking multiple wellness indicators.</t>
  </si>
  <si>
    <t>Ran from Aug 28, 2026 to Aug 28, 2026</t>
  </si>
  <si>
    <t>Discovered at visual grid position #10. Verified Ad Details URL. Format: Single Image Ad.</t>
  </si>
  <si>
    <t>LLMs sind manipulierbar und das wird gerade massiv ausgenutzt | Malte Landwehr 🚨 @peec__ai @smxmunich  Perplexity und AI Overviews? Schlucken es. Such mal 'best SEO Agency' bei Perplexity. Namen, die du NIE erwartet hättest, tauchen auf. LLM-Spam ist gerade erschreckend einfach.  Siehst du das als Opportunity oder als Warnsignal?  Keyfacts zur Podcastfolge: - AI Search wird zum neuen Google - Mark</t>
  </si>
  <si>
    <t>#podcast, #woxow, #seo, #warnsignal, #smx</t>
  </si>
  <si>
    <t>Tagged video reel at grid position #13.</t>
  </si>
  <si>
    <t>Clicked item #13 from Tagged grid. Opened reel popup. Link obtained via Instagram Three Dot -&gt; Copy Link. Video and caption verified.</t>
  </si>
  <si>
    <t>Display Banner: "#1 Answer Engine Optimization Platform - Stop guessing. Get real-time visibility data across LLMs"</t>
  </si>
  <si>
    <t>Profound helps SEO leaders and professionals improve AI visibility, which translates into more traffic, leads, and customers. Book a free AEO audit ca</t>
  </si>
  <si>
    <t>https://adstransparency.google.com/advertiser/AR01693402396748677121/creative/CR15387676578028716033?region=anywhere</t>
  </si>
  <si>
    <t>AI Search &amp; GEO, Keyword Research, Content Marketing</t>
  </si>
  <si>
    <t>1607587394341398</t>
  </si>
  <si>
    <t>How to Influence AI Citations (and why 90% of what you're doing probably doesn't matter)  If you want ChatGPT or Perplexity to recommend your brand, you need to know which pages they're actually looking at. We track 4,000 prompts daily using @peec__ai and here's what matters:  There are usually 1-5 directories that get cited consistently in your industry. Not 1,000. Find those and ignore the rest.</t>
  </si>
  <si>
    <t>#AIMarketing, #GEO, #DigitalMarketing, #ContentStrategy, #ChatGPT</t>
  </si>
  <si>
    <t>Tagged video reel at grid position #14.</t>
  </si>
  <si>
    <t>Clicked item #14 from Tagged grid. Opened reel popup. Link obtained via Instagram Three Dot -&gt; Copy Link. Video and caption verified.</t>
  </si>
  <si>
    <t>1744120120231993</t>
  </si>
  <si>
    <t>Berlin, Germany, VentureCapital, PeecAI</t>
  </si>
  <si>
    <t>Explore how AI search platforms influence retail brand visibility, recommendations, and discovery across the customer journey.</t>
  </si>
  <si>
    <t>Peec AI, a Berlin-based startup helping brands optimize visibility in AI-powered searches, has raised $21 million in a Series A led by European VC firm Singular, just four months after its seed round. CEO Marius Meiners said the company’s valuation has more than tripled to over $100 million, driven by rapid growth to $4M ARR in 10 months and adopti</t>
  </si>
  <si>
    <t>Tagged non-reel item (carousel/photo) at grid position #15.</t>
  </si>
  <si>
    <t>Grid item #15. Discovered from Tagged page grid in sequential order.</t>
  </si>
  <si>
    <t>Responsive Display Ad: Enterprise AI Search Optimization &amp; Visibility Platform</t>
  </si>
  <si>
    <t>AI Search &amp; GEO, Search Visibility</t>
  </si>
  <si>
    <t>https://adstransparency.google.com/advertiser/AR01693402396748677121/creative/CR05727557494461431809?region=anywhere</t>
  </si>
  <si>
    <t>Ran from Sep 4, 2026 to Sep 5, 2026</t>
  </si>
  <si>
    <t>Brands brace for the ChatGPT era: Peec AI raises $21M to reinvent online visibility.</t>
  </si>
  <si>
    <t>Tagged non-reel item (carousel/photo) at grid position #16.</t>
  </si>
  <si>
    <t>Grid item #16. Discovered from Tagged page grid in sequential order.</t>
  </si>
  <si>
    <t>Even a couple of years ago, the idea of an AI choosing products for us still sounded very sci-fi (I’m picturing a robot clutching a shopping basket down at Tesco).  But that future is already here - within our laptops and phones.  We’re already asking AI questions, comparing options, getting recommendations, and increasingly letting AI shape what we choose and buy.  That shift in the path to purchase is exactly what Ric Rodriguez will be digging into at Spotlight by Semrush in October.  And what should marketers do to make sure AI recommends us, so that we become 'the chosen ones'?   The temptation is to just throw AI at this problem, but I don’t think it’s as simple as just thinking like a robot (side note I love that one of the other Spotlight talks by Mark Williams-Cook is called Do !not think like a robot!)  I’m excited to hear what my industry peers have to say on this and to work out how we prepare brands for a future that’s powered by AI recommendations - I hope you’ll also be at Spotlight on 13th October!  Here are the deets: 📍Old Billingsgate, London 📅 13th October  SPOTLIGHT25 gets you 25% off until September 1st over here: https://bit.ly/3UojFyk  #ad #semrushpartner</t>
  </si>
  <si>
    <t>Profound Aim runs in the background to surface ranked AI Search opportunities and turn accepted ideas into projects.</t>
  </si>
  <si>
    <t>#ad, #semrushpartner</t>
  </si>
  <si>
    <t>Industry Event</t>
  </si>
  <si>
    <t>1382574330647842</t>
  </si>
  <si>
    <t>Status: Inactive | Started: 25 Aug 2026 | Platforms: Meta | Format: Video | CTA: TryProfound</t>
  </si>
  <si>
    <t>Fast 1/4 aller User finden Brands über ChatGPT, aber die Attribution fehlt | Malte Landwehr @peec__ai 🕵️ Das @smxmunich -Special!  Viele der User-Journeys starten bei LLMs. Aber es gibt keinen Link. User tippen URL direkt ein oder googeln danach. Dein Analytics: 'Direct Traffic' oder 'Google'.  Weißt du, wie oft z.B. ChatGPT deine Brand empfiehlt?  Keyfacts zur Podcastfolge: - AI Search wird zum n</t>
  </si>
  <si>
    <t>#podcast, #woxow, #seo, #llm, #suche, #userjourney, #smx</t>
  </si>
  <si>
    <t>Tagged video reel at grid position #17.</t>
  </si>
  <si>
    <t>Clicked item #17 from Tagged grid. Opened reel popup. Link obtained via Instagram Three Dot -&gt; Copy Link. Video and caption verified.</t>
  </si>
  <si>
    <t>Discovered at visual grid position #13. Verified Ad Details URL. Format: Video Ad.</t>
  </si>
  <si>
    <t>SocialMediaStrategy, DigitalMarketing, BrandBuilding</t>
  </si>
  <si>
    <t>1735434897721169</t>
  </si>
  <si>
    <t>Comparison / Review</t>
  </si>
  <si>
    <t>Profound helps SEO leaders and professionals improve AI visibility, which transl - TRYPROFOUND.COM Book a Free AEO Audit Call for Your Company Learn more</t>
  </si>
  <si>
    <t>It’s been eight years since I last went to @brightonseo and this year felt like the right time to go back.  2025 has brought more changes to the digital marketing world than I’ve seen in any other year.  Fast, disruptive, but exciting changes.  There were so many talks on the packed agenda and I wish I could’ve gone to all of them but I kept my cho</t>
  </si>
  <si>
    <t>Search Text Ad: "Try Profound Instead - Get Your Brand Mentioned by ChatGPT &amp; Perplexity"</t>
  </si>
  <si>
    <t>https://adstransparency.google.com/advertiser/AR01693402396748677121/creative/CR03874070199028154369?region=anywhere</t>
  </si>
  <si>
    <t>Tagged non-reel item (carousel/photo) at grid position #18.</t>
  </si>
  <si>
    <t>1570197064841669</t>
  </si>
  <si>
    <t>Grid item #18. Discovered from Tagged page grid in sequential order.</t>
  </si>
  <si>
    <t>Discovered at visual grid position #14. Verified Ad Details URL. Format: Single Image Ad.</t>
  </si>
  <si>
    <t>2299616247465481</t>
  </si>
  <si>
    <t>The AI Startup to Watch 🚀 Peec AI’s Vision for the Future of Search 👀. . . . #ai #tech #founder #startup</t>
  </si>
  <si>
    <t>#ai, #tech, #founder, #startup</t>
  </si>
  <si>
    <t>Tagged video reel at grid position #19.</t>
  </si>
  <si>
    <t>Clicked item #19 from Tagged grid. Opened reel popup. Link obtained via Instagram Three Dot -&gt; Copy Link. Video and caption verified.</t>
  </si>
  <si>
    <t>TagDerDeutschenEinheit, ZukunftDeutschland, Innovation, Wirtschaft</t>
  </si>
  <si>
    <t>2078825322994361</t>
  </si>
  <si>
    <t>Lead Generation / Whitepaper</t>
  </si>
  <si>
    <t>🇩🇪35 Jahre Deutsche Einheit.  Zeit für Rückblick und Aufbruch!  Gestern ist unsere neue Ausgabe „Zukunft Deutschland“ erschienen. Pünktlich zum Tag der Deutschen Einheit. Wir werfen nicht nur einen Blick zurück auf die Errungenschaften der Einheit, sondern vor allem nach vorn: 👉 Wie bleibt Deutschland wirtschaftlich stark? 👉 Welche Rolle spielen KI</t>
  </si>
  <si>
    <t>Tagged non-reel item (carousel/photo) at grid position #20.</t>
  </si>
  <si>
    <t>Grid item #20. Discovered from Tagged page grid in sequential order.</t>
  </si>
  <si>
    <t>Reddit's share of AI citations grew by at least 73% across every industry studie - FB.ME Reddit Is Reshaping AI Visibility Download</t>
  </si>
  <si>
    <t>1610847857322588</t>
  </si>
  <si>
    <t>Status: Inactive | Started: 16 Aug 2026 | Platforms: Meta | Format: Image | CTA: TryProfound</t>
  </si>
  <si>
    <t>How do you raise funding while building in Europe? Insights from Marius, founder of Peec AI, on navigating the ecosystem 👊. . . . #tech #ai #funding #founder #venturecapital</t>
  </si>
  <si>
    <t>#tech, #ai, #funding, #founder, #venturecapital</t>
  </si>
  <si>
    <t>Tagged video reel at grid position #21.</t>
  </si>
  <si>
    <t>Clicked item #21 from Tagged grid. Opened reel popup. Link obtained via Instagram Three Dot -&gt; Copy Link. Video and caption verified.</t>
  </si>
  <si>
    <t>fotografberlin, editorialphotography, teamfotos, leica</t>
  </si>
  <si>
    <t>I’ve been saying it a lot lately, and I’ll say it again. Brand is no longer top of funnel, brand fuels the whole funnel. Why? Because AI can't recommend a brand it doesn't know exists.  As marketers, we've spent far too much time making the case for PR, thought leadership, social content and customer reviews, simply because they can be the hardest to measure.   Funnily enough, it’s now come full circle and all the things we've been fighting to invest in are the ones unlocking LLM discoverability. Hallelujah, we can now prove impact.   That's exactly why I'm heading back to Semrush's Spotlight Conference this October.  Last year, I ran a Mastermind session on scaling in B2B (think intimate, face-to-face roundtable for networking, sharing ideas, and receiving advice that’s actually useful), and that alone gave me so much personal value because it was practical. This year feels even more relevant.  It is one day that shows you what marketing actually looks like when AI runs the search layer, and how the best brands are already winning in it, including OpenAi, Spotify, Elevenlabs and more!  If you're trying to figure out AI visibility, agentic search, or how your brand gets discovered in a world that's changing fast, it'll be a day well spent.  📍 Old Billingsgate, London  📅 October 13  Grab your ticket at https://bit.ly/4wS7Oao using SPOTLIGHT25 for a 25% discount until September 1st.  If you're coming, please do let me know. I'd love to say hello.👋  ps: Semrush asked me to share this. Thankfully they picked an event I was already planning to go back to. #ad</t>
  </si>
  <si>
    <t>#ad</t>
  </si>
  <si>
    <t>AI Search &amp; GEO, Search Visibility, Enterprise &amp; GTM, Content Strategy, Industry Event</t>
  </si>
  <si>
    <t>AI is no longer just helping travelers search. It is shaping where they go, what they book, and which brands they consider. Profound analyzed 4,352 re</t>
  </si>
  <si>
    <t>1076188218194563</t>
  </si>
  <si>
    <t>🚀✨ New team spirit, new momentum!  I had the pleasure of photographing the growing team of Peec AI – one of Berlin’s most exciting startups shaping the future of AI. Their energy, creativity, and vision truly come alive in front of the camera.  From group portraits to individual team photos, we captured not just faces, but the strong sense of colla</t>
  </si>
  <si>
    <t>Tagged non-reel item (carousel/photo) at grid position #22.</t>
  </si>
  <si>
    <t>Grid item #22. Discovered from Tagged page grid in sequential order.</t>
  </si>
  <si>
    <t>Profound (@try.profound)</t>
  </si>
  <si>
    <t>Search Text Ad: "AI Visibility Platform - More Than Citations - Free Brand Audit"</t>
  </si>
  <si>
    <t>Discovered at visual grid position #17. Verified Ad Details URL. Format: Single Image Ad.</t>
  </si>
  <si>
    <t>https://adstransparency.google.com/advertiser/AR01693402396748677121/creative/CR11550465659485814785?region=anywhere</t>
  </si>
  <si>
    <t>AI Search &amp; GEO, Content Marketing, Digital Marketing</t>
  </si>
  <si>
    <t>m</t>
  </si>
  <si>
    <t>1085831481030517</t>
  </si>
  <si>
    <t>Creator-First AEO is finally here 🎉  Influencer is partnering with @try.profound to put creator marketing at the center of AI search 🤖  When someone asks ChatGPT for a recommendation, the answer is built from the reviews, comparisons and real experiences made by the creators already taking over your feed.  Put simply 👉 your content doesn’t stop working when the campaign ends. It keeps shaping what</t>
  </si>
  <si>
    <t>#creatoreconomy, #artificialintelligence, #marketingnews, #creatormarketing, #marketinginsights</t>
  </si>
  <si>
    <t>Tagged video reel at grid position #1.</t>
  </si>
  <si>
    <t>https://www.tryprofound.com/profound-index</t>
  </si>
  <si>
    <t>Clicked item #1 from Tagged grid. Opened reel popup. Link obtained via Instagram Three Dot -&gt; Copy Link. Video and caption verified.</t>
  </si>
  <si>
    <t>Ran from Aug 27, 2026 to Aug 27, 2026</t>
  </si>
  <si>
    <t>Discovered at visual grid position #18. Verified Ad Details URL. Format: Single Image Ad.</t>
  </si>
  <si>
    <t>Picture perfect night for this networking event! @nineorchard @sarahmerianscorporate  @try.profound</t>
  </si>
  <si>
    <t>Tagged non-reel item (carousel/photo) at grid position #2.</t>
  </si>
  <si>
    <t>Grid item #2. Discovered from Tagged page grid in sequential order.</t>
  </si>
  <si>
    <t>AI Search has a leaderboard. Your brand is on it. Most teams have no idea where  - TRYPROFOUND.COM Find out where your brand ranks in AI search Learn More</t>
  </si>
  <si>
    <t>2108848979732331</t>
  </si>
  <si>
    <t>Promotional graphic for Women in Tech SEO Festival Philadelphia on October 1, 2026. Four featured speakers: Krystal Taing, “AI Picks the Shortlist. Are You Even Showing Up Locally?”; Wil Reynolds, “How to Build the Brand Trust That Actually Gets You Chosen”; Hana Hajebian, “Marketing in the Age of AI”; and Heather Hamilton, “Progress not Perfection</t>
  </si>
  <si>
    <t>Status: Inactive | Started: 15 Aug 2026 | Platforms: Meta | Format: Image | CTA: TryProfound</t>
  </si>
  <si>
    <t>Tagged non-reel item (carousel/photo) at grid position #3.</t>
  </si>
  <si>
    <t>Grid item #3. Discovered from Tagged page grid in sequential order.</t>
  </si>
  <si>
    <t>Discovered at visual grid position #19. Verified Ad Details URL. Format: Single Image Ad.</t>
  </si>
  <si>
    <t>insta, instagram, explorepage, reelsinstagram</t>
  </si>
  <si>
    <t>Search Text Ad: "Profound Platform Pricing - Compare Subscription &amp; Enterprise Plans"</t>
  </si>
  <si>
    <t>1077916658141905</t>
  </si>
  <si>
    <t>Status: Inactive | Started: 11 Aug 2026 | Platforms: Meta | Format: Image | CTA: TryProfound</t>
  </si>
  <si>
    <t>https://adstransparency.google.com/advertiser/AR01693402396748677121/creative/CR04939526515718094849?region=anywhere</t>
  </si>
  <si>
    <t>Also from Meta awaregujarat • Jay DwarikaDish 🔥 #insta #instagram #explorepage #reelsinstagram #trending 125K</t>
  </si>
  <si>
    <t>#insta, #instagram, #explorepage, #reelsinstagram, #trending</t>
  </si>
  <si>
    <t>Tagged non-reel item (carousel/photo) at grid position #4.</t>
  </si>
  <si>
    <t>Grid item #4. Discovered from Tagged page grid in sequential order.</t>
  </si>
  <si>
    <t>AI Search has a leaderboard. Your brand is on it. Most teams have no idea where they rank or who's beating them. Book a call to see where you stand.</t>
  </si>
  <si>
    <t>1075273415003404</t>
  </si>
  <si>
    <t>On stage with Profound on how to win in the age of AI with Asymmetric Principles: Budgeting a 90% failure rate on shots with 100x upsides.  Check out the full video below.</t>
  </si>
  <si>
    <t>Status: Inactive | Started: 14 Aug 2026 | Platforms: Meta | Format: Video | CTA: TryProfound</t>
  </si>
  <si>
    <t>Tagged video reel at grid position #5.</t>
  </si>
  <si>
    <t>Clicked item #5 from Tagged grid. Opened reel popup. Link obtained via Instagram Three Dot -&gt; Copy Link. Video and caption verified.</t>
  </si>
  <si>
    <t>TheGlasshouse, NYC, Corporateevents, EventSpace</t>
  </si>
  <si>
    <t>https://www.tryprofound.com/aeo-report</t>
  </si>
  <si>
    <t>Highlights from MozCon ’26 at The Glasshouse🗽✨  The brightest minds in SEO gathered against the backdrop of the NYC skyline for two full days of networking and conversations about all things marketing.  Venue: @theglasshouse.nyc AV Production: @studio_productions_nyc Catering: @gpfood Vinyl Branding: @luminaeproductions Photographer: @kelseyvanmook</t>
  </si>
  <si>
    <t>https://adstransparency.google.com/advertiser/AR01693402396748677121/creative/CR04064468367002566657?region=anywhere</t>
  </si>
  <si>
    <t>Tagged non-reel item (carousel/photo) at grid position #6.</t>
  </si>
  <si>
    <t>Grid item #6. Discovered from Tagged page grid in sequential order.</t>
  </si>
  <si>
    <t>your brand isn’t showing up in AI answers yet? i’ll be real … you’re cooked 🫠  Last month, got to hang out with the @try.profound team at Zero Click and then their office to see not only how the product works but learn more about ChatGPT, Claude, and Gemini when it comes to visibility.  I walked out with a full bank of Q4 ideas but the real question is, are you ready?   #ProfoundPartner</t>
  </si>
  <si>
    <t>#ProfoundPartner</t>
  </si>
  <si>
    <t>Tagged video reel at grid position #7.</t>
  </si>
  <si>
    <t>Clicked item #7 from Tagged grid. Opened reel popup. Link obtained via Instagram Three Dot -&gt; Copy Link. Video and caption verified.</t>
  </si>
  <si>
    <t>AI Search has a leaderboard. Your brand is on it. Most teams have no idea where  - Find out where your brand ranks in AI search Learn More</t>
  </si>
  <si>
    <t>1688691402207375</t>
  </si>
  <si>
    <t>The night before the final, we took over a Tribeca penthouse for one night only.  Fashion Meets Football brought together the people who live for the beautiful game — multiple floors, butler-passed cocktails, and back-to-back DJ sets that kept the energy going all night.  No better way to spend the eve of a final.  Thank you to @try.profound   📸: @</t>
  </si>
  <si>
    <t>Discovered at visual grid position #24. Verified Ad Details URL. Format: Single Image Ad.</t>
  </si>
  <si>
    <t>Digital Marketing, Brand Visibility</t>
  </si>
  <si>
    <t>1720020179252388</t>
  </si>
  <si>
    <t>https://adstransparency.google.com/advertiser/AR01693402396748677121/creative/CR02187132526923874305?region=anywhere</t>
  </si>
  <si>
    <t>Ran from Aug 19, 2026 to Aug 20, 2026</t>
  </si>
  <si>
    <t>Eve of the Cup final. Tribeca penthouse. Good drinks, better DJs, the right people. This was Fashion Meets Football. 🥂⚽️  Thank you to our sponsor @try.profound</t>
  </si>
  <si>
    <t>AI Search has a leaderboard. Your brand is on it. Most teams have no idea where  - TRYPROFOUND.COM Find out where your brand ranks in AI search See how your brand performs across AI search platforms with</t>
  </si>
  <si>
    <t>2133413324726904</t>
  </si>
  <si>
    <t>ChatGPT and AI Mode often favor different sources and recommend different brands. Find out how to target each and grow your brand visibility.</t>
  </si>
  <si>
    <t>Celebrated the eve of the @fifaworldcup finals with @fmfhq x @mundialpartners Always grateful for creative third spaces and the people who make them happen🧱❣️!! thank you @violetsw0rld !!</t>
  </si>
  <si>
    <t>Tagged non-reel item (carousel/photo) at grid position #10.</t>
  </si>
  <si>
    <t>Ran from Aug 19, 2026 to Aug 19, 2026</t>
  </si>
  <si>
    <t>Grid item #10. Discovered from Tagged page grid in sequential order.</t>
  </si>
  <si>
    <t>AI Search &amp; GEO, Digital Marketing, Video Marketing</t>
  </si>
  <si>
    <t>1049684564555194</t>
  </si>
  <si>
    <t>https://adstransparency.google.com/advertiser/AR01693402396748677121/creative/CR00727154533196627969?region=anywhere</t>
  </si>
  <si>
    <t>AI search is rewriting retail discovery. See which brands lead across ChatGPT, Gemini, AI Mode, and AI Overviews, plus tactics to put you on top.</t>
  </si>
  <si>
    <t>This is the next gen of growth marketing.  I took this video at a private briefing at @try.profound’s office in NYC.  It was the first time I could actually SEE what AI is doing in the background… and why it is the next big platform for marketers to master.  Tell me:  Have you started building your org for AI Search yet?  #ProfoundPartner #Ad</t>
  </si>
  <si>
    <t>#ProfoundPartner, #Ad</t>
  </si>
  <si>
    <t>Tagged video reel at grid position #11.</t>
  </si>
  <si>
    <t>Clicked item #11 from Tagged grid. Opened reel popup. Link obtained via Instagram Three Dot -&gt; Copy Link. Video and caption verified.</t>
  </si>
  <si>
    <t>AI Search &amp; GEO, Digital Marketing</t>
  </si>
  <si>
    <t>1742252403498553</t>
  </si>
  <si>
    <t>Status: Inactive | Started: 15 Aug 2026 | Platforms: Meta | Format: Video | CTA: TryProfound</t>
  </si>
  <si>
    <t>A new marketing role pays $200K+.  It’s called a Marketing Engineer and it’s specifically for marketers.  AI insights + system level thinking + marketing ability   Comment “Profound” and I’ll send you a link to the job board and training for free!  #ProfoundPartner</t>
  </si>
  <si>
    <t>1998161760854466</t>
  </si>
  <si>
    <t>Product / Workflow</t>
  </si>
  <si>
    <t>Stop managing visibility channel by channel. Build the teams, workflows, and feedback loops that turn strategy into impact.</t>
  </si>
  <si>
    <t>Search Text Ad: "Create AEO Content Fast - Proven Workflows &amp; LLM Prompts"</t>
  </si>
  <si>
    <t>https://adstransparency.google.com/advertiser/AR01693402396748677121/creative/CR12635184663980146689?region=anywhere</t>
  </si>
  <si>
    <t>1755556305594417</t>
  </si>
  <si>
    <t>Status: Inactive | Started: 26 Aug 2026 | Platforms: Meta | Format: Video | CTA: TryProfound</t>
  </si>
  <si>
    <t>Are you Team AI or Team Human?  Soon, all marketers will have to make this choice.  Let’s get the glaring caveat out of the way. I think a majority of people here will say, “Obviously, I’m Team Human, but I use AI to support my work.”  That’s not what this means.  In the very near future, marketing is going to be split between two very different goals:  1. Create content for humans  2. Create cont</t>
  </si>
  <si>
    <t>#ProfoundPartner, #ad</t>
  </si>
  <si>
    <t>SEO alone is no longer enough. Learn how CMOs can unite SEO and AI search to strengthen brand discovery, authority, and revenue.</t>
  </si>
  <si>
    <t>SEO, AI Search &amp; GEO</t>
  </si>
  <si>
    <t>Profound helps SEO leaders and professionals improve AI visibility, which transl - Book a Free AEO Audit Call for Your Company Learn More</t>
  </si>
  <si>
    <t>1614020516903917</t>
  </si>
  <si>
    <t>Today’s brands aren’t just marketing to humans anymore…🤖  Consumers are counting on AI more than ever, and that includes for their shopping and purchasing recommendations. The brands that aren’t understanding how to market to AI, and become at the top of its citations, will quickly become invisible. 👻  We dive into all the details in our latest rep</t>
  </si>
  <si>
    <t>Tagged non-reel item (carousel/photo) at grid position #14.</t>
  </si>
  <si>
    <t>Grid item #14. Discovered from Tagged page grid in sequential order.</t>
  </si>
  <si>
    <t>AI Search &amp; GEO, Content Marketing</t>
  </si>
  <si>
    <t>1372208731551142</t>
  </si>
  <si>
    <t>Display Banner: "Track AI Visibility Now - Full visibility into how AI sees your website. Free report"</t>
  </si>
  <si>
    <t>https://adstransparency.google.com/advertiser/AR01693402396748677121/creative/CR05172016050388074497?region=anywhere</t>
  </si>
  <si>
    <t>If you aren’t publishing fresh content consistently, AI doesn’t know you exist 🤖📉  90% of AI citations are under 37 days old… aka if your organic social goes quiet for a month, you drop out of the AI conversation entirely.  We partnered with @try.profound to pull the data and create The CMO’s Guide to AEO.  🔗 Download the free report now (link in bio!)</t>
  </si>
  <si>
    <t>Tagged video reel at grid position #15.</t>
  </si>
  <si>
    <t>Clicked item #15 from Tagged grid. Opened reel popup. Link obtained via Instagram Three Dot -&gt; Copy Link. Video and caption verified.</t>
  </si>
  <si>
    <t>Which retailers are recommended by AI search time and time again? Explore the brands, sources, and platform-specific trends shaping retail discovery.</t>
  </si>
  <si>
    <t>1272943938163429</t>
  </si>
  <si>
    <t>Status: Inactive | Started: 13 Aug 2026 | Platforms: Meta | Format: Image | CTA: TryProfound</t>
  </si>
  <si>
    <t>Thanks to Profound for hosting another amazing Zero Click 26 event - we had a blast at The Garret for Zero Click Eve.  #1 topic? Agentic search. #1 drink? The Mike Drop.  See ya at the next event</t>
  </si>
  <si>
    <t>#1, #1</t>
  </si>
  <si>
    <t>2563944004068632</t>
  </si>
  <si>
    <t>Tagged video reel at grid position #16.</t>
  </si>
  <si>
    <t>Clicked item #16 from Tagged grid. Opened reel popup. Link obtained via Instagram Three Dot -&gt; Copy Link. Video and caption verified.</t>
  </si>
  <si>
    <t>https://adstransparency.google.com/advertiser/AR01693402396748677121/creative/CR04264440944792698881?region=anywhere</t>
  </si>
  <si>
    <t>Move from fragmented marketing to true Brand Visibility Orchestration. Get the operating model for people, processes, and workflows completely free.</t>
  </si>
  <si>
    <t>1043174098488688</t>
  </si>
  <si>
    <t>Search Visibility, Growth Marketing</t>
  </si>
  <si>
    <t>🍸 Zero Click Eve is tomorrow.  Join @VeryWellVersed, @shanstagramss, and the iPullRank team at The Garret in NYC's West Village before Zero Click NY kicks off  AI search, marketing, drinks, smart people  📍 The Garret, NYC 📅 June 10 🕖 7-10pm 🎟️ Free  Link in story</t>
  </si>
  <si>
    <t>Tagged non-reel item (carousel/photo) at grid position #17.</t>
  </si>
  <si>
    <t>Grid item #17. Discovered from Tagged page grid in sequential order.</t>
  </si>
  <si>
    <t>Mangools (@mangools_com)</t>
  </si>
  <si>
    <t>27874636818852275</t>
  </si>
  <si>
    <t>Beste Alternativen zu Ahrefs</t>
  </si>
  <si>
    <t>SEO, AI Search &amp; GEO, Keyword Research</t>
  </si>
  <si>
    <t>3345934952463935</t>
  </si>
  <si>
    <t>https://adstransparency.google.com/advertiser/AR01693402396748677121/creative/CR03069138764493225985?region=anywhere</t>
  </si>
  <si>
    <t>Quick follow-up to last Friday’s bagel and lox example 🥯  This is the behind-the-scenes part using keyword research to understand organic search behavior with tools like Mangools, before spending a dollar on ads.  If a business actually offers the product, those long-tail keywords need to live on the website. A phrase like “bagel and lox” might have lower search volume, but locally, the intent is</t>
  </si>
  <si>
    <t>#LocalSEO, #Mangools, #KeywordResearch, #LongTailKeywords, #SearchIntent</t>
  </si>
  <si>
    <t>2357809675025253</t>
  </si>
  <si>
    <t>viral, love, explore</t>
  </si>
  <si>
    <t>#viral #love #explore #fashion #explorepage #trending #tiktok #اكسبلور #travel #instagram #instagood #photography #nature #reels #العراق #adventure #photooftheday #فولو #لايك #تصميمي #دبي #wanderlust #الكويت #exploremore #السعودية #بغداد #تصميم #beautiful #travelgram #music</t>
  </si>
  <si>
    <t>2219364648826143</t>
  </si>
  <si>
    <t>#viral, #love, #explore, #fashion, #explorepage, #trending, #tiktok, #اكسبلور, #travel, #instagram, #instagood, #photography, #nature, #reels, #العراق, #adventure, #photooftheday, #فولو, #لايك, #تصميمي, #دبي, #wanderlust, #الكويت, #exploremore, #السعودية, #بغداد, #تصميم, #beautiful, #travelgram, #music</t>
  </si>
  <si>
    <t>https://adstransparency.google.com/advertiser/AR01693402396748677121/creative/CR02838025543503314945?region=anywhere</t>
  </si>
  <si>
    <t>Status: Active | Started: 1 Sep 2026 | Platforms: Meta | Format: Video | CTA: TryProfound</t>
  </si>
  <si>
    <t>Is your brand visible and trusted across AI search? Use this CMO framework to assess maturity and set your strategy into motion.</t>
  </si>
  <si>
    <t>Keyword Research</t>
  </si>
  <si>
    <t>Internet Girl / katseyeworld  keywords research tool google keyword planner keyword planner keyword tool keyword research google ads keyword planner google keyword tool ubersuggest free keyword research tool google keyword research tool google keyword planner free google keyword search semrush pricing keyword finder kwfinder keyword planner tool google adwords keyword planner keyword research goog</t>
  </si>
  <si>
    <t>2912013725826017</t>
  </si>
  <si>
    <t>بهترین ابزارهای سئو ۲۰۲۵</t>
  </si>
  <si>
    <t>https://adstransparency.google.com/advertiser/AR01693402396748677121/creative/CR06546054016265093121?region=anywhere</t>
  </si>
  <si>
    <t>SEO, Keyword Research, Content Marketing</t>
  </si>
  <si>
    <t>Just out here saving websites one keyword at a time 💻 But seriously, Search is such an under appreciated channel! While I do think Tik Tok and Chat GPT are becoming the go to search engines, the reality is that Google is still the most used search engine in the world! Want to know where to start with SEO? Use google search console to see what terms are already driving traffic to your site and use</t>
  </si>
  <si>
    <t>#seo, #ecommerce, #ecommercetips, #shopifytips</t>
  </si>
  <si>
    <t>dailytool, toolmate, startup, entrepreneur</t>
  </si>
  <si>
    <t>New #dailytool 313  KW FINDER Find long tail keywords with low SEO difficulty  Just go for the keywords that you can easily rank for. A keyword research tool that will help you find and analyze keywords you should target for ranking.   · Category : SEO · Functionality : SEO keyword ideas · Mode : online, extension · Device : win, mac, linux · Licen</t>
  </si>
  <si>
    <t>#dailytool</t>
  </si>
  <si>
    <t>Discovered at visual grid position #42. Verified Ad Details URL. Format: Single Image Ad.</t>
  </si>
  <si>
    <t>https://adstransparency.google.com/advertiser/AR01693402396748677121/creative/CR02446427330445312001?region=anywhere</t>
  </si>
  <si>
    <t>SEO, Keyword Research</t>
  </si>
  <si>
    <t>2120717638860427</t>
  </si>
  <si>
    <t>Wie wäre es mit ein wenig Unterstützung bei deiner SEO-Keyword-Recherche? 🧐  Hier sind drei Tools im Vergleich. Mehr Infos und weitere Tools findest du natürlich auf unserer Website!  #omrreviews #tooltipp</t>
  </si>
  <si>
    <t>#omrreviews, #tooltipp</t>
  </si>
  <si>
    <t>Tagged video reel at grid position #8.</t>
  </si>
  <si>
    <t>Clicked item #8 from Tagged grid. Opened reel popup. Link obtained via Instagram Three Dot -&gt; Copy Link. Video and caption verified.</t>
  </si>
  <si>
    <t>SEO Strategies from a leading SEO agency  in Cyprus</t>
  </si>
  <si>
    <t>2849216802103801</t>
  </si>
  <si>
    <t>Tagged non-reel item (carousel/photo) at grid position #9.</t>
  </si>
  <si>
    <t>Grid item #9. Discovered from Tagged page grid in sequential order.</t>
  </si>
  <si>
    <t>Status: Inactive | Started: 29 Aug 2026 | Platforms: Meta | Format: Image | CTA: TryProfound</t>
  </si>
  <si>
    <t>dynamisers, googleranking, keywordresearch, onpageoptimization</t>
  </si>
  <si>
    <t>Lead Generation</t>
  </si>
  <si>
    <t>Search Text Ad: "SEO Is Changing: AEO Is Here - Get Mentioned in AI Search Engines"</t>
  </si>
  <si>
    <t>https://adstransparency.google.com/advertiser/AR01693402396748677121/creative/CR11321927082411294721?region=anywhere</t>
  </si>
  <si>
    <t>Two leading AI search experiences don't see brands the same. Discover the sources and signals shaping their responses, and how to show up more.</t>
  </si>
  <si>
    <t>The secret ingredient to online success? You guessed it— SEO by dynamisers!  Watch your traffic soar like never before, Not believing? Experience our dynamic strategies! 📈  Leave your competitors in the dust with our precision-targeted keyword optimization! 🎯   Harness the power of 45 advanced SEO tools to conquer the digital frontier.  A Journey o</t>
  </si>
  <si>
    <t>1373714984737387</t>
  </si>
  <si>
    <t>SEO Backlink Checker</t>
  </si>
  <si>
    <t>2123163821606273</t>
  </si>
  <si>
    <t>Status: Inactive | Started: 12 Aug 2026 | Platforms: Meta | Format: Video | CTA: TryProfound</t>
  </si>
  <si>
    <t>Are you ready to take your SEO game to the next level? Today, I want to introduce you to my absolute favorite keyword research tool: Mangools.com! 🌟  When it comes to finding the perfect keywords for your website, Mangools.com is an absolute game-changer. With its user-friendly interface and powerful features, it has become an essential tool in my digital marketing arsenal. Here’s why I can’t get</t>
  </si>
  <si>
    <t>#KeywordResearch, #SEOTool, #Mangools, #DigitalMarketingExpert, #SEOStrategy, #ecommercebusiness</t>
  </si>
  <si>
    <t>Responsive Case Study Ad: MongoDB achieves 50% AI search visibility with Profound</t>
  </si>
  <si>
    <t>https://adstransparency.google.com/advertiser/AR01693402396748677121/creative/CR17355288782378631169?region=anywhere</t>
  </si>
  <si>
    <t>weddingpro, weddingcreative, weddingplanner, weddingphotographer</t>
  </si>
  <si>
    <t>Let's put an end to the 'Search and Scroll' method of figuring out where you rank on Google. 🙅‍♀️ ⠀⠀⠀⠀⠀⠀⠀⠀⠀ When you sit down at your own computer or pull out your phone and search for yourself, you may not actually be seeing accurate results. ⠀⠀⠀⠀⠀⠀⠀⠀⠀ Instead, I recommend using an SEO tool to find out where you rank for a specific keyword. ⠀⠀⠀⠀⠀⠀</t>
  </si>
  <si>
    <t>Tagged non-reel item (carousel/photo) at grid position #13.</t>
  </si>
  <si>
    <t>1036705479366425</t>
  </si>
  <si>
    <t>Grid item #13. Discovered from Tagged page grid in sequential order.</t>
  </si>
  <si>
    <t>Google search engine ranking tool</t>
  </si>
  <si>
    <t>Move first before your competitors start rising up the leaderboards. Get proven insights based on industry benchmarks and 126M prompts.</t>
  </si>
  <si>
    <t>Competitive Intelligence</t>
  </si>
  <si>
    <t>Ran from Aug 10, 2026 to Sep 6, 2026</t>
  </si>
  <si>
    <t>SEO, Digital Marketing</t>
  </si>
  <si>
    <t>1681906049573193</t>
  </si>
  <si>
    <t>Display Banner: "Get Mentioned In Claude - Reach Millions of Consumers Using AI to Discover Brands"</t>
  </si>
  <si>
    <t>https://adstransparency.google.com/advertiser/AR01693402396748677121/creative/CR10217646322949816321?region=anywhere</t>
  </si>
  <si>
    <t>Boss ek pro tool toh me bhi deserve krta hu... Tag your Boss/manager and let them know which SEO Tool you want.  #fridaymood #seo #ahrefs #moz #similarweb #screamingfrog #semrush #spyfu #deepcrawl #buzzsumo #ubersuggest #crackitup #crackmedia #mediahumor #mediamemes #seohumor #seoexpert #seomarketing #seomarketingagency #digitalmarketingexpert #digitalmarketingagency #digitalmarketing</t>
  </si>
  <si>
    <t>Get seen everywhere they are, Google or ChatGPT, and win the evolution of product discovery.</t>
  </si>
  <si>
    <t>#fridaymood, #seo, #ahrefs, #moz, #similarweb, #screamingfrog, #semrush, #spyfu, #deepcrawl, #buzzsumo, #ubersuggest, #crackitup, #crackmedia, #mediahumor, #mediamemes, #seohumor, #seoexpert, #seomarketing, #seomarketingagency, #digitalmarketingexpert, #digitalmarketingagency, #digitalmarketing</t>
  </si>
  <si>
    <t>seotools, tools, seo, tool</t>
  </si>
  <si>
    <t>Ran from Aug 17, 2026 to Aug 26, 2026</t>
  </si>
  <si>
    <t>Discovered at visual grid position #50. Verified Ad Details URL. Format: Single Image Ad.</t>
  </si>
  <si>
    <t>𝗗𝗶𝗲𝘀𝗲 𝗦𝗘𝗢-𝗧𝗼𝗼𝗹𝘀 𝘀𝗼𝗹𝗹𝘁𝗲𝘀𝘁 𝗗𝘂 𝗸𝗲𝗻𝗻𝗲𝗻!😮  Auf unserer Toolseite sind die wichtigsten SEO-Tools im Vergleich Mithilfe unterschiedlicher Filter, User-Bewertungen und der Meinung der OMT-Club-Mitglieder helfen wir Dir, die Entscheidung für den richtigen SEO-Tool-Anbieter zu vereinfachen.  Das sind die am besten bewerteten SEO Tools:  𝗦𝗜𝗦𝗧𝗥𝗜𝗫: Die Erfinder</t>
  </si>
  <si>
    <t>learnseo, seo, seowriting, seowritingtips</t>
  </si>
  <si>
    <t>https://adstransparency.google.com/advertiser/AR01693402396748677121/creative/CR13114570840337285121?region=anywhere</t>
  </si>
  <si>
    <t>1403114708440972</t>
  </si>
  <si>
    <t>Status: Inactive | Started: 16 Aug 2026 | Platforms: Meta | Format: Video | CTA: TryProfound</t>
  </si>
  <si>
    <t>Discovered at visual grid position #51. Verified Ad Details URL. Format: Single Image Ad.</t>
  </si>
  <si>
    <t>👀'SEO is the reality of any successful endeavor: It will take strategic, consistent, and sufficient efforts to rank well.'🎯  ➡️It doesn't happen in a vacuum, every situation offers a unique set of variables, and almost everything can be improved.🎯  ➡️Hence keeping updated about SEO is also very important.🎯  ➡️Here are the websites that help you to</t>
  </si>
  <si>
    <t>2290117041818665</t>
  </si>
  <si>
    <t>SEO is a crucial aspect of any modern marketing plan, so it’s important to have the right tools to aid in your efforts. In this post, we list the 15 best SEO tools you can try to take your marketing campaigns to the next level.  For a comprehensive overview of these tools, read the full article on the Narrato blog - https://narrato.io/blog/15-best-seo-tools-for-content-planning/  #content #content</t>
  </si>
  <si>
    <t>Discovered at visual grid position #52. Verified Ad Details URL. Format: Single Image Ad.</t>
  </si>
  <si>
    <t>#content, #contentcreation, #contentcreationprocess, #contentstrategy, #contentplan, #contentplanning, #contentmarketing, #marketing, #marketingstrategy, #contentcreationtips, #SEO, #search, #engine, #optimization, #searchengineoptimization, #SEOtips</t>
  </si>
  <si>
    <t>Tagged video reel at grid position #18.</t>
  </si>
  <si>
    <t>https://adstransparency.google.com/advertiser/AR01693402396748677121/creative/CR17139634969753157633?region=anywhere</t>
  </si>
  <si>
    <t>Clicked item #18 from Tagged grid. Opened reel popup. Link obtained via Instagram Three Dot -&gt; Copy Link. Video and caption verified.</t>
  </si>
  <si>
    <t>seo, keywordresearch, blogging, bloggingtips</t>
  </si>
  <si>
    <t>Keyword research is a foundation of a successful SEO campaign. These are the best keyword research tools you can use to identify profitable keywords for your blog.  . . . #seo #keywordresearch #blogging #bloggingtips #bloggerlife #blogginglife #blog #bloggers #semrush #ahrefs #kwfinder #seranking #longtailpro #answerthepublic #shoutmeloud</t>
  </si>
  <si>
    <t>#seo, #keywordresearch, #blogging, #bloggingtips, #bloggerlife, #blogginglife, #blog, #bloggers, #semrush, #ahrefs, #kwfinder, #seranking, #longtailpro, #answerthepublic, #shoutmeloud</t>
  </si>
  <si>
    <t>Tagged non-reel item (carousel/photo) at grid position #19.</t>
  </si>
  <si>
    <t>Grid item #19. Discovered from Tagged page grid in sequential order.</t>
  </si>
  <si>
    <t>searchengineoptimization, googlechromeextension, digitalmarketing, digitalmarketinglearning</t>
  </si>
  <si>
    <t>Discovered at visual grid position #53. Verified Ad Details URL. Format: Single Image Ad.</t>
  </si>
  <si>
    <t>1405665768195306</t>
  </si>
  <si>
    <t>Status: Active | Started: 27 Aug 2026 | Platforms: Meta | Format: Video | CTA: TryProfound</t>
  </si>
  <si>
    <t>Save these awesome 21 chrome extensions 💥💥💥  Extensions are really helpful to ease your work.  I will share one incident in my professional life. our vice-president asked me, to know the competitors' website traffic monthly basis.  if it is 1-3 competitors' website traffic we can track it, but the requirement is huge, I need to track 100 competitor</t>
  </si>
  <si>
    <t>Ran from Aug 17, 2026 to Aug 28, 2026</t>
  </si>
  <si>
    <t>SEO, Digital Marketing, Video Marketing</t>
  </si>
  <si>
    <t>https://adstransparency.google.com/advertiser/AR01693402396748677121/creative/CR03593266336727302145?region=anywhere</t>
  </si>
  <si>
    <t>1948302682793828</t>
  </si>
  <si>
    <t>Discovered at visual grid position #54. Verified Ad Details URL. Format: Single Image Ad.</t>
  </si>
  <si>
    <t>Majú vplyv PPC reklamy na SEO? 🤨  Nie. ❌ Môžeš sa vďaka PPC reklamám zobrazovať na popredných miestach na Google, avšak to nemá žiadny majú vplyv na organické zobrazovanie. 🤯  💡 Viac o téme SEO sa dozvieš v našich Marketingových digiTALKov, kde nám o tom bol porozprávať @maroskortis z @mangools_com 🔥  👉 Celý diel nájdeš na našom Facebooku a YouTube. Dostupný je aj vo forme podcastu na Spotify, Goo</t>
  </si>
  <si>
    <t>#digitalnauniverzita, #marketingovedigitalky, #marketingjepsycho, #expertinadigitalnymarketing, #digitalnymarketing, #vzdelavanie, #studium, #mba, #marketing, #marketingstudium, #marketingtips, #marketingvpraxi, #slovakia, #bratislava, #slovakmarketing, #podcast, #marketingpodcast, #onlinekurz, #onlinestudium, #certifikat, #seo, #seomarketing, #seomarketingtips, #seomarketingstrategy, #ppc</t>
  </si>
  <si>
    <t>seo, seoberlin, seogermany, googlemybusiness</t>
  </si>
  <si>
    <t>It seems like on a daily basis on The CMO Circle there's a version of the same conversation:   “How do I get found in 2026? “ That’s from the perspective of both the brand and the individual.   We're also hearing the same thing in the briefs landing at Here On Up right now too.  Agentic search is already deciding which brands get seen, when someone asks ChatGPT or Claude a question instead of typing it into Google (which of course is now becoming quickly gemini powered), It's already reshaping who gets seen and how.  Should we be doubling down on the solid SEO fundamentals we've spent years getting right, or is this different enough that the old playbook just doesn't transfer?   The fundamentals still clearly matter (being genuinely useful, structured content with real authority) but what's changed is the entire distribution layer sitting on top of them.   Being technically correct on a page nobody's model ever reads counts for nothing now.  I'm heading over to Spotlight by Semrush on October 13th in London for a day of deep immersion into this topic: a day with people who've actually rebuilt their approach to discovery around this shift, hearing what broke, what worked, and what they'd do differently.   The speaker list is A1, (OpenAI, Uber, Wix and Spotify among them) walking through what they've actually shipped this year, across keynotes, masterclasses and workshops &amp; as always, a great opportunity to network with other Marketing leaders  If you're a marketer who can't afford to be invisible right now, that's most of us, get your ticket at https://bit.ly/4hDdMqK with code SPOTLIGHT25 for a 25% discount until September 1st.  Full disclosure: Spotlight gave me a code to share. Everything above is still what I actually think.</t>
  </si>
  <si>
    <t>Fresh content is on the site. Go visit our website www.weydinger.com or click the link in bio 💣 New article about KWFinder is online 🙌 . . . .  #seo #seoberlin #seogermany #googlemybusiness #digitalmarketing #onlinemarketing #berlinwebsitedesign #mangools #marketing #featuresnippets #googlerank #googleranking #digitalagency #searchengineoptimisatio</t>
  </si>
  <si>
    <t>#seo, #seoberlin, #seogermany, #googlemybusiness, #digitalmarketing, #onlinemarketing, #berlinwebsitedesign, #mangools, #marketing, #featuresnippets, #googlerank, #googleranking, #digitalagency, #searchengineoptimisatio</t>
  </si>
  <si>
    <t>https://adstransparency.google.com/advertiser/AR01693402396748677121/creative/CR04321292567896391681?region=anywhere</t>
  </si>
  <si>
    <t>1413594953982957</t>
  </si>
  <si>
    <t>Gute SEO-Texte schreiben ohne lästiges Keyword-Stuffing ☝️  Damit Eure Texte von Suchmaschinen besser verstanden und als relevanter Content eingestuft werden können, sind SEO-Tools bei der Content-Erstellung und -Optimierung unumgänglich. 💯  Wir haben Euch daher die 10 besten SEO-Tools für bessere SEO-Texte in unserem aktuellen Artikel aufgelistet! 🤩  1. Yoast 2. XOVI 3. Sistrix 4. Semrush 5. Ryte</t>
  </si>
  <si>
    <t>#omrreviews, #artikel, #seo, #seotools, #softwarereviews, #onlinebusiness, #onlinemarketing, #digitalbusiness</t>
  </si>
  <si>
    <t>Tagged video reel at grid position #23.</t>
  </si>
  <si>
    <t>Clicked item #23 from Tagged grid. Opened reel popup. Link obtained via Instagram Three Dot -&gt; Copy Link. Video and caption verified.</t>
  </si>
  <si>
    <t>Discovered at visual grid position #55. Verified Ad Details URL. Format: Single Image Ad.</t>
  </si>
  <si>
    <t>edlyf, seotipsandtricks, seotools, seo</t>
  </si>
  <si>
    <t>1042948092071841</t>
  </si>
  <si>
    <t>AI search is rewriting customer journeys. Get the tactics needed to be recommended your category's audiences.</t>
  </si>
  <si>
    <t>✨You Know About Best Keywords ??  🌟 4 Best Keyword Research Tools 🌟   🌟 Develope New Skills with Us         Drop a ❤️ for more posts . . . . . #edlyf #seotipsandtricks #seotools #seo #seotrends #keywords #keyword #keywordresearch #keywordresearchtools #googleanalytics #google #googletrends #contentcreator #content #contentmarketing #contentwriter #</t>
  </si>
  <si>
    <t>#edlyf, #seotipsandtricks, #seotools, #seo, #seotrends, #keywords, #keyword, #keywordresearch, #keywordresearchtools, #googleanalytics, #google, #googletrends, #contentcreator, #content, #contentmarketing, #contentwriter</t>
  </si>
  <si>
    <t>Tagged non-reel item (carousel/photo) at grid position #24.</t>
  </si>
  <si>
    <t>Grid item #24. Discovered from Tagged page grid in sequential order.</t>
  </si>
  <si>
    <t>Ran from Aug 10, 2026 to Sep 8, 2026</t>
  </si>
  <si>
    <t>seotips, digitalmarketing, searchengineoptimization, marketingtips</t>
  </si>
  <si>
    <t>https://adstransparency.google.com/advertiser/AR01693402396748677121/creative/CR11685880686928986113?region=anywhere</t>
  </si>
  <si>
    <t>2137416597205038</t>
  </si>
  <si>
    <t>Building AIO and SEO prompt strategy Learn what it takes to get found, trusted, and chosen. Everywhere search happens. September 9th 2026 / 5pm CET / 4pm UTC / 9 AM PDT / 8 AM PST / 11 AM EST Save your seat</t>
  </si>
  <si>
    <t>Top SEO tool pick right here...⁠ ⁠ Do you publish blog posts and content that you're hoping will rank on Google? ⁠ ⁠ This tool will save you hours of research and manual work. ⁠ ⁠ First, use the @mangools_com suite to search for your (or upload) top keywords and find related keywords on KW Finder. Search for keywords with low keyword difficulty (un</t>
  </si>
  <si>
    <t>Your audience no longer searches in one place. They move between Google, ChatGPT, Gemini, and Perplexity—while most teams still measure SEO and AI visibility separately. Join our practitioner webinar to learn how to benchmark visibility across both, identify prompt gaps, and create content designed to earn rankings and citations.</t>
  </si>
  <si>
    <t>Tagged non-reel item (carousel/photo) at grid position #25.</t>
  </si>
  <si>
    <t>SEO, AI Search &amp; GEO, Search Visibility, Content Strategy, Competitive Intelligence</t>
  </si>
  <si>
    <t>Grid item #25. Discovered from Tagged page grid in sequential order.</t>
  </si>
  <si>
    <t>Keyword Research, Digital Marketing, Video Marketing</t>
  </si>
  <si>
    <t>1029902879863784</t>
  </si>
  <si>
    <t>𝐇𝐄𝐑𝐄 𝐀𝐑𝐄 𝐓𝐇𝐄 𝐌𝐎𝐒𝐓 𝐄𝐅𝐅𝐄𝐂𝐓𝐈𝐕𝐄 𝐊𝐄𝐘𝐖𝐎𝐑𝐃 𝐓𝐎𝐎𝐋𝐒 𝐘𝐎𝐔 𝐒𝐇𝐎𝐔𝐋𝐃 𝐔𝐒𝐄! Marketing has become more complicated with the everchanging trends but with the right keywords, you can reach your potential customers in a better way. Here are 5 keyword tools you can trust for digital marketing! 1) UBERSUGGEST BY Neil Patel 2) Google Keywrod Planner 3) SEMRush 4) Answer The Public 5) KW Finder  Let us know if you have mor</t>
  </si>
  <si>
    <t>#thebloomingtales, #TBT, #reels, #viralreels, #videomarketing, #digitalmarketingagency, #keywords, #keywordresearch, #keywordtool, #conentmarketing, #marketing101, #ubersuggest, #kwfinder, #googlekeywordplanner, #semrush, #keyword, #advertisement</t>
  </si>
  <si>
    <t>Tagged video reel at grid position #26.</t>
  </si>
  <si>
    <t>Clicked item #26 from Tagged grid. Opened reel popup. Link obtained via Instagram Three Dot -&gt; Copy Link. Video and caption verified.</t>
  </si>
  <si>
    <t>Ran from Aug 20, 2026 to Sep 8, 2026</t>
  </si>
  <si>
    <t>Discovered at visual grid position #57. Verified Ad Details URL. Format: Single Image Ad.</t>
  </si>
  <si>
    <t>seotips, contentstrategy, searchengineoptimization, seospecialist</t>
  </si>
  <si>
    <t>The AI Visibility Index just launched its biggest update yet, scaling up our data analysis to 126M prompts, 22 industries, and 4 platforms.</t>
  </si>
  <si>
    <t>How does your content calendar for January look?⁠ ⁠ Here's a tip -- add in 2-3 optimizations instead of brand new blog posts. Why? They already have organic traffic, so by optimizing with SEO best practices, they can become more visible online more quickly.⁠ ⁠ When thinking about which of your existing blog content to optimize, look at the posts th</t>
  </si>
  <si>
    <t>Tagged non-reel item (carousel/photo) at grid position #27.</t>
  </si>
  <si>
    <t>Grid item #27. Discovered from Tagged page grid in sequential order.</t>
  </si>
  <si>
    <t>digitalmarketing, digitalmarketingtips, digitalmarketingagency, digitamkarketingservices</t>
  </si>
  <si>
    <t>1754425169160505</t>
  </si>
  <si>
    <t>From the Universal 36 brands that dominate visibility every month on every platform, to industry-targeted tactics. Get data-backed insights for free.</t>
  </si>
  <si>
    <t>Ran from Aug 10, 2026 to Aug 19, 2026</t>
  </si>
  <si>
    <t>https://adstransparency.google.com/advertiser/AR01693402396748677121/creative/CR13024239363045720065?region=anywhere</t>
  </si>
  <si>
    <t>Le SEO fait partie des enfants terribles du digital marketing! C'est compliqué oui, technique, souvent considéré comme cher comme service! Comment en effet mesurer les retours si on maîtrise mal les indicateurs de mesure? Avant tout, ce qu'il faut comprendre, c'est que le SEO repose sur 3 pilliers :    ✅ les performances techniques d'un site web (r</t>
  </si>
  <si>
    <t>Tagged non-reel item (carousel/photo) at grid position #28.</t>
  </si>
  <si>
    <t>Grid item #28. Discovered from Tagged page grid in sequential order.</t>
  </si>
  <si>
    <t>signumai_blog, ai, artificialintelligence, startup</t>
  </si>
  <si>
    <t>2327372357802469</t>
  </si>
  <si>
    <t>Ran from Aug 18, 2026 to Aug 24, 2026</t>
  </si>
  <si>
    <t>Discovered at visual grid position #60. Verified Ad Details URL. Format: Single Image Ad.</t>
  </si>
  <si>
    <t>Are you dreaming of high profits and an efficient team working well together? Every AI startup does.⠀ ⠀ But how can a founder free his team from repetitive manual tasks, keep everyone on the same page, and attract investors?⠀ ⠀ Find 50 automation instruments that can help you on our blog. Link in bio 🚀⠀ ⠀ #signumai_blog #ai #artificialintelligence</t>
  </si>
  <si>
    <t>#signumai_blog, #ai, #artificialintelligence</t>
  </si>
  <si>
    <t>Tagged non-reel item (carousel/photo) at grid position #29.</t>
  </si>
  <si>
    <t>Grid item #29. Discovered from Tagged page grid in sequential order.</t>
  </si>
  <si>
    <t>After MONTHS of chatting with Claude about it, I finally took the plunge last week and bought a new monitor. It was defo a ‘laptop’ purchase, not a phone one (millenial vibes).   For all the headlines about AI search, this was the first time I felt it change how I buy for a purchase this size. I didn’t use a search engine once for it.  It was a loooooooooooooooong-running conversation with an AI about desk space, eye strain and other stuff.   And I think that's where a lot of us are as marketers: we can see discovery shifting, there's not much out there *practically* telling us how to think about it and implement it properly for a business, a channel, etc.  So on 13th October I'm heading to Spotlight by Semrush at Old Billingsgate in London, to hear from folks a bit further down this road on this than I am.  Their promise, in their words: the speakers 'aren't presenting trends. They're sharing what they've built, tested, and shipped. So you can do the same.'  30+ keynotes, 100+ workshops, and 1,000+ marketers. Which seems pretty good to me.  If you fancy joining, tickets are at https://bit.ly/4feSRHJ and the code KUDOS25 gets you a 25% discount until September 1st .  Hope that helps, and I'll see you there :)  Semrush Spotlight  #Ad</t>
  </si>
  <si>
    <t>SEO, AI Search &amp; GEO, Industry Event</t>
  </si>
  <si>
    <t>https://adstransparency.google.com/advertiser/AR01693402396748677121/creative/CR00931357481974628353?region=anywhere</t>
  </si>
  <si>
    <t>What's an 'emerging keyword'?  An emerging keyword is a trending topic or key phrase that is on the rise, but doesn't have a lot of search volume on Google yet. In a word? Opportunity.  For brands, owning emerging keywords can lead to some serious traffic down the line once everyone starts searching for it and you have great content about it.  Here's an example - for one of our favorite clients, @</t>
  </si>
  <si>
    <t>#contentmarketingstrategy, #keywords, #keywordresearch, #seostrategy, #marketingresearch, #marketingtipsandtricks, #contentmarketingagency, #freelancewriting, #marketingcontent, #searchengineoptimization, #searchengineoptimizationtips</t>
  </si>
  <si>
    <t>Tagged video reel at grid position #30.</t>
  </si>
  <si>
    <t>Discovered at visual grid position #61. Verified Ad Details URL. Format: Single Image Ad.</t>
  </si>
  <si>
    <t>Clicked item #30 from Tagged grid. Opened reel popup. Link obtained via Instagram Three Dot -&gt; Copy Link. Video and caption verified.</t>
  </si>
  <si>
    <t>1378082360421987</t>
  </si>
  <si>
    <t>Want to know a secret about SEO? (Save this post!!)  It’s all about people. Google’s algorithm tries to surface the content that is the most relevant, readable, skimmable, and conversational for those first few coveted slots on the SERP (search engine results page). They want to match Google searches with the content that best serves to educate about the search entered.  Using tools like @moz_hq @</t>
  </si>
  <si>
    <t>#contentstrategytips, #seotips, #seotools, #searchengineoptimization, #searchenginemarketing, #optimization, #reelsforbusiness, #marketingtips101, #marketingreels, #marketingresearch, #contentmarketingtips, #contentmarketingstrategies, #contentmarketingagency, #trendingaudio</t>
  </si>
  <si>
    <t>Tagged video reel at grid position #31.</t>
  </si>
  <si>
    <t>Clicked item #31 from Tagged grid. Opened reel popup. Link obtained via Instagram Three Dot -&gt; Copy Link. Video and caption verified.</t>
  </si>
  <si>
    <t>Discovered at visual grid position #62. Verified Ad Details URL. Format: Single Image Ad.</t>
  </si>
  <si>
    <t>1761636431706371</t>
  </si>
  <si>
    <t>SEO, Keyword Research, Digital Marketing</t>
  </si>
  <si>
    <t>https://adstransparency.google.com/advertiser/AR01693402396748677121/creative/CR03810105216729088001?region=anywhere</t>
  </si>
  <si>
    <t>Rank tracking tools help in tracking websites’ SEO positions for specific keywords.  It shows you changes in keyword positions and allows you to compare them with your competitors.  Tools Mentioned in the Video:  1. SEMrush (@semrush) 2. AccuRanker (@accuranker) 3. Ahrefs (@ahrefscom) 4. SERPWatcher (by @mangools_com) 5. RankWatch (@rankwatch_seo)  Our SEO expert, Shweta Gharat (@shwezzyy), lists</t>
  </si>
  <si>
    <t>#SEMRush, #AccuRanker, #Aherfs, #SERPRankWatcher, #SeoTools, #SEO, #SEOTips, #DigitalMarketing, #SearchEngineOptimization, #SEOExpert, #SEOServices, #SEOMarketing, #SEOStrategy, #SEOAgency, #DigitalMarketingtips, #SEOCompany, #OnlineMarketing, #SEOConsultant, #OnPageSEO, #Keywords, #OffPageSEO</t>
  </si>
  <si>
    <t>Tagged video reel at grid position #32.</t>
  </si>
  <si>
    <t>4318532801697033</t>
  </si>
  <si>
    <t>Clicked item #32 from Tagged grid. Opened reel popup. Link obtained via Instagram Three Dot -&gt; Copy Link. Video and caption verified.</t>
  </si>
  <si>
    <t>Ran from Aug 18, 2026 to Aug 28, 2026</t>
  </si>
  <si>
    <t>Discovered at visual grid position #63. Verified Ad Details URL. Format: Single Image Ad.</t>
  </si>
  <si>
    <t>3638340306318838</t>
  </si>
  <si>
    <t>What are backlinks and why are they important? 🤔 A backlink is a link to your website from another website. In the eyes of search engines, backlinks are a bit like votes for your site. The more links you have, the higher your site is likely to rank in search engines. 💪   🚨 Not all backlinks are created equal, though. 🚨  The best backlinks are ones</t>
  </si>
  <si>
    <t>Tagged non-reel item (carousel/photo) at grid position #33.</t>
  </si>
  <si>
    <t>Grid item #33. Discovered from Tagged page grid in sequential order.</t>
  </si>
  <si>
    <t>social, finance, businessoperations, businesstools</t>
  </si>
  <si>
    <t>Discovered at visual grid position #64. Verified Ad Details URL. Format: Single Image Ad.</t>
  </si>
  <si>
    <t>https://adstransparency.google.com/advertiser/AR01693402396748677121/creative/CR18205662345294774273?region=anywhere</t>
  </si>
  <si>
    <t>1052286700896663</t>
  </si>
  <si>
    <t>We spent 10+ hours last weekend setting up our @notionhq project management board + business wiki. (With the help of @bethanyhcartwright, operations kween + @rspark7, who we are excited to share has joined our team as a project manager (project management kween)!)  Since we did it, it's been hella worth it. Our fave views are the calendar view (Kat</t>
  </si>
  <si>
    <t>Tagged non-reel item (carousel/photo) at grid position #34.</t>
  </si>
  <si>
    <t>Grid item #34. Discovered from Tagged page grid in sequential order.</t>
  </si>
  <si>
    <t>1578417810492857</t>
  </si>
  <si>
    <t>SEO, Keyword Research, Video Marketing</t>
  </si>
  <si>
    <t>As a marketer, is there any bigger frustration than this?  When one of the C-suite searches Google and pops over to ask:  'Why aren't we ranking for this?' 'What about this keyword?' 'Where are we?'  Bang. Bang. Bang.  I used to spend ages pulling together detailed analysis.  Explaining why manually searching Google isn't the best way to judge marketing performance.  Then showing where we were ranking. Looking at trends over time. Sharing lead data, conversions and commercial outcomes.  Not anymore.  Now I ask a different question.  'Why are you still judging visibility by manually searching Google?'  Don't get me wrong. Google still matters. Probably more than ever. But the way people use it is changing.  ChatGPT Gemini Claude Perplexity  Even Google is moving beyond ten blue links.  AI Overviews and AI Mode are increasingly answering the question rather than simply returning a list of websites.  The conversation is shifting from search engines to answer engines.  That's why I'll be at Spotlight by Semrush in October.  Not because I want another conference full of predictions. But because I want to learn from the marketers who are already adapting to this new reality.  The people who aren't talking about what might happen. They're sharing what they've already built, tested and shipped.  Those platforms won't just rank websites. They'll synthesise information. Recommend brands. Cite sources.  Sometimes without anyone ever visiting your website.  That's a completely different game.  SEO still matters. But so does brand. So does authority. So does becoming a source AI chooses to reference. The way customers discover businesses is changing fast.  The goal is simple.  Leave with a plan you can put into practice the very next day. For me, that's what makes Spotlight essential.  With speakers from OpenAI, Google, Visa, Uber, Spotify, Wix and many more, it's one of the few conferences this year that feels focused on what marketers need to do next, rather than simply talking about what's coming.  📍 Spotlight, 13 October Old Billingsgate, London  This is one of the rooms you have to be in.  If you're coming too, get tickets at https://lnkd.in/d97uH9Qs using the code : KUDOS25 to receive 25% off (valid until 1 September).</t>
  </si>
  <si>
    <t>Do research on keywords 😍 #dealdegreels #dealdeg #knowledge #seo #searchengineoptimization #keywordresearch #semrush #webdeveloper #seoexpert #semexpert #adsense #adsexpert #reelsinstagram #reelsindia #reels #reelsvideo</t>
  </si>
  <si>
    <t>Discovered at visual grid position #65. Verified Ad Details URL. Format: Single Image Ad.</t>
  </si>
  <si>
    <t>#dealdegreels, #dealdeg, #knowledge, #seo, #searchengineoptimization, #keywordresearch, #semrush, #webdeveloper, #seoexpert, #semexpert, #adsense, #adsexpert, #reelsinstagram, #reelsindia, #reels, #reelsvideo</t>
  </si>
  <si>
    <t>Tagged video reel at grid position #35.</t>
  </si>
  <si>
    <t>Clicked item #35 from Tagged grid. Opened reel popup. Link obtained via Instagram Three Dot -&gt; Copy Link. Video and caption verified.</t>
  </si>
  <si>
    <t>https://adstransparency.google.com/advertiser/AR01693402396748677121/creative/CR14779284221348282369?region=anywhere</t>
  </si>
  <si>
    <t>1064411253006111</t>
  </si>
  <si>
    <t>affiliatemarketers, onsiteservice, searchengineadvertising, onpageseo</t>
  </si>
  <si>
    <t>1995778877787455</t>
  </si>
  <si>
    <t>Top 6 SEO Tools that you need in 2021  Exploring your way through SEO is hard, especially if you are just starting out!  Worry not I have collated a list of SEO tools that will easy your task, you just have to figure out which one works best for your business.  Ahrefs: SEO Keyword Tool  Google Search Console   SEMRush: SEO Marketing Tool  KWFinder</t>
  </si>
  <si>
    <t>Tagged non-reel item (carousel/photo) at grid position #36.</t>
  </si>
  <si>
    <t>Grid item #36. Discovered from Tagged page grid in sequential order.</t>
  </si>
  <si>
    <t>1621718589744448</t>
  </si>
  <si>
    <t>1705144470539372</t>
  </si>
  <si>
    <t>Status: Inactive | Started: 12 Aug 2026 | Platforms: Meta | Format: Image | CTA: TryProfound</t>
  </si>
  <si>
    <t>Tagged non-reel item (carousel/photo) at grid position #37.</t>
  </si>
  <si>
    <t>https://adstransparency.google.com/advertiser/AR01693402396748677121/creative/CR05149462318123319297?region=anywhere</t>
  </si>
  <si>
    <t>Grid item #37. Discovered from Tagged page grid in sequential order.</t>
  </si>
  <si>
    <t>zoekwoordenonderzoek, zoekwoorden, zzper, bloggernl</t>
  </si>
  <si>
    <t>1786140316078848</t>
  </si>
  <si>
    <t>Discovered at visual grid position #68. Verified Ad Details URL. Format: Single Image Ad.</t>
  </si>
  <si>
    <t>2181639216083313</t>
  </si>
  <si>
    <t>Hier doe ik jaren zoekwoorden onderzoek via KWFinder en heb er nu een uitgebreide review over geschreven + video 😁👍  -  Zie bio link en dan laatste review of ga naar www.veelreviews.nl 🎈  -  #zoekwoordenonderzoek #zoekwoorden #zzper #bloggernl #geldverdienenonline #geldverdienen #ondernemer #dutchblogger #dutchie #internetmarketing #marketing #kwfi</t>
  </si>
  <si>
    <t>#zoekwoordenonderzoek, #zoekwoorden, #zzper, #bloggernl, #geldverdienenonline, #geldverdienen, #ondernemer, #dutchblogger, #dutchie, #internetmarketing, #marketing, #kwfi</t>
  </si>
  <si>
    <t>Tagged non-reel item (carousel/photo) at grid position #38.</t>
  </si>
  <si>
    <t>Grid item #38. Discovered from Tagged page grid in sequential order.</t>
  </si>
  <si>
    <t>AI Search has a leaderboard. Your brand is on it. Most teams have no idea where  - Low impression count</t>
  </si>
  <si>
    <t>BlackFriday, Deals, CyberMonday, offer</t>
  </si>
  <si>
    <t>Search Text Ad: "Scale Agency Client AI Search Visibility - Multi-Client Dashboards"</t>
  </si>
  <si>
    <t>1594018002095791</t>
  </si>
  <si>
    <t>https://adstransparency.google.com/advertiser/AR01693402396748677121/creative/CR08972781457005084673?region=anywhere</t>
  </si>
  <si>
    <t>SoftwareSuggest's Black Friday Deals Part - 4.  Deals that you simply cannot say no to! Grab it at a never-before-price. Stay tuned for more deals!  Get Coupons &gt;&gt; Link In Bio  #BlackFriday #Deals #CyberMonday #offer #SaaS #Products #Software #BestOffer #Discounts #SoftwareSuggest</t>
  </si>
  <si>
    <t>1089855183472459</t>
  </si>
  <si>
    <t>#BlackFriday, #Deals, #CyberMonday, #offer, #SaaS, #Products, #Software, #BestOffer, #Discounts, #SoftwareSuggest</t>
  </si>
  <si>
    <t>Tagged non-reel item (carousel/photo) at grid position #39.</t>
  </si>
  <si>
    <t>Grid item #39. Discovered from Tagged page grid in sequential order.</t>
  </si>
  <si>
    <t>Discovered at visual grid position #70. Verified Ad Details URL. Format: Single Image Ad.</t>
  </si>
  <si>
    <t>AI is no longer just helping travelers search. It is shaping where they go, what - Low impression count</t>
  </si>
  <si>
    <t>1, contenthacker, contentcreator, contentmarketing</t>
  </si>
  <si>
    <t>1078236241524789</t>
  </si>
  <si>
    <t>Status: Inactive | Started: 17 Aug 2026 | Platforms: Meta | Format: Video | CTA: TryProfound</t>
  </si>
  <si>
    <t>Profound helps SEO leaders and professionals improve AI visibility, which transl - Low impression count Book a Free AEO Audit Call for Your Company Learn More</t>
  </si>
  <si>
    <t>1584119236582834</t>
  </si>
  <si>
    <t>Take a look at this list of the top DIY SEO tools compiled by Julia McCoy, so that you can plan your way to the #1 position in Google. 🙌  We’ll look at: * A list of the best free DIY SEO tools out there * Step-by-step guidance on how to use each tool * Free SEO tools you should never use * Plus, her favorite paid tools (for when you’re growing and</t>
  </si>
  <si>
    <t>#1</t>
  </si>
  <si>
    <t>Tagged non-reel item (carousel/photo) at grid position #40.</t>
  </si>
  <si>
    <t>Grid item #40. Discovered from Tagged page grid in sequential order.</t>
  </si>
  <si>
    <t>Ran from Aug 18, 2026 to Aug 25, 2026</t>
  </si>
  <si>
    <t>Discovered at visual grid position #71. Verified Ad Details URL. Format: Single Image Ad.</t>
  </si>
  <si>
    <t>contenthacker, contentmarketing, contentcreator, contentcreation</t>
  </si>
  <si>
    <t>2176952463231794</t>
  </si>
  <si>
    <t>Search Text Ad: "Official Site - Boost AI Visibility - Create AI Content Workflows"</t>
  </si>
  <si>
    <t>https://adstransparency.google.com/advertiser/AR01693402396748677121/creative/CR04765412570217578497?region=anywhere</t>
  </si>
  <si>
    <t>1078764027834726</t>
  </si>
  <si>
    <t>If you’re new to content writing, the term “SEO techniques” can be intimidating.  But the truth is, it’s not.  All SEO stands for is to give users the best experience when they search online.  In this brand new Youtube video + blog, Julia McCoy gives her top techniques to rank in the top of Google in no time! 📈  With 6 billion searches a day that n</t>
  </si>
  <si>
    <t>MongoDB used Profound Agents to cut schema markup update time by almost 30%, whi - Low impression count</t>
  </si>
  <si>
    <t>Tagged non-reel item (carousel/photo) at grid position #41.</t>
  </si>
  <si>
    <t>Grid item #41. Discovered from Tagged page grid in sequential order.</t>
  </si>
  <si>
    <t>1081073147690042</t>
  </si>
  <si>
    <t>1943003626370731</t>
  </si>
  <si>
    <t>Ran from Jul 22, 2026 to Aug 10, 2026</t>
  </si>
  <si>
    <t>2674246492990679</t>
  </si>
  <si>
    <t>Get your ticket.</t>
  </si>
  <si>
    <t>Spend one day with the leaders rewriting the rules of brand visibility. Join 1,000+ marketers at Spotlight.</t>
  </si>
  <si>
    <t>https://adstransparency.google.com/advertiser/AR01693402396748677121/creative/CR12684558989539672065?region=anywhere</t>
  </si>
  <si>
    <t>To understand how to do keyword research, you first need to know the basic terms and concepts. In this blog, Julia McCoy starts from the beginning and goes in-depth and step by step to show you how important keyword research is and how to do it. 👩‍💻  If you ever wanted to know what seed keywords, searcher intent, search volume, competition, CPC, ke</t>
  </si>
  <si>
    <t>Search Visibility, Industry Event</t>
  </si>
  <si>
    <t>Tagged non-reel item (carousel/photo) at grid position #42.</t>
  </si>
  <si>
    <t>4352359935006143</t>
  </si>
  <si>
    <t>Grid item #42. Discovered from Tagged page grid in sequential order.</t>
  </si>
  <si>
    <t>mangools, freeseocourse, mangoolscertification, mangoolsseo</t>
  </si>
  <si>
    <t>1081630177650097</t>
  </si>
  <si>
    <t>Discovered at visual grid position #74. Verified Ad Details URL. Format: Single Image Ad.</t>
  </si>
  <si>
    <t>Status: Inactive | Started: 14 Aug 2026 | Platforms: Meta | Format: Image | CTA: TryProfound</t>
  </si>
  <si>
    <t>AI Search has a leaderboard. Your brand is on it. Most teams have no idea where  - Low impression count TRYPROFOUND.COM Find out where your brand ranks in AI search</t>
  </si>
  <si>
    <t>Mangools Free SEO Course With Certification for Beginners  https://knowonlinemarketing.com/mangools-free-seo-course-with-certification-for-beginners/  #mangools #freeseocourse #mangoolscertification #mangoolsseo #knowonlinemarketing</t>
  </si>
  <si>
    <t>Be part of something great!</t>
  </si>
  <si>
    <t>#mangools, #freeseocourse, #mangoolscertification, #mangoolsseo, #knowonlinemarketing</t>
  </si>
  <si>
    <t>Want to see how your ideas turn into impact? Join Semrush as a Digital Strategy Consultant with experience in SEO and GEO.</t>
  </si>
  <si>
    <t>Tagged non-reel item (carousel/photo) at grid position #43.</t>
  </si>
  <si>
    <t>Grid item #43. Discovered from Tagged page grid in sequential order.</t>
  </si>
  <si>
    <t>SHOPLINE, 電商, 品牌, 創業</t>
  </si>
  <si>
    <t>1231181669141697</t>
  </si>
  <si>
    <t>https://adstransparency.google.com/advertiser/AR01693402396748677121/creative/CR14513259100994797569?region=anywhere</t>
  </si>
  <si>
    <t>Profound helps SEO leaders and professionals improve AI visibility, which transl - Low impression count</t>
  </si>
  <si>
    <t>Discovered at visual grid position #75. Verified Ad Details URL. Format: Single Image Ad.</t>
  </si>
  <si>
    <t>1675182156907125</t>
  </si>
  <si>
    <t>6⃣ 個超實用行銷工具存起來！  身為行銷人或是電商老闆的你，是不是常常要身兼多務，校長兼撞鐘？我們一天都一樣只有 24 個小時，要找到有效率的方法一次處理很多事情的話，就應該要好好善用「工具 」🧰 今天就讓小編你推薦 6 個好用的行銷工具，分別是內容行銷類、電子報行銷類以及 SEO 分析類（明天還有另外三個類別喔 😏），趕快收藏貼文以便不時之需！  🛠 內容行銷類－Buzzsumo 可以找到網路上特定主題最熱門的內容，無論是分享、按讚較高的文章或網頁。同時找出過去哪些的內容以及哪些來源表現良好，在進行接下來的內容行銷規劃前，充分了解受眾喜歡的內容。  🛠 內容行銷類－Mix 同樣透過關鍵字搜尋，Mix 就會整理出一份推薦的熱門文章清單，對於內容研究來說很有幫助，可以藉由這些資訊產出相關熱門</t>
  </si>
  <si>
    <t>Tagged non-reel item (carousel/photo) at grid position #44.</t>
  </si>
  <si>
    <t>Grid item #44. Discovered from Tagged page grid in sequential order.</t>
  </si>
  <si>
    <t>Profound helps SEO leaders and professionals improve AI visibility, which transl - Low impression count TRYPROFOUND.COM Book a Free AEO Audit Call for Your Company</t>
  </si>
  <si>
    <t>Spotlight Ad</t>
  </si>
  <si>
    <t>Expert in SQL &amp; BigQuery optimization? Join us as Senior BI Engineer.</t>
  </si>
  <si>
    <t>1773598824091516</t>
  </si>
  <si>
    <t>Digital Marketing</t>
  </si>
  <si>
    <t>Apply now</t>
  </si>
  <si>
    <t>Ran from Jul 16, 2026 to Jul 30, 2026</t>
  </si>
  <si>
    <t>AI Search has a leaderboard. Your brand is on it. Most teams have no idea where  - Low impression count Find out where your brand ranks in AI search Learn More</t>
  </si>
  <si>
    <t>Discovered at visual grid position #76. Verified Ad Details URL. Format: Spotlight Ad.</t>
  </si>
  <si>
    <t>Having great content is more important than ever! These days, the market is flooded with content marketing platforms and tools. In this blog, Julia McCoy shares her favorite ones that help make her marketing awesome. 🔥  Check out the blog which includes brands like Trello, CoSchedule, SEMrush, WordPress, Canva, Slack, Dropbox, Ahrefs, Mangools, and</t>
  </si>
  <si>
    <t>1764954531309146</t>
  </si>
  <si>
    <t>Tagged non-reel item (carousel/photo) at grid position #45.</t>
  </si>
  <si>
    <t>Grid item #45. Discovered from Tagged page grid in sequential order.</t>
  </si>
  <si>
    <t>slovakbusinessagency, sbagency, SBA, sbateam</t>
  </si>
  <si>
    <t>1067918715612975</t>
  </si>
  <si>
    <t>Konferencia ZÁKAZNÍK 2018: TRENDY - TIPY - NÁPADY 💡 sa blíži 😉. Ešte ste sa neprihlásili 🙋 ale máte záujem zúčastniť sa? Tak poďte na našu webstránku 🔗 www.sbagency.sk ✋ Účasť na konferencii je BEZPLATNÁ 🤗 stačí sa len prihlásiť, je to super easy👌. Tešíme sa na Vás 6.11.2018 v našom Coworkingu v Bratislave 🎆 #slovakbusinessagency #sbagency #SBA #sb</t>
  </si>
  <si>
    <t>#slovakbusinessagency, #sbagency, #SBA, #sb</t>
  </si>
  <si>
    <t>Tagged non-reel item (carousel/photo) at grid position #46.</t>
  </si>
  <si>
    <t>Ran from Jul 6, 2026 to Sep 8, 2026</t>
  </si>
  <si>
    <t>Grid item #46. Discovered from Tagged page grid in sequential order.</t>
  </si>
  <si>
    <t>contentmarketingstrategy, keywords, keywordresearch, seostrategy</t>
  </si>
  <si>
    <t>1080349927977083</t>
  </si>
  <si>
    <t>What's an 'emerging keyword'?  An emerging keyword is a trending topic or key phrase that is on the rise, but doesn't have a lot of search volume on Google yet. In a word? Opportunity.  For brands, owning emerging keywords can lead to some serious traffic down the line once everyone starts searching for it and you have great content about it.  Here</t>
  </si>
  <si>
    <t>https://adstransparency.google.com/advertiser/AR01693402396748677121/creative/CR16511273145450102785?region=anywhere</t>
  </si>
  <si>
    <t>Tagged non-reel item (carousel/photo) at grid position #47.</t>
  </si>
  <si>
    <t>1107909201666899</t>
  </si>
  <si>
    <t>Grid item #47. Discovered from Tagged page grid in sequential order.</t>
  </si>
  <si>
    <t>1, 2, 1, SEO</t>
  </si>
  <si>
    <t>AI is no longer just helping travelers search. It is shaping where they go, what - Low impression count FB.ME See How Travelers Are Using AI</t>
  </si>
  <si>
    <t>1458266089474679</t>
  </si>
  <si>
    <t>Want proven AI search tactics? The AI Visibility Index keeps you ahead of competitors by sharing the strategies of winning brands.</t>
  </si>
  <si>
    <t>AI Search &amp; GEO, Search Visibility, Competitive Intelligence</t>
  </si>
  <si>
    <t>2089099715326409</t>
  </si>
  <si>
    <t>Ran from Jul 3, 2026 to Jul 21, 2026</t>
  </si>
  <si>
    <t>Discovered at visual grid position #79. Verified Ad Details URL. Format: Single Image Ad.</t>
  </si>
  <si>
    <t>1066227629192963</t>
  </si>
  <si>
    <t>1095521516484401</t>
  </si>
  <si>
    <t>I've got a NEW Content Hacker Ultimate guide out for you today! 🔥 We published this a year ago, and just updated it this week.  Link in Stories: 23+ Free DIY SEO Tools: All You Need to Strategically Plan Your Way to #1 Position on Google’s SERPs  Did you know?  There are now six billion searches per day on Google. (Up ‪from 3.5‬ billion in 2019!)</t>
  </si>
  <si>
    <t>AI search is splintered across ChatGPT, Gemini, Google AI Mode, and AI Overviews. Each needs a tailored strategy to thrive. We show you how.</t>
  </si>
  <si>
    <t>Tagged non-reel item (carousel/photo) at grid position #48.</t>
  </si>
  <si>
    <t>Grid item #48. Discovered from Tagged page grid in sequential order.</t>
  </si>
  <si>
    <t>Ran from Jul 22, 2026 to Sep 8, 2026</t>
  </si>
  <si>
    <t>2158411681755769</t>
  </si>
  <si>
    <t>https://adstransparency.google.com/advertiser/AR01693402396748677121/creative/CR10679961825371488257?region=anywhere</t>
  </si>
  <si>
    <t>Newly updated blog on Content Hacker is out today! This one is key for your SEO strategies and getting to the top of Google. 📈  The problem is SEO won’t work if you approach it in a hit-and-miss manner. Guesswork and “publish and pray” will do nothing to get you a top position on Google.  What you DO need for great SEO is hard data and a strategic</t>
  </si>
  <si>
    <t>Tagged non-reel item (carousel/photo) at grid position #49.</t>
  </si>
  <si>
    <t>1099627502500453</t>
  </si>
  <si>
    <t>Grid item #49. Discovered from Tagged page grid in sequential order.</t>
  </si>
  <si>
    <t>Discovered at visual grid position #81. Verified Ad Details URL. Format: Single Image Ad.</t>
  </si>
  <si>
    <t>ShoutMeLoud, SEO, Blogging</t>
  </si>
  <si>
    <t>2081442279122137</t>
  </si>
  <si>
    <t>Which is your favorite Keyword research tool? @semrush @ahrefscom @mangools_com   #ShoutMeLoud #SEO #Blogging</t>
  </si>
  <si>
    <t>#ShoutMeLoud, #SEO, #Blogging</t>
  </si>
  <si>
    <t>Tagged non-reel item (carousel/photo) at grid position #50.</t>
  </si>
  <si>
    <t>Grid item #50. Discovered from Tagged page grid in sequential order.</t>
  </si>
  <si>
    <t>Ran from Jul 6, 2026 to Aug 19, 2026</t>
  </si>
  <si>
    <t>ShoutMeLoud, SEO, searchengineoptimization, searchengineoptimizationtools</t>
  </si>
  <si>
    <t>Status: Inactive | Started: 17 Aug 2026 | Platforms: Meta | Format: Image | CTA: TryProfound</t>
  </si>
  <si>
    <t>https://adstransparency.google.com/advertiser/AR01693402396748677121/creative/CR04511338204955148289?region=anywhere</t>
  </si>
  <si>
    <t>Profound Aim runs in the background to surface ranked AI Search opportunities an - Low impression count</t>
  </si>
  <si>
    <t>Which of these tools do you use for backlink checking? Comment below 👇🏻 #ShoutMeLoud  @semrush @mangools_com @ahrefscom  @moz_hq  #SEO #searchengineoptimization #searchengineoptimizationtools #digitalmarketing #blogger #blogging</t>
  </si>
  <si>
    <t>1049956044701798</t>
  </si>
  <si>
    <t>#ShoutMeLoud, #SEO, #searchengineoptimization, #searchengineoptimizationtools, #digitalmarketing, #blogger, #blogging</t>
  </si>
  <si>
    <t>Tagged non-reel item (carousel/photo) at grid position #51.</t>
  </si>
  <si>
    <t>Grid item #51. Discovered from Tagged page grid in sequential order.</t>
  </si>
  <si>
    <t>1364073045248633</t>
  </si>
  <si>
    <t>Discovered at visual grid position #83. Verified Ad Details URL. Format: Single Image Ad.</t>
  </si>
  <si>
    <t>Tagged non-reel item (carousel/photo) at grid position #52.</t>
  </si>
  <si>
    <t>1511872094028917</t>
  </si>
  <si>
    <t>Grid item #52. Discovered from Tagged page grid in sequential order.</t>
  </si>
  <si>
    <t>coronavirus, pandemic, savvybusinessowner, marketingstrategy</t>
  </si>
  <si>
    <t>Own the way you work!</t>
  </si>
  <si>
    <t>Looking for a team that moves as one? Join us as Senior Project Manager with 5+ years' experience on digital projects.</t>
  </si>
  <si>
    <t>1755608772233866</t>
  </si>
  <si>
    <t>Content tools for marketing can get confusing – fast.  Which ones are must-haves?  Do features overlap?  Do you really need more than one SEO tool?  Trust me, even seasoned strategists don’t have all the answers and often get confused over the features.  Here’s the thing. I can’t answer these questions. Everyone’s content marketing strategy is diff</t>
  </si>
  <si>
    <t>Tagged non-reel item (carousel/photo) at grid position #53.</t>
  </si>
  <si>
    <t>1570143394657405</t>
  </si>
  <si>
    <t>Grid item #53. Discovered from Tagged page grid in sequential order.</t>
  </si>
  <si>
    <t>Search Text Ad: "Profound vs. Searchable - Definitive G2 Leader in AEO"</t>
  </si>
  <si>
    <t>Ran from Jul 9, 2026 to Jul 23, 2026</t>
  </si>
  <si>
    <t>https://adstransparency.google.com/advertiser/AR01693402396748677121/creative/CR15627384269096091649?region=anywhere</t>
  </si>
  <si>
    <t>Discovered at visual grid position #84. Verified Ad Details URL. Format: Single Image Ad.</t>
  </si>
  <si>
    <t>2554775551663172</t>
  </si>
  <si>
    <t>Tagged non-reel item (carousel/photo) at grid position #54.</t>
  </si>
  <si>
    <t>Grid item #54. Discovered from Tagged page grid in sequential order.</t>
  </si>
  <si>
    <t>2099044213982111</t>
  </si>
  <si>
    <t>2134151480497369</t>
  </si>
  <si>
    <t>Discovered at visual grid position #85. Verified Ad Details URL. Format: Single Image Ad.</t>
  </si>
  <si>
    <t>Tagged non-reel item (carousel/photo) at grid position #55.</t>
  </si>
  <si>
    <t>Grid item #55. Discovered from Tagged page grid in sequential order.</t>
  </si>
  <si>
    <t>Eager to improve workflows and coordinate cross-functional teams?</t>
  </si>
  <si>
    <t>https://adstransparency.google.com/advertiser/AR01693402396748677121/creative/CR02840804559142518785?region=anywhere</t>
  </si>
  <si>
    <t>1216492857312247</t>
  </si>
  <si>
    <t>contenthacker, marketingtools, contentcreators, marketingstrategy</t>
  </si>
  <si>
    <t>Discovered at visual grid position #86. Verified Ad Details URL. Format: Spotlight Ad.</t>
  </si>
  <si>
    <t>1058479040161851</t>
  </si>
  <si>
    <t>Julia McCoy updated her list of must-have content marketing tools for 2020! 💥  She has tried and tested all of these. These are the ones Julia trusts to give her all the help, data, and edge she needs to make her marketing awesome. 🔥  Some of the tools include @coschedule, @semrush, @mangools_com, @trelloapp, @wordpressdotcom, @canva, @grammarly, @</t>
  </si>
  <si>
    <t>Tagged non-reel item (carousel/photo) at grid position #56.</t>
  </si>
  <si>
    <t>Grid item #56. Discovered from Tagged page grid in sequential order.</t>
  </si>
  <si>
    <t>Join Semrush!</t>
  </si>
  <si>
    <t>webiness, webforyourbusiness, seo, startup</t>
  </si>
  <si>
    <t>Want to own the way you work? Become a Senior BI Engineer with 5 years of experience in data analytics and SQL knowledge.</t>
  </si>
  <si>
    <t>Today is the big day where I present to you some SEO TOOLS that you need to crush in 2020 to get your website well ranked and positioned, but the most important thing is to be more informed about your competitors.  I know ranking in google these days it’s getting harder than before and to remind you “THE CONTENT IS THE KING” which is true 🙌. With n</t>
  </si>
  <si>
    <t>Tagged non-reel item (carousel/photo) at grid position #57.</t>
  </si>
  <si>
    <t>Grid item #57. Discovered from Tagged page grid in sequential order.</t>
  </si>
  <si>
    <t>Discovered at visual grid position #87. Verified Ad Details URL. Format: Single Image Ad.</t>
  </si>
  <si>
    <t>2049163505698446</t>
  </si>
  <si>
    <t>contenthacker, contentmarketing, seo, contentcreation</t>
  </si>
  <si>
    <t>Display Banner: AI Search Visibility Dashboard &amp; Multi-Engine Citations</t>
  </si>
  <si>
    <t>https://adstransparency.google.com/advertiser/AR01693402396748677121/creative/CR03785380155157905409?region=anywhere</t>
  </si>
  <si>
    <t>1346081323909152</t>
  </si>
  <si>
    <t>As Julia McCoy says in this blog, SEO tools are the online marketer’s best friend. It’s going to be hard to compete in the content crowd without at least a few in-depth, data-mining, keyword tracking, research-handling superstars in your SEO kit.  Research, planning, and strategy are located at the bottom of the content success ladder. Check out he</t>
  </si>
  <si>
    <t>Tagged non-reel item (carousel/photo) at grid position #58.</t>
  </si>
  <si>
    <t>Grid item #58. Discovered from Tagged page grid in sequential order.</t>
  </si>
  <si>
    <t>SEOTools, SEO, PosicionamientoWeb, WebsiteOptimization</t>
  </si>
  <si>
    <t>https://adstransparency.google.com/advertiser/AR01693402396748677121/creative/CR17616439836405661697?region=anywhere</t>
  </si>
  <si>
    <t>Discovered at visual grid position #88. Verified Ad Details URL. Format: Single Image Ad.</t>
  </si>
  <si>
    <t>¿Qué herramientas SEO consideras imprescindibles para tu proyecto o negocio?🔥 . ➡️Existen muchas herramientas SEO que no solo te ayudan a ser más productivos, sino que también te aportan datos precisos que de forma natural sería casi imposible de conseguir🔝 . . El inconveniente es que hay miles de herramientas en Internet. Por eso, @bocardod ha cre</t>
  </si>
  <si>
    <t>Tagged non-reel item (carousel/photo) at grid position #59.</t>
  </si>
  <si>
    <t>Grid item #59. Discovered from Tagged page grid in sequential order.</t>
  </si>
  <si>
    <t>contenthacker, contentmarketing, digitalmarketing, contenthacking</t>
  </si>
  <si>
    <t>1481468257336298</t>
  </si>
  <si>
    <t>This list of 37 content marketing tools is exactly what you need to improve your planning and promotions.‬ 🙌 ‪Includes @coschedule, @semrush, @mangools_com, @trelloapp, @airtable, @canva, @evernote, @reddit, @slackhq, @dropbox, @googlemarketinganalytics, @ahrefscom, @wordpressdotcom, @quora, @piktochart and much more you may not be aware of. 🔥  Che</t>
  </si>
  <si>
    <t>Tagged non-reel item (carousel/photo) at grid position #60.</t>
  </si>
  <si>
    <t>Grid item #60. Discovered from Tagged page grid in sequential order.</t>
  </si>
  <si>
    <t>1089506966837029</t>
  </si>
  <si>
    <t>SEO, contenthacker, blog, contentcreation</t>
  </si>
  <si>
    <t>Discovered at visual grid position #89. Verified Ad Details URL. Format: Single Image Ad.</t>
  </si>
  <si>
    <t>1530403284952009</t>
  </si>
  <si>
    <t>This list of 27+ #SEO tools are everything you will need to master web page analysis, keyword research and more to increase traffic and get your page to the top.  Includes @semrush, @ahrefscom, @mangools_com, @moz_hq and much more!  Link in the bio to see the FULL list in our blog! . . . #contenthacker #blog #contentcreation #contentmarketing #list</t>
  </si>
  <si>
    <t>https://adstransparency.google.com/advertiser/AR01693402396748677121/creative/CR11383007152357507073?region=anywhere</t>
  </si>
  <si>
    <t>#SEO, #contenthacker, #blog, #contentcreation, #contentmarketing, #list</t>
  </si>
  <si>
    <t>Tagged non-reel item (carousel/photo) at grid position #61.</t>
  </si>
  <si>
    <t>Grid item #61. Discovered from Tagged page grid in sequential order.</t>
  </si>
  <si>
    <t>Data Governance Engineer needed. Strong SQL &amp; Python is a must.</t>
  </si>
  <si>
    <t>1798503711593883</t>
  </si>
  <si>
    <t>Ran from Jun 23, 2026 to Jun 26, 2026</t>
  </si>
  <si>
    <t>Discovered at visual grid position #90. Verified Ad Details URL. Format: Spotlight Ad.</t>
  </si>
  <si>
    <t>2062975864592111</t>
  </si>
  <si>
    <t>Tagged non-reel item (carousel/photo) at grid position #62.</t>
  </si>
  <si>
    <t>Grid item #62. Discovered from Tagged page grid in sequential order.</t>
  </si>
  <si>
    <t>2555470644907299</t>
  </si>
  <si>
    <t>3119574871570409</t>
  </si>
  <si>
    <t>Štvoricu speakrov na konferencii ZÁKAZNÍK 2018: TRENDY - TIPY - NÁPADY 💡 uzatvára Peter Hrbáčik, zakladateľ a CEO Mangools (@mangools_com). Tvorba online nástrojov je Petrova mantra a vo svojej firme vyvíja spolu s celým teamom celosvetovo úspešné SEO nástroje. Budete mať možnosť dozvedieť sa, že dôležitá je orientácia na zákazníka, nie na produkt.</t>
  </si>
  <si>
    <t>Tagged non-reel item (carousel/photo) at grid position #63.</t>
  </si>
  <si>
    <t>Grid item #63. Discovered from Tagged page grid in sequential order.</t>
  </si>
  <si>
    <t>Discovered at visual grid position #91. Verified Ad Details URL. Format: Single Image Ad.</t>
  </si>
  <si>
    <t>1974920723214515</t>
  </si>
  <si>
    <t>Search Text Ad: "AI SEO Platform for Agencies - White-Label AEO Reports"</t>
  </si>
  <si>
    <t>https://adstransparency.google.com/advertiser/AR01693402396748677121/creative/CR12765300801291681793?region=anywhere</t>
  </si>
  <si>
    <t>2226236441557883</t>
  </si>
  <si>
    <t>AI is reshaping how brands get discovered. Do you know where you stand? 126 million real user prompts tell you exactly who's winning and why.</t>
  </si>
  <si>
    <t>Ďalšou tvárou našej KONFERENCIE ZÁKAZNÍK 2018: TRENDY - TIPY - NÁPADY 💡 je Maroš Kortiš. Je marketingovým nadšencom už od študentských čias. Profesionálne sa marketingu venuje viac ako 4roky 🎆. Vo firme Mangools je zodpovedný ako inak, za marketing.  Maroš Vám prezradí ako neprísť o svojich ťažko získaných zákazníkov a ako získať ďalších 👋. Program</t>
  </si>
  <si>
    <t>Tagged non-reel item (carousel/photo) at grid position #64.</t>
  </si>
  <si>
    <t>Grid item #64. Discovered from Tagged page grid in sequential order.</t>
  </si>
  <si>
    <t>keywords, searchenginemarketing, howto, linkinbio</t>
  </si>
  <si>
    <t>1848371902806328</t>
  </si>
  <si>
    <t>How the hell are you supposed to find 'the right' keywords???⠀ ⠀ Check out the latest post on the blog that runs through the 3 most important factors for finding your ideal SEO keywords. ⠀ ⠀ An what's even better.....is that the post was created especially for beginners by @mangools_com --- And they're the bees knees for SEO research. ⠀ ⠀ You serio</t>
  </si>
  <si>
    <t>Ran from Jul 6, 2026 to Jul 19, 2026</t>
  </si>
  <si>
    <t>Tagged non-reel item (carousel/photo) at grid position #65.</t>
  </si>
  <si>
    <t>Grid item #65. Discovered from Tagged page grid in sequential order.</t>
  </si>
  <si>
    <t>28071830889115331</t>
  </si>
  <si>
    <t>recommendation, red, ipa, allendale</t>
  </si>
  <si>
    <t>https://tryprofound.com/features/aim</t>
  </si>
  <si>
    <t>1547604770446776</t>
  </si>
  <si>
    <t>1595466245422358</t>
  </si>
  <si>
    <t>Oooossh! A little Sunday night keyword research, paired with a delicious Allendale Red IPA. Massive fan. Will definitely buy again. Get it on your list too! 👌 . . . #recommendation #red #ipa #allendale #northumberland #can #beertime #beerlover #beerglasshalffull #delicious #sundaynight #sundayworking #seo #marketing #asus #cheers #beerbranding #bee</t>
  </si>
  <si>
    <t>#recommendation, #red, #ipa, #allendale, #northumberland, #can, #beertime, #beerlover, #beerglasshalffull, #delicious, #sundaynight, #sundayworking, #seo, #marketing, #asus, #cheers, #beerbranding, #bee</t>
  </si>
  <si>
    <t>Tagged non-reel item (carousel/photo) at grid position #66.</t>
  </si>
  <si>
    <t>Grid item #66. Discovered from Tagged page grid in sequential order.</t>
  </si>
  <si>
    <t>Discovered at visual grid position #94. Verified Ad Details URL. Format: Single Image Ad.</t>
  </si>
  <si>
    <t>38001316252817343</t>
  </si>
  <si>
    <t>Semrush (@semrush)</t>
  </si>
  <si>
    <t>Non-Reel Post (Static Photo)</t>
  </si>
  <si>
    <t>Responsive Product Ad: Meet Profound Aim - Autonomous AI Marketing Agent</t>
  </si>
  <si>
    <t>https://adstransparency.google.com/advertiser/AR01693402396748677121/creative/CR08006714806713188353?region=anywhere</t>
  </si>
  <si>
    <t>Wir freuen uns jedes Jahr wieder über die vielen tollen Weihnachtskarten und netten Worte die bei uns eintrudeln 😍  Habt ihr schon eure Weihnachtskarten verschickt? ✉️ ⁣ ⁣ #morefirelife #agenturleben #agencylife #morefireagency #weihnachten #weihnachtskarte</t>
  </si>
  <si>
    <t>#morefirelife, #agenturleben, #agencylife, #morefireagency, #weihnachten, #weihnachtskarte</t>
  </si>
  <si>
    <t>Ran from Jul 6, 2026 to Jul 21, 2026</t>
  </si>
  <si>
    <t>Tagged non-reel item (Static Photo) at grid position #1.</t>
  </si>
  <si>
    <t>2086772921914247</t>
  </si>
  <si>
    <t>Video Marketing</t>
  </si>
  <si>
    <t>4481367392120432</t>
  </si>
  <si>
    <t>1351423767104764</t>
  </si>
  <si>
    <t>1382467060692944</t>
  </si>
  <si>
    <t>Discovered at visual grid position #96. Verified Ad Details URL. Format: Single Image Ad.</t>
  </si>
  <si>
    <t>Tips on YouTube optimization by fashionable digital👌😎👍🌍</t>
  </si>
  <si>
    <t>https://adstransparency.google.com/advertiser/AR01693402396748677121/creative/CR11084227649332051969?region=anywhere</t>
  </si>
  <si>
    <t>1571701114588444</t>
  </si>
  <si>
    <t>Want your work to actually move the needle? Join us as an Onboarding Consultant to support new and upgraded customers.</t>
  </si>
  <si>
    <t>1594200395753185</t>
  </si>
  <si>
    <t>#chai #chaha #tea #3words of #love #blowbudgetfoodie #googlepixel3axl #googlepixel #google #slomo</t>
  </si>
  <si>
    <t>#chai, #chaha, #tea, #3words, #love, #blowbudgetfoodie, #googlepixel3axl, #googlepixel, #google, #slomo</t>
  </si>
  <si>
    <t>1039086222326545</t>
  </si>
  <si>
    <t>Discovered at visual grid position #97. Verified Ad Details URL. Format: Single Image Ad.</t>
  </si>
  <si>
    <t>Content Marketing, Digital Marketing</t>
  </si>
  <si>
    <t>Ready to move fast? Join us as a Senior QA Automation Engineer skilled in API and UI Test Automation with Java and Kotlin.</t>
  </si>
  <si>
    <t>2059098001377748</t>
  </si>
  <si>
    <t>https://adstransparency.google.com/advertiser/AR01693402396748677121/creative/CR03825966977629814785?region=anywhere</t>
  </si>
  <si>
    <t>Ran from Jun 17, 2026 to Jun 23, 2026</t>
  </si>
  <si>
    <t>Discovered at visual grid position #98. Verified Ad Details URL. Format: Single Image Ad.</t>
  </si>
  <si>
    <t>1012655085149884</t>
  </si>
  <si>
    <t>Content Marketing' imp points by SEMrush😎</t>
  </si>
  <si>
    <t>AI has moved from experiment to operating system. In a survey of 100 CMOs, 90% u - Low impression count FB.ME 90% of CMOs Use LLMs Daily</t>
  </si>
  <si>
    <t>1464918972329109</t>
  </si>
  <si>
    <t>Digital Marketing, Industry Event</t>
  </si>
  <si>
    <t>2222544481811723</t>
  </si>
  <si>
    <t>Discovered at visual grid position #99. Verified Ad Details URL. Format: Single Image Ad.</t>
  </si>
  <si>
    <t>Finally @ttthe biggest SEMrush marketing show event in Bangalore😎🥳</t>
  </si>
  <si>
    <t>4061048754196138</t>
  </si>
  <si>
    <t>Tagged non-reel item (Static Photo) at grid position #5.</t>
  </si>
  <si>
    <t>https://adstransparency.google.com/advertiser/AR01693402396748677121/creative/CR01704522651193573377?region=anywhere</t>
  </si>
  <si>
    <t>Non-Reel Post (Photo Carousel)</t>
  </si>
  <si>
    <t>AI Is Reshaping Search. Is Your Measurement Up to Date?</t>
  </si>
  <si>
    <t>SEO, Content Marketing, Digital Marketing</t>
  </si>
  <si>
    <t>AI is changing how buyers find brands. Join senior marketing leaders live from Cannes Lions on June 25 to rethink what success looks like</t>
  </si>
  <si>
    <t>Growth Marketing</t>
  </si>
  <si>
    <t>Holiday shoppers are already asking AI what to buy - and most of those conversat - Low impression count FB.ME How Will Shoppers Find You in AI?</t>
  </si>
  <si>
    <t>1372792384297148</t>
  </si>
  <si>
    <t>Register</t>
  </si>
  <si>
    <t>Ran from Jun 12, 2026 to Jun 24, 2026</t>
  </si>
  <si>
    <t>@Ecosmob is Super Excited to be at #SemrushConf2019 Looking forward to catch some awesome Digital Marketing sessions and lots of Networking!  #digitalmarketing #marketing #socialmediamarketing #socialmedia #seo #business #branding #onlinemarketing #marketingdigital #entrepreneur #advertising #contentmarketing #marketingtips #marketingstrategy #webdesign #smallbusiness #digital #graphicdesign #digi</t>
  </si>
  <si>
    <t>Discovered at visual grid position #100. Verified Ad Details URL. Format: Single Image Ad.</t>
  </si>
  <si>
    <t>#SemrushConf2019, #digitalmarketing, #marketing, #socialmediamarketing, #socialmedia, #seo, #business, #branding, #onlinemarketing, #marketingdigital, #entrepreneur, #advertising, #contentmarketing, #marketingtips, #marketingstrategy, #webdesign, #smallbusiness, #digital, #graphicdesign, #digitalmarketingagency, #instagram, #startup, #entrepreneurship, #design, #website, #ecommerce, #digitalmarketingtips, #internetmarketing, #webdevelopment</t>
  </si>
  <si>
    <t>Tagged non-reel item (Photo Carousel) at grid position #6.</t>
  </si>
  <si>
    <t>Ready to learn quickly and raise the bar? We are hiring an Insights Analyst with experience in data and product analytics.</t>
  </si>
  <si>
    <t>1017323667973759</t>
  </si>
  <si>
    <t>https://adstransparency.google.com/advertiser/AR01693402396748677121/creative/CR03937488243011878913?region=anywhere</t>
  </si>
  <si>
    <t>Ran from Jun 12, 2026 to Jun 26, 2026</t>
  </si>
  <si>
    <t>1052586527263407</t>
  </si>
  <si>
    <t>First session by @olgandrienko at #semrushconf2019 about The State of #ContentMarketing! It's really informative and insightful for the #DigitalMarketing people... Looking forward to attend such sessions to gain the knowledge from the #Marketing experts.</t>
  </si>
  <si>
    <t>Discovered at visual grid position #101. Verified Ad Details URL. Format: Single Image Ad.</t>
  </si>
  <si>
    <t>#semrushconf2019, #ContentMarketing, #DigitalMarketing, #Marketing</t>
  </si>
  <si>
    <t>Tagged non-reel item (Static Photo) at grid position #7.</t>
  </si>
  <si>
    <t>Reddit's share of AI citations grew by at least 73% across every industry studie - Low impression count FB.ME Reddit Is Reshaping AI Visibility</t>
  </si>
  <si>
    <t>1059975886765155</t>
  </si>
  <si>
    <t>Want to own the way you work? Join us as a Senior BI Engineer with 5 years of experience in data analytics and SQL knowledge.</t>
  </si>
  <si>
    <t>1384882870448063</t>
  </si>
  <si>
    <t>1557862646069705</t>
  </si>
  <si>
    <t>Ran from May 30, 2026 to Jun 12, 2026</t>
  </si>
  <si>
    <t>Create great content! At the end of the day the searcher is looking for content to entertain them or answer their questions.  Make great content and you will soar to the top of the rankings! * * * * * * * * * #content #smallbusiness #vancitybiz #vancouverbiz #abbotsford #entrepreneur #marketing #digitalmarketing #seo #greatcontent #websitedesign #socialmedia</t>
  </si>
  <si>
    <t>Discovered at visual grid position #102. Verified Ad Details URL. Format: Single Image Ad.</t>
  </si>
  <si>
    <t>#content, #smallbusiness, #vancitybiz, #vancouverbiz, #abbotsford, #entrepreneur, #marketing, #digitalmarketing, #seo, #greatcontent, #websitedesign, #socialmedia</t>
  </si>
  <si>
    <t>Tagged non-reel item (Static Photo) at grid position #8.</t>
  </si>
  <si>
    <t>1615957743529537</t>
  </si>
  <si>
    <t>https://adstransparency.google.com/advertiser/AR01693402396748677121/creative/CR14395915303068368897?region=anywhere</t>
  </si>
  <si>
    <t>Ready to сode? Join us as Senior Golang Developer with 5+ years of experience in a backend programming environment.</t>
  </si>
  <si>
    <t>2299372237498469</t>
  </si>
  <si>
    <t>2917859355218162</t>
  </si>
  <si>
    <t>Ran from May 30, 2026 to Jun 3, 2026</t>
  </si>
  <si>
    <t>Maria Raybould, Content Strategist at Semrush, takes you through ten amazing tools that, when combined, can automate a great deal of your social media marketing workflow and help you develop a Swiss-Army-knife approach to your social media marketing. 🖱️ https://www.stateofdigital.com/10-tools-under-100-streamline-social-media-marketing #DigitalStateOfMind #SMM</t>
  </si>
  <si>
    <t>Peec ai</t>
  </si>
  <si>
    <t>Discovered at visual grid position #103. Verified Ad Details URL. Format: Single Image Ad.</t>
  </si>
  <si>
    <t>#DigitalStateOfMind, #SMM</t>
  </si>
  <si>
    <t>Tagged non-reel item (Static Photo) at grid position #9.</t>
  </si>
  <si>
    <t>Not found</t>
  </si>
  <si>
    <t>https://adstransparency.google.com/advertiser/AR01693402396748677121/creative/CR09409414979142025217?region=anywhere</t>
  </si>
  <si>
    <t>Discovered at visual grid position #104. Verified Ad Details URL. Format: Single Image Ad.</t>
  </si>
  <si>
    <t>Every digital businesses💻should aware of this 3 key pillars. Without these 3 key pillars it's difficult for your brand™️ to sustain in this highly competitive market  Customer acquisition 🔍 is difficult to attain, customer satisfaction🛒 is an challenging assignment, customer retention👨‍👩‍👧 is a key.  How many of your business's are failing in this? Drop a 🙌 let's get connected on a chat immediatel</t>
  </si>
  <si>
    <t>#digitalmarketing, #customerservice, #customer, #customeracquisition, #customerappreciation, #customersatisfaction, #customerretention, #marketingdigital, #marketingquotes, #dailyquotes, #instadaily, #followforfollowback, #likeforlikes, #entrepreneurlife, #entrepreneurship, #whoisdigitalnaveen, #digitalnaveen</t>
  </si>
  <si>
    <t>Tagged non-reel item (Static Photo) at grid position #10.</t>
  </si>
  <si>
    <t>Mangools</t>
  </si>
  <si>
    <t>https://mangools.com/ai-search-watcher/</t>
  </si>
  <si>
    <t>This is a process in social media🌍and it is popularly determined as Lead Nurturing. How many of you have done lead nurturing before❓  Your business pages🏷️doesn't give you conversions if your motive is to do a single post per day.  Search 🔍 for your audience in a group, create a conversation with them, follow up with them and convert them as a lead for your business.  How to find your target audie</t>
  </si>
  <si>
    <t>Discovered at visual grid position #105. Verified Ad Details URL. Format: Single Image Ad.</t>
  </si>
  <si>
    <t>#socialmedia, #socialmediamarketing, #leads, #leadnurturing, #business, #brand, #marketingdigital, #conversion, #roi, #digitalmarketing, #change, #digitaldaily, #digitalmarketer, #digitalguru, #seo, #whoisdigitalnaveen, #digitalnaveen</t>
  </si>
  <si>
    <t>Tagged non-reel item (Static Photo) at grid position #11.</t>
  </si>
  <si>
    <t>https://adstransparency.google.com/advertiser/AR01693402396748677121/creative/CR13974492012473221121?region=anywhere</t>
  </si>
  <si>
    <t>AI Overviews are rewriting the search game. - Are you showing up in them? 20% of Google searches now display AI Overviews, and most SEOs have no idea if their content</t>
  </si>
  <si>
    <t>https://www.facebook.com/ads/library/?active_status=all&amp;ad_type=all&amp;country=ALL&amp;is_targeted_country=false&amp;media_type=all&amp;search_type=page&amp;sort_data[direction]=desc&amp;sort_data[mode]=total_impressions&amp;view_all_page_id=1736362296643133</t>
  </si>
  <si>
    <t>Discovered at visual grid position #106. Verified Ad Details URL. Format: Single Image Ad.</t>
  </si>
  <si>
    <t>Why a user friendly URL is important for your website ❓ What will happen if your URL is not SEO friendly❓. Create URL's that converts your website visitors. URL's without keywords 💻 doesn't create any value for your website.  URL'S with underscores and other complex characters are even considered as spammy⁉️links by Google.  Aren't you not aware of creating a URL structure? Drop your website links</t>
  </si>
  <si>
    <t>#url, #urlstructure, #website, #websiteoptimization, #seo, #seofriendly, #business, #brand, #searchengineoptimization, #digitalmarketing, #advertising, #websitedesign, #conversion, #enterpreneur, #entrepreneurship, #mba, #marketing, #marketingdigital, #marketingguru, #whoisdigitalnaveen, #digitalnaveen</t>
  </si>
  <si>
    <t>Tagged non-reel item (Static Photo) at grid position #12.</t>
  </si>
  <si>
    <t>Grid item #12. Discovered from Tagged page grid in sequential order.</t>
  </si>
  <si>
    <t>https://adstransparency.google.com/advertiser/AR01693402396748677121/creative/CR03870846430935515137?region=anywhere</t>
  </si>
  <si>
    <t>Ran from Jun 13, 2026 to Jun 26, 2026</t>
  </si>
  <si>
    <t>Discovered at visual grid position #107. Verified Ad Details URL. Format: Single Image Ad.</t>
  </si>
  <si>
    <t>SEO (Search Engine Optimization) Services from Golden Era Software Solutions &amp; Consultancy Pvt Ltd provides you the complete and best opportunities for your online business.  We team having experts, especially in Search Engines more than 8+ years who they very good at organic ranking so the ranking would not get down.  Contact us for SEO Services info@goldenerasoftware.com www.goldenerasoftware.co</t>
  </si>
  <si>
    <t>#software, #SEO, #GERG, #SearchEngine, #OnlineMarketing, #DigitalMarketing, #InternetMarketing</t>
  </si>
  <si>
    <t>Tagged non-reel item (Static Photo) at grid position #13.</t>
  </si>
  <si>
    <t>1463431462030707</t>
  </si>
  <si>
    <t>Expert in SQL &amp; BigQuery dashboards? Join us as Senior BI Engineer.</t>
  </si>
  <si>
    <t>Status: Active | Started: 20 Mar 2026 | Platforms: Meta | Format: Image | CTA: Mangools</t>
  </si>
  <si>
    <t>App / Software</t>
  </si>
  <si>
    <t>https://mangools.com/kwfinder/</t>
  </si>
  <si>
    <t>Ran from May 29, 2026 to Jun 15, 2026</t>
  </si>
  <si>
    <t>Cheers to Learning  #featuredsnippet  #featuredsnippets  #googlerankingfactor  #googlerankingfactors  #googlerankingkeywords  #googlerankingtips  #keywordresearchandanalysis  #keywordresearchmadeeasy  #keywordresearchtips  #searchenginemarketingspecialist  #searchenginemarketingstrategy  #searchenginemarketingtrends  #searchengineoptimizationexpert  #searchengineoptimizationhelp  #searchengineopti</t>
  </si>
  <si>
    <t>Discovered at visual grid position #108. Verified Ad Details URL. Format: Spotlight Ad.</t>
  </si>
  <si>
    <t>#featuredsnippet, #featuredsnippets, #googlerankingfactor, #googlerankingfactors, #googlerankingkeywords, #googlerankingtips, #keywordresearchandanalysis, #keywordresearchmadeeasy, #keywordresearchtips, #searchenginemarketingspecialist, #searchenginemarketingstrategy, #searchenginemarketingtrends, #searchengineoptimizationexpert, #searchengineoptimizationhelp, #searchengineoptimizationmarketing, #searchengineoptimizationprofessionals, #searchengineoptimizationtechniques, #semoptimization, #semrush, #semrushacademy, #semrushcertification, #semrushcertified, #semstrategy, #seomadeeasy, #seomadesimple, #seostrategist, #topongoogle, #topongooglesearch, #mishraditi, #inboundmarketing</t>
  </si>
  <si>
    <t>Tagged non-reel item (Static Photo) at grid position #14.</t>
  </si>
  <si>
    <t>KWFinder just got a major upgrade. - More insights, cleaner view, zero clutter. We've redesigned the keyword table to pack everything you need into a single</t>
  </si>
  <si>
    <t>https://adstransparency.google.com/advertiser/AR01693402396748677121/creative/CR13796671020569985025?region=anywhere</t>
  </si>
  <si>
    <t>2137057677147232</t>
  </si>
  <si>
    <t>SEO, AI Search &amp; GEO, Digital Marketing</t>
  </si>
  <si>
    <t>https://mangools.com/reddit-threads-finder</t>
  </si>
  <si>
    <t>Discovered at visual grid position #109. Verified Ad Details URL. Format: Single Image Ad.</t>
  </si>
  <si>
    <t>Estreando na plenária do #CASE2019 a head de Growth Marketing da SEMrush, Anna Lebedeva, num #keynote imperdível sobre ranqueamento, SEO, tráfego orgânico e mais coisinhas que a Rulez ama 💟  #abstartups #somosrulez #conteudo #top #seo #google #evento #startups #sextou #sp #empreendedorismo</t>
  </si>
  <si>
    <t>#CASE2019, #keynote, #abstartups, #somosrulez, #conteudo, #top, #seo, #google, #evento, #startups, #sextou, #sp, #empreendedorismo</t>
  </si>
  <si>
    <t>Traffic, rankings, impressions — are you measuring the right things? Top CMOs share their AI-era frameworks in this free webinar.</t>
  </si>
  <si>
    <t>SEO</t>
  </si>
  <si>
    <t>https://adstransparency.google.com/advertiser/AR01693402396748677121/creative/CR08276946727274020865?region=anywhere</t>
  </si>
  <si>
    <t>Your competitors are already showing up inside Reddit discussions tied to your k - Our free Reddit Threads Finder helps you discover the conversations already ranking in Google, spot content opportunitie</t>
  </si>
  <si>
    <t>1355634713329795</t>
  </si>
  <si>
    <t>Discovered at visual grid position #110. Verified Ad Details URL. Format: Single Image Ad.</t>
  </si>
  <si>
    <t>Status: Active | Started: 3 Jul 2026 | Platforms: Threads | Format: Image | CTA: Mangools</t>
  </si>
  <si>
    <t>It’s been a torrid few weeks work wise (I know, I know, I make it look so easy - but you just see the swan gliding on the surface, not the frantic paddling beneath) - there have been tears, existential crises, and brainstorming about plan Bs. So it’s really lovely to see a piece of mine about #BlackFriday, that I thought had bitten the dust entirely, rise phoenix-like to be the cover of @dailymail</t>
  </si>
  <si>
    <t>https://mangools.com/ai-search-grader</t>
  </si>
  <si>
    <t>#BlackFriday, #journalism, #journalismrealtalk, #shopping, #bagabargain, #bargainhunting, #howtoshop, #shoppingscams, #whichreport, #blackfridaybargains, #caveatemptor, #whenisadealnotadeal, #christmasshopping, #buyonegetonetree</t>
  </si>
  <si>
    <t>Tagged non-reel item (Photo Carousel) at grid position #16.</t>
  </si>
  <si>
    <t>How visible is your brand in AI search results? - Mangools AI Search Grader gives you a clear score based on your appearance and ranking across multiple AI search engines</t>
  </si>
  <si>
    <t>Discovered at visual grid position #111. Verified Ad Details URL. Format: Single Image Ad.</t>
  </si>
  <si>
    <t>3126888337618284</t>
  </si>
  <si>
    <t>Status: Inactive | Started: 29 Oct 2025 | Platforms: Meta | Format: Image | CTA: Mangools</t>
  </si>
  <si>
    <t>The 4 P'S 🔥 and 4 C'S 🔥 are obviously creating more value to the marketing mix.  A market 👨‍👩‍👧 doesn't exist when there are no consumers/ products/services.  Sameway a marketing strategy 💻 doesn't exist when you fail to define the 4 P'S 🔥and 4 C'S 🔥of your brand.  How to create a marketing strategy for  your business? Leave your queries below 👇👇👇 . . . @digital_naveen  #digitalmarketing #marketin</t>
  </si>
  <si>
    <t>Discount / Offer</t>
  </si>
  <si>
    <t>https://mangools.com/blackfriday-2025</t>
  </si>
  <si>
    <t>#digitalmarketing, #marketingstrategy, #seo, #4ps, #4cs, #marketing, #marketingmix, #marketingguru, #conversion, #consumer, #products, #services, #brand, #entrepreneurlife, #entrepreneurship, #dailyquotes, #quoteoftheday, #marketingdigital, #marketingquotes, #entrepreneur, #solopreneur, #startup, #mba, #whoisdigitalnaveen, #digitalnaveen</t>
  </si>
  <si>
    <t>https://adstransparency.google.com/advertiser/AR01693402396748677121/creative/CR03688027334050316289?region=anywhere</t>
  </si>
  <si>
    <t>Tagged non-reel item (Static Photo) at grid position #17.</t>
  </si>
  <si>
    <t>🚀 Black Friday ‘25 is on! - Make your business visible in both Google &amp; AI Search with Mangools — trusted by 2.8M+ SEO pros. ✅ -35% off proven SEO t</t>
  </si>
  <si>
    <t>Discovered at visual grid position #112. Verified Ad Details URL. Format: Single Image Ad.</t>
  </si>
  <si>
    <t>1390094732666278</t>
  </si>
  <si>
    <t>Status: Inactive | Started: 26 Nov 2025 | Platforms: Meta | Format: Image | CTA: Mangools</t>
  </si>
  <si>
    <t>Obbserv wholeheartedly welcomes the team @semrush to India and we are proud to be a part of the biggest digital marketing show.  #obbserv #SEMrushConf2019 #proudtobeindian #digitalmarketing #SEMrush</t>
  </si>
  <si>
    <t>#obbserv, #SEMrushConf2019, #proudtobeindian, #digitalmarketing, #SEMrush</t>
  </si>
  <si>
    <t>Status: Inactive | Started: 17 Nov 2025 | Platforms: Meta | Format: Image | CTA: Mangools</t>
  </si>
  <si>
    <t>https://mangools.com/ai-search-watcher</t>
  </si>
  <si>
    <t>https://adstransparency.google.com/advertiser/AR01693402396748677121/creative/CR10253017886893277185?region=anywhere</t>
  </si>
  <si>
    <t>Discovered at visual grid position #113. Verified Ad Details URL. Format: Single Image Ad.</t>
  </si>
  <si>
    <t>How many of you are optimising your website based on the search intent? Around 70%of the online business💻fails in this.🙆‍♂️ Keyword is a important term which will give you a huge ROI💰 when it gets ranked on top of search results.  We shouldn't underestimate the power of keywords. Leave your website link below to know more about keyword optimization. 👇👇👇 . . . Follow:👉@digital_naveen  #digitalmarke</t>
  </si>
  <si>
    <t>#digitalmarketing, #website, #websiteoptimization, #seo, #keywords, #searchintent, #searchresults, #contentmarketing, #contentstrategy, #keywordresearch, #digitalmarketer, #dailyquotes, #digitaldaily, #quotestoliveby, #entrepreneurlife, #entrepreneurship, #whoisdigitalnaveen, #mba, #digitalnaveen</t>
  </si>
  <si>
    <t>Tagged non-reel item (Static Photo) at grid position #19.</t>
  </si>
  <si>
    <t>👻 Are you a ghost to AI search results? - Use AI Search Watcher to compare your brand against competitors, get tailored prompts, and receive detailed reports that</t>
  </si>
  <si>
    <t>Build funnels, find insights &amp; drive real change.</t>
  </si>
  <si>
    <t>Status: Inactive | Started: 27 Nov 2025 | Platforms: Meta | Format: Image | CTA: Mangools</t>
  </si>
  <si>
    <t>Content Marketing, Digital Marketing, Video Marketing</t>
  </si>
  <si>
    <t>Discovered at visual grid position #114. Verified Ad Details URL. Format: Spotlight Ad.</t>
  </si>
  <si>
    <t>1223173589843991</t>
  </si>
  <si>
    <t>Check your AI search visibility in seconds! - With AI Search Watcher, monitor exactly where your brand is mentioned on ChatGPT, Gemini, Claude, and more. Get started</t>
  </si>
  <si>
    <t>Status: Inactive | Started: 7 Nov 2025 | Platforms: Meta | Format: Image | CTA: Mangools</t>
  </si>
  <si>
    <t>In 2020, content marketing will shift its focus to give audiences more of what they want: shoppable posts, AR or VR, 360 degree video, quizzes and polls are just a few examples of interactive content! . . . #digitalmarketing #digitalmarketingagency #contentwriting #contentwriters #contentservices #2020trends #trends #socialmedia #marketingagency #marketig #webdevelopment #onlinetools #designtools</t>
  </si>
  <si>
    <t>https://adstransparency.google.com/advertiser/AR01693402396748677121/creative/CR12997705467407892481?region=anywhere</t>
  </si>
  <si>
    <t>https://mangools.com/kwfinder/features/keyword-gap-analysis-tool/</t>
  </si>
  <si>
    <t>#digitalmarketing, #digitalmarketingagency, #contentwriting, #contentwriters, #contentservices, #2020trends, #trends, #socialmedia, #marketingagency, #marketig, #webdevelopment, #onlinetools, #designtools, #design, #designing, #graphicdesigner, #graphicdesigning, #ninishadigital, #appdevelopment, #contentservices</t>
  </si>
  <si>
    <t>Tagged non-reel item (Photo Carousel) at grid position #20.</t>
  </si>
  <si>
    <t>Discovered at visual grid position #115. Verified Ad Details URL. Format: Single Image Ad.</t>
  </si>
  <si>
    <t>Ready to win together? Bring your 5+ years Golang expertise.</t>
  </si>
  <si>
    <t>Want to know which keywords your competitors are ranking for? - Now you can, for free! ✅ Compare your site vs. 5 competitors ✅ Discover hidden keyword opportunities</t>
  </si>
  <si>
    <t>Status: Inactive | Started: 3 Nov 2025 | Platforms: Meta | Format: Image | CTA: Mangools</t>
  </si>
  <si>
    <t>Most important mistake nowadays most of the brand's™️ makes is not defining thier target audience.  Position your audience🔥before you enter in to a Market. Target audience are the valuable asset for a firm.  If you're not sure about how to grab your Target audience interests. Leave a comment below: 👇👇👇 . . . Follow: 👉 @digital_naveen  #digitalmarketing #conversion #emailmarketing #contentmarketing</t>
  </si>
  <si>
    <t>#digitalmarketing, #conversion, #emailmarketing, #contentmarketing, #business, #seo, #advertising, #leads, #marketing, #godigital, #quoteoftheday, #quotestoliveby, #marketingguru, #entrepreneur, #entrepreneurship, #entrepreneurlife, #whoisdigitalnaveen, #digitalmarketer, #digitalnaveen</t>
  </si>
  <si>
    <t>Your competitors have keywords.You have opportunities. - With Mangools’ Free Keyword Gap Tool, you can: 🔍 Spot what you’re missing 🎯Target easy-to-rank terms</t>
  </si>
  <si>
    <t>Tagged non-reel item (Static Photo) at grid position #21.</t>
  </si>
  <si>
    <t>Ran from May 29, 2026 to Jun 9, 2026</t>
  </si>
  <si>
    <t>Discovered at visual grid position #116. Verified Ad Details URL. Format: Spotlight Ad.</t>
  </si>
  <si>
    <t>25688583560753843</t>
  </si>
  <si>
    <t>Grid item #21. Discovered from Tagged page grid in sequential order.</t>
  </si>
  <si>
    <t>https://adstransparency.google.com/advertiser/AR01693402396748677121/creative/CR13710177388615172097?region=anywhere</t>
  </si>
  <si>
    <t>1194677379379499</t>
  </si>
  <si>
    <t>Status: Inactive | Started: 4 Nov 2025 | Platforms: Meta | Format: Image | CTA: Mangools</t>
  </si>
  <si>
    <t>BOOM! Our HUGE Black Friday Sale starts now! #blackfriday #seo #digitalmarketing #digitalmarketingagency #digitalmarketing2019 #digitalmarketing2020  for more information please visit our website link: https://oxygenites.com/deals/  or contact us at skype: rocky_4_all or support@oxygenites.com</t>
  </si>
  <si>
    <t>#blackfriday, #seo, #digitalmarketing, #digitalmarketingagency, #digitalmarketing2019, #digitalmarketing2020</t>
  </si>
  <si>
    <t>Tagged non-reel item (Static Photo) at grid position #22.</t>
  </si>
  <si>
    <t>Discovered at visual grid position #117. Verified Ad Details URL. Format: Single Image Ad.</t>
  </si>
  <si>
    <t>1110228210989679</t>
  </si>
  <si>
    <t>4379284078966752</t>
  </si>
  <si>
    <t>Status: Inactive | Started: 6 Nov 2025 | Platforms: Meta | Format: Image | CTA: Mangools</t>
  </si>
  <si>
    <t>No more SEO guessing games. - Use the Mangools Keyword Gap Tool to: - Find missed keyword opportunities - Compare rankings side by side</t>
  </si>
  <si>
    <t>https://adstransparency.google.com/advertiser/AR01693402396748677121/creative/CR15650275139113713665?region=anywhere</t>
  </si>
  <si>
    <t>1482528279639361</t>
  </si>
  <si>
    <t>Status: Inactive | Started: 11 Nov 2025 | Platforms: Meta | Format: Image | CTA: Mangools</t>
  </si>
  <si>
    <t>#semrushconf2019 is your crash course on digital marketing. At this most awaited International Digital Marketing Conference, get the latest information about growth marketing, SEO, online ads &amp; more.  Sign up using the promo code ‘Startup’ and get 40% off: bit.ly/32D7wFn</t>
  </si>
  <si>
    <t>#semrushconf2019</t>
  </si>
  <si>
    <t>Tagged non-reel item (Static Photo) at grid position #23.</t>
  </si>
  <si>
    <t>Grid item #23. Discovered from Tagged page grid in sequential order.</t>
  </si>
  <si>
    <t>Ran from Jun 18, 2026 to Jun 23, 2026</t>
  </si>
  <si>
    <t>Discovered at visual grid position #118. Verified Ad Details URL. Format: Single Image Ad.</t>
  </si>
  <si>
    <t>1722864948386727</t>
  </si>
  <si>
    <t>1335454538050268</t>
  </si>
  <si>
    <t>The future of businesses 📈 lies on social media. The number of users 👨‍👩‍👧who are using social media will definitely increase in the future.  Change the way you use social media. Social media is a platform to generate leads 🔥 for businesses.  How to grow your business with social media? Leave a 🙌 to know more about social media. . . . Follow 👉 @digital_naveen  #digitalmarketing #socialmedia #socia</t>
  </si>
  <si>
    <t>#digitalmarketing, #socialmedia, #socialmediamarketing, #influencer, #mba, #marketing, #digitalmarketer, #business, #onlinemarketing, #leads, #seo, #advertising, #entrepreneur, #entrepreneurship, #quoteoftheday, #beyourownboss, #quotestoliveby, #entrepreneurlife, #whoisdigitalnaveen, #digitalnaveen</t>
  </si>
  <si>
    <t>Tagged non-reel item (Static Photo) at grid position #24.</t>
  </si>
  <si>
    <t>Discovered at visual grid position #119. Verified Ad Details URL. Format: Single Image Ad.</t>
  </si>
  <si>
    <t>Content Marketing</t>
  </si>
  <si>
    <t>https://www.semrush.com/</t>
  </si>
  <si>
    <t>https://adstransparency.google.com/advertiser/AR01693402396748677121/creative/CR05485526535324565505?region=anywhere</t>
  </si>
  <si>
    <t>Consumers 👨‍👩‍👧 will get attracted to your brand only if you have a unique and eye-catching content on your website .  Content that you create for your website should convert your visitors. Do you know how to optimise your website with the right search queries? .  If yes leave a message below 👇 👇👇</t>
  </si>
  <si>
    <t>Tagged non-reel item (Static Photo) at grid position #25.</t>
  </si>
  <si>
    <t>Discovered at visual grid position #120. Verified Ad Details URL. Format: Spotlight Ad.</t>
  </si>
  <si>
    <t>AI Search &amp; GEO, Digital Marketing, Industry Event</t>
  </si>
  <si>
    <t>Want to see how your ideas turn into impact? Join us as a Senior Events Marketing Manager with 8+ years of experience.</t>
  </si>
  <si>
    <t>Industry Event, Growth Marketing</t>
  </si>
  <si>
    <t>This is the ultimate flex - WWW.SEMRUSH.COM Semrush Learn more</t>
  </si>
  <si>
    <t>https://www.facebook.com/ads/library/?active_status=active&amp;ad_type=all&amp;country=ALL&amp;is_targeted_country=false&amp;media_type=all&amp;search_type=page&amp;sort_data[direction]=desc&amp;sort_data[mode]=total_impressions&amp;view_all_page_id=157307754299282</t>
  </si>
  <si>
    <t>The biggest and the most awaited International Digital Marketing Conference — Now in India 📢#semrushconf2019 #semrushpeople#semrush_10#semrush_people#semrushawards#marketingbangalore#marketingevent#webmarketingacademy#sharetongrand🙂👍🌍</t>
  </si>
  <si>
    <t>#semrushconf2019, #semrushpeople, #semrush_10, #semrush_people, #semrushawards, #marketingbangalore, #marketingevent, #webmarketingacademy, #sharetongrand</t>
  </si>
  <si>
    <t>Tagged non-reel item (Static Photo) at grid position #26.</t>
  </si>
  <si>
    <t>Grid item #26. Discovered from Tagged page grid in sequential order.</t>
  </si>
  <si>
    <t>Ran from May 8, 2026 to May 22, 2026</t>
  </si>
  <si>
    <t>Discovered at visual grid position #121. Verified Ad Details URL. Format: Single Image Ad.</t>
  </si>
  <si>
    <t>https://adstransparency.google.com/advertiser/AR01693402396748677121/creative/CR12090125757607575553?region=anywhere</t>
  </si>
  <si>
    <t>Hey you biz owners out there! How many of you are aware of the digital transformation of businesses?📈 .  Digital transformation can make your business to succeed in terms of revenue, customer acquisition, and lot more . 💰  If your business wants to survive in the near future then digitalisation is must .  Drop a 🙌 if you agree to this 👇👇👇</t>
  </si>
  <si>
    <t>Tagged non-reel item (Static Photo) at grid position #27.</t>
  </si>
  <si>
    <t>Discovered at visual grid position #122. Verified Ad Details URL. Format: Single Image Ad.</t>
  </si>
  <si>
    <t>The Enterprise brands winning in ChatGPT, Perplexity, and Google AI Overviews didn't get there by accident. Download the free playbook to see how they did it — and how you can too.</t>
  </si>
  <si>
    <t>AI Search &amp; GEO, Enterprise &amp; GTM</t>
  </si>
  <si>
    <t>1356560579912677</t>
  </si>
  <si>
    <t>Status: Active | Started: 17 Jun 2026 | Platforms: Meta | Format: Video | CTA: Semrush</t>
  </si>
  <si>
    <t>How many of you are thinking that SEO can be accomplished with in a day or month?📆 .  Businesses are moving towards digital and the chances of getting featured on the top page of search results is way too less due to the heavy competition.📈 .  SEO is a long term process and there is no endpoint for it .  What do you know about SEO? Comment below 👇👇👇</t>
  </si>
  <si>
    <t>This is what I was made for 🥹</t>
  </si>
  <si>
    <t>Tagged non-reel item (Static Photo) at grid position #28.</t>
  </si>
  <si>
    <t>Ran from May 20, 2026 to Jun 9, 2026</t>
  </si>
  <si>
    <t>Discovered at visual grid position #123. Verified Ad Details URL. Format: Single Image Ad.</t>
  </si>
  <si>
    <t>2202348857207625</t>
  </si>
  <si>
    <t>Status: Active | Started: 15 Jul 2026 | Platforms: Meta | Format: Video | CTA: Semrush</t>
  </si>
  <si>
    <t>https://adstransparency.google.com/advertiser/AR01693402396748677121/creative/CR14136941419503288321?region=anywhere</t>
  </si>
  <si>
    <t>https://www.semrush.com/lp/semrush-one/en/</t>
  </si>
  <si>
    <t>bellecose, job, tantaroba</t>
  </si>
  <si>
    <t>Your Enterprise brand visibility strategy needs to cover AI search. We built the playbook so you don't have to. Free download — no fluff, just the framework.</t>
  </si>
  <si>
    <t>AI Search &amp; GEO, Search Visibility, Enterprise &amp; GTM</t>
  </si>
  <si>
    <t>Appuntamento oggi alle ore 11.00 per ascoltare questo interessante webinar sull`editoria e l`intervento del Direttore.  Qui per iscriversi https://it.semrush.com/webinars/editoria-digitale-oggi-e-domani-cosa-ci-aspetta/ #bellecose #job #tantaroba</t>
  </si>
  <si>
    <t>#bellecose, #job, #tantaroba</t>
  </si>
  <si>
    <t>Ran from May 20, 2026 to Jul 6, 2026</t>
  </si>
  <si>
    <t>Tagged non-reel item (Static Photo) at grid position #29.</t>
  </si>
  <si>
    <t>SEO isn’t just about websites anymore 👀 - AI now reads Reddit, LinkedIn, and reviews too. SEMRUSH.COM AI reads beyond your website</t>
  </si>
  <si>
    <t>Discovered at visual grid position #124. Verified Ad Details URL. Format: Single Image Ad.</t>
  </si>
  <si>
    <t>1948048259175344</t>
  </si>
  <si>
    <t>Status: Active | Started: 5 Jun 2026 | Platforms: Meta | Format: Image | CTA: Semrush</t>
  </si>
  <si>
    <t>http://spotlightconf.com/</t>
  </si>
  <si>
    <t>Want to solve problems that really matter? Join us as Data Governance Engineer with strong SQL and Python skills.</t>
  </si>
  <si>
    <t>https://adstransparency.google.com/advertiser/AR01693402396748677121/creative/CR06609746525838901249?region=anywhere</t>
  </si>
  <si>
    <t>Ran from May 29, 2026 to Jun 4, 2026</t>
  </si>
  <si>
    <t>Über kurz oder lang…solltest du bei der Content-Produktion definitiv nachdenken! 🤔💭 . Guter Content, wie er in den Top 3 rankt, ist nicht pauschal 500 oder 1500 Wörter lang. Auf das Thema kommt es an: Der Text muss lang genug sein, um wirklich alle Fragen vollständig abzudecken und kurz genug, um trotzdem interessant zu bleiben! . Und wie haltet ihr es so mit der Content-Länge? . . . . . #evergree</t>
  </si>
  <si>
    <t>Discovered at visual grid position #125. Verified Ad Details URL. Format: Single Image Ad.</t>
  </si>
  <si>
    <t>#evergreenmediagmbh, #seoagentur, #contentmarketing, #seostrategy, #semrush, #content, #contentcreation, #google, #seohacks</t>
  </si>
  <si>
    <t>Spend one day with the leaders rewriting the rules of brand visibility. Join 1,0 - Lead the next era of search Get your ticket. Sign Up</t>
  </si>
  <si>
    <t>Tagged non-reel item (Static Photo) at grid position #30.</t>
  </si>
  <si>
    <t>2017882722162982</t>
  </si>
  <si>
    <t>Grid item #30. Discovered from Tagged page grid in sequential order.</t>
  </si>
  <si>
    <t>Status: Active | Started: 18 Jun 2026 | Platforms: Meta | Format: Image | CTA: Semrush</t>
  </si>
  <si>
    <t>Free Trial</t>
  </si>
  <si>
    <t>https://www.semrush.com/lp/website-audit-1/en/</t>
  </si>
  <si>
    <t>Tout ce qu'il faut savoir sur le #SEO pour son #Ecommerce ! 🔎 . . . ▶️ SEO &amp; #SEA ▶️ Les différentes stratégies SEO ▶️ Les outils à choisir ▶️ Les dates clés . . #search #searchengine #searchmarketing #searchengineoptimization #digitalmarketing #digitalmarketingexpert #creativity #marketing #marketingstrategy #contentmarketing #marketingdigital #webmarketing #digital #infographie #infographic #Goo</t>
  </si>
  <si>
    <t>Discovered at visual grid position #126. Verified Ad Details URL. Format: Single Image Ad.</t>
  </si>
  <si>
    <t>#SEO, #Ecommerce, #SEA, #search, #searchengine, #searchmarketing, #searchengineoptimization, #digitalmarketing, #digitalmarketingexpert, #creativity, #marketing, #marketingstrategy, #contentmarketing, #marketingdigital, #webmarketing, #digital, #infographie, #infographic, #Google, #digitalmarketer</t>
  </si>
  <si>
    <t>Tagged non-reel item (Photo Carousel) at grid position #31.</t>
  </si>
  <si>
    <t>AI can write SEO advice. But it can’t see what’s broken on your website. - Generic SEO advice won’t fix rankings Try free for 7 days. Learn More</t>
  </si>
  <si>
    <t>Grid item #31. Discovered from Tagged page grid in sequential order.</t>
  </si>
  <si>
    <t>https://adstransparency.google.com/advertiser/AR01693402396748677121/creative/CR01156005299715309569?region=anywhere</t>
  </si>
  <si>
    <t>1553047352373933</t>
  </si>
  <si>
    <t>Status: Active | Started: 18 Aug 2026 | Platforms: Meta | Format: Video | CTA: Semrush</t>
  </si>
  <si>
    <t>Want to solve problems that matter? Join us as a Finance IT Support Specialist skilled in Oracle ERP/EPM, Zuora &amp; Ironclad.</t>
  </si>
  <si>
    <t>Hot take: Your next customer might never consider your brand. An AI agent will d - That's the reality of the Agentic Search era. Brand Visibility isn't just about rankings anymore. It's about whether AI</t>
  </si>
  <si>
    <t>1911253396258693</t>
  </si>
  <si>
    <t>Status: Active | Started: 1 Jun 2026 | Platforms: Meta | Format: Video | CTA: Semrush</t>
  </si>
  <si>
    <t>https://www.semrush.com/lp/ai-toolkit/en/</t>
  </si>
  <si>
    <t>Discover best practices from brands like Google, Linkedin, Microsoft, Uber &amp; many more, &amp; the strategies they follow around growth marketing, SEO, and Online Ads at #semrushconf2019.  Dec 5, Bengaluru @semrush  https://bit.ly/32D7wFn</t>
  </si>
  <si>
    <t>Tagged non-reel item (Static Photo) at grid position #32.</t>
  </si>
  <si>
    <t>Discovered at visual grid position #127. Verified Ad Details URL. Format: Single Image Ad.</t>
  </si>
  <si>
    <t>Grid item #32. Discovered from Tagged page grid in sequential order.</t>
  </si>
  <si>
    <t>Discover if AI assistants mention your brand or skip you entirely 👀 - Don’t disappear in AI Try free for 7 days. Learn More</t>
  </si>
  <si>
    <t>1248192233868613</t>
  </si>
  <si>
    <t>Status: Active | Started: 5 Jun 2026 | Platforms: Meta | Format: Video | CTA: Semrush</t>
  </si>
  <si>
    <t>https://adstransparency.google.com/advertiser/AR01693402396748677121/creative/CR10285197912178688001?region=anywhere</t>
  </si>
  <si>
    <t>I tested AI-generated SEO advice against a real site audit. The difference was brutal.</t>
  </si>
  <si>
    <t>As Julia McCoy says in this blog, SEO tools are the online marketer’s best friend. It’s going to be hard to compete in the content crowd without at least a few in-depth, data-mining, keyword tracking, research-handling superstars in your SEO kit.  Research, planning, and strategy are located at the bottom of the content success ladder. Check out her list of these SEO tools that are worth the money</t>
  </si>
  <si>
    <t>1025996553593559</t>
  </si>
  <si>
    <t>#contenthacker, #contentmarketing, #seo, #contentcreation, #searchenginemarketing, #searchengineoptimization, #seotips, #socialmedia, #digitalmarketing, #marketingdigital, #keywords, #analytics, #googleanalytics, #contentcreator, #websitetraffic, #onlinemarketing, #marketingstrategies, #marketingstrategy, #marketing101, #blog, #writing, #marketingtips, #contentstrategy, #contentstrategist, #contentwriting, #worthit, #research, #advertising, #salesandmarketing, #digitalmarketingtips</t>
  </si>
  <si>
    <t>Discovered at visual grid position #128. Verified Ad Details URL. Format: Single Image Ad.</t>
  </si>
  <si>
    <t>Status: Active | Started: 22 Aug 2026 | Platforms: Meta | Format: Video | CTA: Semrush</t>
  </si>
  <si>
    <t>Tagged non-reel item (Static Photo) at grid position #33.</t>
  </si>
  <si>
    <t>https://www.spotlightconf.com/</t>
  </si>
  <si>
    <t>Own the way you work</t>
  </si>
  <si>
    <t>Ready to learn quickly and raise the bar? We are hiring an Insights Analyst with experience in statistics, SQL, and Tableau.</t>
  </si>
  <si>
    <t>Hoje começa esta série de #webinar sobre #Marketing de Conteúdo da @semrush e @rockcontent. De 18 a 22/11 eles trarão tendências de marketing de conteúdo para o ano que vem, novos formatos, adaptação para as regras de #SEO, escalabilidade e mais dicas práticas para quem quer aprender a fazer o conteúdo que vai bombar na SERP: https://events.genndi.com/register/169105139238473819/8bb0f4e3b1?mindbox</t>
  </si>
  <si>
    <t>Ran from May 9, 2026 to May 19, 2026</t>
  </si>
  <si>
    <t>#webinar, #Marketing, #SEO</t>
  </si>
  <si>
    <t>Semrush with Spotlightconf</t>
  </si>
  <si>
    <t>Discovered at visual grid position #129. Verified Ad Details URL. Format: Single Image Ad.</t>
  </si>
  <si>
    <t>Tagged non-reel item (Photo Carousel) at grid position #34.</t>
  </si>
  <si>
    <t>Marketing has two audiences now: people and AI agents. - How do you make sure your brand is understood, trusted, and visible to both? Come find out at Spotlight. 👀 Oh, and for t</t>
  </si>
  <si>
    <t>1775647676773946</t>
  </si>
  <si>
    <t>Status: Active | Started: 17 Aug 2026 | Platforms: Meta | Format: Video | CTA: Semrush</t>
  </si>
  <si>
    <t>https://adstransparency.google.com/advertiser/AR01693402396748677121/creative/CR00818376065150877697?region=anywhere</t>
  </si>
  <si>
    <t>Check for 140+ technical issues with Site Audit. Find what to fix next. - Find what AI can't access Try free for 7 days. Learn More</t>
  </si>
  <si>
    <t>2188383602006319</t>
  </si>
  <si>
    <t>Status: Active | Started: 1 Jul 2026 | Platforms: Meta | Format: Video | CTA: Semrush</t>
  </si>
  <si>
    <t>October 13 is when your brand stops being invisible. - SPOTLIGHTCONF.COM Learn from marketers doing the work Get your ticket.</t>
  </si>
  <si>
    <t>1511940923367098</t>
  </si>
  <si>
    <t>Status: Active | Started: 6 Jul 2026 | Platforms: Meta | Format: Image | CTA: Semrush</t>
  </si>
  <si>
    <t>Duplicate content is content that appears on the Internet in more than one place. That “one place” is defined as a location with a unique website address, so if the same content appears at more than one web address, you’ve got duplicate content. . 'Duplicate content on a site is not grounds for action on that site unless it appears that the intent of the duplicate content is to be deceptive and ma</t>
  </si>
  <si>
    <t>Discovered at visual grid position #130. Verified Ad Details URL. Format: Single Image Ad.</t>
  </si>
  <si>
    <t>#digitalmarketing, #marketing, #projectsio, #socialmediamarketing, #seo, #business, #branding, #onlinemarketing, #marketingdigital, #contentmarketing, #marketingtips, #marketingstrategy, #webdesign, #smallbusiness, #graphicdesign, #startup, #digitalmarketingtips, #internetmarketing, #webdevelopment, #bhfyp</t>
  </si>
  <si>
    <t>We stopped people on the street and asked them one question: What's your worst c - Missed flights. Empty booths. Technical disasters. Awkward networking moments. We've heard a few 😅 But if you're ready f</t>
  </si>
  <si>
    <t>Tagged non-reel item (Static Photo) at grid position #35.</t>
  </si>
  <si>
    <t>1770154897495664</t>
  </si>
  <si>
    <t>Grid item #35. Discovered from Tagged page grid in sequential order.</t>
  </si>
  <si>
    <t>Status: Active | Started: 3 Aug 2026 | Platforms: Meta | Format: Video | CTA: Semrush</t>
  </si>
  <si>
    <t>Analyze your competitors': - ✅ Traffic sources ✅ Top pages ✅ Audience insights</t>
  </si>
  <si>
    <t>Want to solve problems that matter? Join us as a Finance IT Support Specailist skilled in Oracle ERP/EPM, Zuora &amp; Ironclad.</t>
  </si>
  <si>
    <t>2424426128058982</t>
  </si>
  <si>
    <t>Everyone is figuring out AI search. Be the one who shows up with a playbook. - Lead the next era of search Get your ticket. Sign Up</t>
  </si>
  <si>
    <t>https://adstransparency.google.com/advertiser/AR01693402396748677121/creative/CR11826517844848279553?region=anywhere</t>
  </si>
  <si>
    <t>1649191229473732</t>
  </si>
  <si>
    <t>New Blog Post; Structuring Your Enterprise SEO Team.  Read more: www.sefati.net</t>
  </si>
  <si>
    <t>Discovered at visual grid position #131. Verified Ad Details URL. Format: Single Image Ad.</t>
  </si>
  <si>
    <t>Tagged non-reel item (Static Photo) at grid position #36.</t>
  </si>
  <si>
    <t>Introducing…the team 🤝 - #digitalmarketing #marketingdigital #marketingteam</t>
  </si>
  <si>
    <t>1657936028843025</t>
  </si>
  <si>
    <t>Status: Active | Started: 7 Jul 2026 | Platforms: Meta | Format: Video | CTA: Semrush</t>
  </si>
  <si>
    <t>AI can write SEO advice. But it can’t see what’s broken on your website. - WWW.SEMRUSH.COM SEO advice without site data is useless Try free for 7 days.</t>
  </si>
  <si>
    <t>2197375631187304</t>
  </si>
  <si>
    <t>Status: Active | Started: 11 Jul 2026 | Platforms: Meta | Format: Video | CTA: Semrush</t>
  </si>
  <si>
    <t>Neil Armstrong went to the moon and took 1 photo. This is us on a normal Wednesday.</t>
  </si>
  <si>
    <t>Join the biggest and the most awaited International #DigitalMarketing Conference in #India! ✌️ Get your Conference Pass for #SEMrushConf2019 With the Best Price Ever! Use code 'AmitPanchal' &amp; Get 35% off now: https://semrushconf.in/register/  #SEMRush</t>
  </si>
  <si>
    <t>1548074943444829</t>
  </si>
  <si>
    <t>#DigitalMarketing, #India, #SEMrushConf2019, #SEMRush</t>
  </si>
  <si>
    <t>Discovered at visual grid position #132. Verified Ad Details URL. Format: Single Image Ad.</t>
  </si>
  <si>
    <t>Status: Active | Started: 10 Jul 2026 | Platforms: Meta | Format: Video | CTA: Semrush</t>
  </si>
  <si>
    <t>Tagged non-reel item (Static Photo) at grid position #37.</t>
  </si>
  <si>
    <t>If AI search is changing your world, this day is for you. - SPOTLIGHTCONF.COM Brand visibility starts here Get your ticket.</t>
  </si>
  <si>
    <t>1554028476502347</t>
  </si>
  <si>
    <t>Status: Active | Started: 24 Jul 2026 | Platforms: Meta | Format: Image | CTA: Semrush</t>
  </si>
  <si>
    <t>https://adstransparency.google.com/advertiser/AR01693402396748677121/creative/CR12053678458975289345?region=anywhere</t>
  </si>
  <si>
    <t>The AI Visibility Index 2026 reveals which brands are leading the conversation a - It’s the key to evaluating which brands you should be following to rise in the AI search rankings. Use it to benchmark p</t>
  </si>
  <si>
    <t>1032657065786901</t>
  </si>
  <si>
    <t>https://www.semrush.com/lp/product-keyword-magic-tool-7/en/</t>
  </si>
  <si>
    <t>Google Algorithm Update</t>
  </si>
  <si>
    <t>Discovered at visual grid position #133. Verified Ad Details URL. Format: Single Image Ad.</t>
  </si>
  <si>
    <t>Tagged non-reel item (Static Photo) at grid position #38.</t>
  </si>
  <si>
    <t>Find the right keywords for SEO and AI search visibility 🔎 - See Keyword Magic Tool in action ⚡ Try free for 7 days. Learn More</t>
  </si>
  <si>
    <t>Status: Active | Started: 23 Jul 2026 | Platforms: Meta | Format: Video | CTA: Semrush</t>
  </si>
  <si>
    <t>Search Text Ad: "Profound vs. Scrunch - Autonomous Marketing Agents &amp; Analytics"</t>
  </si>
  <si>
    <t>Discovered at visual grid position #134. Verified Ad Details URL. Format: Single Image Ad.</t>
  </si>
  <si>
    <t>https://adstransparency.google.com/advertiser/AR01693402396748677121/creative/CR12433819829591343105?region=anywhere</t>
  </si>
  <si>
    <t>The biggest and most awaited International Digital Marketing Conference is going to be conducted in Bangalore on December 5, 2019. Don't miss the opportunity to meet digital marketing experts from top notch companies. Book your tickets now.  @semrush #semrushconf2019 #WMA #webmarketingacademy</t>
  </si>
  <si>
    <t>#semrushconf2019, #WMA, #webmarketingacademy</t>
  </si>
  <si>
    <t>Tagged non-reel item (Static Photo) at grid position #39.</t>
  </si>
  <si>
    <t>“We should grab a coffee sometime” is much better when you’re actually in the sa - At Spotlight, you’ll get the chance to meet 1,000+ marketers, senior leaders, speakers, and people dealing with the same</t>
  </si>
  <si>
    <t>3811605978979346</t>
  </si>
  <si>
    <t>Status: Active | Started: 25 Aug 2026 | Platforms: Meta | Format: Image | CTA: Semrush</t>
  </si>
  <si>
    <t>Discovered at visual grid position #135. Verified Ad Details URL. Format: Single Image Ad.</t>
  </si>
  <si>
    <t>Hello everyone here is India's largest Digital marketing @SEMrush event going to happen on #Banglore on Dec 5th.. Don't miss the opportunity to meet top Digital Marketers all around the world book your tickets now..#WMA#SEMrush#Digitalmarketing#SEMrushconf2019...</t>
  </si>
  <si>
    <t>1010541228191694</t>
  </si>
  <si>
    <t>#Banglore, #WMA, #SEMrush, #Digitalmarketing, #SEMrushconf2019</t>
  </si>
  <si>
    <t>Tagged non-reel item (Static Photo) at grid position #40.</t>
  </si>
  <si>
    <t>AI isn't just reading your site. It's reading Reddit, G2, and every review ever  - SEMRUSH.COM How AI finds your brand Try free for 7 days.</t>
  </si>
  <si>
    <t>1312698180459891</t>
  </si>
  <si>
    <t>https://adstransparency.google.com/advertiser/AR01693402396748677121/creative/CR05781273172963753985?region=anywhere</t>
  </si>
  <si>
    <t>Get a full breakdown of your AI presence. From share of voice to narrative and s - SEMRUSH.COM Lead in AI search Try free for 7 days.</t>
  </si>
  <si>
    <t>1721243322632397</t>
  </si>
  <si>
    <t>Status: Active | Started: 27 Jun 2026 | Platforms: Meta | Format: Image | CTA: Semrush</t>
  </si>
  <si>
    <t>Discovered at visual grid position #136. Verified Ad Details URL. Format: Single Image Ad.</t>
  </si>
  <si>
    <t>Follow @digital_praful  #digitalmarketing #digitalmarketingtips #digitalmarketing #digitalmarketingagency #digitalmarketingtips #digitalmarketingagency #digitalart #digitalmarketingstrategy #digitalsketchbook #digitalpraful</t>
  </si>
  <si>
    <t>Spend one day with the leaders rewriting the rules of brand visibility. Join 1,0 - SPOTLIGHTCONF.COM Lead the next era of search Get your ticket.</t>
  </si>
  <si>
    <t>1577273150527996</t>
  </si>
  <si>
    <t>Status: Active | Started: 15 Jul 2026 | Platforms: Meta | Format: Image | CTA: Semrush</t>
  </si>
  <si>
    <t>#digitalmarketing, #digitalmarketingtips, #digitalmarketing, #digitalmarketingagency, #digitalmarketingtips, #digitalmarketingagency, #digitalart, #digitalmarketingstrategy, #digitalsketchbook, #digitalpraful</t>
  </si>
  <si>
    <t>Tagged non-reel item (Static Photo) at grid position #41.</t>
  </si>
  <si>
    <t>October 13 is when your brand stops being invisible. - SPOTLIGHTCONF.COM Brand visibility starts here Get your ticket.</t>
  </si>
  <si>
    <t>1730750138341776</t>
  </si>
  <si>
    <t>Status: Active | Started: 19 Jun 2026 | Platforms: Meta | Format: Image | CTA: Semrush</t>
  </si>
  <si>
    <t>Your visitors won't tell you what's broken. They'll just leave. - Audit before you publish Get started for free. Learn More</t>
  </si>
  <si>
    <t>2237306460454961</t>
  </si>
  <si>
    <t>https://adstransparency.google.com/advertiser/AR01693402396748677121/creative/CR04176038285774159873?region=anywhere</t>
  </si>
  <si>
    <t>Discovered at visual grid position #137. Verified Ad Details URL. Format: Single Image Ad.</t>
  </si>
  <si>
    <t>Trying to beat competitors online… but not sure what they’re doing? - That’s exactly what Semrush fixes. WWW.SEMRUSH.COM Outsmart the competition</t>
  </si>
  <si>
    <t>Grab the 'OPPORTUNITY'😎🙂👍#semrushconf2019#wma#webmarketingacademy</t>
  </si>
  <si>
    <t>#semrushconf2019, #wma, #webmarketingacademy</t>
  </si>
  <si>
    <t>4503614023293836</t>
  </si>
  <si>
    <t>Tagged non-reel item (Static Photo) at grid position #42.</t>
  </si>
  <si>
    <t>Status: Active | Started: 6 Jun 2026 | Platforms: Meta | Format: Video | CTA: Semrush</t>
  </si>
  <si>
    <t>3 reasons AI isn't mentioning your brand (and how to fix it) 👇 - ✅ Your content isn't structured for AI to read easily ✅ Your brand strengths aren't repeated consistently ✅ You're missi</t>
  </si>
  <si>
    <t>Proficient in Oracle, Zuora &amp; Ironclad? Join the Semrush team!</t>
  </si>
  <si>
    <t>1685130469367639</t>
  </si>
  <si>
    <t>Status: Active | Started: 15 Jun 2026 | Platforms: Meta | Format: Image | CTA: Semrush</t>
  </si>
  <si>
    <t>Right now, AI Search expertise is rare. And we’re handing you the unfair advanta - We built the AI Search OS you need to go from SEO to AI search leader. Enroll now to get ahead of your peers - totally f</t>
  </si>
  <si>
    <t>1336175658619649</t>
  </si>
  <si>
    <t>Status: Active | Started: 8 Jun 2026 | Platforms: Meta | Format: Image | CTA: Semrush</t>
  </si>
  <si>
    <t>Discovered at visual grid position #138. Verified Ad Details URL. Format: Spotlight Ad.</t>
  </si>
  <si>
    <t>Do you want to scale your business digitally? Then register for the #semrushconf2019, one of the most awaited international digital marketing conferences. Get 40% off, use this promo code - ‘Startup’  https://bit.ly/32D7wFn</t>
  </si>
  <si>
    <t>Discover if AI assistants mention your brand or skip you entirely 👀 - SEMRUSH.COM Invisible in AI search? Not anymore Try free for 7 days.</t>
  </si>
  <si>
    <t>Tagged non-reel item (Static Photo) at grid position #43.</t>
  </si>
  <si>
    <t>1387470919932293</t>
  </si>
  <si>
    <t>Status: Active | Started: 26 Jul 2026 | Platforms: Meta | Format: Image | CTA: Semrush</t>
  </si>
  <si>
    <t>https://adstransparency.google.com/advertiser/AR01693402396748677121/creative/CR05779390946495954945?region=anywhere</t>
  </si>
  <si>
    <t>I tested AI-generated SEO advice against a real site audit. The difference was b - WWW.SEMRUSH.COM The site audit changed everything Try free for 7 days.</t>
  </si>
  <si>
    <t>EspressoMartinis, FeelingExtra</t>
  </si>
  <si>
    <t>1751948722484673</t>
  </si>
  <si>
    <t>Status: Active | Started: 30 Jul 2026 | Platforms: Meta | Format: Video | CTA: Semrush</t>
  </si>
  <si>
    <t>http://www.semrush.com/lp/semrush-one/en/</t>
  </si>
  <si>
    <t>Ran from May 8, 2026 to May 19, 2026</t>
  </si>
  <si>
    <t>Two awards galas in less than a week. I don’t know who this gown wearing fancy pants is but I am all about it! #EspressoMartinis #FeelingExtra</t>
  </si>
  <si>
    <t>Discovered at visual grid position #139. Verified Ad Details URL. Format: Single Image Ad.</t>
  </si>
  <si>
    <t>#EspressoMartinis, #FeelingExtra</t>
  </si>
  <si>
    <t>Tagged non-reel item (Static Photo) at grid position #44.</t>
  </si>
  <si>
    <t>Special AI rewrites? Content chunking? Google says they aren’t ranking shortcuts - Google debunks 5 GEO tactics Own every search result. Learn More</t>
  </si>
  <si>
    <t>1444569264393626</t>
  </si>
  <si>
    <t>Status: Active | Started: 19 Aug 2026 | Platforms: Meta | Format: Image | CTA: Semrush</t>
  </si>
  <si>
    <t>Built for marketers who can’t afford to be invisible. - SPOTLIGHTCONF.COM Build a plan for AI search Get your ticket.</t>
  </si>
  <si>
    <t>1345851751061652</t>
  </si>
  <si>
    <t>Status: Active | Started: 23 Jun 2026 | Platforms: Meta | Format: Image | CTA: Semrush</t>
  </si>
  <si>
    <t>https://adstransparency.google.com/advertiser/AR01693402396748677121/creative/CR07543249352567816193?region=anywhere</t>
  </si>
  <si>
    <t>Una delle caratteristiche fondamentali per un copywriter è disporre di un vocabolario ampio.📚 ⠀ ⠀ ⠀ ⠀  Questo è molto utile perché, scrivendo numerosi articoli e creando diversi contenuti per i social media, il rischio di ripetersi e quindi di rendere un testo noioso è abbastanza probabile. 📝 ⠀ ⠀  Come imparare quindi più termini possibili da usare nel nostro lavoro di copy? 💡 ⠀ 1️⃣ Potete se</t>
  </si>
  <si>
    <t>Discovered at visual grid position #140. Verified Ad Details URL. Format: Single Image Ad.</t>
  </si>
  <si>
    <t>#copywriting, #copywriter, #seo, #seocopywriter, #seocopywriting, #webwriting, #webwriter, #webcontentwriter, #digitalmarketing, #storytellingaziendale, #scrittura, #scritturaperilweb, #narrare, #narrando, #elenaschirru, #DiarioDiUnaCopywriter</t>
  </si>
  <si>
    <t>Tagged non-reel item (Photo Carousel) at grid position #45.</t>
  </si>
  <si>
    <t>Imagine writing the perfect article... for a broken website. - WWW.SEMRUSH.COM One scan. 140+ SEO and AI checks. Get started for free.</t>
  </si>
  <si>
    <t>1034944045913057</t>
  </si>
  <si>
    <t>Status: Active | Started: 19 Aug 2026 | Platforms: Meta | Format: Video | CTA: Semrush</t>
  </si>
  <si>
    <t>spreadInfo, searchengineoptimization, tools</t>
  </si>
  <si>
    <t>1849020902724831</t>
  </si>
  <si>
    <t>Do you actually know if AI agents can crawl your website? - Because if ChatGPT, Perplexity, or Claude can’t access your content, they can’t include it in their answers either. Semr</t>
  </si>
  <si>
    <t>1270268598597318</t>
  </si>
  <si>
    <t>Status: Active | Started: 22 May 2026 | Platforms: Meta | Format: Image | CTA: Semrush</t>
  </si>
  <si>
    <t>Please, comment your suggestions of tools and help us spread useful information.  #spreadInfo #searchengineoptimization #tools</t>
  </si>
  <si>
    <t>#spreadInfo, #searchengineoptimization, #tools</t>
  </si>
  <si>
    <t>Tagged non-reel item (Static Photo) at grid position #46.</t>
  </si>
  <si>
    <t>Are unknown website issues holding you back? ❌ - Run a full website audit now and find out. Run a full website audit in minutes Try free for 7 days.</t>
  </si>
  <si>
    <t>1022726980539166</t>
  </si>
  <si>
    <t>https://adstransparency.google.com/advertiser/AR01693402396748677121/creative/CR00020225181385490433?region=anywhere</t>
  </si>
  <si>
    <t>Get a full breakdown of your AI presence. From share of voice to narrative and s - WWW.SEMRUSH.COM Lead in AI search Try free for 7 days.</t>
  </si>
  <si>
    <t>1480388636630152</t>
  </si>
  <si>
    <t>Status: Active | Started: 10 Jun 2026 | Platforms: Meta | Format: Video | CTA: Semrush</t>
  </si>
  <si>
    <t>Ran from May 20, 2026 to Jun 24, 2026</t>
  </si>
  <si>
    <t>https://www.semrush.com/lp/traffic-analytics-7-new/en/</t>
  </si>
  <si>
    <t>Discovered at visual grid position #141. Verified Ad Details URL. Format: Single Image Ad.</t>
  </si>
  <si>
    <t>&gt; The #Best #DigitalMarketing #Institute in #Bangalore #BTM_Layout. &gt; #seo #sem #ppc #smo #smm #email_marketing, #googleanalytics #wordpress. &gt;Live projects, professional trainers, small-batch, affordable fees. &gt; www.theskilldesk.com Contact us:9739270716</t>
  </si>
  <si>
    <t>#Best, #DigitalMarketing, #Institute, #Bangalore, #BTM_Layout, #seo, #sem, #ppc, #smo, #smm, #email_marketing, #googleanalytics, #wordpress</t>
  </si>
  <si>
    <t>Tagged non-reel item (Static Photo) at grid position #47.</t>
  </si>
  <si>
    <t>Instantly see any competitor's traffic sources, channels, and top pages. No more - Analyze traffic on any website Try free for 7 days. Learn More</t>
  </si>
  <si>
    <t>1349890893755559</t>
  </si>
  <si>
    <t>Discovered at visual grid position #142. Verified Ad Details URL. Format: Single Image Ad.</t>
  </si>
  <si>
    <t>Google just called out 5 GEO tactics you can skip. Here’s what actually matters  - SEMRUSH.COM What Google says about GEO Own every search result.</t>
  </si>
  <si>
    <t>🚀Esse conjunto de ferramentas tem como objetivo gerenciar a produção, distribuição e otimização de conteúdo da sua empresa de maneira simples e ágil. ⠀ 🙌A utilização de um CMS facilita a criação e a atualização de páginas, e aplica as técnicas de otimização para a busca orgânica. ⠀ 👏O WordPress é o CMS mais utilizado no mundo e a pesquisa da Rock Content reflete esse dado. ⠀ 🔥O Marketing de Conteú</t>
  </si>
  <si>
    <t>https://adstransparency.google.com/advertiser/AR01693402396748677121/creative/CR11969251908880695297?region=anywhere</t>
  </si>
  <si>
    <t>1090274223475735</t>
  </si>
  <si>
    <t>#googleoptimize, #cro, #seo, #marketingdigitalbrasil, #rkisoferramentas, #rockcontent, #wordpress, #semrush</t>
  </si>
  <si>
    <t>Tagged non-reel item (Photo Carousel) at grid position #48.</t>
  </si>
  <si>
    <t>https://www.semrush.com/lp/product-competitive-research-new/en/</t>
  </si>
  <si>
    <t>Discovered at visual grid position #143. Verified Ad Details URL. Format: Single Image Ad.</t>
  </si>
  <si>
    <t>Last week our National Head of SEM and Ecommerce, Jonathan, joined SEM Rush for their Global Marketing Day 👍🏻 #marketing #sem #globalmarketingday</t>
  </si>
  <si>
    <t>#marketing, #sem, #globalmarketingday</t>
  </si>
  <si>
    <t>Tagged non-reel item (Static Photo) at grid position #49.</t>
  </si>
  <si>
    <t>Falling behind your competition? See what's working for them and use it to grow  - Uncover your competitors' strategy Try free for 7 days. Learn More</t>
  </si>
  <si>
    <t>Trying to beat competitors online… but not sure what they’re doing? - That’s exactly what Semrush fixes. Get insights on competitors Try free for 7 days.</t>
  </si>
  <si>
    <t>1019820830900805</t>
  </si>
  <si>
    <t>Discovered at visual grid position #144. Verified Ad Details URL. Format: Single Image Ad.</t>
  </si>
  <si>
    <t>https://adstransparency.google.com/advertiser/AR01693402396748677121/creative/CR12288295548645015553?region=anywhere</t>
  </si>
  <si>
    <t>https://www.semrush.com/lp/product-free-trial/</t>
  </si>
  <si>
    <t>#PartnershipAlert  Growth Folks X SEMRush Marketing Conference  We are more than proud &amp; excited to announce that Growth Folks is partnering with @semrush for the SEMrush Marketing Show happening on 5th December in Bangalore.🤩 This is the first time SEMrush is doing such a big event and we are overwhelmed to partner with them.No doubt, SEMrush has empowered the Digital Marketers to Drive Marketing</t>
  </si>
  <si>
    <t>#PartnershipAlert, #GrowthFolks, #Community, #Collaboration, #Growth, #Conference, #semrush, #event, #startup, #startupevent</t>
  </si>
  <si>
    <t>Tagged non-reel item (Static Photo) at grid position #50.</t>
  </si>
  <si>
    <t>Want to solve problems that really matter? Join Semrush as an Onboarding Consultant fluent in Spanish.</t>
  </si>
  <si>
    <t>Yes, you can try Semrush for free. See how your brand shows up across Google and - Be found everywhere search happens Try free for 7 days. Learn More</t>
  </si>
  <si>
    <t>1066827865860152</t>
  </si>
  <si>
    <t>Ran from Apr 18, 2026 to Apr 30, 2026</t>
  </si>
  <si>
    <t>Discovered at visual grid position #145. Verified Ad Details URL. Format: Single Image Ad.</t>
  </si>
  <si>
    <t>A reminder that you are whoever you want to be ⭐ - WWW.SEMRUSH.COM Semrush See details</t>
  </si>
  <si>
    <t>1405438091495454</t>
  </si>
  <si>
    <t>More than 50K marketers worldwide celebrated #GlobalMarketingDay hosted by @semrush.  The 24-hour live event was broadcasted from studios in Sydney, London, New York, and San Francisco.  And needless to say, it was an absolute smash! 🔥 18,231 Viewers 🔥 1,440 Minutes Streamed 🔥 120 Countries 🔥 5,768 Tweets  It was so much fun hanging out with the SF crew. The livestream was flawless thanks to the a</t>
  </si>
  <si>
    <t>#GlobalMarketingDay, #GlobalMarketingDay, #LightsCameraLive, #HeyStephanie, #SocialMedia, #Livestreaming</t>
  </si>
  <si>
    <t>Tagged non-reel item (Photo Carousel) at grid position #51.</t>
  </si>
  <si>
    <t>Want to show up in AI Overviews? Start with the questions your audience is alrea - Find SEO &amp; AI issues fast Try free for 7 days. Learn More</t>
  </si>
  <si>
    <t>Ready to raise the bar every single day? Join Semrush as ORM Team Leaed with 5+ years of experience to improve workflows.</t>
  </si>
  <si>
    <t>https://adstransparency.google.com/advertiser/AR01693402396748677121/creative/CR17760527261812916225?region=anywhere</t>
  </si>
  <si>
    <t>1029332126694559</t>
  </si>
  <si>
    <t>https://www.semrush.com/lp/position-tracking-new/en/</t>
  </si>
  <si>
    <t>Ran from Apr 30, 2026 to May 5, 2026</t>
  </si>
  <si>
    <t>Discovered at visual grid position #146. Verified Ad Details URL. Format: Single Image Ad.</t>
  </si>
  <si>
    <t>This was THE most fun to do! Thank you @semrush for organising such an amazing event (a 24-hour live stream from 4 locations around the world is no easy tech feat 🌎) and for choosing to shoot our NYC panel from a studio where Barack Obama and J-Lo have been before because 🤩what legends🤩 #GlobalMarketingDay</t>
  </si>
  <si>
    <t>#GlobalMarketingDay</t>
  </si>
  <si>
    <t>Tagged non-reel item (Photo Carousel) at grid position #52.</t>
  </si>
  <si>
    <t>Join us now</t>
  </si>
  <si>
    <t>Want to solve problems that matter? Become our Senior Data Engineer with experience using BigQuery, Airflow, dbt, and Python.</t>
  </si>
  <si>
    <t>What if your rankings are up, but your AI visibility is down? 👀 - Is your AI visibility falling? Try free for 7 days. Learn More</t>
  </si>
  <si>
    <t>27493593763644231</t>
  </si>
  <si>
    <t>What people search for will surprise you. - Which topic is bigger? Try free for 7 days. Learn More</t>
  </si>
  <si>
    <t>Ran from Apr 16, 2026 to Apr 28, 2026</t>
  </si>
  <si>
    <t>Discovered at visual grid position #147. Verified Ad Details URL. Format: Single Image Ad.</t>
  </si>
  <si>
    <t>1750829956051133</t>
  </si>
  <si>
    <t>Status: Active | Started: 13 Aug 2026 | Platforms: Meta | Format: Video | CTA: Semrush</t>
  </si>
  <si>
    <t>https://adstransparency.google.com/advertiser/AR01693402396748677121/creative/CR11854265051567357953?region=anywhere</t>
  </si>
  <si>
    <t>🤣😂 #Repost @tomfishburne with @get_repost ・・・ A happy Halloween cartoon from the archives I drew in 2015. #marketing #cartoon</t>
  </si>
  <si>
    <t>#Repost, #marketing, #cartoon</t>
  </si>
  <si>
    <t>Tagged non-reel item (Static Photo) at grid position #53.</t>
  </si>
  <si>
    <t>Is your content shaping AI answers without being cited? - Know where your brand shows up Get started for free. Learn More</t>
  </si>
  <si>
    <t>1073506831687646</t>
  </si>
  <si>
    <t>Want collaboration that actually drives results? Join Semrush as a Senior Insights Analyst to design product growth funnels.</t>
  </si>
  <si>
    <t>Make confident decisions with SEO and AI search data you can trust. Backed by 17 - Win every search with Semrush One Try free for 7 days. Learn More</t>
  </si>
  <si>
    <t>2584398658652659</t>
  </si>
  <si>
    <t>Some of the biggest opportunities start with the most unexpected searches. - WWW.SEMRUSH.COM Wait, that's popular? Try free for 7 days.</t>
  </si>
  <si>
    <t>Ran from Apr 30, 2026 to May 14, 2026</t>
  </si>
  <si>
    <t>Discovered at visual grid position #148. Verified Ad Details URL. Format: Single Image Ad.</t>
  </si>
  <si>
    <t>1619881129840622</t>
  </si>
  <si>
    <t>Status: Active | Started: 31 Aug 2026 | Platforms: Meta | Format: Video | CTA: Semrush</t>
  </si>
  <si>
    <t>It has never before been easier to start a business.  Call us for assistance on +1 (917)-7322-303 Visit us for detail: http://www.bhanafyltd.com B-Hanafy-Ltd  #digitalmarketing #SEO #SMO #SEM</t>
  </si>
  <si>
    <t>#digitalmarketing, #SEO, #SMO, #SEM</t>
  </si>
  <si>
    <t>Tagged non-reel item (Static Photo) at grid position #54.</t>
  </si>
  <si>
    <t>1353839110108937</t>
  </si>
  <si>
    <t>Ready to win together? Join Semrush as an Insights Analyst to evaluate product usage, feature adoption &amp; customer behavior.</t>
  </si>
  <si>
    <t>http://ww.semrush.com/lp/semrush-one/en/</t>
  </si>
  <si>
    <t>https://adstransparency.google.com/advertiser/AR01693402396748677121/creative/CR10838247244428214273?region=anywhere</t>
  </si>
  <si>
    <t>Discovered at visual grid position #149. Verified Ad Details URL. Format: Single Image Ad.</t>
  </si>
  <si>
    <t>SEM leverages the power of search engines like Google to reach potential customers at the perfect time and place. Results are immediate with SEM.  Also, the fastest way to drive traffic to a website.  Call us for assistance on +1 (917)-7322-303 Visit us for detail: http://www.bhanafyltd.com  @B-Hanafy-Ltd  #digitalmarketing #SEO #SMO #SEM</t>
  </si>
  <si>
    <t>Tagged non-reel item (Static Photo) at grid position #55.</t>
  </si>
  <si>
    <t>AI may mention your competitors more than you. Here’s how to benchmark your bran - WW.SEMRUSH.COM How often does AI mention you? Try free for 7 days.</t>
  </si>
  <si>
    <t>1597744391950502</t>
  </si>
  <si>
    <t>Ready to raise the bar every single day? Join Semrush as ORM Team Lead with 5+ years of experience to improve workflows.</t>
  </si>
  <si>
    <t>Status: Active | Started: 18 Aug 2026 | Platforms: Meta | Format: Image | CTA: Semrush</t>
  </si>
  <si>
    <t>Ever wonder if ChatGPT mentions your brand? 🤔 - Check your AI Visibility Score now. What's your AI Visibility Score? Try free for 7 days.</t>
  </si>
  <si>
    <t>4400932170173391</t>
  </si>
  <si>
    <t>#lunchbreak #globalmarketingday powered by #semrush; #workingfromhome</t>
  </si>
  <si>
    <t>Ran from May 1, 2026 to May 5, 2026</t>
  </si>
  <si>
    <t>#lunchbreak, #globalmarketingday, #semrush, #workingfromhome</t>
  </si>
  <si>
    <t>https://www.semrush.com/lp/ai-toolkit/</t>
  </si>
  <si>
    <t>Discovered at visual grid position #150. Verified Ad Details URL. Format: Single Image Ad.</t>
  </si>
  <si>
    <t>Tagged non-reel item (Static Photo) at grid position #56.</t>
  </si>
  <si>
    <t>https://adstransparency.google.com/advertiser/AR01693402396748677121/creative/CR05492363710942937089?region=anywhere</t>
  </si>
  <si>
    <t>Ready to lead, not follow? Join us as Senior Manager in Security Operations to drive incident response.</t>
  </si>
  <si>
    <t>Discover if AI assistants mention your brand or skip you entirely 👀 - Don’t disappear in AI Control your AI presence. Learn More</t>
  </si>
  <si>
    <t>Today's the day! Join us for Global Marketing Day 2019 today at 4pm ET by SEMrush and I'll be filming a bit behind the scenes before that on #LinkedInLive #globalmarketingday</t>
  </si>
  <si>
    <t>#LinkedInLive, #globalmarketingday</t>
  </si>
  <si>
    <t>Tagged non-reel item (Static Photo) at grid position #57.</t>
  </si>
  <si>
    <t>Ran from Apr 18, 2026 to Apr 28, 2026</t>
  </si>
  <si>
    <t>it's never a quick amend - WWW.SEMRUSH.COM Semrush See details</t>
  </si>
  <si>
    <t>Discovered at visual grid position #151. Verified Ad Details URL. Format: Single Image Ad.</t>
  </si>
  <si>
    <t>1316578793650513</t>
  </si>
  <si>
    <t>Status: Active | Started: 5 Aug 2026 | Platforms: Meta | Format: Video | CTA: Semrush</t>
  </si>
  <si>
    <t>Bigger brand = bigger AI presence, right? This ranking says otherwise. - Guess the AI visibility ranking Try free for 7 days. Learn More</t>
  </si>
  <si>
    <t>4671843459715954</t>
  </si>
  <si>
    <t>https://adstransparency.google.com/advertiser/AR01693402396748677121/creative/CR09403963050735697921?region=anywhere</t>
  </si>
  <si>
    <t>Hanging out in the green room before the #globalmarketingday presentation. Looking forward to a great session sponsored by @semrush #seo #digitalmarketing #globalmarketing</t>
  </si>
  <si>
    <t>#globalmarketingday, #seo, #digitalmarketing, #globalmarketing</t>
  </si>
  <si>
    <t>https://www.semrush.com/lp/product-seo-challenges/</t>
  </si>
  <si>
    <t>Tagged non-reel item (Static Photo) at grid position #58.</t>
  </si>
  <si>
    <t>Ran from May 1, 2026 to May 14, 2026</t>
  </si>
  <si>
    <t>Discovered at visual grid position #152. Verified Ad Details URL. Format: Single Image Ad.</t>
  </si>
  <si>
    <t>We are very excited to participate as marketeers in this world event!  We hope you can participate #globalmarketingday  Estamos muy emociononados participando como marketeros en este evento mundial! Esperamos que puedas participar #globalmarketingday</t>
  </si>
  <si>
    <t>#globalmarketingday, #globalmarketingday</t>
  </si>
  <si>
    <t>Tagged non-reel item (Photo Carousel) at grid position #59.</t>
  </si>
  <si>
    <t>Remember when SEO was just… Google? Those were simpler times  😅 - SEO used to be easier Try free for 7 days. Learn More</t>
  </si>
  <si>
    <t>1416553277311252</t>
  </si>
  <si>
    <t>Ran from Apr 17, 2026 to Apr 28, 2026</t>
  </si>
  <si>
    <t>Discovered at visual grid position #153. Verified Ad Details URL. Format: Single Image Ad.</t>
  </si>
  <si>
    <t>fucktheambiance, eatthefood, dalkhichadi</t>
  </si>
  <si>
    <t>Everyone's chasing AI hacks. The smartest marketers are doubling down on what wo - Be found everywhere search happens Control your AI presence. Learn More</t>
  </si>
  <si>
    <t>https://adstransparency.google.com/advertiser/AR01693402396748677121/creative/CR01009422532668817409?region=anywhere</t>
  </si>
  <si>
    <t>1061173406308722</t>
  </si>
  <si>
    <t>Zero-click search isn’t killing content. It’s changing what winning looks like.  - SEMRUSH.COM How to win without the click Try free for 7 days.</t>
  </si>
  <si>
    <t>Build funnels, find insights &amp; drive real changes.</t>
  </si>
  <si>
    <t>1539268484003198</t>
  </si>
  <si>
    <t>#fucktheambiance #eatthefood Just for 340 RS this meal is for 4 people with extra #dalkhichadi  Where? #rajasthanidhaba #tuljapur What all in 340 Bucks: #daaltadka #chawali #8rotis #dalkhichdi #shevbhaji #burnsideunlimited on your #toungue #teekhi_mircheee #tikhat #teekha #spicy #spicymemes #spicyfood #spicymafia</t>
  </si>
  <si>
    <t>#fucktheambiance, #eatthefood, #dalkhichadi, #rajasthanidhaba, #tuljapur, #daaltadka, #chawali, #8rotis, #dalkhichdi, #shevbhaji, #burnsideunlimited, #toungue, #teekhi_mircheee, #tikhat, #teekha, #spicy, #spicymemes, #spicyfood, #spicymafia</t>
  </si>
  <si>
    <t>Tagged non-reel item (Static Photo) at grid position #60.</t>
  </si>
  <si>
    <t>Stop manually researching competitors. Analyze any website's traffic in seconds: - Where do competitors get their traffic? Try free for 7 days. Learn More</t>
  </si>
  <si>
    <t>2117644262505622</t>
  </si>
  <si>
    <t>Discovered at visual grid position #154. Verified Ad Details URL. Format: Spotlight Ad.</t>
  </si>
  <si>
    <t>A website in 2006. Bitcoin in 2016. AI visibility in 2026. “Later” has a pretty  - SEMRUSH.COM Don’t wait on AI visibility Control your AI presence.</t>
  </si>
  <si>
    <t>2091209914814347</t>
  </si>
  <si>
    <t>Want to solve problems that really matter? Join Semrush as an Onboarding Consultant to lead the first 30-60 days post-sale.</t>
  </si>
  <si>
    <t>It’s always the marketing department ☺️</t>
  </si>
  <si>
    <t>Our Digital Marketing #apprenticeship course is tailored to you or your staff to upskill them and develop them today, for tomorrows workplace.💻 🌐#Digital Marketing is growing and evolving daily and its important to stay up to date with new trends and ways to promote your #business. 📈  If you would #like to talk to us about our courses or find out more information. Please contact us.  The #GlobalMa</t>
  </si>
  <si>
    <t>#apprenticeship, #Digital, #business, #like, #GlobalMarketingday, #marketing</t>
  </si>
  <si>
    <t>https://adstransparency.google.com/advertiser/AR01693402396748677121/creative/CR03880906275134898177?region=anywhere</t>
  </si>
  <si>
    <t>Tagged non-reel item (Static Photo) at grid position #61.</t>
  </si>
  <si>
    <t>2167025434091208</t>
  </si>
  <si>
    <t>Ready to go all in on AI search? Learn from OpenAI, Spotify, Uber, and 80+ speak - Low impression count SPOTLIGHTCONF.COM See you at Spotlight London</t>
  </si>
  <si>
    <t>Discovered at visual grid position #155. Verified Ad Details URL. Format: Single Image Ad.</t>
  </si>
  <si>
    <t>1371559274480584</t>
  </si>
  <si>
    <t>Status: Active | Started: 20 Aug 2026 | Platforms: Meta | Format: Video | CTA: Semrush</t>
  </si>
  <si>
    <t>Adobe Brand Visibility has officially entered the chat! - Good timing because your customers are already in one. Right now, someone is asking AI about your brand, and the only qu</t>
  </si>
  <si>
    <t>1557245936103449</t>
  </si>
  <si>
    <t>Status: Active | Started: 4 Aug 2026 | Platforms: Meta | Format: Video | CTA: Semrush</t>
  </si>
  <si>
    <t>breakfast with 20oz coffee and i’m back at er; #globalmarketingday powered by the awesome #semrush; #workingfromhome</t>
  </si>
  <si>
    <t>#globalmarketingday, #semrush, #workingfromhome</t>
  </si>
  <si>
    <t>Tagged non-reel item (Static Photo) at grid position #62.</t>
  </si>
  <si>
    <t>ChatGPT is leading AI search today. - Google AI Mode could soon become the default search experience for millions more people. So we wanted to know: how diffe</t>
  </si>
  <si>
    <t>1412850140697852</t>
  </si>
  <si>
    <t>Status: Active | Started: 27 Aug 2026 | Platforms: Meta | Format: Image | CTA: Semrush</t>
  </si>
  <si>
    <t>Rank scale AI</t>
  </si>
  <si>
    <t>Ran from Apr 17, 2026 to Apr 30, 2026</t>
  </si>
  <si>
    <t>Discovered at visual grid position #156. Verified Ad Details URL. Format: Single Image Ad.</t>
  </si>
  <si>
    <t>https://adstransparency.google.com/advertiser/AR01693402396748677121/creative/CR02678739843743219713?region=anywhere</t>
  </si>
  <si>
    <t>🚨 ALERTA DE SPOILER: é pra shippar muito esse casalzão. Não adianta “agorar”! ⠀ ⠀ Acompanhe cenas dos próximos capítulos...</t>
  </si>
  <si>
    <t>Tagged non-reel item (Static Photo) at grid position #63.</t>
  </si>
  <si>
    <t>Accu Ranker</t>
  </si>
  <si>
    <t>Discovered at visual grid position #157. Verified Ad Details URL. Format: Single Image Ad.</t>
  </si>
  <si>
    <t>Scrunch</t>
  </si>
  <si>
    <t>We are live!  #globalmarketingday #semrush</t>
  </si>
  <si>
    <t>#globalmarketingday, #semrush</t>
  </si>
  <si>
    <t>Tagged non-reel item (Static Photo) at grid position #64.</t>
  </si>
  <si>
    <t>Otterly AI</t>
  </si>
  <si>
    <t>Discovered at visual grid position #158. Verified Ad Details URL. Format: Single Image Ad.</t>
  </si>
  <si>
    <t>https://adstransparency.google.com/advertiser/AR01693402396748677121/creative/CR17646071674774224897?region=anywhere</t>
  </si>
  <si>
    <t>https://otterly.ai/geo-guide/</t>
  </si>
  <si>
    <t>Multi-tasking but mostly being present at the #globalmarketingday2019. Been to Australia and London now coming up to New York... phenomenal speakers and content. Thank you @semrush</t>
  </si>
  <si>
    <t>Optimize PLG funnels &amp; lead high-impact data projects.</t>
  </si>
  <si>
    <t>#globalmarketingday2019</t>
  </si>
  <si>
    <t>Tagged non-reel item (Static Photo) at grid position #65.</t>
  </si>
  <si>
    <t>Discovered at visual grid position #159. Verified Ad Details URL. Format: Spotlight Ad.</t>
  </si>
  <si>
    <t>Otterly.AI</t>
  </si>
  <si>
    <t>The #GlobalMarketingDay conference brought to you by @semrush is LIVE right now🎥 See more info about the conference below. . . #Repost @semrush | What is #GlobalMarketingDay conference and why there is so much buzz around it? 🌎 . We’re bringing experts from all across the globe to your screens in a 24-hour live streaming special. What makes it so cool? Just take a look at the numbers: . ▪️ 30,000+</t>
  </si>
  <si>
    <t>#GlobalMarketingDay, #Repost, #GlobalMarketingDay</t>
  </si>
  <si>
    <t>Rank #1 on ChatGPT, Perplexity &amp; More - Learn More</t>
  </si>
  <si>
    <t>Tagged video reel discovered from Tagged grid position #66.</t>
  </si>
  <si>
    <t>https://www.facebook.com/ads/library/?active_status=all&amp;ad_type=all&amp;country=ALL&amp;is_targeted_country=false&amp;media_type=all&amp;search_type=page&amp;sort_data[direction]=desc&amp;sort_data[mode]=total_impressions&amp;view_all_page_id=506263759226274</t>
  </si>
  <si>
    <t>https://adstransparency.google.com/advertiser/AR01693402396748677121/creative/CR13956194214841679873?region=anywhere</t>
  </si>
  <si>
    <t>Discovered at visual grid position #160. Verified Ad Details URL. Format: Single Image Ad.</t>
  </si>
  <si>
    <t>Digital Marketing, Industry Event, Video Marketing</t>
  </si>
  <si>
    <t>Just a selfie of getting my make-up done before going on set at @semrush Global Marketing Day! Don't judge me, but my skin looks fabulous 🤣🤣 #globalmarketingday #videomarketing #livestream #marketingconference</t>
  </si>
  <si>
    <t>#globalmarketingday, #videomarketing, #livestream, #marketingconference</t>
  </si>
  <si>
    <t>Tagged non-reel item (Static Photo) at grid position #67.</t>
  </si>
  <si>
    <t>Grid item #67. Discovered from Tagged page grid in sequential order.</t>
  </si>
  <si>
    <t>Discovered at visual grid position #161. Verified Ad Details URL. Format: Single Image Ad.</t>
  </si>
  <si>
    <t>Did you watch @lsherran on the live stream for #globalmarketingday  What are your top tips for cross platform content</t>
  </si>
  <si>
    <t>#globalmarketingday</t>
  </si>
  <si>
    <t>Tagged non-reel item (Static Photo) at grid position #68.</t>
  </si>
  <si>
    <t>Status: Inactive | Started: 23 Sep 2025 | Platforms: Meta | Format: Image | CTA: Otterly.AI</t>
  </si>
  <si>
    <t>Grid item #68. Discovered from Tagged page grid in sequential order.</t>
  </si>
  <si>
    <t>https://otterly.ai/</t>
  </si>
  <si>
    <t>Discovered at visual grid position #162. Verified Ad Details URL. Format: Single Image Ad.</t>
  </si>
  <si>
    <t>Start Your Free Trial - Learn More</t>
  </si>
  <si>
    <t>Brought to you by the wonderful people @semrush Global Marketing Day 2019, is a first of its kind webinar where you can learn first-hand from the industry's brightest and most experienced minds; those working for big brands like SAP, Lego, Microsoft, Uber, BBC, LinkedIn, WeWork, Outbrain, Vodafone, Unicef, and many more .  This event is more than just another marketing conference; it's a chance to</t>
  </si>
  <si>
    <t>1192086029609975</t>
  </si>
  <si>
    <t>Status: Inactive | Started: 30 Sep 2025 | Platforms: Meta | Format: Video | CTA: Otterly.AI</t>
  </si>
  <si>
    <t>#semrush, #seo, #globalmarketingday, #globalmarketingday2019, #digitalclarity, #marketing, #ppc, #socialmediamarketing, #digitalmarketingagency, #digitalagency, #digitalmarketing, #guildford, #surrey, #london, #analytics, #googleads</t>
  </si>
  <si>
    <t>Tagged non-reel item (Static Photo) at grid position #69.</t>
  </si>
  <si>
    <t>https://adstransparency.google.com/advertiser/AR01693402396748677121/creative/CR17677604018991398913?region=anywhere</t>
  </si>
  <si>
    <t>Grid item #69. Discovered from Tagged page grid in sequential order.</t>
  </si>
  <si>
    <t>Ad by Otterly.AI</t>
  </si>
  <si>
    <t>1164101805634682</t>
  </si>
  <si>
    <t>Status: Inactive | Started: 23 Feb 2026 | Platforms: Meta | Format: Video | CTA: Otterly.AI</t>
  </si>
  <si>
    <t>Discovered at visual grid position #163. Verified Ad Details URL. Format: Single Image Ad.</t>
  </si>
  <si>
    <t>https://otterly.ai/geo-guide/?utm_campaign=facebookads</t>
  </si>
  <si>
    <t>How Blockchain Will Impact the Ad Business in the Coming Years The 7 C’s of Smart Content You Can't Ignore The Role of #Marketing in Delivering an Exceptional Customer Experience How to Build a Metrics-driven Marketing Department And much more! Don't miss your chance to learn about new tactics, the most useful tools, and unique insights. Travel around the marketing world without leaving your home</t>
  </si>
  <si>
    <t>#Marketing, #Upcomingevent, #Business, #Marketingtips, #GlobalMarketingDay, #event, #marketingstrategy, #marketingtips, #businesses, #enterpreneur, #2019, #conference, #onlinemarketingconference, #semrush, #globalmarketing, #globalmarketingnetwork, #registernow, #digtalmarketing, #influencers, #marketingexperts, #experts, #socailmediamarketing, #marketingideas, #marketing101, #marketingtools, #marketingstrategies</t>
  </si>
  <si>
    <t>Tagged non-reel item (Static Photo) at grid position #70.</t>
  </si>
  <si>
    <t>Grid item #70. Discovered from Tagged page grid in sequential order.</t>
  </si>
  <si>
    <t>How to rank #1 your brand on ChatGPT and other LLMs/AI searches. - Download this 70-pages GEO Guide (Generative Engines Optimization) from Otterly.AI.</t>
  </si>
  <si>
    <t>Discovered at visual grid position #164. Verified Ad Details URL. Format: Single Image Ad.</t>
  </si>
  <si>
    <t>1476922263740546</t>
  </si>
  <si>
    <t>Status: Inactive | Started: 3 Aug 2025 | Platforms: Meta | Format: Image | CTA: Otterly.AI</t>
  </si>
  <si>
    <t>https://adstransparency.google.com/advertiser/AR01693402396748677121/creative/CR03958266676314636289?region=anywhere</t>
  </si>
  <si>
    <t>1858593708096248</t>
  </si>
  <si>
    <t>Status: Inactive | Started: 16 Dec 2025 | Platforms: Meta | Format: Video | CTA: Otterly.AI</t>
  </si>
  <si>
    <t>#globalmarketingday2019 is 50 mins away for an international 24 hours of seminars... live from sydney, london, nyc and san francisco #semrush #livestream</t>
  </si>
  <si>
    <t>#globalmarketingday2019, #semrush, #livestream</t>
  </si>
  <si>
    <t>Tagged non-reel item (Static Photo) at grid position #71.</t>
  </si>
  <si>
    <t>Grid item #71. Discovered from Tagged page grid in sequential order.</t>
  </si>
  <si>
    <t>Status: Inactive | Started: 30 Jul 2025 | Platforms: Meta | Format: Image | CTA: Otterly.AI</t>
  </si>
  <si>
    <t>SEO, Digital Marketing, Industry Event</t>
  </si>
  <si>
    <t>Discovered at visual grid position #165. Verified Ad Details URL. Format: Single Image Ad.</t>
  </si>
  <si>
    <t>1587573599405514</t>
  </si>
  <si>
    <t>Status: Inactive | Started: 17 Aug 2026 | Platforms: Meta | Format: Video | CTA: Otterly.AI</t>
  </si>
  <si>
    <t>Start Your Free Trial - See Details</t>
  </si>
  <si>
    <t>2449998992088562</t>
  </si>
  <si>
    <t>Status: Inactive | Started: 2 Jun 2026 | Platforms: Meta | Format: Video | CTA: Otterly.AI</t>
  </si>
  <si>
    <t>Got Invited as a Guest Expert by @semrush at the Bangalore Event. I will be there at the Event and will be solving your queries in consultation round, you guys can meet me there at the Conference on 5th December 2019.  Use Coupon Code: AmitMishra to get 30% Off on Your tickets. Book Your Event tickets via this link: http://www.semrushconf.in/. check ticket booking link inside the bio linktree link</t>
  </si>
  <si>
    <t>#bloggers, #youtubers, #event, #latestevent, #semrush, #blogger, #digitalmarketing, #seo</t>
  </si>
  <si>
    <t>Tagged non-reel item (Static Photo) at grid position #72.</t>
  </si>
  <si>
    <t>Grid item #72. Discovered from Tagged page grid in sequential order.</t>
  </si>
  <si>
    <t>1062660806186849</t>
  </si>
  <si>
    <t>Status: Inactive | Started: 15 Jul 2026 | Platforms: Meta | Format: Video | CTA: Otterly.AI</t>
  </si>
  <si>
    <t>https://adstransparency.google.com/advertiser/AR01693402396748677121/creative/CR05515424936543387649?region=anywhere</t>
  </si>
  <si>
    <t>Discovered at visual grid position #166. Verified Ad Details URL. Format: Single Image Ad.</t>
  </si>
  <si>
    <t>https://otterly.ai/get-a-free-brand-report</t>
  </si>
  <si>
    <t>The #1 AI Search Analytics Tool - OTTERLY.AI Get a Free Brand Report Get offer</t>
  </si>
  <si>
    <t>Laut einer Studie von @socialmediatoday in Zusammenarbeit mit @semrush nutzen 81% der Befragten die Story-Funktion für ihr Marketing. Wenn du also darüber nachgedacht hast in Stories einzusteigen, bist du nicht allein.  Mit der Teilnahme von 800 Online-Marketern zeichnet sich dieser Wert als starker Indikator für zunehmende Relevanz der Funktion aus - welches Facebook selbst seit langem als Zukunf</t>
  </si>
  <si>
    <t>#cbsocial, #instagrammarketing, #instagramstories, #igtv, #instagramlive</t>
  </si>
  <si>
    <t>1415808463848949</t>
  </si>
  <si>
    <t>Tagged non-reel item (Static Photo) at grid position #73.</t>
  </si>
  <si>
    <t>Status: Active | Started: 31 Aug 2026 | Platforms: Meta | Format: Video | CTA: Otterly.AI</t>
  </si>
  <si>
    <t>Discovered at visual grid position #167. Verified Ad Details URL. Format: Single Image Ad.</t>
  </si>
  <si>
    <t>Grid item #73. Discovered from Tagged page grid in sequential order.</t>
  </si>
  <si>
    <t>1414235477078216</t>
  </si>
  <si>
    <t>Status: Inactive | Started: 3 Feb 2026 | Platforms: Meta | Format: Video | CTA: Otterly.AI</t>
  </si>
  <si>
    <t>https://adstransparency.google.com/advertiser/AR01693402396748677121/creative/CR12200053143446224897?region=anywhere</t>
  </si>
  <si>
    <t>Dias 30 e 31/10, acontece o #GlobalMarketingDay, uma conferência online e gratuita dedicada aos profissionais de #marketing, inovadores, #CMOs e para todos que querem aprender mais. O evento vai abordar sobre como maximizar os investimentos em #marketingdigital com as últimas tendências, ferramentas, idéias e habilidades com palestras do pessoal do #Google, #Uber e outras. Já vou me inscrever aqui</t>
  </si>
  <si>
    <t>#GlobalMarketingDay, #marketing, #CMOs, #marketingdigital, #Google, #Uber</t>
  </si>
  <si>
    <t>Tagged non-reel item (Static Photo) at grid position #74.</t>
  </si>
  <si>
    <t>Grid item #74. Discovered from Tagged page grid in sequential order.</t>
  </si>
  <si>
    <t>1554156569122651</t>
  </si>
  <si>
    <t>Status: Inactive | Started: 29 Jan 2026 | Platforms: Meta | Format: Video | CTA: Otterly.AI</t>
  </si>
  <si>
    <t>Discovered at visual grid position #168. Verified Ad Details URL. Format: Single Image Ad.</t>
  </si>
  <si>
    <t>Status: Inactive | Started: 19 Jan 2026 | Platforms: Meta | Format: Video | CTA: Otterly.AI</t>
  </si>
  <si>
    <t>1063467416073328</t>
  </si>
  <si>
    <t>#sportsmarketing reviewing the lit topics and speakers for #semrush #globalmarketingday online oct. 29-30 #unitedliverpool #dazn #unitedsucks #nowayinhellreddevils #macbookpro #mancave #imbusydear</t>
  </si>
  <si>
    <t>#sportsmarketing, #semrush, #globalmarketingday, #unitedliverpool, #dazn, #unitedsucks, #nowayinhellreddevils, #macbookpro, #mancave, #imbusydear</t>
  </si>
  <si>
    <t>Tagged non-reel item (Static Photo) at grid position #75.</t>
  </si>
  <si>
    <t>Grid item #75. Discovered from Tagged page grid in sequential order.</t>
  </si>
  <si>
    <t>1839846393391355</t>
  </si>
  <si>
    <t>Status: Inactive | Started: 24 Feb 2026 | Platforms: Meta | Format: Video | CTA: Otterly.AI</t>
  </si>
  <si>
    <t>Ready to learn quickly and raise the bar? Join us as an Insights Analyst with foundation on statistics, SQL, and Tableau.</t>
  </si>
  <si>
    <t>Website_analytics_tools_gdc</t>
  </si>
  <si>
    <t>Tagged non-reel item (Static Photo) at grid position #76.</t>
  </si>
  <si>
    <t>Grid item #76. Discovered from Tagged page grid in sequential order.</t>
  </si>
  <si>
    <t>Status: Inactive | Started: 4 Sep 2025 | Platforms: Meta | Format: Image | CTA: Otterly.AI</t>
  </si>
  <si>
    <t>2334092293738962</t>
  </si>
  <si>
    <t>Conhecida por ser a época do ano mais movimentada para os canais de TV americanos, com a chegada de diversas séries e lançamentos de novas temporadas, a fall season representa o período que se inicia no segundo semestre, entre setembro e outubro, e termina só no ano seguinte. . Pensando nisso, a SEMrush, empresa especializada em marketing digital, preparou um levantamento das séries mais pesquisad</t>
  </si>
  <si>
    <t>#lucifer, #strangerthings, #fallseason, #riverdale, #thewalkingdead, #greysanatomy, #thegooddoctor, #supernatural, #supergirl, #americanhorrorstory, #arrow, #theflash, #legacies, #series, #caixadeseries</t>
  </si>
  <si>
    <t>Tagged non-reel item (Static Photo) at grid position #77.</t>
  </si>
  <si>
    <t>Grid item #77. Discovered from Tagged page grid in sequential order.</t>
  </si>
  <si>
    <t>Ran from Apr 16, 2026 to Apr 30, 2026</t>
  </si>
  <si>
    <t>2124421934995841</t>
  </si>
  <si>
    <t>Status: Inactive | Started: 17 Feb 2026 | Platforms: Meta | Format: Video | CTA: Otterly.AI</t>
  </si>
  <si>
    <t>Discovered at visual grid position #169. Verified Ad Details URL. Format: Single Image Ad.</t>
  </si>
  <si>
    <t>https://adstransparency.google.com/advertiser/AR01693402396748677121/creative/CR14050557051516485633?region=anywhere</t>
  </si>
  <si>
    <t>Status: Inactive | Started: 30 Jan 2026 | Platforms: Meta | Format: Video | CTA: Otterly.AI</t>
  </si>
  <si>
    <t>How do you get ranked higher than number 1 on Google? This guy will tell you! See Fernando Angulo at 3XE Search next week 👍</t>
  </si>
  <si>
    <t>Tagged non-reel item (Photo Carousel) at grid position #78.</t>
  </si>
  <si>
    <t>Grid item #78. Discovered from Tagged page grid in sequential order.</t>
  </si>
  <si>
    <t>Stop Being Invisible on AI Search.</t>
  </si>
  <si>
    <t>2479114715895444</t>
  </si>
  <si>
    <t>Status: Inactive | Started: 30 Jun 2026 | Platforms: Meta | Format: Video | CTA: Otterly.AI</t>
  </si>
  <si>
    <t>Conheça 6 ferramentas de marketing digital usadas pela Gokit. 🚀⠀ ⠀ 👉 Link na bio⠀ ⠀ #agênciademarketingdigital #inboundmarketing #midiasociais #inboundmarketing #planejamento #analisederesultados #rdstation #analytics #palavraschave #resultados</t>
  </si>
  <si>
    <t>#agênciademarketingdigital, #inboundmarketing, #midiasociais, #inboundmarketing, #planejamento, #analisederesultados, #rdstation, #analytics, #palavraschave, #resultados</t>
  </si>
  <si>
    <t>Tagged non-reel item (Static Photo) at grid position #79.</t>
  </si>
  <si>
    <t>1910675906244485</t>
  </si>
  <si>
    <t>Grid item #79. Discovered from Tagged page grid in sequential order.</t>
  </si>
  <si>
    <t>1242148274148455</t>
  </si>
  <si>
    <t>Because the learning never ceases.  #featuredsnippet  #featuredsnippets  #googlerankingfactor  #googlerankingfactors  #googlerankingkeywords  #googlerankingtips  #keywordresearchandanalysis  #keywordresearchmadeeasy  #keywordresearchtips  #searchenginemarketingspecialist  #searchenginemarketingstrategy  #searchenginemarketingtrends  #searchengineoptimizationexpert  #searchengineoptimizationhelp  #</t>
  </si>
  <si>
    <t>Tagged non-reel item (Static Photo) at grid position #80.</t>
  </si>
  <si>
    <t>Grid item #80. Discovered from Tagged page grid in sequential order.</t>
  </si>
  <si>
    <t>Status: Inactive | Started: 18 Feb 2026 | Platforms: Meta | Format: Video | CTA: Otterly.AI</t>
  </si>
  <si>
    <t>1428591852178443</t>
  </si>
  <si>
    <t>Use Our Tried And Tested Framework To Achieve Your Digital Marketing Goals. Call us for assistance on +1 (917)-7322-303 Visit us for detail: http://www.bhanafyltd.com B-Hanafy-Ltd  #SEO #digitalmarketing #internetmarketinglifestyle</t>
  </si>
  <si>
    <t>#SEO, #digitalmarketing, #internetmarketinglifestyle</t>
  </si>
  <si>
    <t>Tagged non-reel item (Static Photo) at grid position #81.</t>
  </si>
  <si>
    <t>Grid item #81. Discovered from Tagged page grid in sequential order.</t>
  </si>
  <si>
    <t>Ran from Apr 16, 2026 to Apr 16, 2026</t>
  </si>
  <si>
    <t>Discovered at visual grid position #170. Verified Ad Details URL. Format: Single Image Ad.</t>
  </si>
  <si>
    <t>Quora is a highly relevant platform for several industries and is often unseen by many brands.  Here's a useful webinar on the growth strategies using Quora.  On 16th October, you can register here: https://www.semrush.com/webinars/epic-growth-strategies-from-gautam-shewakramani-quora/?mindbox-click-id=2c655c85-c765-431b-9d69-650308070b09&amp;utm_source=mindbox&amp;utm_medium=Email&amp;utm_campaign=en_Gautam1</t>
  </si>
  <si>
    <t>#aarrrrmor, #teamaarrrmor, #semrush, #webinar, #quora, #digitalmarketing, #marketing, #advertising, #digitalmarketingtools, #semrushwebinars, #quoratips, #socialmedia</t>
  </si>
  <si>
    <t>Tagged non-reel item (Static Photo) at grid position #82.</t>
  </si>
  <si>
    <t>Grid item #82. Discovered from Tagged page grid in sequential order.</t>
  </si>
  <si>
    <t>2220266915493742</t>
  </si>
  <si>
    <t>Status: Inactive | Started: 10 Aug 2026 | Platforms: Meta | Format: Video | CTA: Otterly.AI</t>
  </si>
  <si>
    <t>https://adstransparency.google.com/advertiser/AR01693402396748677121/creative/CR14865356740349657089?region=anywhere</t>
  </si>
  <si>
    <t>Wanna see how your ideas turn into impact? Join us as a Senior Influencer Relations Specialist with 5+ years of experience.</t>
  </si>
  <si>
    <t>A plus conference swag this year. Plus, it’s not every day you get a custom shirt quoting your twitter account. #pubcon</t>
  </si>
  <si>
    <t>#pubcon</t>
  </si>
  <si>
    <t>Status: Inactive | Started: 22 Jun 2026 | Platforms: Meta | Format: Video | CTA: Otterly.AI</t>
  </si>
  <si>
    <t>Tagged non-reel item (Static Photo) at grid position #83.</t>
  </si>
  <si>
    <t>Grid item #83. Discovered from Tagged page grid in sequential order.</t>
  </si>
  <si>
    <t>Low impression count - Start Your Free Trial Learn More</t>
  </si>
  <si>
    <t>Status: Inactive | Started: 12 Jan 2026 | Platforms: Meta | Format: Video | CTA: Otterly.AI</t>
  </si>
  <si>
    <t>Ran from Apr 10, 2026 to Apr 15, 2026</t>
  </si>
  <si>
    <t>Low impression count</t>
  </si>
  <si>
    <t>SEO Tools You Can't live without which has time-saving solution. Try these tools to beat your competitor.⁣ ⁣ Google Keyword Planner: Keyword Planner to get keyword ideas of traffic volume for specific keywords. You can generate keyword ideas, organize them with keyword traffic estimates⁣ ⁣ Google Search Console: Essential part of any SEO's toolkit. It can give you insights into the health of your</t>
  </si>
  <si>
    <t>#SEMrush, #SEOQuake, #SEO, #Ubersuggest, #Mozbar, #PageSpeed</t>
  </si>
  <si>
    <t>Discovered at visual grid position #171. Verified Ad Details URL. Format: Single Image Ad.</t>
  </si>
  <si>
    <t>1749516226467006</t>
  </si>
  <si>
    <t>Tagged non-reel item (Static Photo) at grid position #84.</t>
  </si>
  <si>
    <t>Status: Inactive | Started: 23 Jun 2026 | Platforms: Meta | Format: Video | CTA: Otterly.AI</t>
  </si>
  <si>
    <t>Grid item #84. Discovered from Tagged page grid in sequential order.</t>
  </si>
  <si>
    <t>1816654772809872</t>
  </si>
  <si>
    <t>Status: Inactive | Started: 31 Aug 2026 | Platforms: Meta | Format: Video | CTA: Otterly.AI</t>
  </si>
  <si>
    <t>🔎Spotted a pretty sweet ads from @semrush today. Not a fan of the tool, but I do dig this ad! ⁣ ⁣ Visit 👉 fbswipes.com 👈 for the full analysis (link in bio)⁣ ⁣ #facebookads #semrush #gifads #swipes #copywriting #advertising #copywriter #ads</t>
  </si>
  <si>
    <t>Stop Being Invisible on AI Search. - Low impression count</t>
  </si>
  <si>
    <t>#facebookads, #semrush, #gifads, #swipes, #copywriting, #advertising, #copywriter, #ads</t>
  </si>
  <si>
    <t>Tagged video reel discovered from Tagged grid position #85.</t>
  </si>
  <si>
    <t>1071198982564975</t>
  </si>
  <si>
    <t>Grid item #85. Discovered from Tagged page grid in sequential order.</t>
  </si>
  <si>
    <t>28580344048256115</t>
  </si>
  <si>
    <t>Status: Active | Started: 1 Sep 2026 | Platforms: Meta | Format: Video | CTA: Otterly.AI</t>
  </si>
  <si>
    <t>I'm taking part in Global Marketing Day on 30th October, a live 24 hour marketing event. Hosted by @semrush it's taking place across Sydney, London, New York and San Francisco and includes over 50 speakers from amazing companies like Google, Microsoft, Lego and Disney to name drop just a few.</t>
  </si>
  <si>
    <t>Tagged video reel discovered from Tagged grid position #86.</t>
  </si>
  <si>
    <t>Grid item #86. Discovered from Tagged page grid in sequential order.</t>
  </si>
  <si>
    <t>1043898988353059</t>
  </si>
  <si>
    <t>https://adstransparency.google.com/advertiser/AR01693402396748677121/creative/CR16209746512622649345?region=anywhere</t>
  </si>
  <si>
    <t>Discovered at visual grid position #172. Verified Ad Details URL. Format: Single Image Ad.</t>
  </si>
  <si>
    <t>We are joining @semrush for #globalmarketingday  Cant wait to share some knowledge bombs with you all!</t>
  </si>
  <si>
    <t>Tagged video reel discovered from Tagged grid position #87.</t>
  </si>
  <si>
    <t>Grid item #87. Discovered from Tagged page grid in sequential order.</t>
  </si>
  <si>
    <t>#herewithsemrush #pubconpro @semrush 360 video. Follow the fox being thrown in the video.</t>
  </si>
  <si>
    <t>#herewithsemrush, #pubconpro</t>
  </si>
  <si>
    <t>Tagged video reel discovered from Tagged grid position #88.</t>
  </si>
  <si>
    <t>Grid item #88. Discovered from Tagged page grid in sequential order.</t>
  </si>
  <si>
    <t>herewithsemrush, pubconpro</t>
  </si>
  <si>
    <t>1701442824487064</t>
  </si>
  <si>
    <t>#herewithsemrush #pubconpro @semrush</t>
  </si>
  <si>
    <t>Tagged non-reel item (Static Photo) at grid position #89.</t>
  </si>
  <si>
    <t>Low impression count - Start Your Free Trial See Details</t>
  </si>
  <si>
    <t>Grid item #89. Discovered from Tagged page grid in sequential order.</t>
  </si>
  <si>
    <t>1367866885540871</t>
  </si>
  <si>
    <t>Mentions</t>
  </si>
  <si>
    <t>Discovered at visual grid position #173. Verified Ad Details URL. Format: Single Image Ad.</t>
  </si>
  <si>
    <t>At the @semrush booth #herewithsemrush #pubconpro</t>
  </si>
  <si>
    <t>https://adstransparency.google.com/advertiser/AR01693402396748677121/creative/CR13162151656273477633?region=anywhere</t>
  </si>
  <si>
    <t>Tagged non-reel item (Static Photo) at grid position #90.</t>
  </si>
  <si>
    <t>Grid item #90. Discovered from Tagged page grid in sequential order.</t>
  </si>
  <si>
    <t>You’re not one dimensional. With the current level of competition for consumer attention, every day is #GameDay Be #Creative and make content that differentiates you from your competition. You don’t have a legitimate excuse to not be putting content out every single day. With all your habits, make this one of them 💪🏼 #SmallBusiness #Creative #content #Habits #EveryDay #TellTheWorld  #FunHouseDigit</t>
  </si>
  <si>
    <t>#GameDay, #Creative, #SmallBusiness, #Creative, #content, #Habits, #EveryDay, #TellTheWorld, #FunHouseDigital</t>
  </si>
  <si>
    <t>Tagged non-reel item (Static Photo) at grid position #91.</t>
  </si>
  <si>
    <t>Grid item #91. Discovered from Tagged page grid in sequential order.</t>
  </si>
  <si>
    <t>Discovered at visual grid position #174. Verified Ad Details URL. Format: Single Image Ad.</t>
  </si>
  <si>
    <t>The @semrush marketing show is coming to Bangalore!  Will see you there?  This event will feature top digital marketing industry leaders giving sessions from four stages to over 2,000 attendees.  O3M’s Director of Client Services, @mrrobzilla will be in attendance, holding court as an Expert and a Moderator at the Online Ads stage.  To learn more or register, visit https://semrushconf.in/register/</t>
  </si>
  <si>
    <t>#semrush, #semrushconference, #marketingshow, #seo, #onlineads, #google, #facebook, #linkedin, #O3MDirectionalMarketing, #digitalmarketingagency, #digitalagency, #googlepremierpartner, #socialmediaads, #googlepartnercompany</t>
  </si>
  <si>
    <t>Join us now!</t>
  </si>
  <si>
    <t>Tagged non-reel item (Static Photo) at grid position #92.</t>
  </si>
  <si>
    <t>Ready to move fast? Become our new Paid Search Specialist managing budgets of $1M.</t>
  </si>
  <si>
    <t>Grid item #92. Discovered from Tagged page grid in sequential order.</t>
  </si>
  <si>
    <t>WAIT, YOU’RE NOT GETTING LEADS FROM INSTAGRAM?! Not to worry: the marketing experts at NYMA have got you covered!  In our latest blog article, we’ll show you how to leverage Instagram as a business asset and get you on the road to creating real value and generating leads.  Learn how to:  1) Optimize your handle and profile picture  2) Use your IG headline to show up in search 3) Write a compelling</t>
  </si>
  <si>
    <t>#leadgen, #leadgenerationtips, #digitalmarketingsolutions, #instagramstrategy, #instagramtrends, #marketinginsights, #nycmarketing, #americanmarketingassociation, #newyorkmarketingassociation, #newyorkcity</t>
  </si>
  <si>
    <t>Tagged non-reel item (Static Photo) at grid position #93.</t>
  </si>
  <si>
    <t>Grid item #93. Discovered from Tagged page grid in sequential order.</t>
  </si>
  <si>
    <t>https://adstransparency.google.com/advertiser/AR01693402396748677121/creative/CR02755701122202075137?region=anywhere</t>
  </si>
  <si>
    <t>Discovered at visual grid position #175. Verified Ad Details URL. Format: Single Image Ad.</t>
  </si>
  <si>
    <t>Всем привет!🤘🏻 Так вот расскажем вам про эти зелёные фонари из нашего сторис☝🏼💡 Это новая система Brain Ring⭐️ Все более организованнее и ещё интереснее😁  29 октября соревноваться в смекалке, эрудиции и скорости реакции будут от 10 до 16 команд из IT-сферы!  Если вы являетесь теми, кто всегда стремится к совершенствованию себя в команде и команды в компании, то вам - к нам!!!🥰 Что ждёт команды и в</t>
  </si>
  <si>
    <t>#workandsport, #itbrainring, #braincheck, #чтогдекогда, #корпоративныйтурнир, #квизспб, #brainring, #quiz, #битваумов, #интеллектуальнаяигра, #брейнринг, #турнирспб, #streetfoodbar</t>
  </si>
  <si>
    <t>Tagged non-reel item (Photo Carousel) at grid position #94.</t>
  </si>
  <si>
    <t>Grid item #94. Discovered from Tagged page grid in sequential order.</t>
  </si>
  <si>
    <t>Love what you do!</t>
  </si>
  <si>
    <t>Help us push you further! Join Semrush as a Data Engineer.</t>
  </si>
  <si>
    <t>Day two of #TIOams ; Take it Offline Amsterdam was really different to the first - after lunch (sponsored by Yext) Vicky did an excellent intro game then unconference sessions, which from what we could see were all incredible. 3 tracks and as usual some people networked (4th track) before we went to Freddy's for @semrush sponsored beers</t>
  </si>
  <si>
    <t>#TIOams</t>
  </si>
  <si>
    <t>Tagged non-reel item (Photo Carousel) at grid position #95.</t>
  </si>
  <si>
    <t>Grid item #95. Discovered from Tagged page grid in sequential order.</t>
  </si>
  <si>
    <t>Ran from Mar 27, 2026 to Apr 9, 2026</t>
  </si>
  <si>
    <t>Discovered at visual grid position #176. Verified Ad Details URL. Format: Single Image Ad.</t>
  </si>
  <si>
    <t>Political Scientist| Content Writer| Copywriter| Freelancer| SEO| Website Content  I create highest-quality content that is unique and free from plagiarism. My content is geared towards increasing your brand awareness and putting you at the top of Google ranking. With over 2 years’ experience as a content writer, I can write on different niche which ranges from Fashion, Art, Décor, Tech, Science,</t>
  </si>
  <si>
    <t>#freelancer, #contentwriter, #websitecontent, #uxwriting, #copywriter, #pressrelease</t>
  </si>
  <si>
    <t>Tagged non-reel item (Static Photo) at grid position #96.</t>
  </si>
  <si>
    <t>Grid item #96. Discovered from Tagged page grid in sequential order.</t>
  </si>
  <si>
    <t>Ready to win together? Join Semrush as an Online Reputation Management Team Lead with 5+ years of experience.</t>
  </si>
  <si>
    <t>Tagged video reel discovered from Tagged grid position #97.</t>
  </si>
  <si>
    <t>Grid item #97. Discovered from Tagged page grid in sequential order.</t>
  </si>
  <si>
    <t>That’s right- we said needs! You need to head to the link in our bio to check out who made our list (and why they’re so important)! ⠀ Featuring: @shopify, @semrush, @talkablesoftware, @mailchimp, @powerofreviews, @livechat, @coschedule, @instapage.team, and more!  #newblog#blogpost#digitalmarketing#ecommerce#roundup#list#listicle#tools#webpush#pushnotifications</t>
  </si>
  <si>
    <t>#newblog, #blogpost, #digitalmarketing, #ecommerce, #roundup, #list, #listicle, #tools, #webpush, #pushnotifications</t>
  </si>
  <si>
    <t>Tagged non-reel item (Static Photo) at grid position #98.</t>
  </si>
  <si>
    <t>Ran from Apr 9, 2026 to Apr 15, 2026</t>
  </si>
  <si>
    <t>Grid item #98. Discovered from Tagged page grid in sequential order.</t>
  </si>
  <si>
    <t>Discovered at visual grid position #177. Verified Ad Details URL. Format: Single Image Ad.</t>
  </si>
  <si>
    <t>https://adstransparency.google.com/advertiser/AR01693402396748677121/creative/CR08050313054094622721?region=anywhere</t>
  </si>
  <si>
    <t>Want to see how your ideas turn into impact? Join Semrush as Content Associate to produce videos, articles, emails, and more.</t>
  </si>
  <si>
    <t>#SEMrush is coming up with the #Marketing Show on 5th December 2019 in #Bangalore where you will 👉 Discover the best #growth marketing strategies, 👉 Learn the latest trends in #SEO and #Online Ads 👉 Boost your professional growth at the dedicated workshops from #Google, #Facebook, #LinkedIn, and SEMrush. and #webmarketingacademy and Suresh Babu is happy to be a partner for this event 👍  To Registe</t>
  </si>
  <si>
    <t>Content Strategy</t>
  </si>
  <si>
    <t>#SEMrush, #Marketing, #Bangalore, #growth, #SEO, #Online, #Google, #Facebook, #LinkedIn, #webmarketingacademy, #marketing, #events, #semrush, #semrushmarketingshow, #bangalore</t>
  </si>
  <si>
    <t>Tagged non-reel item (Static Photo) at grid position #99.</t>
  </si>
  <si>
    <t>Grid item #99. Discovered from Tagged page grid in sequential order.</t>
  </si>
  <si>
    <t>Discovered at visual grid position #178. Verified Ad Details URL. Format: Single Image Ad.</t>
  </si>
  <si>
    <t>Um dos grandes desafios das empresas que atuam no modelo B2B, é a rápida qualificação de leads em oportunidades de vendas.  De nada adianta realizar a aquisição de um alto volume de leads, se eles não tem perfil e interesse para fazer negócios com a sua empresa, fazendo com que os esforços de marketing sejam bem pouco aproveitados.  Adotar uma estratégia de Account-Based Marketing pode ser a soluç</t>
  </si>
  <si>
    <t>#accountbasedmarketing, #b2b, #digitalmarketing, #agenciadigital, #marketing</t>
  </si>
  <si>
    <t>Tagged non-reel item (Static Photo) at grid position #100.</t>
  </si>
  <si>
    <t>Want to own the way you work? Join Semrush as a Programmatic &amp; Display Lead with 5+ years of experience in SQL and BigQuery.</t>
  </si>
  <si>
    <t>Grid item #100. Discovered from Tagged page grid in sequential order.</t>
  </si>
  <si>
    <t>https://adstransparency.google.com/advertiser/AR01693402396748677121/creative/CR01647437656746885121?region=anywhere</t>
  </si>
  <si>
    <t>Publiquei meu primeiro artigo no Blog da @semrush, um dos mais importantes da área do Marketing Digital.  Nele, falei sobre um dos problemas mais difíceis de serem identificados na aquisição do Marketing das empresas.  Como identificar e o que fazer quando a conversão dos visitantes atraídos para o site/blog em vendas não evolui?  Afinal, 'acessos que não geram vendas não são investimentos, mas si</t>
  </si>
  <si>
    <t>#marketing, #growthmarketing, #growthhacking, #marketinganalytics, #funildevendas, #vendasb2b, #funildomarketing, #vendarketing, #smarketing, #marketingevendas</t>
  </si>
  <si>
    <t>Discovered at visual grid position #179. Verified Ad Details URL. Format: Single Image Ad.</t>
  </si>
  <si>
    <t>Tagged non-reel item (Static Photo) at grid position #101.</t>
  </si>
  <si>
    <t>Grid item #101. Discovered from Tagged page grid in sequential order.</t>
  </si>
  <si>
    <t>Only search engine marketers can relate😍  Double tap ❤ if you feel the same 😎  Follow @misterloop for more :) ____________________________________  #seomemes #seojokes #seofunny #googleseo #seoexperts #moz #googlesearch #webmasters #bloggersofinstagram #instamarketing #sponsered #sp #collabedit #collabedits #seomarketing #seomoz #yoast #yoastseo #semrush #searchenginemarketing #searchengineland #s</t>
  </si>
  <si>
    <t>#seomemes, #seojokes, #seofunny, #googleseo, #seoexperts, #moz, #googlesearch, #webmasters, #bloggersofinstagram, #instamarketing, #sponsered, #sp, #collabedit, #collabedits, #seomarketing, #seomoz, #yoast, #yoastseo, #semrush, #searchenginemarketing, #searchengineland, #searchwww, #digitalnomad, #digitalmarketing</t>
  </si>
  <si>
    <t>Tagged non-reel item (Static Photo) at grid position #102.</t>
  </si>
  <si>
    <t>Grid item #102. Discovered from Tagged page grid in sequential order.</t>
  </si>
  <si>
    <t>Discovered at visual grid position #180. Verified Ad Details URL. Format: Single Image Ad.</t>
  </si>
  <si>
    <t>Stay up to date with the changing Google algorithms to keep your SEO work on the top. These tools can help you to see the bigger picture of algorithm changes and updates. . . . . . . #Seotools #seoresources #seo #searchengineoptimization #searchengineoptimizationseo #searchengineoptimizationtips #searchenginemarketing #marketing #digitalmarketingtips #coderlife #webdeveloper #worldcode #softwareen</t>
  </si>
  <si>
    <t>#Seotools, #seoresources, #seo, #searchengineoptimization, #searchengineoptimizationseo, #searchengineoptimizationtips, #searchenginemarketing, #marketing, #digitalmarketingtips, #coderlife, #webdeveloper, #worldcode, #softwareengineer, #developer, #macbook, #macbookpro, #workspaces, #deskinspiration, #buildupdevs, #peoplewhocode, #google, #bing, #webguruz, #keywordresearch, #moz, #semrush, #neilpatel</t>
  </si>
  <si>
    <t>Tagged non-reel item (Static Photo) at grid position #103.</t>
  </si>
  <si>
    <t>Grid item #103. Discovered from Tagged page grid in sequential order.</t>
  </si>
  <si>
    <t>https://adstransparency.google.com/advertiser/AR01693402396748677121/creative/CR17524162223532933121?region=anywhere</t>
  </si>
  <si>
    <t>Seo_audit_tools_gouravdigitalclub</t>
  </si>
  <si>
    <t>Tagged non-reel item (Static Photo) at grid position #104.</t>
  </si>
  <si>
    <t>Grid item #104. Discovered from Tagged page grid in sequential order.</t>
  </si>
  <si>
    <t>Discovered at visual grid position #181. Verified Ad Details URL. Format: Single Image Ad.</t>
  </si>
  <si>
    <t>Business with No Passion?? Love your Business - Make more Money - Go Digital!! . . . . . #ceo #business #businesscasual #online #socialmediamarketing #passion #google #instagram #service #work #workmotivation #onlinemarketing #facebook #life #logodesigner #logo #digitalmarketing #smallbusinessowner #director #ppc #advertising#advertisingagency #advertising</t>
  </si>
  <si>
    <t>#ceo, #business, #businesscasual, #online, #socialmediamarketing, #passion, #google, #instagram, #service, #work, #workmotivation, #onlinemarketing, #facebook, #life, #logodesigner, #logo, #digitalmarketing, #smallbusinessowner, #director, #ppc, #advertising, #advertisingagency, #advertising</t>
  </si>
  <si>
    <t>Tagged non-reel item (Static Photo) at grid position #105.</t>
  </si>
  <si>
    <t>Grid item #105. Discovered from Tagged page grid in sequential order.</t>
  </si>
  <si>
    <t>Our event with @semrush last night was wonderful. Many thanks to @meganlucero and @fernando1angulo for speaking and such an engaging Q&amp;A. It was great to see so many people there with such an interest in authentic Data Journalism. #semrush #datajournalism</t>
  </si>
  <si>
    <t>#semrush, #datajournalism</t>
  </si>
  <si>
    <t>Tagged non-reel item (Photo Carousel) at grid position #106.</t>
  </si>
  <si>
    <t>Ran from Mar 26, 2026 to Apr 9, 2026</t>
  </si>
  <si>
    <t>Grid item #106. Discovered from Tagged page grid in sequential order.</t>
  </si>
  <si>
    <t>Discovered at visual grid position #182. Verified Ad Details URL. Format: Single Image Ad.</t>
  </si>
  <si>
    <t>https://adstransparency.google.com/advertiser/AR01693402396748677121/creative/CR04864716981514797057?region=anywhere</t>
  </si>
  <si>
    <t>Book your seat today for the @semrush Marketing show in Bangalore.  It’s on 5 Dec.  Link in bio.  #Marketing #Conference #PuneMarketers #SEMrush</t>
  </si>
  <si>
    <t>#Marketing, #Conference, #PuneMarketers, #SEMrush</t>
  </si>
  <si>
    <t>Tagged non-reel item (Static Photo) at grid position #107.</t>
  </si>
  <si>
    <t>Grid item #107. Discovered from Tagged page grid in sequential order.</t>
  </si>
  <si>
    <t>canonrussia, canonphoto, photorussia</t>
  </si>
  <si>
    <t>📍 День интернет рекламы 2018 . Мой первый 8-ми часовой рабочий день на конференции. Огромное количество участников, 2 больших зала с параллельными потоками выступающих, гости у пресс-воллов и множество инфоточек от бизнес-партнёров. От такого большого ТЗ я немного нервничал, бегал из зала в зал, боясь упустить важный кадр. Со временем я понял самое главное - нужно работать на качество, а не на кол</t>
  </si>
  <si>
    <t>#canonrussia, #canonphoto, #photorussia, #фотограф, #фотографспб, #спб, #санктпетербург</t>
  </si>
  <si>
    <t>Tagged non-reel item (Static Photo) at grid position #108.</t>
  </si>
  <si>
    <t>Discovered at visual grid position #183. Verified Ad Details URL. Format: Single Image Ad.</t>
  </si>
  <si>
    <t>Grid item #108. Discovered from Tagged page grid in sequential order.</t>
  </si>
  <si>
    <t>SEMrushAwards, SEMrushAwards</t>
  </si>
  <si>
    <t>CONGRATULATIONS to @colleengao_ and her business bestie, @sapenation 🥂 In case you missed it, on Friday we announced the lucky winners of our #SEMrushAwards giveaway.  These two lucky women won tickets to the Australian #SEMrushAwards hosted in Sydney's iconic Opera House.  We hope they have the best time and send us lots of photos (we are equal parts happy and jealous) 😂</t>
  </si>
  <si>
    <t>#SEMrushAwards, #SEMrushAwards</t>
  </si>
  <si>
    <t>Tagged non-reel item (Static Photo) at grid position #109.</t>
  </si>
  <si>
    <t>Grid item #109. Discovered from Tagged page grid in sequential order.</t>
  </si>
  <si>
    <t>NAP Name, Address, Phone. Un'emoticon dubbiosa guarda delle figure simili ma non uguali</t>
  </si>
  <si>
    <t>Tagged non-reel item (Photo Carousel) at grid position #110.</t>
  </si>
  <si>
    <t>Grid item #110. Discovered from Tagged page grid in sequential order.</t>
  </si>
  <si>
    <t>Discovered at visual grid position #184. Verified Ad Details URL. Format: Single Image Ad.</t>
  </si>
  <si>
    <t>https://adstransparency.google.com/advertiser/AR01693402396748677121/creative/CR18400655097483755521?region=anywhere</t>
  </si>
  <si>
    <t>¡El MeetUP de @web_escuela en #Barcelona fue todo un éxito! 👏  Con un lleno hasta la bandera, que sobrepasó las capacidades de La Antigua Fábrica de @estrelladamm  Además, unas charlas de muy alto nivel profesional, un público muy entregado y un catering de 5 estrellas, que hicieron de este #evento un entorno súper agradable para 🎓 la formación en #MarketingDigital y el #Networking profesional 🔝 ¡</t>
  </si>
  <si>
    <t>#Barcelona, #evento, #MarketingDigital, #Networking, #RedesSociales, #eventowebescuela, #seo, #socialmedia, #webescuela, #communitymanager, #master, #ecommerce</t>
  </si>
  <si>
    <t>Tagged non-reel item (Photo Carousel) at grid position #111.</t>
  </si>
  <si>
    <t>Grid item #111. Discovered from Tagged page grid in sequential order.</t>
  </si>
  <si>
    <t>A la hora de hacer tus campañas en Google Ads es clave tener en cuenta estos detalles para aparecer en las primeras posiciones, ten en cuenta que no siempre es mejor aparecer en primera posición en el buscador de Google ya que la reacción natural de muchos usuarios es saltar al segundo anuncio  #sem #aulacm #lamardigitalmarketing</t>
  </si>
  <si>
    <t>#sem, #aulacm, #lamardigitalmarketing</t>
  </si>
  <si>
    <t>Tagged non-reel item (Static Photo) at grid position #112.</t>
  </si>
  <si>
    <t>Grid item #112. Discovered from Tagged page grid in sequential order.</t>
  </si>
  <si>
    <t>Discovered at visual grid position #185. Verified Ad Details URL. Format: Single Image Ad.</t>
  </si>
  <si>
    <t>Quer se tornar bem sucedido em marketing digital, mas não sabe como? . Quer ficar atualizado neste universo digital, mas cansado de ler os mesmos blogs? . Comece hoje, seguindo os profissionais mais influentes do marketing on-line e aprenda suas fórmulas para o sucesso. . Neste post, você conhecerá os top profissionais de marketing digital no mundo com a melhor reputação, resultados e carreira em</t>
  </si>
  <si>
    <t>Tagged non-reel item (Static Photo) at grid position #113.</t>
  </si>
  <si>
    <t>Grid item #113. Discovered from Tagged page grid in sequential order.</t>
  </si>
  <si>
    <t>SEO, Industry Event</t>
  </si>
  <si>
    <t>Discovered at visual grid position #186. Verified Ad Details URL. Format: Single Image Ad.</t>
  </si>
  <si>
    <t>Spent a super day in Brighton today photographing the busiest expo stand I’ve ever seen!  @semrush you were a HIT at @brightonseo  The queue for the event was down the road all morning.  Loved the smoothies and all the goodies - not that there were any left... haha! It was worth the 5am wake-up to see you all in action!! #brightonseo #semrush #foxcubs #eventphotographer  #littlehelpfrommyfriends</t>
  </si>
  <si>
    <t>#brightonseo, #semrush, #foxcubs, #eventphotographer, #littlehelpfrommyfriends</t>
  </si>
  <si>
    <t>Tagged non-reel item (Static Photo) at grid position #114.</t>
  </si>
  <si>
    <t>Grid item #114. Discovered from Tagged page grid in sequential order.</t>
  </si>
  <si>
    <t>https://adstransparency.google.com/advertiser/AR01693402396748677121/creative/CR14666114375719321601?region=anywhere</t>
  </si>
  <si>
    <t>When you've come for the talks, but the freebies are 🤩 #brightonseo #freebies #flatlay</t>
  </si>
  <si>
    <t>#brightonseo, #freebies, #flatlay</t>
  </si>
  <si>
    <t>Tagged non-reel item (Static Photo) at grid position #115.</t>
  </si>
  <si>
    <t>Grid item #115. Discovered from Tagged page grid in sequential order.</t>
  </si>
  <si>
    <t>Discovered at visual grid position #187. Verified Ad Details URL. Format: Single Image Ad.</t>
  </si>
  <si>
    <t>We’re ready to engage at @brightonseo today, the biggest digital marketing event of the year in our own humble opinion! We love this event - a great chance to learn from industry peers and continue evolving our digital capabilities! Stay tuned for some key takeaways... #brightonSEO #digital #search #marketing #marketingagency #theboltway #brighton #conference #event #fridayfeeling</t>
  </si>
  <si>
    <t>#brightonSEO, #digital, #search, #marketing, #marketingagency, #theboltway, #brighton, #conference, #event, #fridayfeeling</t>
  </si>
  <si>
    <t>Tagged non-reel item (Photo Carousel) at grid position #116.</t>
  </si>
  <si>
    <t>Grid item #116. Discovered from Tagged page grid in sequential order.</t>
  </si>
  <si>
    <t>Love, mojitos AND our 6 Month SEO Strategy Template 🤗 . . Achieve organic site traffic domination with our free google sheet template #linkinbio . . #seo #marketing #marketingtips #digitalmarketing #marketingdigital #digitalmarketingagency #marketingtip #searchengineoptimization #searchenginemarketing</t>
  </si>
  <si>
    <t>#linkinbio, #seo, #marketing, #marketingtips, #digitalmarketing, #marketingdigital, #digitalmarketingagency, #marketingtip, #searchengineoptimization, #searchenginemarketing</t>
  </si>
  <si>
    <t>Tagged non-reel item (Static Photo) at grid position #117.</t>
  </si>
  <si>
    <t>Discovered at visual grid position #188. Verified Ad Details URL. Format: Single Image Ad.</t>
  </si>
  <si>
    <t>Grid item #117. Discovered from Tagged page grid in sequential order.</t>
  </si>
  <si>
    <t>Tout plein de goodies rapportés de notre séjour de Boston pour la team Mmio ! #inbound19 #marketingmanagementio #corporategoodies #hubspotagencypartner</t>
  </si>
  <si>
    <t>#inbound19, #marketingmanagementio, #corporategoodies, #hubspotagencypartner</t>
  </si>
  <si>
    <t>Tagged non-reel item (Static Photo) at grid position #118.</t>
  </si>
  <si>
    <t>Grid item #118. Discovered from Tagged page grid in sequential order.</t>
  </si>
  <si>
    <t>Discovered at visual grid position #189. Verified Ad Details URL. Format: Single Image Ad.</t>
  </si>
  <si>
    <t>https://adstransparency.google.com/advertiser/AR01693402396748677121/creative/CR04422433893756436481?region=anywhere</t>
  </si>
  <si>
    <t>👊 Today we’re sharing our 10 fave online marketing tools so you can uh, punch Monday in the face. Or the crotch. Either will do. . . Have a tool you ❤️ that’s not listed? #sharingiscaring Drop us a line below! . . #tips #free #marketing #tools #marketingdigital #marketingtips #marketingstrategy #marketingagency #marketingideas #digitalmarketing #freetools #blogger #mondaymotivation #punchtodayinth</t>
  </si>
  <si>
    <t>#sharingiscaring, #tips, #free, #marketing, #tools, #marketingdigital, #marketingtips, #marketingstrategy, #marketingagency, #marketingideas, #digitalmarketing, #freetools, #blogger, #mondaymotivation, #punchtodayintheface, #rhmedia</t>
  </si>
  <si>
    <t>Tagged non-reel item (Static Photo) at grid position #119.</t>
  </si>
  <si>
    <t>Grid item #119. Discovered from Tagged page grid in sequential order.</t>
  </si>
  <si>
    <t>This past week I had the opportunity to volunteer with @thisiscle at @cleconventions for #ContentMarketingWorld2019 🌟 Their theme this year was “Amaze Your Audience” &amp; it was a great reminder of how important visual storytelling is in marketing &amp; branding strategy 🧠 If you missed it this year, I highly recommend you attend in 2020 &amp; see what #Cleveland has to offer 😉 #Marketing #Branding #Content</t>
  </si>
  <si>
    <t>#ContentMarketingWorld2019, #Cleveland, #Marketing, #Branding, #Content, #ContentMarketing, #CMI, #ContentMarketingWorld, #Convention, #CLE, #ThisIsCLE, #ConventionCenter, #Storytelling</t>
  </si>
  <si>
    <t>Tagged non-reel item (Photo Carousel) at grid position #120.</t>
  </si>
  <si>
    <t>Grid item #120. Discovered from Tagged page grid in sequential order.</t>
  </si>
  <si>
    <t>Our Social Media services helps you to Enhance your results Enquire Now  Call us for assistance on +1 (917)-7322-303  @B-Hanafy-Ltd  #socialmediaservices #smm #smo</t>
  </si>
  <si>
    <t>#socialmediaservices, #smm, #smo</t>
  </si>
  <si>
    <t>Tagged non-reel item (Static Photo) at grid position #121.</t>
  </si>
  <si>
    <t>Grid item #121. Discovered from Tagged page grid in sequential order.</t>
  </si>
  <si>
    <t>Discovered at visual grid position #190. Verified Ad Details URL. Format: Single Image Ad.</t>
  </si>
  <si>
    <t>🥂 GIVEAWAY: 2 x tickets to the #SEMRushAwards 🥂  To get you in the awards season spirit, we are giving away ✌️ tickets to the #SEMRushAwards. That is $800 in value!  The SEMrush AU Search Awards are in their 2nd year and celebrate the success of online marketing professionals in the Australian market.  How to enter: 👭 Tag your business bestie aka. the person that you want to attend the awards with</t>
  </si>
  <si>
    <t>#SEMRushAwards, #SEMRushAwards, #SEMRushAwards</t>
  </si>
  <si>
    <t>Tagged non-reel item (Static Photo) at grid position #122.</t>
  </si>
  <si>
    <t>Grid item #122. Discovered from Tagged page grid in sequential order.</t>
  </si>
  <si>
    <t>Discovered at visual grid position #191. Verified Ad Details URL. Format: Single Image Ad.</t>
  </si>
  <si>
    <t>🥂 GIVEAWAY: 2 x tickets to the #SEMRushAwards 🥂  To get you in the awards season spirit, we are giving away ✌️ tickets to the #SEMRushAwards. That is $800 in value!  The @semrush AU Search Awards are in their 2nd year and celebrate the success of online marketing professionals in the Australian market.  Head over to @womenindigital and find this photo for all the information!  Ps. It isn’t too lat</t>
  </si>
  <si>
    <t>Tagged non-reel item (Static Photo) at grid position #123.</t>
  </si>
  <si>
    <t>Grid item #123. Discovered from Tagged page grid in sequential order.</t>
  </si>
  <si>
    <t>https://adstransparency.google.com/advertiser/AR01693402396748677121/creative/CR18045208002113306625?region=anywhere</t>
  </si>
  <si>
    <t>Make your digital existence with B-Hanafy-Ltd  Call us for assistance on +1 (917)-7322-303  #digitalmarketing #ebranding</t>
  </si>
  <si>
    <t>#digitalmarketing, #ebranding</t>
  </si>
  <si>
    <t>Tagged non-reel item (Static Photo) at grid position #124.</t>
  </si>
  <si>
    <t>Grid item #124. Discovered from Tagged page grid in sequential order.</t>
  </si>
  <si>
    <t>SEO, Digital Marketing, Startup &amp; Growth</t>
  </si>
  <si>
    <t>Discovered at visual grid position #192. Verified Ad Details URL. Format: Single Image Ad.</t>
  </si>
  <si>
    <t>We Customize Packages According To Your Needs. Contact Us Now. Increase Website Traffic. Strategies to Boost Sales. Boost Your Business ROI. Search Engine Optimized.  Call us for assistance on +1 (917)-7322-303  #startup #ppc #digitalmarketing #USA</t>
  </si>
  <si>
    <t>#startup, #ppc, #digitalmarketing, #USA</t>
  </si>
  <si>
    <t>Tagged non-reel item (Static Photo) at grid position #125.</t>
  </si>
  <si>
    <t>Grid item #125. Discovered from Tagged page grid in sequential order.</t>
  </si>
  <si>
    <t>Wanna try something new? Become our next Online Reputation Management Team Lead and help shape the Semrush brand perception.</t>
  </si>
  <si>
    <t>Our social media services are aimed at helping you listen in to what people are talking about you.  Call us for assistance on +1 (917)-7322-303  #socialmediamarketing #digitalmarketing #smm</t>
  </si>
  <si>
    <t>#socialmediamarketing, #digitalmarketing, #smm</t>
  </si>
  <si>
    <t>Tagged non-reel item (Static Photo) at grid position #126.</t>
  </si>
  <si>
    <t>Grid item #126. Discovered from Tagged page grid in sequential order.</t>
  </si>
  <si>
    <t>inbound19</t>
  </si>
  <si>
    <t>Discovered at visual grid position #193. Verified Ad Details URL. Format: Single Image Ad.</t>
  </si>
  <si>
    <t>Inbound day one #inbound19</t>
  </si>
  <si>
    <t>#inbound19</t>
  </si>
  <si>
    <t>Tagged non-reel item (Photo Carousel) at grid position #127.</t>
  </si>
  <si>
    <t>Grid item #127. Discovered from Tagged page grid in sequential order.</t>
  </si>
  <si>
    <t>https://adstransparency.google.com/advertiser/AR01693402396748677121/creative/CR01529700577255096321?region=anywhere</t>
  </si>
  <si>
    <t>I wanted to provide some really great ways to build an email list and develop your brand advocates! #johndmarketingtips</t>
  </si>
  <si>
    <t>#johndmarketingtips</t>
  </si>
  <si>
    <t>Shape the future of Tech! Lead with us as VP of Product Marketing with 12+ years of experience in a management role.</t>
  </si>
  <si>
    <t>Tagged non-reel item (Photo Carousel) at grid position #128.</t>
  </si>
  <si>
    <t>Grid item #128. Discovered from Tagged page grid in sequential order.</t>
  </si>
  <si>
    <t>👉 Page Rank 👇👇 . Es una métrica de Google para clasificar el valor de una web, ✅ A partir de los enlaces que recibe. ✅ Calidad. ✅ Dominios que lo enlazan. ✅ Antigüedad del Dominio. . La escala va del 1 al 10, siendo 10 la mejor puntuación 👌. . . . . . . #pagerank #seo #diccionarioseo #applicatec #sitiosweb #paginasweb #paginaswebchile #emprendedores @semrush @google @asech_ag</t>
  </si>
  <si>
    <t>Discovered at visual grid position #194. Verified Ad Details URL. Format: Single Image Ad.</t>
  </si>
  <si>
    <t>#pagerank, #seo, #diccionarioseo, #applicatec, #sitiosweb, #paginasweb, #paginaswebchile, #emprendedores</t>
  </si>
  <si>
    <t>Tagged non-reel item (Static Photo) at grid position #129.</t>
  </si>
  <si>
    <t>Grid item #129. Discovered from Tagged page grid in sequential order.</t>
  </si>
  <si>
    <t>Tired of the same old routine? Then come take on the role of Senior Pentester.</t>
  </si>
  <si>
    <t>We're online! New video up now! #SEO #SEM #Junglebolt #marketing #advertising #seattle #digitalmarketing #business</t>
  </si>
  <si>
    <t>#SEO, #SEM, #Junglebolt, #marketing, #advertising, #seattle, #digitalmarketing, #business</t>
  </si>
  <si>
    <t>Ran from Mar 20, 2026 to Apr 3, 2026</t>
  </si>
  <si>
    <t>Tagged video reel discovered from Tagged grid position #130.</t>
  </si>
  <si>
    <t>Discovered at visual grid position #195. Verified Ad Details URL. Format: Single Image Ad.</t>
  </si>
  <si>
    <t>Grid item #130. Discovered from Tagged page grid in sequential order.</t>
  </si>
  <si>
    <t>Digital Marketing, Startup &amp; Growth</t>
  </si>
  <si>
    <t>Ready for something big? Then come work as an Enterprise Security Engineer!</t>
  </si>
  <si>
    <t>Enterprise &amp; GTM</t>
  </si>
  <si>
    <t>Have you ever considered using digital Marketing For Real Estate Business?  Call us for assistance on +1 (917)-7322-303  #startup #business #digitalmarketing #USA</t>
  </si>
  <si>
    <t>#startup, #business, #digitalmarketing, #USA</t>
  </si>
  <si>
    <t>Tagged non-reel item (Static Photo) at grid position #131.</t>
  </si>
  <si>
    <t>Grid item #131. Discovered from Tagged page grid in sequential order.</t>
  </si>
  <si>
    <t>Make your digital existence with B-Hanafy-Ltd  Call us for assistance on +1 (917)-7322-303  #digitalmarketingagency #onlinemarketingusa</t>
  </si>
  <si>
    <t>#digitalmarketingagency, #onlinemarketingusa</t>
  </si>
  <si>
    <t>Tagged non-reel item (Static Photo) at grid position #132.</t>
  </si>
  <si>
    <t>Discovered at visual grid position #196. Verified Ad Details URL. Format: Single Image Ad.</t>
  </si>
  <si>
    <t>Grid item #132. Discovered from Tagged page grid in sequential order.</t>
  </si>
  <si>
    <t>https://adstransparency.google.com/advertiser/AR01693402396748677121/creative/CR00639076023949852673?region=anywhere</t>
  </si>
  <si>
    <t>Transform your work life!</t>
  </si>
  <si>
    <t>Drive change in tech and become our new Senior Data Engineer!</t>
  </si>
  <si>
    <t>Thanks @semrush for this cute little toy that mummy got from a conference. Time to 'play' tug of war!</t>
  </si>
  <si>
    <t>Tagged non-reel item (Static Photo) at grid position #133.</t>
  </si>
  <si>
    <t>Grid item #133. Discovered from Tagged page grid in sequential order.</t>
  </si>
  <si>
    <t>Discovered at visual grid position #197. Verified Ad Details URL. Format: Single Image Ad.</t>
  </si>
  <si>
    <t>No matter how tempting it sounds, don’t take shortcuts by buying links. Focus on long-term strategies as it will ensure that you will do better in Google in the long run. . . . . . . #socialontipsmedia #link #linkbuilding #linking #building #connecting #socialmediamarketing #digitalmarketingagency #digitallink #sociallink #digitalmediamarketing #digitalmedia #target #targetmarket #businesswomenlin</t>
  </si>
  <si>
    <t>#socialontipsmedia, #link, #linkbuilding, #linking, #building, #connecting, #socialmediamarketing, #digitalmarketingagency, #digitallink, #sociallink, #digitalmediamarketing, #digitalmedia, #target, #targetmarket, #businesswomenlinkup, #marketingmanager, #marketingtips, #marketingdigital, #digitalmarketingtip, #media, #buildyourtribe, #businessquotes, #linkingpower</t>
  </si>
  <si>
    <t>Tagged non-reel item (Static Photo) at grid position #134.</t>
  </si>
  <si>
    <t>Grid item #134. Discovered from Tagged page grid in sequential order.</t>
  </si>
  <si>
    <t>Make your digital existence with B-Hanafy-Ltd  Call us for assistance on +1 (917)-7322-303 Visit us for detail: https://bhanafyltd.com/ #digitalmarketing #ebranding</t>
  </si>
  <si>
    <t>Tagged non-reel item (Static Photo) at grid position #135.</t>
  </si>
  <si>
    <t>Ran from Mar 26, 2026 to Apr 5, 2026</t>
  </si>
  <si>
    <t>Grid item #135. Discovered from Tagged page grid in sequential order.</t>
  </si>
  <si>
    <t>Discovered at visual grid position #198. Verified Ad Details URL. Format: Single Image Ad.</t>
  </si>
  <si>
    <t>A turnê comemorativa dos 30 anos de carreira desde a primeira aparição no palco, intitulada “Nossa História”, chega em São Paulo dia 24 de agosto, no Allianz Parque, com todos os ingressos já esgotados.A SEMrush, líder global em marketing digital, analisou quais canções da dupla foram mais pesquisadas, em mecanismos como Google, Yahoo e Bing, pelos brasileiros desde quando a turnê foi anunciada –</t>
  </si>
  <si>
    <t>#sandy, #juniorlima, #retorno, #mariachiquinha, #anuncio, #musicamaisprocurada, #acontececuritiba</t>
  </si>
  <si>
    <t>Tagged non-reel item (Static Photo) at grid position #136.</t>
  </si>
  <si>
    <t>Grid item #136. Discovered from Tagged page grid in sequential order.</t>
  </si>
  <si>
    <t>Discovered at visual grid position #199. Verified Ad Details URL. Format: Single Image Ad.</t>
  </si>
  <si>
    <t>https://adstransparency.google.com/advertiser/AR01693402396748677121/creative/CR00504146499609821185?region=anywhere</t>
  </si>
  <si>
    <t>Tip 62: Get your site speed to 3 seconds or less. ⁣ ⁣ Use SEMrush as a power tool for site audits increase organic traffic. Increase organic traffic by doing a site audit once a quarter to identify what areas of your website need to be adjusted. Using SEMrush for this can help you improve:⁣ ⁣ • Loading speed⁣ • Content issues ⁣ • Meta tags⁣ • Crawlability⁣ ⁣ What’s your favorite feature of @SEMrus</t>
  </si>
  <si>
    <t>#SEMrush, #speed, #Digital, #DigitalMarketing, #SEO, #Digital, #DigitalMarketer, #DigitalDesign, #GraphicDesign, #GraphicDesigner, #Traffic, #Insta, #Instagood, #Website, #WebsiteDesign, #Brand, #Branding, #Email, #EmailMarketing, #BrandStrategy, #InboundMarketing, #Traffic, #WebTraffic, #ContentMarketing, #Marketing, #Sales, #Biz, #Business</t>
  </si>
  <si>
    <t>Tagged non-reel item (Static Photo) at grid position #137.</t>
  </si>
  <si>
    <t>Grid item #137. Discovered from Tagged page grid in sequential order.</t>
  </si>
  <si>
    <t>It can be daunting when doing keyword research, there are so many aspects to consider, so how do you know where to start? There are many platforms that can assist you in your keyword research, each slightly tailoring their offering to differentiate themselves from their competitors. Heres a list of 5 tools you can use:  1. Google Keyword Planner - it goes without saying that the best source for ke</t>
  </si>
  <si>
    <t>#keywordresearch, #seotools, #paidsearch, #digitalmarketingtools, #digitalmarketingstrategy, #Moz, #semrush, #businessowner, #entrepreneur, #successmentor, #marketinghelpful, #startup, #businessplan</t>
  </si>
  <si>
    <t>Tagged non-reel item (Photo Carousel) at grid position #138.</t>
  </si>
  <si>
    <t>Grid item #138. Discovered from Tagged page grid in sequential order.</t>
  </si>
  <si>
    <t>Ran from Mar 27, 2026 to Apr 8, 2026</t>
  </si>
  <si>
    <t>Discovered at visual grid position #200. Verified Ad Details URL. Format: Single Image Ad.</t>
  </si>
  <si>
    <t>#smarttools #tool #semrush #pipedrive #trello #digitaltransformation #transformacaodigital #Inovação #Produtividade #CRM #dataanalytics #salesmanagement #gestaodevendas #checklist #organização #planejamento #growthhacking #pequenasempresas #startups</t>
  </si>
  <si>
    <t>#smarttools, #tool, #semrush, #pipedrive, #trello, #digitaltransformation, #transformacaodigital, #Inovação, #Produtividade, #CRM, #dataanalytics, #salesmanagement, #gestaodevendas, #checklist, #organização, #planejamento, #growthhacking, #pequenasempresas, #startups</t>
  </si>
  <si>
    <t>Ready to get to the next level? Become our new HR Analyst with experience in Workday and Excel reporting.</t>
  </si>
  <si>
    <t>Tagged non-reel item (Static Photo) at grid position #139.</t>
  </si>
  <si>
    <t>Grid item #139. Discovered from Tagged page grid in sequential order.</t>
  </si>
  <si>
    <t>📌 Nouvel article @semrush « Le plan et les moyens d’un marketing brillant sur les réseaux sociaux » by @anthony_rochand - À lire ici : http://bit.ly/2Z1WPiy . . . #socialmedia #marketingdigital #marketing #contentmarketing #contentstrategy #socialstrategy #influence #marketingautomation #communication</t>
  </si>
  <si>
    <t>#socialmedia, #marketingdigital, #marketing, #contentmarketing, #contentstrategy, #socialstrategy, #influence, #marketingautomation, #communication</t>
  </si>
  <si>
    <t>Tagged non-reel item (Static Photo) at grid position #140.</t>
  </si>
  <si>
    <t>Grid item #140. Discovered from Tagged page grid in sequential order.</t>
  </si>
  <si>
    <t>Discovered at visual grid position #201. Verified Ad Details URL. Format: Single Image Ad.</t>
  </si>
  <si>
    <t>what do you consider?  Comment below ?  Source: HubSpot  #digitalmarketing #digitalmarketingagency #sales #sale #productreview #discount #deal #socialproof #digitalmarketer #ecommerce #ecommercebusiness #ecommercetips #ecommercestore #conversion  #socialmediamarketing #hubspot #neilpatel #onlineshopping #onlinebusiness</t>
  </si>
  <si>
    <t>https://adstransparency.google.com/advertiser/AR01693402396748677121/creative/CR16144782898887655425?region=anywhere</t>
  </si>
  <si>
    <t>#digitalmarketing, #digitalmarketingagency, #sales, #sale, #productreview, #discount, #deal, #socialproof, #digitalmarketer, #ecommerce, #ecommercebusiness, #ecommercetips, #ecommercestore, #conversion, #socialmediamarketing, #hubspot, #neilpatel, #onlineshopping, #onlinebusiness</t>
  </si>
  <si>
    <t>Tagged non-reel item (Static Photo) at grid position #141.</t>
  </si>
  <si>
    <t>Grid item #141. Discovered from Tagged page grid in sequential order.</t>
  </si>
  <si>
    <t>Discovered at visual grid position #202. Verified Ad Details URL. Format: Single Image Ad.</t>
  </si>
  <si>
    <t>#semrush #seo #digitalgoutam #digitalmarketingagency</t>
  </si>
  <si>
    <t>#semrush, #seo, #digitalgoutam, #digitalmarketingagency</t>
  </si>
  <si>
    <t>Tagged non-reel item (Static Photo) at grid position #142.</t>
  </si>
  <si>
    <t>Grid item #142. Discovered from Tagged page grid in sequential order.</t>
  </si>
  <si>
    <t>💥¿Ya tienes tu entrada? ¡Quedan pocos cupos! 💥 ¿De qué hablaremos en la #SEONight para  E-commerce?  1. Lo que hay que tener en cuenta en SEO para  E-commerce y nadie te cuenta.  2. Arquitectura web e indexación para el éxito del SEO en un E-commerce.  3. El content marketing en E-commerce para generar más ventas.  Separa tu cupo GRATIS y aprende cómo rentabilizar el trabajo digital de tu empresa</t>
  </si>
  <si>
    <t>#SEONight, #marketing, #tech, #socialmedia, #redessociales, #digitalmarketing, #innovation, #digital, #publicidad, #google, #search, #web, #colombia, #inboundmarketing, #education, #content, #automation, #world, #entrepreneur, #entrepreneurship, #media, #youtube, #facebook, #design, #lifestyle, #learn, #communitymanager, #management, #instagram, #bogota</t>
  </si>
  <si>
    <t>Tagged non-reel item (Photo Carousel) at grid position #143.</t>
  </si>
  <si>
    <t>Grid item #143. Discovered from Tagged page grid in sequential order.</t>
  </si>
  <si>
    <t>Discovered at visual grid position #203. Verified Ad Details URL. Format: Single Image Ad.</t>
  </si>
  <si>
    <t>Orgulho do chefe ... equipe equalizando o conhecimento!  Parabéns pela conquista: Luis, Aline e Charles.  #seo #vidadeagencia #marketing</t>
  </si>
  <si>
    <t>#seo, #vidadeagencia, #marketing</t>
  </si>
  <si>
    <t>Tagged non-reel item (Static Photo) at grid position #144.</t>
  </si>
  <si>
    <t>Excited for the next step in your career? Become our new Programmatic &amp; Display Lead.</t>
  </si>
  <si>
    <t>Grid item #144. Discovered from Tagged page grid in sequential order.</t>
  </si>
  <si>
    <t>Every week. Every single week.  I’m asked some kind of question about Marketing Tech Stacks.  Happy to help! . . . #artvsmath #marketingdigital #digitalmarketing #strategy #indianabanking #finance #marketingstack #software</t>
  </si>
  <si>
    <t>Discovered at visual grid position #204. Verified Ad Details URL. Format: Single Image Ad.</t>
  </si>
  <si>
    <t>#artvsmath, #marketingdigital, #digitalmarketing, #strategy, #indianabanking, #finance, #marketingstack, #software</t>
  </si>
  <si>
    <t>Tagged non-reel item (Static Photo) at grid position #145.</t>
  </si>
  <si>
    <t>Grid item #145. Discovered from Tagged page grid in sequential order.</t>
  </si>
  <si>
    <t>https://adstransparency.google.com/advertiser/AR01693402396748677121/creative/CR00037405230958116865?region=anywhere</t>
  </si>
  <si>
    <t>Avoid these 6 mistakes if you want to be a successful podcaster 🚀⠀⠀⠀⠀⠀⠀⠀⠀⠀ .⠀⠀⠀⠀⠀⠀⠀⠀⠀ 👽 Don't talk to different audiences. You have an audience, talk with them, without losing focus on the topic you're talking to.⠀⠀⠀⠀⠀⠀⠀⠀⠀ .⠀⠀⠀⠀⠀⠀⠀⠀⠀ 🎛️ Don't focus too much in post-production. Everyone wants to be perfect, but sometimes it's better to be human!⠀⠀⠀⠀⠀⠀⠀⠀⠀ .⠀⠀⠀⠀⠀⠀⠀⠀⠀ 😴 Don't be boring! Try to change</t>
  </si>
  <si>
    <t>#contentmarketing, #storytellingphotography, #contentcreators, #podcastsofinstagram, #podcastcommunity, #podcastingtips, #storytellingtips, #storytellingpodcast, #contentmarketing101, #contentmarketingtip, #powervoice</t>
  </si>
  <si>
    <t>Tagged non-reel item (Static Photo) at grid position #146.</t>
  </si>
  <si>
    <t>Grid item #146. Discovered from Tagged page grid in sequential order.</t>
  </si>
  <si>
    <t>Discovered at visual grid position #205. Verified Ad Details URL. Format: Single Image Ad.</t>
  </si>
  <si>
    <t>In a recent 'joint' 😉 study with @semrush we mapped out the US states that have the biggest interest in the relatively new sector of publicly traded Pot Stocks. .. We found a clear trend: There is a direct link between the legalization of cannabis and investor interest in pot stocks. .. “What’s surprising to me is that New York and Pennsylvania - 2 states with high levels of personal marijuana use</t>
  </si>
  <si>
    <t>#investingcom, #markets, #investor, #investors, #investment, #investing, #invest, #stockmarkets, #shares, #stock, #stockexchange, #money, #opportunity, #map, #maps, #mapporn, #mapart, #weedporn, #weed, #marijuana, #Cannabis, #thc, #sativa, #indica, #semrush, #jointstudy, #legal, #Legalization, #potstocks, #weedstock</t>
  </si>
  <si>
    <t>Tagged non-reel item (Photo Carousel) at grid position #147.</t>
  </si>
  <si>
    <t>Grid item #147. Discovered from Tagged page grid in sequential order.</t>
  </si>
  <si>
    <t>💪 Marketing Learning Mode 💪 . Sempre, todos os dias. Aprender é um estado de espírito que conduz a resultados contínuos. Um processo de auto-conhecimento. Em Marketing, é vital. . #gmb #googlemybusiness #seo #localseo #marketingdigital #semrush</t>
  </si>
  <si>
    <t>#gmb, #googlemybusiness, #seo, #localseo, #marketingdigital, #semrush</t>
  </si>
  <si>
    <t>Tagged non-reel item (Static Photo) at grid position #148.</t>
  </si>
  <si>
    <t>Discovered at visual grid position #206. Verified Ad Details URL. Format: Single Image Ad.</t>
  </si>
  <si>
    <t>Grid item #148. Discovered from Tagged page grid in sequential order.</t>
  </si>
  <si>
    <t>Aprimorar conhecimentos para levar mais resultados para os nossos clientes: SEMPRE!! Treinamento Semrush para a nossa equipe de SEO. #semrush #ciawebsites #marketingdigital #seo</t>
  </si>
  <si>
    <t>#semrush, #ciawebsites, #marketingdigital, #seo</t>
  </si>
  <si>
    <t>Tagged non-reel item (Photo Carousel) at grid position #149.</t>
  </si>
  <si>
    <t>Grid item #149. Discovered from Tagged page grid in sequential order.</t>
  </si>
  <si>
    <t>Discovered at visual grid position #207. Verified Ad Details URL. Format: Single Image Ad.</t>
  </si>
  <si>
    <t>MANDARE GIÙ UNA CRITICA È MOLTO DIFFICILE. Ancora più difficile diventa capire il motivo reale del perché di una cattiva recensione. Molti imprenditori per questo disegnano le recensioni e le vedono come un'arma contro di loro. Ma in realtà quando riusciamo a sfruttare le recensioni possiamo far crescere e rendere più visibile la nostra attività! Ecco le cose da fare: -usare link, QRcode e simili</t>
  </si>
  <si>
    <t>#reviews, #review, #recensioni, #reviewmarket, #riprovasociale, #googlereviews, #localguides, #marketingitalia, #imprenditoria, #businessitalia, #marketingdigitale, #digitalmarketing, #socialmedia, #socialmarketing, #socialnetwork, #socialmediamarketing, #imprenditori, #crescitainstagram, #marketingtips, #economia, #socialmediatips, #marketingtip, #pmi</t>
  </si>
  <si>
    <t>Tagged non-reel item (Static Photo) at grid position #150.</t>
  </si>
  <si>
    <t>Grid item #150. Discovered from Tagged page grid in sequential order.</t>
  </si>
  <si>
    <t>https://adstransparency.google.com/advertiser/AR01693402396748677121/creative/CR11051095515696463873?region=anywhere</t>
  </si>
  <si>
    <t>On Page SEO Checker is another SEO analysis tool that can help you manage SEO data. Based on SEMRush data, it will compare your page to your competitors' keywords, the tool will provide you the suggestions with strategies, user experience, content and etc. Depending on the data collected, the potential for traffic growth, and the ease of implementation, these pages are automatically prioritized, a</t>
  </si>
  <si>
    <t>#singapore, #singaporeretail, #ecommerceinsider, #ecommercebusiness, #ecommerce, #campaign, #customer, #marketing, #onlinesale, #onlineshop, #onlineshopping, #product, #seo, #b2c, #b2b, #onlinebusinesses, #optimisation, #website, #ecommercewebsite, #onlinestore, #site, #webanalytics, #report, #tool, #insight, #data, #traffic, #semrush, #technology, #onpageseo</t>
  </si>
  <si>
    <t>Tagged non-reel item (Static Photo) at grid position #151.</t>
  </si>
  <si>
    <t>Grid item #151. Discovered from Tagged page grid in sequential order.</t>
  </si>
  <si>
    <t>Discovered at visual grid position #208. Verified Ad Details URL. Format: Single Image Ad.</t>
  </si>
  <si>
    <t>Want to own the way you work? Be our new Insights Analyst with solid experience in SQ, Tableau, and statistics.</t>
  </si>
  <si>
    <t>El SEO es como un leon cazando, siempre esta alerta, al pendiente, esperando el momento correcto para atraparte. Se un cazador de ventas, no seas la presa.🦁🦁 . . . Te hacemos llegar al cliente que quiere comprar tu producto. Hablanos📬📥. . . . . #seo #markering #leon #cazador #ventas</t>
  </si>
  <si>
    <t>#seo, #markering, #leon, #cazador, #ventas</t>
  </si>
  <si>
    <t>Tagged non-reel item (Static Photo) at grid position #152.</t>
  </si>
  <si>
    <t>Grid item #152. Discovered from Tagged page grid in sequential order.</t>
  </si>
  <si>
    <t>Discovered at visual grid position #209. Verified Ad Details URL. Format: Single Image Ad.</t>
  </si>
  <si>
    <t>Começar a segunda com essa dica de evento online e gratuito sobre #GrowthHacking não é nada mal, né? Nos dias 5-9 de Agosto 2019 a @SEMrush vai abandonar as estratégias de rotina e convidar 8 maiores especialistas em #GrowthHacking do Brasil para te ensinar a experimentar, usar a sua criatividade, as métricas e as táticas inovadoras para impulsionar o crescimento da sua empresa. Aproveitem: https:</t>
  </si>
  <si>
    <t>#GrowthHacking, #GrowthHacking</t>
  </si>
  <si>
    <t>Tagged non-reel item (Static Photo) at grid position #153.</t>
  </si>
  <si>
    <t>Grid item #153. Discovered from Tagged page grid in sequential order.</t>
  </si>
  <si>
    <t>sonurajputsr</t>
  </si>
  <si>
    <t>To Read this Blog visit on www.mirchamirchi.com  Link in Bio🌐⛓⛓  #sonurajputsr</t>
  </si>
  <si>
    <t>#sonurajputsr</t>
  </si>
  <si>
    <t>Tagged non-reel item (Static Photo) at grid position #154.</t>
  </si>
  <si>
    <t>Grid item #154. Discovered from Tagged page grid in sequential order.</t>
  </si>
  <si>
    <t>https://adstransparency.google.com/advertiser/AR01693402396748677121/creative/CR16340010328089690113?region=anywhere</t>
  </si>
  <si>
    <t>Discovered at visual grid position #210. Verified Ad Details URL. Format: Single Image Ad.</t>
  </si>
  <si>
    <t>Content is at the core of any inbound marketing strategy and #SEO is dependent on content. Many publishers neglect basic SEO principles thus missing out on rankings and visitors that could have resulted in more ad 💰 Head to the link in our bio to get 5 battled tested SEO optimization tips today! 👆👆#adtech</t>
  </si>
  <si>
    <t>#SEO, #adtech</t>
  </si>
  <si>
    <t>Tagged non-reel item (Static Photo) at grid position #155.</t>
  </si>
  <si>
    <t>Grid item #155. Discovered from Tagged page grid in sequential order.</t>
  </si>
  <si>
    <t>Discovered at visual grid position #211. Verified Ad Details URL. Format: Single Image Ad.</t>
  </si>
  <si>
    <t>En ocasiones, tanto en la vida como en una empresa, nos la pasamos planeando el momento perfecto para tomar acción. La realidad es que esos momentos perfectos nunca llegan, tienes que salir a crearlos. #MKT #marketingdigitalmexico #estrategiasdemarketing</t>
  </si>
  <si>
    <t>#MKT, #marketingdigitalmexico, #estrategiasdemarketing</t>
  </si>
  <si>
    <t>Tagged non-reel item (Static Photo) at grid position #156.</t>
  </si>
  <si>
    <t>Grid item #156. Discovered from Tagged page grid in sequential order.</t>
  </si>
  <si>
    <t>This list of 37 content marketing tools is exactly what you need to improve your planning and promotions.‬ 🙌 ‪Includes @coschedule, @semrush, @mangools_com, @trelloapp, @airtable, @canva, @evernote, @reddit, @slackhq, @dropbox, @googlemarketinganalytics, @ahrefscom, @wordpressdotcom, @quora, @piktochart and much more you may not be aware of. 🔥  Check out the FULL list in the blog!  LINK IN BIO. .</t>
  </si>
  <si>
    <t>#contenthacker, #contentmarketing, #digitalmarketing, #contenthacking, #growth, #marketingtips, #marketingtools, #tools, #strategies, #marketing, #marketingdigital, #blog, #list, #startup, #brand, #onlinebusiness, #branding, #success, #plan, #promotion, #socialmedia, #socialmediamarketing, #hustle, #seo, #smm, #marketingstrategy, #campaign, #digitalmedia, #onlinemarketing, #business</t>
  </si>
  <si>
    <t>Tagged non-reel item (Static Photo) at grid position #157.</t>
  </si>
  <si>
    <t>Grid item #157. Discovered from Tagged page grid in sequential order.</t>
  </si>
  <si>
    <t>Discovered at visual grid position #212. Verified Ad Details URL. Format: Single Image Ad.</t>
  </si>
  <si>
    <t>#seoendías de na grandiosa apuesta que cambiará la forma de realizar esa labor en #SEO y #SEM</t>
  </si>
  <si>
    <t>#seoendías, #SEO, #SEM</t>
  </si>
  <si>
    <t>Tagged non-reel item (Static Photo) at grid position #158.</t>
  </si>
  <si>
    <t>Grid item #158. Discovered from Tagged page grid in sequential order.</t>
  </si>
  <si>
    <t>https://adstransparency.google.com/advertiser/AR01693402396748677121/creative/CR12290870192560406529?region=anywhere</t>
  </si>
  <si>
    <t>Happy World Emoji Day</t>
  </si>
  <si>
    <t>Tagged non-reel item (Static Photo) at grid position #159.</t>
  </si>
  <si>
    <t>Discovered at visual grid position #213. Verified Ad Details URL. Format: Single Image Ad.</t>
  </si>
  <si>
    <t>Grid item #159. Discovered from Tagged page grid in sequential order.</t>
  </si>
  <si>
    <t>Tagged non-reel item (Static Photo) at grid position #160.</t>
  </si>
  <si>
    <t>Grid item #160. Discovered from Tagged page grid in sequential order.</t>
  </si>
  <si>
    <t>Discovered at visual grid position #214. Verified Ad Details URL. Format: Single Image Ad.</t>
  </si>
  <si>
    <t>Jednou z oblastí fotografie, na které se zaměřuju, jsou firemní eventy, konference a přednášky. Tyhle fotky jsou z meetupu @semrush_cz ve skvělém prostoru @opero_prague 📷😎🌆 . #reportage #event #eventphoto #network #networking #speech #conference #business #public #opinion #news #nikon #photography #photographer #portraitphotography #photo #shoot #dominikkucera</t>
  </si>
  <si>
    <t>#reportage, #event, #eventphoto, #network, #networking, #speech, #conference, #business, #public, #opinion, #news, #nikon, #photography, #photographer, #portraitphotography, #photo, #shoot, #dominikkucera</t>
  </si>
  <si>
    <t>Tagged non-reel item (Photo Carousel) at grid position #161.</t>
  </si>
  <si>
    <t>Grid item #161. Discovered from Tagged page grid in sequential order.</t>
  </si>
  <si>
    <t>Some Tips about Why Instagram stories are important.  Swipe to learn 👉🏻➡️ Book your demo class today👇🏻 https://bit.ly/2LRaWQe . . Learn from India's best and fastest-growing digital marketing training network!! @digiperform . . ✅Asia's Most Trusted Brand🇮🇳 ✅Digital Marketing Course ✅Google Certification . . #digitalmarketingtraining #digitalmarketingcourse #socialmediamarketing #digiperform #tips</t>
  </si>
  <si>
    <t>#digitalmarketingtraining, #digitalmarketingcourse, #socialmediamarketing, #digiperform, #tips, #tricks, #insta, #online, #digitaleducation, #leader, #entrepreneur, #wearethebest, #noida, #follow, #likeforfollow, #likeforlikes, #digital</t>
  </si>
  <si>
    <t>Tagged non-reel item (Photo Carousel) at grid position #162.</t>
  </si>
  <si>
    <t>Grid item #162. Discovered from Tagged page grid in sequential order.</t>
  </si>
  <si>
    <t>https://adstransparency.google.com/advertiser/AR01693402396748677121/creative/CR01955830327372939265?region=anywhere</t>
  </si>
  <si>
    <t>Les fondamentaux #1  75% des internautes ne font jamais défiler la première page dans les résultats de recherche.  La balise title est un champ essentiel dans le cadre d’une bonne optimisation si l’on veut bien remonter dans les classements des résultats de recherche.  Voici 6 étapes pour optimiser vos balises titre:  1. Respecter la taille idéale de la balise title 2. Faire apparaître le mot-clé</t>
  </si>
  <si>
    <t>Discovered at visual grid position #215. Verified Ad Details URL. Format: Single Image Ad.</t>
  </si>
  <si>
    <t>#1, #SEO</t>
  </si>
  <si>
    <t>Tagged non-reel item (Static Photo) at grid position #163.</t>
  </si>
  <si>
    <t>Grid item #163. Discovered from Tagged page grid in sequential order.</t>
  </si>
  <si>
    <t>Ontem foi o Dia da Pizza e hoje nós temos uma especial da casa pra você! 😋😆 Clique no link do perfil e conheça 6 ferramentas de marketing digital. ⠀ ⠀ Você já usa alguma? Qual? ⠀ .⠀ .⠀ .⠀ #inboundmarketing #marketingconteudo #agenciamktdigital #marketingdigital #mktdigital #inbound #diadapizza #ferramentasmktdigital⠀</t>
  </si>
  <si>
    <t>#inboundmarketing, #marketingconteudo, #agenciamktdigital, #marketingdigital, #mktdigital, #inbound, #diadapizza, #ferramentasmktdigital</t>
  </si>
  <si>
    <t>Tagged non-reel item (Static Photo) at grid position #164.</t>
  </si>
  <si>
    <t>Grid item #164. Discovered from Tagged page grid in sequential order.</t>
  </si>
  <si>
    <t>Discovered at visual grid position #216. Verified Ad Details URL. Format: Single Image Ad.</t>
  </si>
  <si>
    <t>⠀ Há inúmeras ferramentas para te ajudar a criar conteúdo. Enquanto umas são fundamentais para te mostrar as palavras-chave mais pesquisadas e as maiores tendências do momento, outras são ideais para descobrires o que os teus concorrentes andam a escrever e que tópicos mais abordam. ⠀ ⠀ De uma maneira geral, todas elas são essenciais para a tua estratégia de SEO e para a produção de conteúdo 💻 Con</t>
  </si>
  <si>
    <t>#marketing, #marketingdeconteudo, #digital, #followthis, #copy, #copywriter, #copywriting, #criatividade, #empreendedorismo, #conteúdos, #mktdigital, #dicasdemarketing, #socialmedia, #redessociais, #midiassociais, #google, #trendy, #keywords, #seo, #dicas, #ideias, #onlinemarketer, #onlinebusiness</t>
  </si>
  <si>
    <t>Tagged non-reel item (Photo Carousel) at grid position #165.</t>
  </si>
  <si>
    <t>Grid item #165. Discovered from Tagged page grid in sequential order.</t>
  </si>
  <si>
    <t>Your customers have more ways to search</t>
  </si>
  <si>
    <t>NapoleonHill</t>
  </si>
  <si>
    <t>Obrigado Lisboa 🇵🇹 Obrigado @semrush Obrigado @fernando1angulo 🙏 “Tú gran oportunidad puede ser justo dónde estás ahora” #NapoleonHill  Con más conocimiento, menos ignorancia, más visión y menos frustración regresamos a Colombia.  Tuvimos la oportunidad de conocer gente grandiosa con experiencia y pasión por cada uno de sus temas, vimos cosas desde otra perspectiva y confirmamos que estamos en un</t>
  </si>
  <si>
    <t>#NapoleonHill</t>
  </si>
  <si>
    <t>Tagged non-reel item (Photo Carousel) at grid position #166.</t>
  </si>
  <si>
    <t>Grid item #166. Discovered from Tagged page grid in sequential order.</t>
  </si>
  <si>
    <t>Ran from Mar 20, 2026 to Apr 24, 2026</t>
  </si>
  <si>
    <t>Discovered at visual grid position #217. Verified Ad Details URL. Format: Single Image Ad.</t>
  </si>
  <si>
    <t>https://adstransparency.google.com/advertiser/AR01693402396748677121/creative/CR13833214157102514177?region=anywhere</t>
  </si>
  <si>
    <t>Porque aprender jugando motiva la recordación y el trabajo en equipo. #semrushgame #marketingplay #aprenderparaemprender</t>
  </si>
  <si>
    <t>#semrushgame, #marketingplay, #aprenderparaemprender</t>
  </si>
  <si>
    <t>Tagged non-reel item (Photo Carousel) at grid position #167.</t>
  </si>
  <si>
    <t>Grid item #167. Discovered from Tagged page grid in sequential order.</t>
  </si>
  <si>
    <t>workshopday3, davidallen, ssj19</t>
  </si>
  <si>
    <t>#workshopday3 Metodo de productividad personal con #davidallen #ssj19 #aprenderparaemprender #mdalatamuniversity</t>
  </si>
  <si>
    <t>#workshopday3, #davidallen, #ssj19, #aprenderparaemprender, #mdalatamuniversity</t>
  </si>
  <si>
    <t>Tagged non-reel item (Photo Carousel) at grid position #168.</t>
  </si>
  <si>
    <t>Grid item #168. Discovered from Tagged page grid in sequential order.</t>
  </si>
  <si>
    <t>ssj19</t>
  </si>
  <si>
    <t>Discovered at visual grid position #218. Verified Ad Details URL. Format: Single Image Ad.</t>
  </si>
  <si>
    <t>Terminando una jornada @fernando1angulo @joelbinsta en @semrush SummerJam #ssj19</t>
  </si>
  <si>
    <t>#ssj19</t>
  </si>
  <si>
    <t>Tagged non-reel item (Photo Carousel) at grid position #169.</t>
  </si>
  <si>
    <t>Grid item #169. Discovered from Tagged page grid in sequential order.</t>
  </si>
  <si>
    <t>New Job, New Adventure!</t>
  </si>
  <si>
    <t>Dreaming of your dream job? Lead with us as Digital Art Director in web design.</t>
  </si>
  <si>
    <t>“Cuando eres un buen observador, todo el mundo es tu maestro” Dos personas increíbles, expertos, con trayectoria a nivel mundial. @aleyda consultora internacional #SEO autora del #libroseo “ SEO. Las claves esenciales” y  #BryanDean, todos los que amamos el #SEO conocemos su trayectoria y como con conocimiento a llevado a @backlinko y su equipo a las grandes ligas. Hoy completamente agradecido con</t>
  </si>
  <si>
    <t>#SEO, #libroseo, #BryanDean, #SEO</t>
  </si>
  <si>
    <t>Tagged non-reel item (Static Photo) at grid position #170.</t>
  </si>
  <si>
    <t>Grid item #170. Discovered from Tagged page grid in sequential order.</t>
  </si>
  <si>
    <t>Ran from Mar 14, 2026 to Mar 18, 2026</t>
  </si>
  <si>
    <t>Discovered at visual grid position #219. Verified Ad Details URL. Format: Single Image Ad.</t>
  </si>
  <si>
    <t>https://adstransparency.google.com/advertiser/AR01693402396748677121/creative/CR07756697175500783617?region=anywhere</t>
  </si>
  <si>
    <t>Aprendiendo de una gran herramienta @semrush que complementa la estrategia de marketing digital y coopera en la realización de procesos aún más efectivos #aprenderparaemprender</t>
  </si>
  <si>
    <t>#aprenderparaemprender</t>
  </si>
  <si>
    <t>Tagged non-reel item (Photo Carousel) at grid position #171.</t>
  </si>
  <si>
    <t>Grid item #171. Discovered from Tagged page grid in sequential order.</t>
  </si>
  <si>
    <t>Need a push? Become our new Enterprise Business Development Representative fluent in German.</t>
  </si>
  <si>
    <t>Discovered at visual grid position #220. Verified Ad Details URL. Format: Single Image Ad.</t>
  </si>
  <si>
    <t>Empowering people around the world to have a better lives! 🏝 Are you the kind of person who thinks outside the box? 🍁 Do you know the difference between passive and active income? 🏝 What's is your process of decision making? Do you usually make decisions on your own or look for input from someone else? 🍁 What are your goals for the next 2 to 5 years ? Will you be able to achieve through your curre</t>
  </si>
  <si>
    <t>#entrepreneur, #wisdomquotes, #success, #entrepreneurs, #toronto, #lifestyle, #success, #digitalmarketing, #fashion, #model, #usa, #modeling, #fitness, #beauty, #lovinglife, #newyork, #dubai, #love, #travel, #miami, #money, #partnership, #business, #scarborough, #entrepreneurlife, #yoga, #marketing, #successful, #realestate, #home</t>
  </si>
  <si>
    <t>Tagged non-reel item (Static Photo) at grid position #172.</t>
  </si>
  <si>
    <t>Grid item #172. Discovered from Tagged page grid in sequential order.</t>
  </si>
  <si>
    <t>Your next big move starts here! Become a Tech Lead at Semrush and drive the future of SaaS.</t>
  </si>
  <si>
    <t>Workshop #SEO  Aprendiendo en el @semrush Summer Jam. “Que datos identificas y como realizas investigaciones competitivas” #aprenderparaemprender</t>
  </si>
  <si>
    <t>#SEO, #aprenderparaemprender</t>
  </si>
  <si>
    <t>Tagged non-reel item (Photo Carousel) at grid position #173.</t>
  </si>
  <si>
    <t>Grid item #173. Discovered from Tagged page grid in sequential order.</t>
  </si>
  <si>
    <t>Ran from Mar 5, 2026 to Mar 11, 2026</t>
  </si>
  <si>
    <t>Discovered at visual grid position #221. Verified Ad Details URL. Format: Single Image Ad.</t>
  </si>
  <si>
    <t>Tagged post for Semrush (@semrush)</t>
  </si>
  <si>
    <t>Tagged non-reel item (Photo Carousel) at grid position #174.</t>
  </si>
  <si>
    <t>Grid item #174. Discovered from Tagged page grid in sequential order.</t>
  </si>
  <si>
    <t>https://adstransparency.google.com/advertiser/AR01693402396748677121/creative/CR12675393228682297345?region=anywhere</t>
  </si>
  <si>
    <t>Tagged non-reel item (Static Photo) at grid position #175.</t>
  </si>
  <si>
    <t>Discovered at visual grid position #222. Verified Ad Details URL. Format: Single Image Ad.</t>
  </si>
  <si>
    <t>Grid item #175. Discovered from Tagged page grid in sequential order.</t>
  </si>
  <si>
    <t>Nuestro CEO David Rodriguez ya se encuentra en Lisboa Portugal en el @semrush Summer</t>
  </si>
  <si>
    <t>Tagged non-reel item (Static Photo) at grid position #176.</t>
  </si>
  <si>
    <t>Grid item #176. Discovered from Tagged page grid in sequential order.</t>
  </si>
  <si>
    <t>Facebook recently said that it would start downplaying the News Feed, and after the F8 keynote, we know more about what that means. In an update that Zuckerberg calls “FB5,” Facebook will highlight groups and events, creating a prominent groups tab and a personalized feed from the groups you’ve joined — rather than a generalized update feed from your friends. Group interaction options will show up</t>
  </si>
  <si>
    <t>#digitalmarketing, #digitalmarketingagency, #digitalmarketer, #onlinemarketing, #onlinebusiness, #internetmarketing, #internetmarketingservice, #digitalmarketingservice, #influencer, #digitalmarketinginfluencer, #sorvajain, #instagrampost, #instagramupdate, #instagramfeature, #f8developerconference, #upcomingfeature, #sociolife, #socialmediamarketing, #socialmediamanager, #letsdigi, #digitalmarketinggujarat, #digitalbusiness, #tips, #socialtips</t>
  </si>
  <si>
    <t>Tagged non-reel item (Static Photo) at grid position #177.</t>
  </si>
  <si>
    <t>Grid item #177. Discovered from Tagged page grid in sequential order.</t>
  </si>
  <si>
    <t>Ran from Mar 21, 2026 to Apr 24, 2026</t>
  </si>
  <si>
    <t>Discovered at visual grid position #223. Verified Ad Details URL. Format: Single Image Ad.</t>
  </si>
  <si>
    <t>This list of 27+ #SEO tools are everything you will need to master web page analysis, keyword research and more to increase traffic and get your page to the top.  Includes @semrush, @ahrefscom, @mangools_com, @moz_hq and much more!  Link in the bio to see the FULL list in our blog! . . . #contenthacker #blog #contentcreation #contentmarketing #list #digitalmarketing #keywords #increase #traffic #s</t>
  </si>
  <si>
    <t>#SEO, #contenthacker, #blog, #contentcreation, #contentmarketing, #list, #digitalmarketing, #keywords, #increase, #traffic, #socialmedia, #socialmarketing, #marketingtips, #startup, #business, #advertising, #onlinemarketing, #branding, #brand, #success, #hustle, #content, #journalism, #socialmediatips, #tech, #media, #onlinebusiness, #networking, #socialmediamarketing</t>
  </si>
  <si>
    <t>Tagged non-reel item (Static Photo) at grid position #178.</t>
  </si>
  <si>
    <t>Grid item #178. Discovered from Tagged page grid in sequential order.</t>
  </si>
  <si>
    <t>Discovered at visual grid position #224. Verified Ad Details URL. Format: Single Image Ad.</t>
  </si>
  <si>
    <t>Credit: @semrush  #enterpreuner #entrepreneur #enterprenuership #entrepreneurs #entrepreneurlife #entrepreneurship #digitalmarketing #digitalmarketingstrategy #digitalmarketingtools #digitalmarketinginhindi #digitalmarketinghindi #marketingdigital2019 #marketingdigital #learnsocialmedia #learndigitalmarketing #learncontentmarketing #businesstips #skillmaking #semrush</t>
  </si>
  <si>
    <t>https://adstransparency.google.com/advertiser/AR01693402396748677121/creative/CR09110064047897706497?region=anywhere</t>
  </si>
  <si>
    <t>#enterpreuner, #entrepreneur, #enterprenuership, #entrepreneurs, #entrepreneurlife, #entrepreneurship, #digitalmarketing, #digitalmarketingstrategy, #digitalmarketingtools, #digitalmarketinginhindi, #digitalmarketinghindi, #marketingdigital2019, #marketingdigital, #learnsocialmedia, #learndigitalmarketing, #learncontentmarketing, #businesstips, #skillmaking, #semrush</t>
  </si>
  <si>
    <t>Tagged non-reel item (Static Photo) at grid position #179.</t>
  </si>
  <si>
    <t>Grid item #179. Discovered from Tagged page grid in sequential order.</t>
  </si>
  <si>
    <t>Come Drive Success!</t>
  </si>
  <si>
    <t>Ready for a big move? Come work with us as a Senior Manager in Consulting Services with 7+ years of experience.</t>
  </si>
  <si>
    <t>Ever wondered if Instagram Stories is superior to still image posts in your Instagram feed? We've got the answer. new research published today (June 29 2019) in Social Media Today says that still image posts outrank Stories, and that influencers are way down the list in terms of effectiveness. The article points out you want to include both in your strategy (Stories and feed images) but of the 800</t>
  </si>
  <si>
    <t>#skyalphabet, #skyalphabetsocial, #vancouver, #vancouverbc, #instavan, #digitalmarketing, #socialmedia, #vancouverbc, #vancouver, #yvr, #socialmedia, #socialmediamarketing, #socialmediadesign, #instajamvan, #instagrammarketing, #smm, #bcdigital, #vancitymarketing, #digitalmarketing, #instagrammarketing, #veryvancouver, #skyalphabetvancouver, #vancouverdigital, #skyalphabetsocial, #canada, #bcsocialmedia, #instagramdata, #digitalmarketingvancouver, #socialmediayvr, #socialmediavancouver, #vancouversocialmedia, #creativeproduction</t>
  </si>
  <si>
    <t>Tagged non-reel item (Static Photo) at grid position #180.</t>
  </si>
  <si>
    <t>Grid item #180. Discovered from Tagged page grid in sequential order.</t>
  </si>
  <si>
    <t>Discovered at visual grid position #225. Verified Ad Details URL. Format: Single Image Ad.</t>
  </si>
  <si>
    <t>Nos vamos el Lunes para Lisboa, Portugal 🇵🇹 Estuvimos en las 40 personas seleccionadas a nivel mundial por #Semrush para este entrenamiento, aprenderemos más cosas respecto a SEO y monitoreo de estrategias ✈️ #MDALatam #AprenderParaEmprender</t>
  </si>
  <si>
    <t>#Semrush, #MDALatam, #AprenderParaEmprender</t>
  </si>
  <si>
    <t>Tagged non-reel item (Static Photo) at grid position #181.</t>
  </si>
  <si>
    <t>Grid item #181. Discovered from Tagged page grid in sequential order.</t>
  </si>
  <si>
    <t>semrush, herewithsemrush, dsden</t>
  </si>
  <si>
    <t>Discovered at visual grid position #226. Verified Ad Details URL. Format: Single Image Ad.</t>
  </si>
  <si>
    <t>Hey Alexa, remind these fellas to watch Brene Brown on Netflix. 👀 . Thanks for talking to me about SEMRush for a hot second. As a blogger and marketer who continues to slowly grow, I’m on a search for improving my workflow and I’m finally at a place where I can use tools like SEMRush. 🔥 @travelbranyik @visitcripplecreek . PS. This pic is actually cute. . . . #semrush #herewithsemrush #dsden #trave</t>
  </si>
  <si>
    <t>#semrush, #herewithsemrush, #dsden, #travelbranyik</t>
  </si>
  <si>
    <t>Tagged non-reel item (Static Photo) at grid position #182.</t>
  </si>
  <si>
    <t>Grid item #182. Discovered from Tagged page grid in sequential order.</t>
  </si>
  <si>
    <t>https://adstransparency.google.com/advertiser/AR01693402396748677121/creative/CR18131561351846297601?region=anywhere</t>
  </si>
  <si>
    <t>Adesso devo trovare qualcosa di importante da scrivere. Grazie.</t>
  </si>
  <si>
    <t>Tagged non-reel item (Static Photo) at grid position #183.</t>
  </si>
  <si>
    <t>Grid item #183. Discovered from Tagged page grid in sequential order.</t>
  </si>
  <si>
    <t>Discovered at visual grid position #227. Verified Ad Details URL. Format: Single Image Ad.</t>
  </si>
  <si>
    <t>It's about sharing the knowledge you possess. It's about people you meet. It's about things you learn. . #meetup #prague #contentmarketing #semrush #redorbit #digital</t>
  </si>
  <si>
    <t>#meetup, #prague, #contentmarketing, #semrush, #redorbit, #digital</t>
  </si>
  <si>
    <t>Tagged non-reel item (Photo Carousel) at grid position #184.</t>
  </si>
  <si>
    <t>Grid item #184. Discovered from Tagged page grid in sequential order.</t>
  </si>
  <si>
    <t>#SEMrush ha ganado el premio a la Mejor herramienta SEO (Best #SEO Software Suite) en #EUSearchAwards 🏆 🎉</t>
  </si>
  <si>
    <t>#SEMrush, #SEO, #EUSearchAwards</t>
  </si>
  <si>
    <t>Tagged non-reel item (Static Photo) at grid position #185.</t>
  </si>
  <si>
    <t>Grid item #185. Discovered from Tagged page grid in sequential order.</t>
  </si>
  <si>
    <t>ClaruzDigital, FathersDay, Adoption</t>
  </si>
  <si>
    <t>Discovered at visual grid position #228. Verified Ad Details URL. Format: Single Image Ad.</t>
  </si>
  <si>
    <t>This Father's Day, let's not forget to wish the parents who gave a new way of life to their non-biological children!  Happy Father's Day!  #ClaruzDigital #FathersDay #Adoption #Acquisitions #DigitalDads</t>
  </si>
  <si>
    <t>#ClaruzDigital, #FathersDay, #Adoption, #Acquisitions, #DigitalDads</t>
  </si>
  <si>
    <t>Tagged non-reel item (Static Photo) at grid position #186.</t>
  </si>
  <si>
    <t>Grid item #186. Discovered from Tagged page grid in sequential order.</t>
  </si>
  <si>
    <t>Its time to shift your perspective on direct-to-consumer marketing and embrace the journey within it. • The customer experience begins the moment a consumer discovers a brand and continues through each interaction they share with it. • Brands today must create a seamless approach across their platforms that communicate a series of compelling and unique stories that drive deeper engagement and stre</t>
  </si>
  <si>
    <t>Discovered at visual grid position #229. Verified Ad Details URL. Format: Single Image Ad.</t>
  </si>
  <si>
    <t>https://adstransparency.google.com/advertiser/AR01693402396748677121/creative/CR07426566086251773953?region=anywhere</t>
  </si>
  <si>
    <t>#Followalong, #NeverStayStatic, #omnichannelmarketing, #easymarketing, #smallbusinesses, #growyourbrand, #brandgrowth, #seohelp, #socialgrowthmedia, #winebiz, #familywinery, #smallbuisness, #marketinganalytics</t>
  </si>
  <si>
    <t>Tagged non-reel item (Static Photo) at grid position #187.</t>
  </si>
  <si>
    <t>Grid item #187. Discovered from Tagged page grid in sequential order.</t>
  </si>
  <si>
    <t>@semrush has the questions and we have the answers! We participated in a quick Q&amp;A on Twitter about content strategy and analyses. Check out our latest tweets for more!  #lifeatBD</t>
  </si>
  <si>
    <t>#lifeatBD</t>
  </si>
  <si>
    <t>Tagged non-reel item (Static Photo) at grid position #188.</t>
  </si>
  <si>
    <t>Grid item #188. Discovered from Tagged page grid in sequential order.</t>
  </si>
  <si>
    <t>Discovered at visual grid position #230. Verified Ad Details URL. Format: Single Image Ad.</t>
  </si>
  <si>
    <t>🎙 Voice search is becoming more widely used, but how do you appear for a voice search answer!? • The kind folks at @semrush studied 50,000 queries to find patterns. • Swipe left for the study’s results!!</t>
  </si>
  <si>
    <t>Tagged non-reel item (Photo Carousel) at grid position #189.</t>
  </si>
  <si>
    <t>Grid item #189. Discovered from Tagged page grid in sequential order.</t>
  </si>
  <si>
    <t>Torino. 7 e 8 giugno 2019. . Sole, una città bellissima e un grande evento di web marketing. . Una prima esperienza, ricca di contenuti e di sorprese. Bravi per averci creduto, per aver portato per la prima volta un evento simile in questa città. . È stato un momento di condivisione e confronto, intimo come i primi eventi di web marketing di qualche anno fa, ma colmo di spunti che porto a casa e n</t>
  </si>
  <si>
    <t>#deegito2019, #deegito, #mydeegito, #digitalmarketing, #digitalturinfestival, #torino, #franchisingstrategy, #localmarketing, #eventi, #igerstorino</t>
  </si>
  <si>
    <t>Tagged non-reel item (Photo Carousel) at grid position #190.</t>
  </si>
  <si>
    <t>Grid item #190. Discovered from Tagged page grid in sequential order.</t>
  </si>
  <si>
    <t>Discovered at visual grid position #231. Verified Ad Details URL. Format: Single Image Ad.</t>
  </si>
  <si>
    <t>Instagram Story stickers have easily been one of the best developments the feature has had since it was released a few years back. And consider the number of updates and developments Stories have gotten since they’ve gone live, that’s impressive.  What I’m going to call “sticker effects” have now come to Instagram’s Story Ads, bringing interactivity to an ad format that previously really only was</t>
  </si>
  <si>
    <t>Tagged non-reel item (Static Photo) at grid position #191.</t>
  </si>
  <si>
    <t>Grid item #191. Discovered from Tagged page grid in sequential order.</t>
  </si>
  <si>
    <t>https://adstransparency.google.com/advertiser/AR01693402396748677121/creative/CR16431350993846796289?region=anywhere</t>
  </si>
  <si>
    <t>Discovered at visual grid position #232. Verified Ad Details URL. Format: Single Image Ad.</t>
  </si>
  <si>
    <t>Gli editori stanno creando dei modelli di riferimento errati che disorientano le ragazzine e i ragazzini ma talvolta è troppo spesso anche le famiglie. . Pensare che ci siano youtuber che pensano di mollare la scuola grazie ai primi guadagni che fanno o che ci siano adolescenti che hanno la velleità di diventare, in futuro, influencer, è allarmante. . Questi sono fenomeni che si esauriscono, hanno</t>
  </si>
  <si>
    <t>#aranzulla, #salvatorearanzulla, #deegito2019, #deegito, #mydeegito, #turindigitalfestival, #digitalmarketing, #influencermarketing, #verita</t>
  </si>
  <si>
    <t>Tagged non-reel item (Static Photo) at grid position #192.</t>
  </si>
  <si>
    <t>Grid item #192. Discovered from Tagged page grid in sequential order.</t>
  </si>
  <si>
    <t>Instagram is currently beta-testing an in-app checkout, and the brands participating in these test also have access to another great feature that’s currently being evaluated: product tagging from “Creators.” This will essentially give “influencers” the ability to tag the products that they’re wearing or using on Instagram, just like brands can currently tag their own with Shoppable Posts. This wil</t>
  </si>
  <si>
    <t>Discovered at visual grid position #233. Verified Ad Details URL. Format: Single Image Ad.</t>
  </si>
  <si>
    <t>Tagged non-reel item (Static Photo) at grid position #193.</t>
  </si>
  <si>
    <t>Grid item #193. Discovered from Tagged page grid in sequential order.</t>
  </si>
  <si>
    <t>SEMrush (@semrush) 👊 Sponsor Ufficiale di #Deegito2019 📊 Software di business intelligence e ricerca che fornisce tutti gli strumenti per ottenere ed elaborare dati sulle attività di marketing online di competitor e leader del settore. Dalla SEO al Content Management: un tool a 360° per i professionisti del marketing digitale. . . . #Deegito2019 #TurinDigitalFestival #Deegito #webmarketing #digita</t>
  </si>
  <si>
    <t>#Deegito2019, #Deegito2019, #TurinDigitalFestival, #Deegito, #webmarketing, #digitalmarketing, #marketingdigitale, #webfestival, #sponsor, #SEM, #SEO, #contentmanagement, #social, #eventiformativi, #eventitorino, #torino</t>
  </si>
  <si>
    <t>Tagged non-reel item (Static Photo) at grid position #194.</t>
  </si>
  <si>
    <t>Grid item #194. Discovered from Tagged page grid in sequential order.</t>
  </si>
  <si>
    <t>Discovered at visual grid position #234. Verified Ad Details URL. Format: Single Image Ad.</t>
  </si>
  <si>
    <t>Ieri abbiamo presentato a Ruffino uno dei Project Work della 6º edizione del Master in Digital Marketing - Piano di Comunicazione Strategico per il lancio del relais Ruffino.  L’analisi è stata fatta anche con i tool #semrush, Facebook audience insights e Social Baker. Dopo aver fatto un’analisi dei competitor, è stato elaborato un piano Digital che tenesse conto delle Personas, della strategia Se</t>
  </si>
  <si>
    <t>#semrush, #ruffino, #socialstrategy, #seo, #adv, #newsletter, #digitalpr, #personas, #contentmarketing, #masterdigitalmarketing, #projectwork, #communication, #brand, #brandawareness</t>
  </si>
  <si>
    <t>Tagged non-reel item (Photo Carousel) at grid position #195.</t>
  </si>
  <si>
    <t>https://adstransparency.google.com/advertiser/AR01693402396748677121/creative/CR17314572561132027905?region=anywhere</t>
  </si>
  <si>
    <t>Grid item #195. Discovered from Tagged page grid in sequential order.</t>
  </si>
  <si>
    <t>Oggi hanno bussato alla porta. Come potevamo non aprire a #SEMRUSH? 🤩  Il team c’ha svelato le ultime novità di piattaforma. Bam Bam 💥 . . #MocaInteractive @semrush #SEO #digitalmarketingagency</t>
  </si>
  <si>
    <t>#SEMRUSH, #MocaInteractive, #SEO, #digitalmarketingagency</t>
  </si>
  <si>
    <t>Tagged non-reel item (Photo Carousel) at grid position #196.</t>
  </si>
  <si>
    <t>Discovered at visual grid position #235. Verified Ad Details URL. Format: Single Image Ad.</t>
  </si>
  <si>
    <t>Grid item #196. Discovered from Tagged page grid in sequential order.</t>
  </si>
  <si>
    <t>SEO is a phenomenal way to create Organic (aka Free)🆓 traffic to your website.  For it to be successful though you need to do extensive research on your keywords and your competitor’s strategies.  Here are 3 tools I highly recommend and use daily to optimize 🚀 my SEO strategy.👍🏽 - - •••••••••••••••••••••••••••••••• 👉🏽Follow @simplysocial_agency 👉🏽Follow @simplysocial_agency •••••••••••••••••••••••</t>
  </si>
  <si>
    <t>#seo, #keywords, #keywordresearch, #seotools, #neilpatel, #blogging, #contentstrategy, #keywordstrategy, #marketingtips, #marketingexpert, #seoexpert, #marketingguru, #onlinemarketingstrategies, #internetmarketingtips, #ecommercebusiness, #startuptips, #keyword, #optimization, #contentmarketer, #contentcreator, #bloggersofinstagram, #onlinemarketingcoach, #organictraffic</t>
  </si>
  <si>
    <t>Tagged non-reel item (Static Photo) at grid position #197.</t>
  </si>
  <si>
    <t>Grid item #197. Discovered from Tagged page grid in sequential order.</t>
  </si>
  <si>
    <t>Discovered at visual grid position #236. Verified Ad Details URL. Format: Single Image Ad.</t>
  </si>
  <si>
    <t>Get More Website Traffic CrazyVisitors.com</t>
  </si>
  <si>
    <t>Tagged non-reel item (Static Photo) at grid position #198.</t>
  </si>
  <si>
    <t>Grid item #198. Discovered from Tagged page grid in sequential order.</t>
  </si>
  <si>
    <t>Wanna Love Your Job?</t>
  </si>
  <si>
    <t>Make the move! Join us as a Customer Onboarding Consultant with 6+ years of experience and fluent in Spanish.</t>
  </si>
  <si>
    <t>https://adstransparency.google.com/advertiser/AR01693402396748677121/creative/CR07663457859320938497?region=anywhere</t>
  </si>
  <si>
    <t>WERBUNG - EIGENWERBUNG  Negative SEO Attacken erkennen und Google Strafen überstehen... Jetzt zum Early Bird Preis bis 13. Juni 2019 im Buchladen (online und offline) als EBook. #werbung #ebook #seyboldseo #ahrefs #lrt #cognitiveseo #semrush</t>
  </si>
  <si>
    <t>#werbung, #ebook, #seyboldseo, #ahrefs, #lrt, #cognitiveseo, #semrush</t>
  </si>
  <si>
    <t>Tagged video reel discovered from Tagged grid position #199.</t>
  </si>
  <si>
    <t>Ran from Mar 14, 2026 to Mar 19, 2026</t>
  </si>
  <si>
    <t>Grid item #199. Discovered from Tagged page grid in sequential order.</t>
  </si>
  <si>
    <t>Discovered at visual grid position #237. Verified Ad Details URL. Format: Single Image Ad.</t>
  </si>
  <si>
    <t>Join Us Now!</t>
  </si>
  <si>
    <t>Massive day 2 at Retail Global, so proud to be sharing stories and experiences. It never gets old!!!</t>
  </si>
  <si>
    <t>Tagged non-reel item (Photo Carousel) at grid position #200.</t>
  </si>
  <si>
    <t>Grid item #200. Discovered from Tagged page grid in sequential order.</t>
  </si>
  <si>
    <t>Always the right choice #seo #seomeme #searchengineoptimization #semrush #client</t>
  </si>
  <si>
    <t>#seo, #seomeme, #searchengineoptimization, #semrush, #client</t>
  </si>
  <si>
    <t>Discovered at visual grid position #238. Verified Ad Details URL. Format: Single Image Ad.</t>
  </si>
  <si>
    <t>Tagged non-reel item (Static Photo) at grid position #201.</t>
  </si>
  <si>
    <t>Grid item #201. Discovered from Tagged page grid in sequential order.</t>
  </si>
  <si>
    <t>Content Marketing Meetup Greece  @semrush  #netbeegr #followthebee #digitaltransformation</t>
  </si>
  <si>
    <t>#netbeegr, #followthebee, #digitaltransformation</t>
  </si>
  <si>
    <t>Tagged non-reel item (Static Photo) at grid position #202.</t>
  </si>
  <si>
    <t>Grid item #202. Discovered from Tagged page grid in sequential order.</t>
  </si>
  <si>
    <t>Discovered at visual grid position #239. Verified Ad Details URL. Format: Single Image Ad.</t>
  </si>
  <si>
    <t>https://adstransparency.google.com/advertiser/AR01693402396748677121/creative/CR12348112073572483073?region=anywhere</t>
  </si>
  <si>
    <t>Digital Marketing Podcasts you should listen to 2019</t>
  </si>
  <si>
    <t>Tagged non-reel item (Photo Carousel) at grid position #203.</t>
  </si>
  <si>
    <t>Grid item #203. Discovered from Tagged page grid in sequential order.</t>
  </si>
  <si>
    <t>Looks like someone is excited to be at the @semrush event in Toronto today!! 🤪🏙 . . . . . .  #semrush #seo #event #searchengine #website #webdevelopment #webdev #toptalentcom #marketing #marketer #ceo #entrepreneur #entrepreneurlife #networking #learning #startup #success</t>
  </si>
  <si>
    <t>#semrush, #seo, #event, #searchengine, #website, #webdevelopment, #webdev, #toptalentcom, #marketing, #marketer, #ceo, #entrepreneur, #entrepreneurlife, #networking, #learning, #startup, #success</t>
  </si>
  <si>
    <t>Tagged non-reel item (Static Photo) at grid position #204.</t>
  </si>
  <si>
    <t>Grid item #204. Discovered from Tagged page grid in sequential order.</t>
  </si>
  <si>
    <t>Discovered at visual grid position #240. Verified Ad Details URL. Format: Single Image Ad.</t>
  </si>
  <si>
    <t>Boosting the Effectiveness of Your Ads with Twitter’s Ad Transparency Tools⁣ ⁣⁣ ⁣via @semrush ⁣ ⁣⁣ ⁣#digitalmarketing #socialmediamarketing #twitter #SEM</t>
  </si>
  <si>
    <t>Dreaming of your dream job? Be our new Senior Content Strategist and architect a multi-channel content experience for Semrush.</t>
  </si>
  <si>
    <t>#digitalmarketing, #socialmediamarketing, #twitter, #SEM</t>
  </si>
  <si>
    <t>Tagged non-reel item (Static Photo) at grid position #205.</t>
  </si>
  <si>
    <t>Grid item #205. Discovered from Tagged page grid in sequential order.</t>
  </si>
  <si>
    <t>Ran from Feb 21, 2026 to Mar 2, 2026</t>
  </si>
  <si>
    <t>📈 How to keep yourself in a constant hyper growth mindset &amp; doesn’t have it to be constant? This is the topic of EMERGE panel discussion on GROWTH stage moderated by Anna Lebedeva - Head of Growth Marketing @semrush 👥  Panel participants: George Robson - Product Owner @revolutapp, London Dmitro Bilash - Co-founder CaptainGrowth, Kiyv Gabor Kiss - Head of User Growth &amp; Analytics @wetransfer, Amster</t>
  </si>
  <si>
    <t>Discovered at visual grid position #241. Verified Ad Details URL. Format: Single Image Ad.</t>
  </si>
  <si>
    <t>#emergegang, #emergegang2019</t>
  </si>
  <si>
    <t>Tagged non-reel item (Static Photo) at grid position #206.</t>
  </si>
  <si>
    <t>Grid item #206. Discovered from Tagged page grid in sequential order.</t>
  </si>
  <si>
    <t>https://adstransparency.google.com/advertiser/AR01693402396748677121/creative/CR04601542276336844801?region=anywhere</t>
  </si>
  <si>
    <t>Boom.. Seo is closed today. #seo #semrush #seomeme #google #marketing #marketer</t>
  </si>
  <si>
    <t>#seo, #semrush, #seomeme, #google, #marketing, #marketer</t>
  </si>
  <si>
    <t>Tagged non-reel item (Static Photo) at grid position #207.</t>
  </si>
  <si>
    <t>Grid item #207. Discovered from Tagged page grid in sequential order.</t>
  </si>
  <si>
    <t>Ran from Mar 5, 2026 to Mar 20, 2026</t>
  </si>
  <si>
    <t>Discovered at visual grid position #242. Verified Ad Details URL. Format: Single Image Ad.</t>
  </si>
  <si>
    <t>I love my clients #seo #searchengineoptimization #marketer #semrush #sea #seomeme</t>
  </si>
  <si>
    <t>#seo, #searchengineoptimization, #marketer, #semrush, #sea, #seomeme</t>
  </si>
  <si>
    <t>Tagged non-reel item (Static Photo) at grid position #208.</t>
  </si>
  <si>
    <t>Grid item #208. Discovered from Tagged page grid in sequential order.</t>
  </si>
  <si>
    <t>So honored to guest host this week's #SEMrushchat! Thank YOU, @semrush!.. ... ... We will discuss 'how to use social media to grow one's brand?.' .. ... ... I will be sharing my 3-C model to build one's brand and talk a little about live streaming.. ... ... 📅 Wednesday, May 22, 11am EDT.. ... ... 🙋🏻‍♀️ Join us live if interested!.. ... ... #semrush #semrushchat #socialmediamarketing #socialmedia #</t>
  </si>
  <si>
    <t>#SEMrushchat, #semrush, #semrushchat, #socialmediamarketing, #socialmedia, #branding, #smallbusiness, #entrepreneurship, #education, #prprofs, #classroomwithoutwalls, #relationship</t>
  </si>
  <si>
    <t>Tagged non-reel item (Photo Carousel) at grid position #209.</t>
  </si>
  <si>
    <t>Discovered at visual grid position #243. Verified Ad Details URL. Format: Single Image Ad.</t>
  </si>
  <si>
    <t>Grid item #209. Discovered from Tagged page grid in sequential order.</t>
  </si>
  <si>
    <t>SEO, Video Marketing</t>
  </si>
  <si>
    <t>Shape the future of Tech! Be our new Senior Golang Developer.</t>
  </si>
  <si>
    <t>Delivering powerful digital media services that create engaging experiences to collect data, track behavior, and manage leads so you can make decisions for your business with confidence. www.BettyofBoston.com #RealEstate #Construction #Finance #Hospitality #Medical #CommercialRealEstate #DigitalMedia #WebDesign #SEO #SEM #Design</t>
  </si>
  <si>
    <t>#RealEstate, #Construction, #Finance, #Hospitality, #Medical, #CommercialRealEstate, #DigitalMedia, #WebDesign, #SEO, #SEM, #Design</t>
  </si>
  <si>
    <t>Tagged non-reel item (Static Photo) at grid position #210.</t>
  </si>
  <si>
    <t>Grid item #210. Discovered from Tagged page grid in sequential order.</t>
  </si>
  <si>
    <t>Ran from Mar 5, 2026 to Mar 12, 2026</t>
  </si>
  <si>
    <t>Discovered at visual grid position #244. Verified Ad Details URL. Format: Single Image Ad.</t>
  </si>
  <si>
    <t>SEO-Trainee.de - am 26. Mai wird unser legendärer Blog 9 Jahre alt!🎈 Das wollen wir kräftig mit Euch feiern.🥳 Macht bei unserem #mega Gewinnspiel im Wert von über 8.000 Euro mit, das Euch ✨einzigartige Preise✨ bietet. Kommentiert am Ende unseres Artikels, welchen Preis Ihr gewinnen wollt. Der Link befindet sich in unserer Bio.😎 Unter anderem zu gewinnen sind:  1x vollwertigen PRO-Zugang für zwölf</t>
  </si>
  <si>
    <t>#mega, #seotrainee, #seotraineebday, #seotraineegeburtstag, #seotraineehatgeburtstag, #artaxo, #artaxoseotrainee, #artaxoteam, #bestetrainees, #ichflippaus, #seogewinnspiel, #artaxolife</t>
  </si>
  <si>
    <t>Tagged non-reel item (Static Photo) at grid position #211.</t>
  </si>
  <si>
    <t>https://adstransparency.google.com/advertiser/AR01693402396748677121/creative/CR17156796877383925761?region=anywhere</t>
  </si>
  <si>
    <t>Grid item #211. Discovered from Tagged page grid in sequential order.</t>
  </si>
  <si>
    <t>#ContentMarketing involves creating &amp; sharing online material (such as #videos, #blogs, and #socialmediaposts). This specific #contentcreationstrategy does not explicitly promote your company's #brand but instead is intended to stimulate interest in its products or services. #SocialMedia is an integral part of content marketing.</t>
  </si>
  <si>
    <t>#ContentMarketing, #videos, #blogs, #socialmediaposts, #contentcreationstrategy, #brand, #SocialMedia</t>
  </si>
  <si>
    <t>Ran from Mar 6, 2026 to Mar 11, 2026</t>
  </si>
  <si>
    <t>Tagged non-reel item (Static Photo) at grid position #212.</t>
  </si>
  <si>
    <t>Discovered at visual grid position #245. Verified Ad Details URL. Format: Single Image Ad.</t>
  </si>
  <si>
    <t>Grid item #212. Discovered from Tagged page grid in sequential order.</t>
  </si>
  <si>
    <t>This is why we do #seo 🔎 . It is consistently the most under-appreciated, yet sought after skill set when it comes to marketing . Did you know 50% of ALL website traffic is generated by search? . Making sure your site comes up on the first page is vital to being relevant in a world 🌎 dominated by the phone 📲 . #seo #searchengineoptimization #facebook #facebookads #social #socialmediamarketing #sem</t>
  </si>
  <si>
    <t>#seo, #seo, #searchengineoptimization, #facebook, #facebookads, #social, #socialmediamarketing, #sem, #ppc, #emailmarketing, #email, #influencer, #influencermarketing, #influencers, #marketing, #advertising, #digitalmarketing, #instagrammarketing, #facebookmarketing, #searchenginemarketing</t>
  </si>
  <si>
    <t>Tagged non-reel item (Static Photo) at grid position #213.</t>
  </si>
  <si>
    <t>Grid item #213. Discovered from Tagged page grid in sequential order.</t>
  </si>
  <si>
    <t>Discovered at visual grid position #246. Verified Ad Details URL. Format: Single Image Ad.</t>
  </si>
  <si>
    <t>SEM leverages the power of search engines like Google to reach potential customers at the perfect time and place. Results are immediate with SEM. Also, the fastest way to drive traffic to a website. . . #SEM #website #traffic #byondbrandinn #digitalmarketing #research #content #socialmedia #snapchat #facebook #instagram #linkbuilding #offpageseo #googling #google #firstpage #endlesspossibilities #</t>
  </si>
  <si>
    <t>#SEM, #website, #traffic, #byondbrandinn, #digitalmarketing, #research, #content, #socialmedia, #snapchat, #facebook, #instagram, #linkbuilding, #offpageseo, #googling, #google, #firstpage, #endlesspossibilities, #websites, #development, #follow, #share, #like, #instalike, #lesson, #important, #mustfollow</t>
  </si>
  <si>
    <t>Tagged non-reel item (Static Photo) at grid position #214.</t>
  </si>
  <si>
    <t>https://adstransparency.google.com/advertiser/AR01693402396748677121/creative/CR03053507626156425217?region=anywhere</t>
  </si>
  <si>
    <t>Grid item #214. Discovered from Tagged page grid in sequential order.</t>
  </si>
  <si>
    <t>Un placer contribuir a la SEMrush Academy de @semrush @semrush_es •••••• Quieres ver el vídeo donde explico la funcionalidad de Análisis de tráfico❓ 🔥 Link en BIO ••••• #semrush #marketing #academy #digitalmarketing</t>
  </si>
  <si>
    <t>#semrush, #marketing, #academy, #digitalmarketing</t>
  </si>
  <si>
    <t>Tagged non-reel item (Static Photo) at grid position #215.</t>
  </si>
  <si>
    <t>Grid item #215. Discovered from Tagged page grid in sequential order.</t>
  </si>
  <si>
    <t>Ran from Mar 5, 2026 to Mar 19, 2026</t>
  </si>
  <si>
    <t>Discovered at visual grid position #247. Verified Ad Details URL. Format: Single Image Ad.</t>
  </si>
  <si>
    <t>Want to find clients with +$5,000/month retainer fees? Get the scoop on the latest state of the industry data? Learn practical strategies to instantly scale your agency with new services?🤩⠀⠀ ⠀⠀ Join the world's first conference on hyper-growth business strategies for marketing agencies! 🦄⠀⠀ ⠀⠀ We are excited to announce the FREE, ONLINE Marketing Growth Agency Accelerator Summit happening on May 1</t>
  </si>
  <si>
    <t>#marketing, #agencylife, #digitalmarketing, #advertising, #creativeagency, #agency, #digitalagency, #marketingagency, #hustle, #marketingdigital, #marketingstrategy, #marketingtips, #advertisingagency, #marketingagency</t>
  </si>
  <si>
    <t>Tagged non-reel item (Photo Carousel) at grid position #216.</t>
  </si>
  <si>
    <t>Grid item #216. Discovered from Tagged page grid in sequential order.</t>
  </si>
  <si>
    <t>MakeTheDecision, JUMPMAN</t>
  </si>
  <si>
    <t>Discovered at visual grid position #248. Verified Ad Details URL. Format: Single Image Ad.</t>
  </si>
  <si>
    <t>Had a great time shooting this commercial for @semrush More jumps coming soon!  #MakeTheDecision #JUMPMAN</t>
  </si>
  <si>
    <t>#MakeTheDecision, #JUMPMAN</t>
  </si>
  <si>
    <t>Tagged video reel discovered from Tagged grid position #217.</t>
  </si>
  <si>
    <t>Grid item #217. Discovered from Tagged page grid in sequential order.</t>
  </si>
  <si>
    <t>How to Sell CrazyVisitors.com</t>
  </si>
  <si>
    <t>Tagged non-reel item (Static Photo) at grid position #218.</t>
  </si>
  <si>
    <t>https://adstransparency.google.com/advertiser/AR01693402396748677121/creative/CR05942927976684322817?region=anywhere</t>
  </si>
  <si>
    <t>Grid item #218. Discovered from Tagged page grid in sequential order.</t>
  </si>
  <si>
    <t>Discovered at visual grid position #249. Verified Ad Details URL. Format: Single Image Ad.</t>
  </si>
  <si>
    <t>Nesse #StarWarsDay, diretamente de uma galáxia muito, muito distante trazemos uma lista dos personagens da franquia mais pesquisados na web!⠀ ⠀ Tem o estudo completo lá no #arrobanerd.⠀ ⠀ #maythe4thbewithyou ⠀ #MayThe4th #StarWarsDay #StarWarsBR  #StarWars</t>
  </si>
  <si>
    <t>#StarWarsDay, #arrobanerd, #maythe4thbewithyou, #MayThe4th, #StarWarsDay, #StarWarsBR, #StarWars</t>
  </si>
  <si>
    <t>Tagged non-reel item (Static Photo) at grid position #219.</t>
  </si>
  <si>
    <t>Grid item #219. Discovered from Tagged page grid in sequential order.</t>
  </si>
  <si>
    <t>Ran from Mar 4, 2026 to Mar 20, 2026</t>
  </si>
  <si>
    <t>Seerfest</t>
  </si>
  <si>
    <t>Discovered at visual grid position #250. Verified Ad Details URL. Format: Single Image Ad.</t>
  </si>
  <si>
    <t>Announcing #Seerfest 2019: We’re coming for you, Philly.  Link in bio to sign-up to be notified when Early Bird tickets go on sale 🎟. Limited seating - get on that list if you want in!</t>
  </si>
  <si>
    <t>#Seerfest</t>
  </si>
  <si>
    <t>Own your brand’s AI search narrative</t>
  </si>
  <si>
    <t>Tagged non-reel item (Photo Carousel) at grid position #220.</t>
  </si>
  <si>
    <t>Dominate your AI search visibility with AI Optimization from Semrush Enterprise</t>
  </si>
  <si>
    <t>Grid item #220. Discovered from Tagged page grid in sequential order.</t>
  </si>
  <si>
    <t>Case studies, examples and courses are among the most popular search topics. @semrush . .⠀ .⠀ #contentmarketing #research #digitalmarketing #seo</t>
  </si>
  <si>
    <t>Request Demo</t>
  </si>
  <si>
    <t>#contentmarketing, #research, #digitalmarketing, #seo</t>
  </si>
  <si>
    <t>Ran from Mar 4, 2026 to Apr 2, 2026</t>
  </si>
  <si>
    <t>Tagged non-reel item (Static Photo) at grid position #221.</t>
  </si>
  <si>
    <t>Discovered at visual grid position #251. Verified Ad Details URL. Format: Single Image Ad.</t>
  </si>
  <si>
    <t>Grid item #221. Discovered from Tagged page grid in sequential order.</t>
  </si>
  <si>
    <t>Corso #INDIVIDUALE #Digital / #SocialMarketing avanzato + #CERTIFICAZIONI  Sei un professionista? Questo corso allora è indispensabile per il tuo successo! Cerchi lavoro nel digitale e nel marketing? Sei allora nel posto giusto! Questo corso ti darà tutte le competenze professionali richieste dalle aziende e anche delle certificazione internazionali! Sei il titolare di un’azienda o un dirigente? L</t>
  </si>
  <si>
    <t>#INDIVIDUALE, #Digital, #SocialMarketing, #CERTIFICAZIONI, #marketer, #marketing, #socialmarketing, #social, #INBOUNDMARKETING2019, #inbound, #google, #Formazioneaziendale, #formazione, #aziende, #academy, #digitalstrategist, #corsoinglese, #ContentMarketing, #certifications, #certificazioni, #learning</t>
  </si>
  <si>
    <t>Tagged non-reel item (Static Photo) at grid position #222.</t>
  </si>
  <si>
    <t>Grid item #222. Discovered from Tagged page grid in sequential order.</t>
  </si>
  <si>
    <t>https://adstransparency.google.com/advertiser/AR01693402396748677121/creative/CR08723661851914665985?region=anywhere</t>
  </si>
  <si>
    <t>swag</t>
  </si>
  <si>
    <t>Discovered at visual grid position #252. Verified Ad Details URL. Format: Single Image Ad.</t>
  </si>
  <si>
    <t>Thanks to @semrush for my summer #swag</t>
  </si>
  <si>
    <t>#swag</t>
  </si>
  <si>
    <t>Tagged non-reel item (Static Photo) at grid position #223.</t>
  </si>
  <si>
    <t>Grid item #223. Discovered from Tagged page grid in sequential order.</t>
  </si>
  <si>
    <t>Valhall, SEMrushSearchAwards</t>
  </si>
  <si>
    <t>Hurra! I veckan fick @apartforlag pris för #Valhall-kampanjen på #SEMrushSearchAwards. Jag fick klä ut mig och mamma blev superstolt! Det var kul!</t>
  </si>
  <si>
    <t>#Valhall, #SEMrushSearchAwards</t>
  </si>
  <si>
    <t>Tagged non-reel item (Photo Carousel) at grid position #224.</t>
  </si>
  <si>
    <t>Grid item #224. Discovered from Tagged page grid in sequential order.</t>
  </si>
  <si>
    <t>Discovered at visual grid position #253. Verified Ad Details URL. Format: Single Image Ad.</t>
  </si>
  <si>
    <t>https://adstransparency.google.com/advertiser/AR01693402396748677121/creative/CR13297424640558235649?region=anywhere</t>
  </si>
  <si>
    <t>Our work with a long time client Praecom was chosen as the Best B2B Campaign at the SEMrush Nordic Awards. We feel grateful and proud. 🍾  A special thank you to Praecom for trusting us. #SEMrushAwards #markkinointi</t>
  </si>
  <si>
    <t>#SEMrushAwards, #markkinointi</t>
  </si>
  <si>
    <t>Tagged non-reel item (Static Photo) at grid position #225.</t>
  </si>
  <si>
    <t>Grid item #225. Discovered from Tagged page grid in sequential order.</t>
  </si>
  <si>
    <t>We had a great night at the @semrush Nordic Search Awards 2019. s360 took home the awards for Best Content Marketing Campaign and Best SEO Campaign for our work with Arla Foods. Video highlights in our Story 😊 #semrushawards #semrush #stockholmcityhall #searchmarketing #s360digital</t>
  </si>
  <si>
    <t>#semrushawards, #semrush, #stockholmcityhall, #searchmarketing, #s360digital</t>
  </si>
  <si>
    <t>Discovered at visual grid position #254. Verified Ad Details URL. Format: Single Image Ad.</t>
  </si>
  <si>
    <t>Tagged non-reel item (Photo Carousel) at grid position #226.</t>
  </si>
  <si>
    <t>Grid item #226. Discovered from Tagged page grid in sequential order.</t>
  </si>
  <si>
    <t>En la segunda franja del día, contamos con la presencia de Marc Cortés Socio y Consultor de @rocasalvatella que nos habló sobre los nuevos modelos de negocio en la economía digital y en paralelo Daniela Chaparro, Gerente General para @playgroundmag que nos argumentó porque es el momento de las historias. . . Continuamos con Carolina Castilla, Head AdSales @mercadolibrecol quien nos mostró  como es</t>
  </si>
  <si>
    <t>#marketingdigital, #publicidaddigital, #colombia, #estrategiadigital, #innovacion, #tecnologia, #marcas, #industriascreativas, #industriascreativasyculturales, #marketingdecontenidos</t>
  </si>
  <si>
    <t>Tagged non-reel item (Photo Carousel) at grid position #227.</t>
  </si>
  <si>
    <t>Grid item #227. Discovered from Tagged page grid in sequential order.</t>
  </si>
  <si>
    <t>Ran from Mar 6, 2026 to Mar 12, 2026</t>
  </si>
  <si>
    <t>Discovered at visual grid position #255. Verified Ad Details URL. Format: Single Image Ad.</t>
  </si>
  <si>
    <t>What you need to know about Google rankings in 2019.👉🏻 - Visit our latest post 🔗probella.com/blog. 🎯 _ _  Google rankings have been considered the holy grail of #SEO &amp; Digital Marketing for some time.  As the most used search engine in the world, the technology behemoth is responsible for directing the vast majority of searches to their intended destination. Though the significance of performing w</t>
  </si>
  <si>
    <t>#SEO, #Google, #contentcreator, #miamicontent, #marketingblog, #duplicatecontent, #marketingdigital, #digitalmarketing, #digitalmarketing, #miamiagency, #miamimarketing, #marketingmiami, #miamiadvertising, #miamilifestyle, #marketingguru, #marketingtips, #marketingmanager, #marketingislife, #marketinglifestyle, #digitalmarketinglife, #marketingagencylife, #marketingstrategy, #marketingstrategies, #onlinemarketingtips, #marketingcoach, #onlinemarketingstrategies</t>
  </si>
  <si>
    <t>Tagged non-reel item (Photo Carousel) at grid position #228.</t>
  </si>
  <si>
    <t>https://adstransparency.google.com/advertiser/AR01693402396748677121/creative/CR13973995651692756993?region=anywhere</t>
  </si>
  <si>
    <t>Grid item #228. Discovered from Tagged page grid in sequential order.</t>
  </si>
  <si>
    <t>Believe us it’s neither a workshop nor a seminar! It’s a fully packed 20 hours digital marketing training course with authorised certification at TNM Academy, Kannur just for the pricing of a workshop! Get your seat booked now. Call +917902442222. Note: we have dedicated female faculty for our female students. #digitalmarketing #opportunity #class #course #certificate #marketing #socialmediamarket</t>
  </si>
  <si>
    <t>#digitalmarketing, #opportunity, #class, #course, #certificate, #marketing, #socialmediamarketing, #socialmediacoach, #socialmediaguru, #googleads, #adwords, #analytics, #google, #facebook, #twitter, #pinterest, #seo, #sem, #ppc, #campaign, #design</t>
  </si>
  <si>
    <t>Tagged non-reel item (Static Photo) at grid position #229.</t>
  </si>
  <si>
    <t>Discovered at visual grid position #256. Verified Ad Details URL. Format: Single Image Ad.</t>
  </si>
  <si>
    <t>Grid item #229. Discovered from Tagged page grid in sequential order.</t>
  </si>
  <si>
    <t>Tagged non-reel item (Static Photo) at grid position #230.</t>
  </si>
  <si>
    <t>Grid item #230. Discovered from Tagged page grid in sequential order.</t>
  </si>
  <si>
    <t>https://adstransparency.google.com/advertiser/AR01693402396748677121/creative/CR10069680988750872577?region=anywhere</t>
  </si>
  <si>
    <t>Discovered at visual grid position #257. Verified Ad Details URL. Format: Single Image Ad.</t>
  </si>
  <si>
    <t>Prosperity Media Director James Norquay sharing his top SEO and Digital Marketing Tips with the audience at @digitalmarketersaus conference. With @ahrefscom &amp; @semrush also on the panel. Some tips included - Writing long form relevant content 5x what competitors are doing, optimising local listings, using local numbers on Google My Business, doing in-depth keyword research, focusing on quality lin</t>
  </si>
  <si>
    <t>#SEO, #digitalmarketing, #sydneySEO, #ahrefs, #semrush, #digitalmarketingagency</t>
  </si>
  <si>
    <t>Tagged non-reel item (Photo Carousel) at grid position #231.</t>
  </si>
  <si>
    <t>Grid item #231. Discovered from Tagged page grid in sequential order.</t>
  </si>
  <si>
    <t>Próximamente</t>
  </si>
  <si>
    <t>🔥 #Próximamente estaremos publicando la página del 🚀 Congreso Online sobre Embudos de Ventas Inmobiliarios 🚀 que será este 05 de Junio de 2019.  Así que pendiente!!! ⏰</t>
  </si>
  <si>
    <t>#Próximamente</t>
  </si>
  <si>
    <t>Tagged non-reel item (Static Photo) at grid position #232.</t>
  </si>
  <si>
    <t>Grid item #232. Discovered from Tagged page grid in sequential order.</t>
  </si>
  <si>
    <t>Discovered at visual grid position #258. Verified Ad Details URL. Format: Single Image Ad.</t>
  </si>
  <si>
    <t>🗓 26-27 апреля 2019 / HR API @hrapiconf  Спикер: 👤​​ Наталья Килимова / SEMrush @semrush / Россия. Санкт-Петербург  Тема: 📋 Как влияет design-код компании на показатель 'Еmployee satisfaction'  В момент, когда бизнес начинает активно развиваться, расти и приносить деньги, cамое время задуматься об обустройстве офисного пространства. А в случае, если офисы открываются в разных уголках земного шара,</t>
  </si>
  <si>
    <t>#HRAPI, #спикерыHRAPI2019, #ITHR, #semrush, #employeesatisfaction</t>
  </si>
  <si>
    <t>Tagged non-reel item (Static Photo) at grid position #233.</t>
  </si>
  <si>
    <t>Grid item #233. Discovered from Tagged page grid in sequential order.</t>
  </si>
  <si>
    <t>https://adstransparency.google.com/advertiser/AR01693402396748677121/creative/CR02818283056312352769?region=anywhere</t>
  </si>
  <si>
    <t>Our @brightonseo vlog is up on our YouTube channel! Find the link in bio and give us some love 🙏🏼💚 #digitalmarketing #digitalmarketingagency #brightonseo #seo #outreach #linkbuilding #linkbuildingseo #vlog #youtube #video</t>
  </si>
  <si>
    <t>#digitalmarketing, #digitalmarketingagency, #brightonseo, #seo, #outreach, #linkbuilding, #linkbuildingseo, #vlog, #youtube, #video</t>
  </si>
  <si>
    <t>Tagged non-reel item (Static Photo) at grid position #234.</t>
  </si>
  <si>
    <t>Grid item #234. Discovered from Tagged page grid in sequential order.</t>
  </si>
  <si>
    <t>Ran from Mar 6, 2026 to Mar 19, 2026</t>
  </si>
  <si>
    <t>Discovered at visual grid position #259. Verified Ad Details URL. Format: Single Image Ad.</t>
  </si>
  <si>
    <t>Weekly Wisdom with Andrea D’Ottavio: Instagram Marketing Practical Tips⁣ ⁣⁣ ⁣via @semrush ⁣ ⁣⁣ ⁣#digitalmarketing #inboundmarketing #lead #socialmedia #socialmediatips #socialmediamarketing #instagram #influencer #influencermarketing #influenster</t>
  </si>
  <si>
    <t>#digitalmarketing, #inboundmarketing, #lead, #socialmedia, #socialmediatips, #socialmediamarketing, #instagram, #influencer, #influencermarketing, #influenster</t>
  </si>
  <si>
    <t>Tagged non-reel item (Static Photo) at grid position #235.</t>
  </si>
  <si>
    <t>Grid item #235. Discovered from Tagged page grid in sequential order.</t>
  </si>
  <si>
    <t>Discovered at visual grid position #260. Verified Ad Details URL. Format: Single Image Ad.</t>
  </si>
  <si>
    <t>Sin duda alguna que Link Building es uno de los elementos que nos puede ayudar mucho al posicionamiento SEO, el detalle es que muchos utilizan esta técnica y suelen caer en algunos errores.⠀ ⠀ El listado de errores que podemos encontrar es el siguiente:⠀ ⠀ ❌Decantarnos por la cantidad en lugar de centrarnos en la calidad.⠀ ❌Enlazar únicamente a la página de inicio o principal.⠀ ❌Recibir númerosos</t>
  </si>
  <si>
    <t>#fernandoSEMrush</t>
  </si>
  <si>
    <t>Tagged non-reel item (Static Photo) at grid position #236.</t>
  </si>
  <si>
    <t>Grid item #236. Discovered from Tagged page grid in sequential order.</t>
  </si>
  <si>
    <t>https://adstransparency.google.com/advertiser/AR01693402396748677121/creative/CR04342375497200566273?region=anywhere</t>
  </si>
  <si>
    <t>Track visibility, sources, and sentiment in-depth to improve your AI search visibility</t>
  </si>
  <si>
    <t>😉🎯💼 You gotta see it to believe it!  #digitalmarketing</t>
  </si>
  <si>
    <t>#digitalmarketing</t>
  </si>
  <si>
    <t>Tagged video reel discovered from Tagged grid position #237.</t>
  </si>
  <si>
    <t>Grid item #237. Discovered from Tagged page grid in sequential order.</t>
  </si>
  <si>
    <t>Discovered at visual grid position #261. Verified Ad Details URL. Format: Single Image Ad.</t>
  </si>
  <si>
    <t>Life of SEO . — Follow @marketingpanda_ for more... . . . . . . . #seo #searchengineoptimization #searchmarketing #searchenginemarketing #serp #digitalmarketing #onlinmarketing #marketingonline #marketing #business #startups #entrepreneur #entrepreneurship #b2b #website #seotips #marketingstrategy #businessstrategy #marketingtips #freelancer #socialmediamanager #raktimjnath #postoftheday #potd #st</t>
  </si>
  <si>
    <t>#seo, #searchengineoptimization, #searchmarketing, #searchenginemarketing, #serp, #digitalmarketing, #onlinmarketing, #marketingonline, #marketing, #business, #startups, #entrepreneur, #entrepreneurship, #b2b, #website, #seotips, #marketingstrategy, #businessstrategy, #marketingtips, #freelancer, #socialmediamanager, #raktimjnath, #postoftheday, #potd, #startup, #contentmarketing, #linkbuilding, #marketingpanda</t>
  </si>
  <si>
    <t>Tagged non-reel item (Static Photo) at grid position #238.</t>
  </si>
  <si>
    <t>Grid item #238. Discovered from Tagged page grid in sequential order.</t>
  </si>
  <si>
    <t>Der Komplett-Leitfaden: Wie Sie Suchintentionen erkennen  via @semrush  #SEO #localSEO #SEM #SEA #SERPs #suchmaschinenoptimierung #suchmaschinen  #digitalmarketing</t>
  </si>
  <si>
    <t>#SEO, #localSEO, #SEM, #SEA, #SERPs, #suchmaschinenoptimierung, #suchmaschinen, #digitalmarketing</t>
  </si>
  <si>
    <t>https://adstransparency.google.com/advertiser/AR01693402396748677121/creative/CR05387930241110900737?region=anywhere</t>
  </si>
  <si>
    <t>Tagged non-reel item (Static Photo) at grid position #239.</t>
  </si>
  <si>
    <t>Discovered at visual grid position #262. Verified Ad Details URL. Format: Single Image Ad.</t>
  </si>
  <si>
    <t>Grid item #239. Discovered from Tagged page grid in sequential order.</t>
  </si>
  <si>
    <t>It's simple. If you need more #webtraffic, then you need these 10 tools. . Wondering who made the list? We've got @linktr.ee @semrush @mailerlite @adroll @hootsuite @filmora_editor &amp; more! . Full list is live now at aimtell.com! . . #websitetraffic#traffic#blog#blogpost#newblog#marketing#digitalmarketing#socialmedia#socialmediamarketing#smm#growthhacking#webpush#email#instagram#linktree#analytics#</t>
  </si>
  <si>
    <t>#webtraffic, #websitetraffic, #traffic, #blog, #blogpost, #newblog, #marketing, #digitalmarketing, #socialmedia, #socialmediamarketing, #smm, #growthhacking, #webpush, #email, #instagram, #linktree, #analytics, #semrush, #mailerlite, #aimtell, #adroll, #retargeting, #remarketing, #hootsuite, #videomarketing, #filmora, #buzzsumo, #alexa, #seo</t>
  </si>
  <si>
    <t>Tagged non-reel item (Static Photo) at grid position #240.</t>
  </si>
  <si>
    <t>Grid item #240. Discovered from Tagged page grid in sequential order.</t>
  </si>
  <si>
    <t>HRAPI, спикерыhrapi2019, semrush</t>
  </si>
  <si>
    <t>Discovered at visual grid position #263. Verified Ad Details URL. Format: Single Image Ad.</t>
  </si>
  <si>
    <t>🗓 26-27 апреля 2019 / HR API @hrapiconf  Спикер: 👤 Дмитрий Дуванов / SEMrush @semrush / Россия. Санкт-Петербург  Тема: 📋 Рекрутмент в плоской компании. Кто виноват и что делать?  В компании SEMrush решение о подборе принимает целая команда. Нужно учесть мнение каждого, никого нельзя забыть. В рамках доклада рассмотрим несколько вечных для такой ситуации вопросов: - как настроить эффективный процес</t>
  </si>
  <si>
    <t>#HRAPI, #спикерыhrapi2019, #semrush, #semrushpeople, #recruitment, #ithr</t>
  </si>
  <si>
    <t>Tagged non-reel item (Static Photo) at grid position #241.</t>
  </si>
  <si>
    <t>https://adstransparency.google.com/advertiser/AR01693402396748677121/creative/CR03640791558606815233?region=anywhere</t>
  </si>
  <si>
    <t>Grid item #241. Discovered from Tagged page grid in sequential order.</t>
  </si>
  <si>
    <t>Discovered at visual grid position #264. Verified Ad Details URL. Format: Single Image Ad.</t>
  </si>
  <si>
    <t>Besoin de booster votre trafic ? 🚀  Votre site web n'est pas visible et vous souhaitez changer ça.  La première application automatisée d'acquisition en ligne vous permettra de remonter au classement Google.  Simple et gratuit vous pourrez dépasser vos concurrents en un rien de temps ! 🥇  https://www.octopulse.io/ 👈🏼 #SEO #digitalmarketing #SMM #marketingonline #business</t>
  </si>
  <si>
    <t>#SEO, #digitalmarketing, #SMM, #marketingonline, #business</t>
  </si>
  <si>
    <t>Tagged non-reel item (Static Photo) at grid position #242.</t>
  </si>
  <si>
    <t>Grid item #242. Discovered from Tagged page grid in sequential order.</t>
  </si>
  <si>
    <t>Innovate With Us!</t>
  </si>
  <si>
    <t>Excited to try something new? Then come take on the role of Programmatic &amp; Display Lead.</t>
  </si>
  <si>
    <t>The New Season is Coming: Newsjacking the Top TV Series with SEMrush  via @semrush  #LocalSEO #SEO #SEM  #keywords #digitalmarketing #SEA</t>
  </si>
  <si>
    <t>#LocalSEO, #SEO, #SEM, #keywords, #digitalmarketing, #SEA</t>
  </si>
  <si>
    <t>Tagged non-reel item (Static Photo) at grid position #243.</t>
  </si>
  <si>
    <t>Grid item #243. Discovered from Tagged page grid in sequential order.</t>
  </si>
  <si>
    <t>Ran from Feb 12, 2026 to Feb 26, 2026</t>
  </si>
  <si>
    <t>Discovered at visual grid position #265. Verified Ad Details URL. Format: Single Image Ad.</t>
  </si>
  <si>
    <t>https://adstransparency.google.com/advertiser/AR01693402396748677121/creative/CR03299414020183818241?region=anywhere</t>
  </si>
  <si>
    <t>A Guide To Boosting Google Display Network Performance  via @semrush  #LocalSEO #SEO #SEM #digitalmarketing #SEA #Paidsearch #Googleads</t>
  </si>
  <si>
    <t>#LocalSEO, #SEO, #SEM, #digitalmarketing, #SEA, #Paidsearch, #Googleads</t>
  </si>
  <si>
    <t>Tagged non-reel item (Static Photo) at grid position #244.</t>
  </si>
  <si>
    <t>Grid item #244. Discovered from Tagged page grid in sequential order.</t>
  </si>
  <si>
    <t>Make the move! Become our new Senior Accountant with a strong knowledge of US GAAP.</t>
  </si>
  <si>
    <t>SEO, Content Marketing</t>
  </si>
  <si>
    <t>@fernando1angulo from @semrush speaking about Google’s Rich SEO Content 🔥 sooo many actionable techniques!</t>
  </si>
  <si>
    <t>Discovered at visual grid position #266. Verified Ad Details URL. Format: Single Image Ad.</t>
  </si>
  <si>
    <t>Tagged non-reel item (Photo Carousel) at grid position #245.</t>
  </si>
  <si>
    <t>Grid item #245. Discovered from Tagged page grid in sequential order.</t>
  </si>
  <si>
    <t>Build your lead generation chatbot today! Build and launch in 20 minutes or less. View Pricing Details.  #business_directory #advertisingagency #lead #lead_generation #free_leads #paid_directory_listings #persian_business 🔑  Adding your website to directories can offer several benefits:  1. **Improved Visibility:**  - Directories provide an additional platform for users to discover your website, i</t>
  </si>
  <si>
    <t>#business_directory, #advertisingagency, #lead, #lead_generation, #free_leads, #paid_directory_listings, #persian_business</t>
  </si>
  <si>
    <t>Tagged non-reel item (Static Photo) at grid position #246.</t>
  </si>
  <si>
    <t>https://adstransparency.google.com/advertiser/AR01693402396748677121/creative/CR16547814907593097217?region=anywhere</t>
  </si>
  <si>
    <t>Grid item #246. Discovered from Tagged page grid in sequential order.</t>
  </si>
  <si>
    <t>Ran from Feb 20, 2026 to Mar 11, 2026</t>
  </si>
  <si>
    <t>Discovered at visual grid position #267. Verified Ad Details URL. Format: Single Image Ad.</t>
  </si>
  <si>
    <t>6 Tools that have been a complete game changer in the Digital Marketing Industry. - There inclusion didn't have relative impact, we are talking about paradigm shift here. 📈 - COMMENT THE TOOL WHICH YOU ABSOLUTELY CANNOT LIVE WITHOUT - #digitalmarketing #webmarketing #digitalmarketingtools #marketingonline #marketingdigital #mailchimp #emailmarketing #leadgeneration #automationtools #marketingnerd</t>
  </si>
  <si>
    <t>#digitalmarketing, #webmarketing, #digitalmarketingtools, #marketingonline, #marketingdigital, #mailchimp, #emailmarketing, #leadgeneration, #automationtools, #marketingnerd, #hustle, #nomore9t05, #garyvee, #garyveequotes, #decodedigitalmarket, #seo, #socialmediaexpert, #socialmediamarketing</t>
  </si>
  <si>
    <t>Tagged non-reel item (Photo Carousel) at grid position #247.</t>
  </si>
  <si>
    <t>Grid item #247. Discovered from Tagged page grid in sequential order.</t>
  </si>
  <si>
    <t>Join Us Now</t>
  </si>
  <si>
    <t>Ready for something big? Then come work as a Security Compliance Specialist for us!</t>
  </si>
  <si>
    <t>HUGE THANK YOU GUYS! Thanks everyone for coming today! IT’S been INCREDIBLE! ⚡️🔥😍❤️ #digitalolympus #digitalmarketingconference #digitalconference #digitalolympusevent</t>
  </si>
  <si>
    <t>#digitalolympus, #digitalmarketingconference, #digitalconference, #digitalolympusevent</t>
  </si>
  <si>
    <t>Tagged non-reel item (Static Photo) at grid position #248.</t>
  </si>
  <si>
    <t>Ran from Feb 19, 2026 to Mar 5, 2026</t>
  </si>
  <si>
    <t>Grid item #248. Discovered from Tagged page grid in sequential order.</t>
  </si>
  <si>
    <t>Discovered at visual grid position #268. Verified Ad Details URL. Format: Single Image Ad.</t>
  </si>
  <si>
    <t>https://adstransparency.google.com/advertiser/AR01693402396748677121/creative/CR17300299044777623553?region=anywhere</t>
  </si>
  <si>
    <t>@fernando1angulo at #digitalolympusevent 🔥🔥 @semrush @semrush_es @semrush_people @semrush_cz 💗  #digitalmarketingconference #digitalconference #digitalolympusevent #digitalolympus #semrush</t>
  </si>
  <si>
    <t>#digitalolympusevent, #digitalmarketingconference, #digitalconference, #digitalolympusevent, #digitalolympus, #semrush</t>
  </si>
  <si>
    <t>Tagged video reel discovered from Tagged grid position #249.</t>
  </si>
  <si>
    <t>Grid item #249. Discovered from Tagged page grid in sequential order.</t>
  </si>
  <si>
    <t>Ran from Feb 18, 2026 to Mar 20, 2026</t>
  </si>
  <si>
    <t>Discovered at visual grid position #269. Verified Ad Details URL. Format: Single Image Ad.</t>
  </si>
  <si>
    <t>Throwback to a couple weeks ago when our team hung out with all the incredible people at #SMMW19! . . . #socialmediamarketing #smmw20 #socialmedia #socialmediamarketer #socialmedialife #socialmediamanager #socialmediacampaign #socialmediatools #socialmediadesign #saas #socialmediatools #onlinecourses</t>
  </si>
  <si>
    <t>#SMMW19, #socialmediamarketing, #smmw20, #socialmedia, #socialmediamarketer, #socialmedialife, #socialmediamanager, #socialmediacampaign, #socialmediatools, #socialmediadesign, #saas, #socialmediatools, #onlinecourses</t>
  </si>
  <si>
    <t>Tagged non-reel item (Static Photo) at grid position #250.</t>
  </si>
  <si>
    <t>Grid item #250. Discovered from Tagged page grid in sequential order.</t>
  </si>
  <si>
    <t>https://adstransparency.google.com/advertiser/AR01693402396748677121/creative/CR05861029753577799681?region=anywhere</t>
  </si>
  <si>
    <t>Tagged non-reel item (Static Photo) at grid position #251.</t>
  </si>
  <si>
    <t>Grid item #251. Discovered from Tagged page grid in sequential order.</t>
  </si>
  <si>
    <t>Super stoked to join this panel lineup hosted by @semrush On 👉“How to Launch 🚀 and Promote a Product with Social Media in 2019”  What if you could simplify your next product launch, using social media to foster engagement, interaction, and eventual purchases? You can!! I’m excited to dive into this with SEMrush as well as this super smartie panel to answer your questions!  Join @rebekahradice @mrl</t>
  </si>
  <si>
    <t>#socialmediamarketing, #relationshipmarketing, #buildrelationships, #seo, #sem, #cx, #cem, #business, #marketing</t>
  </si>
  <si>
    <t>Tagged non-reel item (Static Photo) at grid position #252.</t>
  </si>
  <si>
    <t>Discovered at visual grid position #270. Verified Ad Details URL. Format: Single Image Ad.</t>
  </si>
  <si>
    <t>Grid item #252. Discovered from Tagged page grid in sequential order.</t>
  </si>
  <si>
    <t>CrazyVisitors.com Website Traffic</t>
  </si>
  <si>
    <t>Tagged non-reel item (Static Photo) at grid position #253.</t>
  </si>
  <si>
    <t>https://adstransparency.google.com/advertiser/AR01693402396748677121/creative/CR01380828558280097793?region=anywhere</t>
  </si>
  <si>
    <t>Grid item #253. Discovered from Tagged page grid in sequential order.</t>
  </si>
  <si>
    <t>Discovered at visual grid position #271. Verified Ad Details URL. Format: Single Image Ad.</t>
  </si>
  <si>
    <t>C O M M U N I T Y 🙌🏼 What does that word mean to you? . Don't think deeply about it; just tell me whatever random ideas or words come into your head when you think about 'Community'. For me it means:- . 🧡  Strength 🧡  Support 🧡  Sharing 🧡  Understanding 🧡  Collaboration 🧡  Nurturing 🧡  Selflessness 🧡  Giving . I can't think of one negative word associated with 'community'. . It's tough being a sta</t>
  </si>
  <si>
    <t>#CMWorld, #SocialROI, #smechat, #Digital360Chat, #TwitterSmarter, #SEMRushChat, #communitysupport, #communitybuilding, #businesscommunity, #successinbusiness, #businessinspiration, #womeninbusiness, #growyourbusinessonline, #businesstips101, #entrepreneurslife, #smallbusinesslife, #indiebusiness, #solopreneurs, #adviceoftheday, #growyourbrand, #femaleentrepreneurs, #businessnetwork, #networking, #instamotivation, #starttheweekright, #gloucestershire, #cheltenhamwomeninbusiness</t>
  </si>
  <si>
    <t>Tagged non-reel item (Static Photo) at grid position #254.</t>
  </si>
  <si>
    <t>Grid item #254. Discovered from Tagged page grid in sequential order.</t>
  </si>
  <si>
    <t>¡16 horas intensivas de puro #SEO aplicado a content marketing en inbound! 👨🏻‍💻 GRACIAS a todos nuestros estudiantes!!❤️❤️ Esperamos que hayan aprendido muchas cosas nuevas para aplicar en todos sus proyectos🤓 . . . .  #inbound #marketingdigital #marketing #seo #digital #socialmedia #bogota #trends #ads #advertising #media #redessociales #inboundmarketing #publicidad #google #workshop #entrepreneu</t>
  </si>
  <si>
    <t>#SEO, #inbound, #marketingdigital, #marketing, #seo, #digital, #socialmedia, #bogota, #trends, #ads, #advertising, #media, #redessociales, #inboundmarketing, #publicidad, #google, #workshop, #entrepreneur, #innovation, #seoweekend, #weekend, #strategist, #agencia, #work, #content, #lifestyle, #life, #friends, #learn, #startup, #business</t>
  </si>
  <si>
    <t>Tagged non-reel item (Static Photo) at grid position #255.</t>
  </si>
  <si>
    <t>Grid item #255. Discovered from Tagged page grid in sequential order.</t>
  </si>
  <si>
    <t>Discovered at visual grid position #272. Verified Ad Details URL. Format: Single Image Ad.</t>
  </si>
  <si>
    <t>Podcasts are great resources to get your fill of the latest marketing trends, insights, and tips. Regardless of your expertise in marketing, you’ll find something useful in the podcasts listed here. - Marketing School with @neilpatel @ericosiu  The GaryVee Audio Experience @garyvee  @smexaminer Podcast Perpetual Traffic by @digitalmarketer - Marketing Scoop Podcast by @semrush</t>
  </si>
  <si>
    <t>Tagged non-reel item (Static Photo) at grid position #256.</t>
  </si>
  <si>
    <t>Grid item #256. Discovered from Tagged page grid in sequential order.</t>
  </si>
  <si>
    <t>https://adstransparency.google.com/advertiser/AR01693402396748677121/creative/CR11030916659828228097?region=anywhere</t>
  </si>
  <si>
    <t>Discovered at visual grid position #273. Verified Ad Details URL. Format: Single Image Ad.</t>
  </si>
  <si>
    <t>A oitava edição do festival Lollapalooza se aproxima e junto com ela, a ansiedade do público aumenta. O evento será realizado em São Paulo, nos dias 5, 6 e 7 de abril. Para entender quais são as atrações mais aguardadas – de acordo com a internet – a SEMrush, empresa líder global em marketing digital, preparou um levantamento com todos os artistas que vão se apresentar no festival. Foto: Gabryel S</t>
  </si>
  <si>
    <t>#lollapalooza, #iza, #samsmith, #r, #acontececuritiba, #Semrush, #show, #festival, #música</t>
  </si>
  <si>
    <t>Tagged non-reel item (Static Photo) at grid position #257.</t>
  </si>
  <si>
    <t>Grid item #257. Discovered from Tagged page grid in sequential order.</t>
  </si>
  <si>
    <t>#DidYouKnow 79% of people online, use Facebook. Don't miss out on reaching across to billions of people, set up the Facebook page for your business and start advertising today with #MediaQart ! See our easy tutorial video to learn how Website link. In description  #FacebookAdvertising #InstagramAdvertising #DigitalAdvertising</t>
  </si>
  <si>
    <t>#DidYouKnow, #MediaQart, #FacebookAdvertising, #InstagramAdvertising, #DigitalAdvertising</t>
  </si>
  <si>
    <t>Tagged non-reel item (Static Photo) at grid position #258.</t>
  </si>
  <si>
    <t>Discovered at visual grid position #274. Verified Ad Details URL. Format: Single Image Ad.</t>
  </si>
  <si>
    <t>Grid item #258. Discovered from Tagged page grid in sequential order.</t>
  </si>
  <si>
    <t>@semrush just debuted their new custom 10x20 trade show exhibit at the Social Media Marketing World Expo! This thing turned out amazing! We love the monitors, the led lighting under the shelves, the backlit logo, the orange color, it all came together perfectly. Make sure to look at the last photo showing the rendering and how spot on the actual booth turned out to be! Crushed it! #tradeshowempori</t>
  </si>
  <si>
    <t>#tradeshowemporium, #semrush, #customtradeshowbooth, #smmw19</t>
  </si>
  <si>
    <t>https://adstransparency.google.com/advertiser/AR01693402396748677121/creative/CR10674780445545070593?region=anywhere</t>
  </si>
  <si>
    <t>Tagged non-reel item (Photo Carousel) at grid position #259.</t>
  </si>
  <si>
    <t>Grid item #259. Discovered from Tagged page grid in sequential order.</t>
  </si>
  <si>
    <t>smmw19, mytribemyvibe, workhardplayhard</t>
  </si>
  <si>
    <t>Discovered at visual grid position #275. Verified Ad Details URL. Format: Single Image Ad.</t>
  </si>
  <si>
    <t>it’s the most wonderful time of the year. . . #smmw19 #mytribemyvibe #workhardplayhard #dowhatyoulovetodo #traveltimes #sandiegocalifornia #passionprojects</t>
  </si>
  <si>
    <t>#smmw19, #mytribemyvibe, #workhardplayhard, #dowhatyoulovetodo, #traveltimes, #sandiegocalifornia, #passionprojects</t>
  </si>
  <si>
    <t>Tagged non-reel item (Photo Carousel) at grid position #260.</t>
  </si>
  <si>
    <t>Grid item #260. Discovered from Tagged page grid in sequential order.</t>
  </si>
  <si>
    <t>New Job, New Adventure</t>
  </si>
  <si>
    <t>Want to shape the future of tech? Join us as a Senior Backend Developer!</t>
  </si>
  <si>
    <t>Such an awesome booth at #smmw19 you need to check them out @semrush . . #semrush #socialmedia #content #seo #trafficanalytics #ppc #compectitiveresearch</t>
  </si>
  <si>
    <t>#smmw19, #semrush, #socialmedia, #content, #seo, #trafficanalytics, #ppc, #compectitiveresearch</t>
  </si>
  <si>
    <t>Tagged non-reel item (Static Photo) at grid position #261.</t>
  </si>
  <si>
    <t>Grid item #261. Discovered from Tagged page grid in sequential order.</t>
  </si>
  <si>
    <t>Discovered at visual grid position #276. Verified Ad Details URL. Format: Single Image Ad.</t>
  </si>
  <si>
    <t>smmw19, semrush</t>
  </si>
  <si>
    <t>https://adstransparency.google.com/advertiser/AR01693402396748677121/creative/CR17019296789347434497?region=anywhere</t>
  </si>
  <si>
    <t>Party was LIT last night!!! 🔥🔥🔥 #smmw19 #semrush</t>
  </si>
  <si>
    <t>#smmw19, #semrush</t>
  </si>
  <si>
    <t>Tagged non-reel item (Static Photo) at grid position #262.</t>
  </si>
  <si>
    <t>Grid item #262. Discovered from Tagged page grid in sequential order.</t>
  </si>
  <si>
    <t>smmw19</t>
  </si>
  <si>
    <t>Discovered at visual grid position #277. Verified Ad Details URL. Format: Single Image Ad.</t>
  </si>
  <si>
    <t>Thanks @semrush!  Just what I wanted,  a journal. #smmw19</t>
  </si>
  <si>
    <t>#smmw19</t>
  </si>
  <si>
    <t>Tagged non-reel item (Static Photo) at grid position #263.</t>
  </si>
  <si>
    <t>Grid item #263. Discovered from Tagged page grid in sequential order.</t>
  </si>
  <si>
    <t>The social media vending machine!! #smmw19 @semrush</t>
  </si>
  <si>
    <t>Tagged non-reel item (Static Photo) at grid position #264.</t>
  </si>
  <si>
    <t>Grid item #264. Discovered from Tagged page grid in sequential order.</t>
  </si>
  <si>
    <t>https://adstransparency.google.com/advertiser/AR01693402396748677121/creative/CR14693750531763994625?region=anywhere</t>
  </si>
  <si>
    <t>Discovered at visual grid position #278. Verified Ad Details URL. Format: Single Image Ad.</t>
  </si>
  <si>
    <t>I'm here at Semrush and ready to see what I get from their social media vending machine!! #smmw19 @semrush</t>
  </si>
  <si>
    <t>Tagged non-reel item (Static Photo) at grid position #265.</t>
  </si>
  <si>
    <t>Grid item #265. Discovered from Tagged page grid in sequential order.</t>
  </si>
  <si>
    <t>Tired of the same old routine? Be our new Senior QA Automation Engineer.</t>
  </si>
  <si>
    <t>It was a night of fine wine, delicious food and team building! We learnt lots about keeping up with the latest SEO and digital marketing trends. Thanks for the wonderful event, @semrush! . . . #semrush #fxwebstudio #seo #searchengineoptimisation #searchrankings #smm #ppc #websiterankings #contentmarketing #semrushlive #digitalmarketing #jonesbaywharf #onlinemarketing #entrepreneurlife #businesssuc</t>
  </si>
  <si>
    <t>#semrush, #fxwebstudio, #seo, #searchengineoptimisation, #searchrankings, #smm, #ppc, #websiterankings, #contentmarketing, #semrushlive, #digitalmarketing, #jonesbaywharf, #onlinemarketing, #entrepreneurlife, #businesssuccess, #marketinggoals</t>
  </si>
  <si>
    <t>Ran from Feb 13, 2026 to Feb 17, 2026</t>
  </si>
  <si>
    <t>Tagged non-reel item (Photo Carousel) at grid position #266.</t>
  </si>
  <si>
    <t>Discovered at visual grid position #279. Verified Ad Details URL. Format: Single Image Ad.</t>
  </si>
  <si>
    <t>Grid item #266. Discovered from Tagged page grid in sequential order.</t>
  </si>
  <si>
    <t>Different direction into Sydney ... have a fantastic weekend everyone! 🌞 #sydney #sydneyharbour #melbourne #brisbane #perth #adelaide #goldcoast #canberra #darwin #hobart #sunshinecoast #geelong #newcastle #townsville #parramatta #bondi #launceston #surfersparadise #cairns #broome #chatswood #fremantle #nsw #victoria #queensland #australia</t>
  </si>
  <si>
    <t>#sydney, #sydneyharbour, #melbourne, #brisbane, #perth, #adelaide, #goldcoast, #canberra, #darwin, #hobart, #sunshinecoast, #geelong, #newcastle, #townsville, #parramatta, #bondi, #launceston, #surfersparadise, #cairns, #broome, #chatswood, #fremantle, #nsw, #victoria, #queensland, #australia</t>
  </si>
  <si>
    <t>https://adstransparency.google.com/advertiser/AR01693402396748677121/creative/CR16038883436458409985?region=anywhere</t>
  </si>
  <si>
    <t>Tagged non-reel item (Static Photo) at grid position #267.</t>
  </si>
  <si>
    <t>Grid item #267. Discovered from Tagged page grid in sequential order.</t>
  </si>
  <si>
    <t>semrush, smmw19</t>
  </si>
  <si>
    <t>Discovered at visual grid position #280. Verified Ad Details URL. Format: Single Image Ad.</t>
  </si>
  <si>
    <t>So happy to be here with this smart lady! #semrush #smmw19</t>
  </si>
  <si>
    <t>#semrush, #smmw19</t>
  </si>
  <si>
    <t>Tagged non-reel item (Static Photo) at grid position #268.</t>
  </si>
  <si>
    <t>Grid item #268. Discovered from Tagged page grid in sequential order.</t>
  </si>
  <si>
    <t>Thanks to everyone who attended my session on growing reach and engagement on Facebook Live today at Social Media Marketing World! #SMMW19 ⁣ ⁣ I sincerely appreciate your time, attention, questions, and support! You were awesome! ⁣ ⁣ If I can ever help you, please feel feee to reach out to me directly, and if you’re interested in attending my Workshop or Retreat, use code SMMW19 for an exclusive d</t>
  </si>
  <si>
    <t>#SMMW19</t>
  </si>
  <si>
    <t>Tagged non-reel item (Static Photo) at grid position #269.</t>
  </si>
  <si>
    <t>Grid item #269. Discovered from Tagged page grid in sequential order.</t>
  </si>
  <si>
    <t>Discovered at visual grid position #281. Verified Ad Details URL. Format: Single Image Ad.</t>
  </si>
  <si>
    <t>https://adstransparency.google.com/advertiser/AR01693402396748677121/creative/CR10895245721053691905?region=anywhere</t>
  </si>
  <si>
    <t>Checking out @semrush #smmw19  They have quite the “orange” booth.</t>
  </si>
  <si>
    <t>Tagged non-reel item (Static Photo) at grid position #270.</t>
  </si>
  <si>
    <t>Grid item #270. Discovered from Tagged page grid in sequential order.</t>
  </si>
  <si>
    <t>Discovered at visual grid position #282. Verified Ad Details URL. Format: Single Image Ad.</t>
  </si>
  <si>
    <t>I am about to win a prize..! #smmw19 @semrush</t>
  </si>
  <si>
    <t>Tagged non-reel item (Static Photo) at grid position #271.</t>
  </si>
  <si>
    <t>Grid item #271. Discovered from Tagged page grid in sequential order.</t>
  </si>
  <si>
    <t>https://adstransparency.google.com/advertiser/AR01693402396748677121/creative/CR02183876666835599361?region=anywhere</t>
  </si>
  <si>
    <t>DC team at @semrush live event. #marketingpartners #marketingagency #digitalmarketing #agencylife</t>
  </si>
  <si>
    <t>#marketingpartners, #marketingagency, #digitalmarketing, #agencylife</t>
  </si>
  <si>
    <t>Tagged non-reel item (Static Photo) at grid position #272.</t>
  </si>
  <si>
    <t>Grid item #272. Discovered from Tagged page grid in sequential order.</t>
  </si>
  <si>
    <t>Discovered at visual grid position #283. Verified Ad Details URL. Format: Single Image Ad.</t>
  </si>
  <si>
    <t>SMMW19</t>
  </si>
  <si>
    <t>@semrush Giving away great prizes at #SMMW19!</t>
  </si>
  <si>
    <t>Tagged non-reel item (Static Photo) at grid position #273.</t>
  </si>
  <si>
    <t>Grid item #273. Discovered from Tagged page grid in sequential order.</t>
  </si>
  <si>
    <t>Discovered at visual grid position #284. Verified Ad Details URL. Format: Single Image Ad.</t>
  </si>
  <si>
    <t>Awesome meeting the great people of @semrush #SMMW19</t>
  </si>
  <si>
    <t>Tagged non-reel item (Static Photo) at grid position #274.</t>
  </si>
  <si>
    <t>Grid item #274. Discovered from Tagged page grid in sequential order.</t>
  </si>
  <si>
    <t>https://adstransparency.google.com/advertiser/AR01693402396748677121/creative/CR18057657978433044481?region=anywhere</t>
  </si>
  <si>
    <t>Coolest. Booth. Ever. @semrush #smmw19</t>
  </si>
  <si>
    <t>Tagged non-reel item (Static Photo) at grid position #275.</t>
  </si>
  <si>
    <t>Grid item #275. Discovered from Tagged page grid in sequential order.</t>
  </si>
  <si>
    <t>Discovered at visual grid position #285. Verified Ad Details URL. Format: Single Image Ad.</t>
  </si>
  <si>
    <t>Tagged non-reel item (Static Photo) at grid position #276.</t>
  </si>
  <si>
    <t>Grid item #276. Discovered from Tagged page grid in sequential order.</t>
  </si>
  <si>
    <t>https://adstransparency.google.com/advertiser/AR01693402396748677121/creative/CR14509384422018514945?region=anywhere</t>
  </si>
  <si>
    <t>Big thanks to @semrush for putting this together. . LINK IN BIO . If you missed it, now is the time to check out this awesome recap of 'SEO for Bloggers Webinar: How To Optimize WordPress' that I did with  @shellyfagin and @mediawyse. . . Link in bio. #seo #WordPress #webinar #blogger #bloggingtips #bloggers #blog</t>
  </si>
  <si>
    <t>#seo, #WordPress, #webinar, #blogger, #bloggingtips, #bloggers, #blog</t>
  </si>
  <si>
    <t>Tagged non-reel item (Static Photo) at grid position #277.</t>
  </si>
  <si>
    <t>Grid item #277. Discovered from Tagged page grid in sequential order.</t>
  </si>
  <si>
    <t>Ran from Feb 12, 2026 to Feb 17, 2026</t>
  </si>
  <si>
    <t>Discovered at visual grid position #286. Verified Ad Details URL. Format: Single Image Ad.</t>
  </si>
  <si>
    <t>How do promote music?  #indie #musicmarketing #musicstudio #musicpromotion #indiemusic #localartist #localmusic #colorado #indieartist #marketing #seo #ppc #socialmediamarketing @semrush</t>
  </si>
  <si>
    <t>#indie, #musicmarketing, #musicstudio, #musicpromotion, #indiemusic, #localartist, #localmusic, #colorado, #indieartist, #marketing, #seo, #ppc, #socialmediamarketing</t>
  </si>
  <si>
    <t>Tagged video reel discovered from Tagged grid position #278.</t>
  </si>
  <si>
    <t>Grid item #278. Discovered from Tagged page grid in sequential order.</t>
  </si>
  <si>
    <t>Content Marketing, Digital Marketing, Startup &amp; Growth</t>
  </si>
  <si>
    <t>Happy #SponsorshipSunday! Today we are highlighting another sponsor from our Career &amp; Internship Reception. @semrush is a global marketing tool that gives analytics reports, advertising tools, social media tracking, and so much more to its users. SEMrush has grown from a small startup to a world leader in online marketing competitive research services. They believe marketing tools should be simple</t>
  </si>
  <si>
    <t>Discovered at visual grid position #287. Verified Ad Details URL. Format: Single Image Ad.</t>
  </si>
  <si>
    <t>#SponsorshipSunday</t>
  </si>
  <si>
    <t>Tagged non-reel item (Static Photo) at grid position #279.</t>
  </si>
  <si>
    <t>Grid item #279. Discovered from Tagged page grid in sequential order.</t>
  </si>
  <si>
    <t>https://adstransparency.google.com/advertiser/AR01693402396748677121/creative/CR15214197763701997569?region=anywhere</t>
  </si>
  <si>
    <t>Tagged non-reel item (Static Photo) at grid position #280.</t>
  </si>
  <si>
    <t>Grid item #280. Discovered from Tagged page grid in sequential order.</t>
  </si>
  <si>
    <t>Discovered at visual grid position #288. Verified Ad Details URL. Format: Single Image Ad.</t>
  </si>
  <si>
    <t>A colorful quiz for all the bright minds out there!  Answer these 12 questions and stand a chance to win a SEMrush Holi Gift Box.  Play Quiz Now: https://goo.gl/Ahwxup (Find link in the profile bio or message us or comment below )  #SEMrushHoli #DigitalMarketing #PlayNow #EduPristine</t>
  </si>
  <si>
    <t>#SEMrushHoli, #DigitalMarketing, #PlayNow, #EduPristine</t>
  </si>
  <si>
    <t>Tagged non-reel item (Static Photo) at grid position #281.</t>
  </si>
  <si>
    <t>Grid item #281. Discovered from Tagged page grid in sequential order.</t>
  </si>
  <si>
    <t>Save up to $1,640 on a full year of Semrush One</t>
  </si>
  <si>
    <t>Did you miss us? Come back with 30% off Semrush One.</t>
  </si>
  <si>
    <t>https://adstransparency.google.com/advertiser/AR01693402396748677121/creative/CR16118858338850045953?region=anywhere</t>
  </si>
  <si>
    <t>SEO Conference terbesar di Indonesia 2019.  Banyak insight &amp; prespective yang berbeda2 dari para expert, yang mana itu semua sangat berguna &amp; menambah wawasan kita.  SEOCON akan diadakan lagi di tahun depan loh 2020.  Sabar menunggu ya guys. Hehehe  #seocon #akudigital</t>
  </si>
  <si>
    <t>#seocon, #akudigital</t>
  </si>
  <si>
    <t>Tagged non-reel item (Photo Carousel) at grid position #282.</t>
  </si>
  <si>
    <t>Grid item #282. Discovered from Tagged page grid in sequential order.</t>
  </si>
  <si>
    <t>Ran from Dec 23, 2025 to Dec 31, 2025</t>
  </si>
  <si>
    <t>Discovered at visual grid position #289. Verified Ad Details URL. Format: Video Ad.</t>
  </si>
  <si>
    <t>𝓢𝓲𝓪𝓶𝓸 𝓼𝓮𝓶𝓹𝓻𝓮 𝓹𝓲ù 𝓼𝓬𝓱𝓲𝓪𝓿𝓲 𝓭𝓮𝓵 𝓬𝓮𝓵𝓵𝓾𝓵𝓪𝓻𝓮!  Il Digital In 2019 di @wearesocial ha registrato nel 2018 un forte incremento dell’utilizzo del web, con oltre un milione di nuovi utenti ogni giorno: si può affermare che gli originali “Next billion users” sono ora tutti online. Ed aspettiamo i prossimi.  Lo studio parla di:  5,11 miliardi di utenti mobile al mondo, un incremento di oltre 100 milioni (+2%)</t>
  </si>
  <si>
    <t>#digitalmarketing, #marketing, #socialmediamarketing, #seo, #socialmedia, #business, #branding, #contentmarketing, #onlinemarketing, #entrepreneur, #marketingdigital, #marketingtips, #advertising, #webdesign, #startup, #smallbusiness, #marketingstrategy, #entrepreneurship, #design, #instagram, #graphicdesign, #website, #success, #digital, #b, #smm, #emailmarketing, #marketingonline, #internetmarketing, #influencer</t>
  </si>
  <si>
    <t>Tagged non-reel item (Static Photo) at grid position #283.</t>
  </si>
  <si>
    <t>Drive change in Tech! Join us as a Customer Onboarding Consultant with 6+ years of experience and fluent in German.</t>
  </si>
  <si>
    <t>Grid item #283. Discovered from Tagged page grid in sequential order.</t>
  </si>
  <si>
    <t>https://adstransparency.google.com/advertiser/AR01693402396748677121/creative/CR16742914750496636929?region=anywhere</t>
  </si>
  <si>
    <t>We learned a lot and met some great people at the #semrushlive event! #WendyandtheEmilys  #EAX2 #WendyFromScranton  #Repost @enx2marketing • • • • • Not only was the #ENX2Crew in Los Angeles, but our team recently made its way to New York City for @semrush Live NYC. ☀️ #ENX2Marketing #SEMrush #CoastToCoast #NYC #NewYork #DigitalMarketing #LegalMarketing #Marketing #Digital #B2B #Teamwork #Travel #</t>
  </si>
  <si>
    <t>Ran from Jan 21, 2026 to Jan 28, 2026</t>
  </si>
  <si>
    <t>#semrushlive, #WendyandtheEmilys, #EAX2, #WendyFromScranton, #Repost, #ENX2Crew, #ENX2Marketing, #SEMrush, #CoastToCoast, #NYC, #NewYork, #DigitalMarketing, #LegalMarketing, #Marketing, #Digital, #B2B, #Teamwork, #Travel, #BusinessOnTheRise, #LetsBeAmazing</t>
  </si>
  <si>
    <t>Discovered at visual grid position #290. Verified Ad Details URL. Format: Single Image Ad.</t>
  </si>
  <si>
    <t>Tagged non-reel item (Static Photo) at grid position #284.</t>
  </si>
  <si>
    <t>Grid item #284. Discovered from Tagged page grid in sequential order.</t>
  </si>
  <si>
    <t>Vuoi essere un professionista nel digital marketing? Studia il Content. E usa SemRush!  Non esiste ottenere ottimi risultati come Social Media Manager o Digital Marketer se non sai usare #semrush oppure se non comprendi la potenza del #contentmarketing  #digitalmarketing #marketing #socialmediamarketing #seo #socialmedia #business #branding #contentmarketing #onlinemarketing #entrepreneur #marketi</t>
  </si>
  <si>
    <t>#semrush, #contentmarketing, #digitalmarketing, #marketing, #socialmediamarketing, #seo, #socialmedia, #business, #branding, #contentmarketing, #onlinemarketing, #entrepreneur, #marketingdigital, #marketingtips, #advertising, #webdesign, #startup, #smallbusiness, #marketingstrategy, #entrepreneurship, #design, #instagram, #graphicdesign, #website, #successo, #digital, #emailmarketing, #marketingonline, #internetmarketing</t>
  </si>
  <si>
    <t>Tagged non-reel item (Static Photo) at grid position #285.</t>
  </si>
  <si>
    <t>Grid item #285. Discovered from Tagged page grid in sequential order.</t>
  </si>
  <si>
    <t>Supreme, RayBan</t>
  </si>
  <si>
    <t>Discovered at visual grid position #291. Verified Ad Details URL. Format: Single Image Ad.</t>
  </si>
  <si>
    <t>SEMRush’ın yaptığı bir araştırmaya göre 2018 yılında, internette taklit ürün aratmaları bir önceki yıla oranla %15 arttı. 2017 ve 2018 yılında taklidi en çok aratılan marka #Supreme oldu. Supreme’den sonra ikinci sırada #RayBan bulunuyor.</t>
  </si>
  <si>
    <t>#Supreme, #RayBan</t>
  </si>
  <si>
    <t>Tagged non-reel item (Static Photo) at grid position #286.</t>
  </si>
  <si>
    <t>Grid item #286. Discovered from Tagged page grid in sequential order.</t>
  </si>
  <si>
    <t>Make the move! Become our new Senior Golang Developer.</t>
  </si>
  <si>
    <t>https://adstransparency.google.com/advertiser/AR01693402396748677121/creative/CR08495215109830868993?region=anywhere</t>
  </si>
  <si>
    <t>Hey, hey friends and fans and welcome to Wednesday! 🤩 Are you ready for some wisdom? . I attended a webinar on SEO and its impact in our social media marketing efforts, which I do (and hope you do too 💯) to ensure that I am following best practices by authoritative figures like, @SEMRush 👍🏼 One of the topics discussed was this. Ensuring that our brand message is 100% clear and consistent across AL</t>
  </si>
  <si>
    <t>#wednesdaywisdom, #seo, #socialmediastrategy, #authenticity, #consistency, #elevateitnow, #peoplehelpingpeople, #socialmediatips, #marketing, #brandingstrategy, #marketingdigital, #communityovercompetition, #creativeagency, #inboundmarketing, #socialmediamarketing, #digitalmarketing, #contentmarketing, #marketingtips, #marketingstrategy, #marketingonline, #instagrammarketing, #businesstips, #awardwinningmarketingagency, #marketingagency, #digitalmarketingtips, #brandingagency, #marketingconsultant, #picoftheday, #digitalmarketingagency, #brandidentity</t>
  </si>
  <si>
    <t>Tagged non-reel item (Static Photo) at grid position #287.</t>
  </si>
  <si>
    <t>Grid item #287. Discovered from Tagged page grid in sequential order.</t>
  </si>
  <si>
    <t>Ran from Feb 6, 2026 to Feb 20, 2026</t>
  </si>
  <si>
    <t>Discovered at visual grid position #292. Verified Ad Details URL. Format: Single Image Ad.</t>
  </si>
  <si>
    <t>Get It Moving!</t>
  </si>
  <si>
    <t>TOP 3 MARKETING STREATGIES Swipe to Learn!🤓 - Ready to Learn the Top 3 Marketing Strategies? It’s no wonder that SEM is featured in the best ones, right?😌 - Strategies in the marketing world are multiple and vary a lot, but it’s always very important to keep in mind these three to set up a successful business model🥇 . #Repost @digitalmarketing_nyc . . . #marketingdigital #socialmedia #digitalmarke</t>
  </si>
  <si>
    <t>Want to work somewhere meaningful? Join us as a Product PR Specialist with 5+ years of experience in driving media coverage.</t>
  </si>
  <si>
    <t>#Repost, #marketingdigital, #socialmedia, #digitalmarketing, #blogging, #branding, #contentmarketing, #blogger, #blog, #hustle, #marketing, #marketingtips, #contentmarketing, #socialmediamarketing, #business, #work, #startup, #brand, #entrepreneurship, #entrepreneurlife, #entrepreneur, #facts, #stats, #tips, #motivationalquotes, #motivation, #inspirationalquotes, #inspiration, #marketingpanda</t>
  </si>
  <si>
    <t>Tagged non-reel item (Photo Carousel) at grid position #288.</t>
  </si>
  <si>
    <t>Grid item #288. Discovered from Tagged page grid in sequential order.</t>
  </si>
  <si>
    <t>Ran from Jan 21, 2026 to Feb 4, 2026</t>
  </si>
  <si>
    <t>Discovered at visual grid position #293. Verified Ad Details URL. Format: Single Image Ad.</t>
  </si>
  <si>
    <t>Thanks to all of you who came out to StudioHawk tonight to network, have a drink and listen to SEO Specialist at Optimising - Brodie Clark. It was a great night!  See you at the next SEO Meetup! - StudioHawk Team 🦅 #melbseo #seospecialist #studiohawk</t>
  </si>
  <si>
    <t>https://adstransparency.google.com/advertiser/AR01693402396748677121/creative/CR15043358120879325185?region=anywhere</t>
  </si>
  <si>
    <t>#melbseo, #seospecialist, #studiohawk</t>
  </si>
  <si>
    <t>Tagged non-reel item (Photo Carousel) at grid position #289.</t>
  </si>
  <si>
    <t>Grid item #289. Discovered from Tagged page grid in sequential order.</t>
  </si>
  <si>
    <t>semrushawards, semrush</t>
  </si>
  <si>
    <t>Cya next time Sydney #semrushawards #semrush</t>
  </si>
  <si>
    <t>#semrushawards, #semrush</t>
  </si>
  <si>
    <t>Tagged non-reel item (Static Photo) at grid position #290.</t>
  </si>
  <si>
    <t>Grid item #290. Discovered from Tagged page grid in sequential order.</t>
  </si>
  <si>
    <t>Ran from Jan 16, 2026 to Mar 20, 2026</t>
  </si>
  <si>
    <t>Discovered at visual grid position #294. Verified Ad Details URL. Format: Single Image Ad.</t>
  </si>
  <si>
    <t>Formación de @semrush del equipo Seo de @wamglobal #Madrid  Gracias por enseñarnos las nuevas funcionalidades de la herramienta 📈  #posicionamientodemarca #posicionamientoseo #communitymanager #redessocialesalicante #posicionamiento #redessociales #posicionamientoweb #socialmedia #marketing #marketingdigital #seo #sem #ppc #inbound #inboundmarketing</t>
  </si>
  <si>
    <t>#Madrid, #posicionamientodemarca, #posicionamientoseo, #communitymanager, #redessocialesalicante, #posicionamiento, #redessociales, #posicionamientoweb, #socialmedia, #marketing, #marketingdigital, #seo, #sem, #ppc, #inbound, #inboundmarketing</t>
  </si>
  <si>
    <t>Tagged non-reel item (Static Photo) at grid position #291.</t>
  </si>
  <si>
    <t>Grid item #291. Discovered from Tagged page grid in sequential order.</t>
  </si>
  <si>
    <t>https://adstransparency.google.com/advertiser/AR01693402396748677121/creative/CR06322570650057703425?region=anywhere</t>
  </si>
  <si>
    <t>If you want to be a content marketer: 'Write consistently and frequently'  For Academy link in bio  Per i corsi link in bio  #ContentMarketing #digitalmarketing #digital #marketer #marketing #social #socialmarketing #marketingdigital #social #hubspot #inbound #SemRush #google</t>
  </si>
  <si>
    <t>#ContentMarketing, #digitalmarketing, #digital, #marketer, #marketing, #social, #socialmarketing, #marketingdigital, #social, #hubspot, #inbound, #SemRush, #google</t>
  </si>
  <si>
    <t>Tagged non-reel item (Static Photo) at grid position #292.</t>
  </si>
  <si>
    <t>Grid item #292. Discovered from Tagged page grid in sequential order.</t>
  </si>
  <si>
    <t>Discovered at visual grid position #295. Verified Ad Details URL. Format: Single Image Ad.</t>
  </si>
  <si>
    <t>Ve víně je pravda a to také pomůže pojmout všechny Efektivní marketingové kanály podle @anna_kochegura ❤. #today #marketinglife #marketinggirl #zezivotamarketacky #marketingmonday #czechmarketing #efektivnimarketing #praha #lovemarketing #czechgirl #brnogirl #vino #svinemsetolepetahne #internetinfo #dataweps #mmprague #marketinggirl #ilovejiznimorava</t>
  </si>
  <si>
    <t>#today, #marketinglife, #marketinggirl, #zezivotamarketacky, #marketingmonday, #czechmarketing, #efektivnimarketing, #praha, #lovemarketing, #czechgirl, #brnogirl, #vino, #svinemsetolepetahne, #internetinfo, #dataweps, #mmprague, #marketinggirl, #ilovejiznimorava</t>
  </si>
  <si>
    <t>Tagged non-reel item (Static Photo) at grid position #293.</t>
  </si>
  <si>
    <t>Grid item #293. Discovered from Tagged page grid in sequential order.</t>
  </si>
  <si>
    <t>You tried Semrush before, but never like this. Claim 30% off Semrush One to dominate AI visibility and traditional search.</t>
  </si>
  <si>
    <t>https://adstransparency.google.com/advertiser/AR01693402396748677121/creative/CR04213668452759502849?region=anywhere</t>
  </si>
  <si>
    <t>Struggling to come up with new article ideas? @semrush have got you covered with their Content Ideas Generator! **LINK IN BIO** . . . . . . . . . . . . #semrush #seo #semrushcontent #contentideas #contentideagenerator #contentidea #seomarketing #marketingideas #contentideas #ideasforcontent #contentwriting #freelancewriting #freelancecontentwriting</t>
  </si>
  <si>
    <t>#semrush, #seo, #semrushcontent, #contentideas, #contentideagenerator, #contentidea, #seomarketing, #marketingideas, #contentideas, #ideasforcontent, #contentwriting, #freelancewriting, #freelancecontentwriting</t>
  </si>
  <si>
    <t>Tagged non-reel item (Static Photo) at grid position #294.</t>
  </si>
  <si>
    <t>Grid item #294. Discovered from Tagged page grid in sequential order.</t>
  </si>
  <si>
    <t>Discovered at visual grid position #296. Verified Ad Details URL. Format: Single Image Ad.</t>
  </si>
  <si>
    <t>webinarshot, screenshot</t>
  </si>
  <si>
    <t>#webinarshot I make crazy faces when I’m on camera and stage - I need to stop... but until then here’s my ‘caption this’ #screenshot of the @transferwise webcast (soon a podcast) My song... ‘I just called... to say... I spammed you! I just called... to say... ser-ver’s insecuuuuuuure! I just called... to say... I spaaaaaaaaaaaaaamed yoooooouuuuu..... and I did it for casinos and soooooome porn.’ 😂</t>
  </si>
  <si>
    <t>#webinarshot, #screenshot</t>
  </si>
  <si>
    <t>Tagged non-reel item (Static Photo) at grid position #295.</t>
  </si>
  <si>
    <t>Grid item #295. Discovered from Tagged page grid in sequential order.</t>
  </si>
  <si>
    <t>Discovered at visual grid position #297. Verified Ad Details URL. Format: Single Image Ad.</t>
  </si>
  <si>
    <t>Quali sono le venti coppie più seguite sul web in Italia? @semrush ha stilato una classifica. Al primo posto @chiaraferragni e @fedez ; al secondo posto @rosafanti @carlocracco; terzo gradino del podio per @bradley_cooper.official e @irinashayk Chi occupa le altre posizioni della classifica?  Potete leggere il mio pezzo a questo link https://alleyoop.ilsole24ore.com/2019/02/14/ferragnez/ #happyval</t>
  </si>
  <si>
    <t>#happyvalentinesday, #love, #couplegoals, #loveisintheair, #valentinesday2018, #ferragnez, #inthenameoflove, #costume, #web, #research, #picoftheday, #photooftheday, #alleyoop, #instadaily, #instagood, #journalism, #couple, #biglove, #followers, #chiaraferragni, #fedez, #irinashayk, #bradleycooper, #relationshipgoals, #relationship, #loverelationship</t>
  </si>
  <si>
    <t>Tagged non-reel item (Static Photo) at grid position #296.</t>
  </si>
  <si>
    <t>Grid item #296. Discovered from Tagged page grid in sequential order.</t>
  </si>
  <si>
    <t>https://adstransparency.google.com/advertiser/AR01693402396748677121/creative/CR15938755585441267713?region=anywhere</t>
  </si>
  <si>
    <t>regrann</t>
  </si>
  <si>
    <t>Double tap if you agree 🙌 . Reposted from @semrush @annhandley #regrann</t>
  </si>
  <si>
    <t>#regrann</t>
  </si>
  <si>
    <t>Tagged non-reel item (Static Photo) at grid position #297.</t>
  </si>
  <si>
    <t>Grid item #297. Discovered from Tagged page grid in sequential order.</t>
  </si>
  <si>
    <t>Discovered at visual grid position #298. Verified Ad Details URL. Format: Single Image Ad.</t>
  </si>
  <si>
    <t>#Repost @semrush with @get_repost ・・・ Double tap if you agree 🙌 @annhandley  #GoodMarketing #ethicalmarketing #marketing #contentmarketing #contentmarketer #content #goodcontent #marketingideals #marketingvalues</t>
  </si>
  <si>
    <t>#Repost, #GoodMarketing, #ethicalmarketing, #marketing, #contentmarketing, #contentmarketer, #content, #goodcontent, #marketingideals, #marketingvalues</t>
  </si>
  <si>
    <t>Tagged non-reel item (Static Photo) at grid position #298.</t>
  </si>
  <si>
    <t>Grid item #298. Discovered from Tagged page grid in sequential order.</t>
  </si>
  <si>
    <t>https://adstransparency.google.com/advertiser/AR01693402396748677121/creative/CR01987036297025290241?region=anywhere</t>
  </si>
  <si>
    <t>Cuando tus clientes potenciales están buscando, ¿te están encontrando? A alguien están encontrando en línea 🔎🧐♟🎯♟🧐🔎 #MKT #marketingdigital #googlesearch</t>
  </si>
  <si>
    <t>#MKT, #marketingdigital, #googlesearch</t>
  </si>
  <si>
    <t>Discovered at visual grid position #299. Verified Ad Details URL. Format: Video Ad.</t>
  </si>
  <si>
    <t>Tagged non-reel item (Static Photo) at grid position #299.</t>
  </si>
  <si>
    <t>Grid item #299. Discovered from Tagged page grid in sequential order.</t>
  </si>
  <si>
    <t>Your next big move starts here. Join us as Senior Cloud Engineer!</t>
  </si>
  <si>
    <t>Au SEMrush E-commerce Meet-up à Trocadéro ! Le #SEO monte ! Traffic booming! Avec les consultants SEO / SEA de Rankwell . . . #seoexpert #SEOexperts #seomarketing #seoagency #seoworkshop #SearchMarketing #searchagency</t>
  </si>
  <si>
    <t>#SEO, #seoexpert, #SEOexperts, #seomarketing, #seoagency, #seoworkshop, #SearchMarketing, #searchagency</t>
  </si>
  <si>
    <t>Tagged non-reel item (Static Photo) at grid position #300.</t>
  </si>
  <si>
    <t>Grid item #300. Discovered from Tagged page grid in sequential order.</t>
  </si>
  <si>
    <t>Ran from Feb 6, 2026 to Feb 12, 2026</t>
  </si>
  <si>
    <t>Discovered at visual grid position #300. Verified Ad Details URL. Format: Single Image Ad.</t>
  </si>
  <si>
    <t>Une partie de l'équipe Rankwell a assisté au #SEO By Night, un événement de référencement naturel technique ! Le séminaire a été intense et on en ressort inspiré ! . . . #searchagency #SearchMarketing #seoagency #agenceseo #agencesearch #agencesem #internationalseo</t>
  </si>
  <si>
    <t>#SEO, #searchagency, #SearchMarketing, #seoagency, #agenceseo, #agencesearch, #agencesem, #internationalseo</t>
  </si>
  <si>
    <t>Tagged non-reel item (Photo Carousel) at grid position #301.</t>
  </si>
  <si>
    <t>Grid item #301. Discovered from Tagged page grid in sequential order.</t>
  </si>
  <si>
    <t>https://adstransparency.google.com/advertiser/AR01693402396748677121/creative/CR03871675943739195393?region=anywhere</t>
  </si>
  <si>
    <t>¡En 10 años todo cambia! Hasta la forma de ver a las redes sociales 👩🏻‍💻Si trabajas con ellas, seguramente fuiste víctima de pensamientos muy desfasados, hasta ahora 😄😢 ¿Qué frases “Muy 2009” has escuchado? . . . . . . #10yearschallenge #bronceado #frasestristes #frases  #socialmedia #socialmediaqueen #negocio #oportunidad #marketing #communitymanager #marketingdigital #likefortags #likeforlikes #</t>
  </si>
  <si>
    <t>Discovered at visual grid position #301. Verified Ad Details URL. Format: Single Image Ad.</t>
  </si>
  <si>
    <t>#10yearschallenge, #bronceado, #frasestristes, #frases, #socialmedia, #socialmediaqueen, #negocio, #oportunidad, #marketing, #communitymanager, #marketingdigital, #likefortags, #likeforlikes, #likeforfollow, #socialmediacoach, #instalike, #instagood, #socialmediafollowers, #like4likes, #likeforlikeback, #socialmediaguru, #socialmediaexpert, #ventasonline, #inspiration, #marketingtips, #inspirationalquotes, #video, #pasado</t>
  </si>
  <si>
    <t>Tagged video reel discovered from Tagged grid position #302.</t>
  </si>
  <si>
    <t>Grid item #302. Discovered from Tagged page grid in sequential order.</t>
  </si>
  <si>
    <t>In today's world of internet and technologies, there are endless number of useful tools that can help you launch and build your start up but choosing the right online tools can be the game changer! Here are a few suggestions from #manarecommends  #tools #startups #business#DigitalMarketing #successful #marketing  #themananetwork #entrepreneur #growth #founder #technology #startuplife</t>
  </si>
  <si>
    <t>#manarecommends, #tools, #startups, #business, #DigitalMarketing, #successful, #marketing, #themananetwork, #entrepreneur, #growth, #founder, #technology, #startuplife</t>
  </si>
  <si>
    <t>Tagged non-reel item (Photo Carousel) at grid position #303.</t>
  </si>
  <si>
    <t>Grid item #303. Discovered from Tagged page grid in sequential order.</t>
  </si>
  <si>
    <t>peopleareawesome</t>
  </si>
  <si>
    <t>Discovered at visual grid position #302. Verified Ad Details URL. Format: Single Image Ad.</t>
  </si>
  <si>
    <t>https://adstransparency.google.com/advertiser/AR01693402396748677121/creative/CR12036278206429396993?region=anywhere</t>
  </si>
  <si>
    <t>Transform Your Work Life!</t>
  </si>
  <si>
    <t>Try something new and become our next Enterprise Customer Success Manager with 6+ years of experience and fluent in Italian.</t>
  </si>
  <si>
    <t>Please share!  #peopleareawesome</t>
  </si>
  <si>
    <t>#peopleareawesome</t>
  </si>
  <si>
    <t>Tagged non-reel item (Static Photo) at grid position #304.</t>
  </si>
  <si>
    <t>Grid item #304. Discovered from Tagged page grid in sequential order.</t>
  </si>
  <si>
    <t>Ran from Jan 21, 2026 to Jan 29, 2026</t>
  </si>
  <si>
    <t>Discovered at visual grid position #303. Verified Ad Details URL. Format: Single Image Ad.</t>
  </si>
  <si>
    <t>В первые выходные весны @Epic_skills открывает свои двери и ждёт тебя на традиционном Open Epic Day. В этот раз поговорим о работе и фрилансе в digital.  Потенциальные работодатели из digital-агентств и HR-специалисты расскажут, чего ждут от соискателей, а ребята, которые ушли из офиса, поделятся плюсами и минусами работы на фрилансе.  В программе выступления от представителей @nimax_agency, Headh</t>
  </si>
  <si>
    <t>Tagged non-reel item (Static Photo) at grid position #305.</t>
  </si>
  <si>
    <t>Grid item #305. Discovered from Tagged page grid in sequential order.</t>
  </si>
  <si>
    <t>Ran from Jan 23, 2026 to Apr 2, 2026</t>
  </si>
  <si>
    <t>Discovered at visual grid position #304. Verified Ad Details URL. Format: Single Image Ad.</t>
  </si>
  <si>
    <t>It's really #motivational for me to be in your #follower list @denharsh sir. Next dream is to meet you once in my life. . . . . #bloggerlife #bloggerstyle #blogging #blogger #delhiblogger #indianblogger #digitalblogger #influencer #DigitalMarketing #techblogger #motivationalspeaker #motivation #entrepreneurs #InfluencerMarketing #influencers #featured #inspiration #inspirational #praise #influence</t>
  </si>
  <si>
    <t>#motivational, #follower, #bloggerlife, #bloggerstyle, #blogging, #blogger, #delhiblogger, #indianblogger, #digitalblogger, #influencer, #DigitalMarketing, #techblogger, #motivationalspeaker, #motivation, #entrepreneurs, #InfluencerMarketing, #influencers, #featured, #inspiration, #inspirational, #praise, #influence, #ShouTech</t>
  </si>
  <si>
    <t>Tagged non-reel item (Static Photo) at grid position #306.</t>
  </si>
  <si>
    <t>https://adstransparency.google.com/advertiser/AR01693402396748677121/creative/CR01458351824619700225?region=anywhere</t>
  </si>
  <si>
    <t>Grid item #306. Discovered from Tagged page grid in sequential order.</t>
  </si>
  <si>
    <t>#soddisfactions #webmarketing #ilgiornaledivicenza #innovazione</t>
  </si>
  <si>
    <t>#soddisfactions, #webmarketing, #ilgiornaledivicenza, #innovazione</t>
  </si>
  <si>
    <t>Tagged non-reel item (Photo Carousel) at grid position #307.</t>
  </si>
  <si>
    <t>Grid item #307. Discovered from Tagged page grid in sequential order.</t>
  </si>
  <si>
    <t>Discovered at visual grid position #305. Verified Ad Details URL. Format: Single Image Ad.</t>
  </si>
  <si>
    <t>Petit cadeau de @semrush et Miss SEO Girl pour Noël 😊 Merci * * * #patricedefago #seo #semrush #cool</t>
  </si>
  <si>
    <t>#patricedefago, #seo, #semrush, #cool</t>
  </si>
  <si>
    <t>Tagged non-reel item (Static Photo) at grid position #308.</t>
  </si>
  <si>
    <t>Grid item #308. Discovered from Tagged page grid in sequential order.</t>
  </si>
  <si>
    <t>How to Leverage Natural Syndication Networks to Earn More Links  via @semrush  #LocalSEO #SEO #SEM #linkbuilding #backlink</t>
  </si>
  <si>
    <t>#LocalSEO, #SEO, #SEM, #linkbuilding, #backlink</t>
  </si>
  <si>
    <t>Discovered at visual grid position #306. Verified Ad Details URL. Format: Single Image Ad.</t>
  </si>
  <si>
    <t>Tagged non-reel item (Static Photo) at grid position #309.</t>
  </si>
  <si>
    <t>Grid item #309. Discovered from Tagged page grid in sequential order.</t>
  </si>
  <si>
    <t>Great evening with @semrush yesterday keeping us up to date with the ever changing landscape of digital marketing 💪 • • Also, it was nice to meet some new faces 👌 • #Huckletree #SEMrush #DigitalStrategy #DigitalAgencyEducation</t>
  </si>
  <si>
    <t>#Huckletree, #SEMrush, #DigitalStrategy, #DigitalAgencyEducation</t>
  </si>
  <si>
    <t>Tagged non-reel item (Static Photo) at grid position #310.</t>
  </si>
  <si>
    <t>Grid item #310. Discovered from Tagged page grid in sequential order.</t>
  </si>
  <si>
    <t>https://adstransparency.google.com/advertiser/AR01693402396748677121/creative/CR10830720881177657345?region=anywhere</t>
  </si>
  <si>
    <t>Discovered at visual grid position #307. Verified Ad Details URL. Format: Single Image Ad.</t>
  </si>
  <si>
    <t>🔑 Keyword research is a critical component of developing a digital marketing plan that will yield maximized ROI!  Evan explains why keyword research is crucial for your content marketing strategy!  You can view full video by visiting our link in bio!  #wearedma #dma #digitalmarketingagency #seo #searchengineoptimization #contentmarketing #seostrategy #seofact #seofacts #keywords #keywordsresearch</t>
  </si>
  <si>
    <t>#wearedma, #dma, #digitalmarketingagency, #seo, #searchengineoptimization, #contentmarketing, #seostrategy, #seofact, #seofacts, #keywords, #keywordsresearch, #semrush, #ahrefs, #moz, #yoast, #marketingstrategy, #marketing101, #business101, #digitalmarketing, #onlinemarketing, #internetmarketing</t>
  </si>
  <si>
    <t>Tagged video reel discovered from Tagged grid position #311.</t>
  </si>
  <si>
    <t>Grid item #311. Discovered from Tagged page grid in sequential order.</t>
  </si>
  <si>
    <t>Discovered at visual grid position #308. Verified Ad Details URL. Format: Single Image Ad.</t>
  </si>
  <si>
    <t>During your keyword research, identify all low competition keywords. Doing this will give you a better chance to rank for the keywords related to your industry. #stiganmedia</t>
  </si>
  <si>
    <t>#stiganmedia</t>
  </si>
  <si>
    <t>Tagged non-reel item (Static Photo) at grid position #312.</t>
  </si>
  <si>
    <t>Grid item #312. Discovered from Tagged page grid in sequential order.</t>
  </si>
  <si>
    <t>50% of 📱 mobile users visited local stores due to LOCAL SEARCH!  If you want to scale up 🔝 your #localbussiness you need to be #LocalSEO ready! And here's why 1️⃣30% of mobile searches 🔎 are related to a location 2️⃣28% of searches 🔍 for something nearby result in a purchase  If you're not on first page of #Google you're practically invisible!  #wearedma #dma #digitalmarketingagency #localsearch #</t>
  </si>
  <si>
    <t>#localbussiness, #LocalSEO, #Google, #wearedma, #dma, #digitalmarketingagency, #localsearch, #localsearchengineoptimization, #googlemaps, #directorylisting, #googlemybusiness, #googlemarketing, #contentmarketing, #searchengineoptimization, #seo, #seostats, #seofacts, #localseostats, #localseofacts, #marketingfact, #marketingfacts, #digitalmarketingfact, #digitalmarketingfacts, #smallbusinessmarketing, #localbusinessmarketing, #franchise, #franchisemarketing, #marketingstrategy, #marketing101, #business101</t>
  </si>
  <si>
    <t>Tagged non-reel item (Static Photo) at grid position #313.</t>
  </si>
  <si>
    <t>Grid item #313. Discovered from Tagged page grid in sequential order.</t>
  </si>
  <si>
    <t>Discovered at visual grid position #309. Verified Ad Details URL. Format: Video Ad.</t>
  </si>
  <si>
    <t>#PassesGiveAway . This is 4th Year of @blogxin and for the 4th Year Running I shall be moderating a Panel talking about  Blogs, Influencers, Brand Strategies  and how the future shall unfold. .  Come Join us BlogX 2019 and go back Enriched :-) .  8th Feb,2019 @eroshotelnewdelhi , Nehru Place. .  And Yes, There are 5 Passes to be won. If you are Interested for yourself or your friend then bas Bol d</t>
  </si>
  <si>
    <t>#PassesGiveAway, #BlogX</t>
  </si>
  <si>
    <t>Tagged non-reel item (Static Photo) at grid position #314.</t>
  </si>
  <si>
    <t>Grid item #314. Discovered from Tagged page grid in sequential order.</t>
  </si>
  <si>
    <t>The Secret Life of Backlinks  via @semrush  #linkbuilding #LocalSEO #SEO #SEM #digitalmarketing</t>
  </si>
  <si>
    <t>#linkbuilding, #LocalSEO, #SEO, #SEM, #digitalmarketing</t>
  </si>
  <si>
    <t>Tagged non-reel item (Static Photo) at grid position #315.</t>
  </si>
  <si>
    <t>Grid item #315. Discovered from Tagged page grid in sequential order.</t>
  </si>
  <si>
    <t>Discovered at visual grid position #310. Verified Ad Details URL. Format: Single Image Ad.</t>
  </si>
  <si>
    <t>https://adstransparency.google.com/advertiser/AR01693402396748677121/creative/CR15281918746441023489?region=anywhere</t>
  </si>
  <si>
    <t>AI Search &amp; GEO, Keyword Research, Digital Marketing</t>
  </si>
  <si>
    <t>New technologies are increasing the accuracy of segmentation and play an integral role in targeting Hispanic audiences. Join us Thursday, Jan. 24, to hear from SEMRush, as they share with us how they have developed a solid, bilingual keyword strategy for their campaigns and how they use consumer insights to drive their strategies. Register today! . . .  #AMAHouston #EventsHouston #htx #Houston #Ho</t>
  </si>
  <si>
    <t>#AMAHouston, #EventsHouston, #htx, #Houston, #HoustonMarketing, #NetworkingHouston</t>
  </si>
  <si>
    <t>Tagged non-reel item (Static Photo) at grid position #316.</t>
  </si>
  <si>
    <t>Grid item #316. Discovered from Tagged page grid in sequential order.</t>
  </si>
  <si>
    <t>Discovered at visual grid position #311. Verified Ad Details URL. Format: Single Image Ad.</t>
  </si>
  <si>
    <t>[SEMrush Research]: 15 Content Optimization Practices via @semrush ➡️ https://www.semrush.com/blog/semrush-research-15-content-optimization-practices/ • • • • • #searchenginemarketing #searchengineoptimization #digitaladvertising #seo #sem #dataanalytics #contentmarketing #blogging #content #contentoptimization</t>
  </si>
  <si>
    <t>#searchenginemarketing, #searchengineoptimization, #digitaladvertising, #seo, #sem, #dataanalytics, #contentmarketing, #blogging, #content, #contentoptimization</t>
  </si>
  <si>
    <t>Tagged non-reel item (Static Photo) at grid position #317.</t>
  </si>
  <si>
    <t>Grid item #317. Discovered from Tagged page grid in sequential order.</t>
  </si>
  <si>
    <t>👌🏼👌🏼👌🏼On point  Write great stuff... be patient... and act like human!  Google isn't buying your products... people are!  #wearedma #dma #digitalmarketingagency #searchengineoptimization #seoquotes #seoquote #searchenginemarketing #sem #semquotes #serp #serpquotes #seofact #seofacts #searchenginemarketing #googlemarketing #bingmarketing #google #bing #digitalmarketingfact #digitalmarketingfacts #m</t>
  </si>
  <si>
    <t>#wearedma, #dma, #digitalmarketingagency, #searchengineoptimization, #seoquotes, #seoquote, #searchenginemarketing, #sem, #semquotes, #serp, #serpquotes, #seofact, #seofacts, #searchenginemarketing, #googlemarketing, #bingmarketing, #google, #bing, #digitalmarketingfact, #digitalmarketingfacts, #marketingfact, #marketingfacts, #marketingquote, #marketingquotes</t>
  </si>
  <si>
    <t>Tagged non-reel item (Static Photo) at grid position #318.</t>
  </si>
  <si>
    <t>Grid item #318. Discovered from Tagged page grid in sequential order.</t>
  </si>
  <si>
    <t>Discovered at visual grid position #312. Verified Ad Details URL. Format: Single Image Ad.</t>
  </si>
  <si>
    <t>Oooh! Can you join us at 5pm today?  I'm really excited to be a guest on this webinar (hosted by @semrush ), along with my good friend @iagdotme and hosted by @digitalmarketingradio and Judith Lewis.  It's going to be soooo topical as we'll be discussing social media content that converts (ie. that gets you the results you want!) Specifically, we’ll be focusing on using calls-to-action that aren’t</t>
  </si>
  <si>
    <t>Tagged non-reel item (Static Photo) at grid position #319.</t>
  </si>
  <si>
    <t>Grid item #319. Discovered from Tagged page grid in sequential order.</t>
  </si>
  <si>
    <t>Discovered at visual grid position #313. Verified Ad Details URL. Format: Single Image Ad.</t>
  </si>
  <si>
    <t>Is Digital Marketing 📣📣 Investment 💰 good for you?  Manny, our VP of Marketing gives you DOPE reasons why you need to invest 💸 in #DigitalMarketing  Click on ⤴ Link in Bio and watch full video on our #YouTube channel!  #wearedma #dma #digitalmarketingagency #digitalmarketingstrategy #searchengineoptimization #seo #seostrategy #internetmarketingfacts #digitalmarketingfacts #marketingfacts #marketin</t>
  </si>
  <si>
    <t>#DigitalMarketing, #YouTube, #wearedma, #dma, #digitalmarketingagency, #digitalmarketingstrategy, #searchengineoptimization, #seo, #seostrategy, #internetmarketingfacts, #digitalmarketingfacts, #marketingfacts, #marketingstrategy, #digitalmarketingstrategy, #marketing101, #backlink, #backlinks, #contentmarketing, #yoastseo, #semrush, #ahrefs, #unitedkingdom, #unitedstates, #australia</t>
  </si>
  <si>
    <t>Tagged video reel discovered from Tagged grid position #320.</t>
  </si>
  <si>
    <t>Grid item #320. Discovered from Tagged page grid in sequential order.</t>
  </si>
  <si>
    <t>AI Search &amp; GEO, Industry Event, Video Marketing</t>
  </si>
  <si>
    <t>https://adstransparency.google.com/advertiser/AR01693402396748677121/creative/CR07616369968191373313?region=anywhere</t>
  </si>
  <si>
    <t>Discovered at visual grid position #314. Verified Ad Details URL. Format: Single Image Ad.</t>
  </si>
  <si>
    <t>I love blogging. More than 12 years and 2600 published posts) in and I’m not even remotely tired of it.  I’m sharing all the tools I use to keep Everyday Reading going, from the conferences I never miss to my favorite source for music for my videos to the email provider I love with all my heart.  Basically blog nerd heaven over on Everyday Reading today.  And if you have questions about blogging -</t>
  </si>
  <si>
    <t>Tagged non-reel item (Static Photo) at grid position #321.</t>
  </si>
  <si>
    <t>Grid item #321. Discovered from Tagged page grid in sequential order.</t>
  </si>
  <si>
    <t>It's important for you to remember this!  When people go online 🌎 to search for particular treatment or service, they will barely make it to 2nd page of #Google  In fact, TOP 3️⃣ search results in #Healthcare get 50% of all the clicks!  Why is this important ⚠️⚠️ for you?  More than 72% of Internet users say they searched 🔎 on Google for health information in 2018!  Let's make it even more clear -</t>
  </si>
  <si>
    <t>Discovered at visual grid position #315. Verified Ad Details URL. Format: Single Image Ad.</t>
  </si>
  <si>
    <t>#Google, #Healthcare, #wearedma, #dma, #digitalmarketingagency, #healthcaremarketing, #healthcaremarketingstrategy, #healthcaremarketingtips, #marketingstrategy, #marketingtips, #digitalmarketingstrategy, #digitalmarketingtips, #marketingfacts, #digitalmarketingfacts, #plasticsurgery, #healthcoach, #mentalcoach, #chiropractor, #chiropractors, #cosmeticsurgery, #plasticsurgery, #privateclinic, #hospital, #pediatrician, #healthinsurance, #pediatricians, #healthprofessional, #mentalhealthprofessional, #unitedstates, #unitedkingdom, #australia</t>
  </si>
  <si>
    <t>Tagged non-reel item (Static Photo) at grid position #322.</t>
  </si>
  <si>
    <t>Grid item #322. Discovered from Tagged page grid in sequential order.</t>
  </si>
  <si>
    <t>Lead your market with industry-best SEO data</t>
  </si>
  <si>
    <t>Outpace your competitors by reacting to shifts, preventing ranking drops, and finding SEO opportunities in real-time.</t>
  </si>
  <si>
    <t>SEO, Competitive Intelligence, Industry Event</t>
  </si>
  <si>
    <t>Join us on 1/16 for our second annual Ladies Lounge: Women Empowering Women! We’ll be hearing from some incredible speakers including @womeninno @semrush @femcove @ownyourworth @claraangelinadiaz @workwonderscareers 💪🏽. Link in profile. 📷 gorg design by @kayturp 💕</t>
  </si>
  <si>
    <t>Tagged non-reel item (Static Photo) at grid position #323.</t>
  </si>
  <si>
    <t>https://adstransparency.google.com/advertiser/AR01693402396748677121/creative/CR00668603408713777153?region=anywhere</t>
  </si>
  <si>
    <t>Ran from Dec 22, 2025 to Dec 29, 2025</t>
  </si>
  <si>
    <t>Grid item #323. Discovered from Tagged page grid in sequential order.</t>
  </si>
  <si>
    <t>Discovered at visual grid position #316. Verified Ad Details URL. Format: Single Image Ad.</t>
  </si>
  <si>
    <t>Tagged non-reel item (Static Photo) at grid position #324.</t>
  </si>
  <si>
    <t>Grid item #324. Discovered from Tagged page grid in sequential order.</t>
  </si>
  <si>
    <t>Discovered at visual grid position #317. Verified Ad Details URL. Format: Single Image Ad.</t>
  </si>
  <si>
    <t>Do you agree?  #wearedma #dma #digitalmarketingagency #marketingagency #digitalmarketing #digitalmarketingstrategy #contentmarketing #seo #searchengineoptimization #seostrategy #seofact #seofacts #seoquote #seoquotes #marketingquote #marketingquotes #googlemarketing #searchenginemarketing #sem #australia #unitedkingdom #unitedstates</t>
  </si>
  <si>
    <t>#wearedma, #dma, #digitalmarketingagency, #marketingagency, #digitalmarketing, #digitalmarketingstrategy, #contentmarketing, #seo, #searchengineoptimization, #seostrategy, #seofact, #seofacts, #seoquote, #seoquotes, #marketingquote, #marketingquotes, #googlemarketing, #searchenginemarketing, #sem, #australia, #unitedkingdom, #unitedstates</t>
  </si>
  <si>
    <t>Tagged non-reel item (Static Photo) at grid position #325.</t>
  </si>
  <si>
    <t>Grid item #325. Discovered from Tagged page grid in sequential order.</t>
  </si>
  <si>
    <t>The world is moving towards multi-channel digital marketing, so you can’t just focus your efforts on one specific channel or one specific platform.  www.whitepixel360.com  #digitalpixel #digitalmarketing #digital #Indore360 #indorepostgram  #digital_art #marketingtips #world #update #digitalupdate #platform #socialmedia #socialmediamanager #like4likes #likeforfollow #follow4followback #followforfo</t>
  </si>
  <si>
    <t>#digitalpixel, #digitalmarketing, #digital, #Indore360, #indorepostgram, #digital_art, #marketingtips, #world, #update, #digitalupdate, #platform, #socialmedia, #socialmediamanager, #like4likes, #likeforfollow, #follow4followback, #followforfollowback, #follow, #4follow, #likesforlikes, #likesfortags</t>
  </si>
  <si>
    <t>https://adstransparency.google.com/advertiser/AR01693402396748677121/creative/CR02254996377455034369?region=anywhere</t>
  </si>
  <si>
    <t>Tagged non-reel item (Static Photo) at grid position #326.</t>
  </si>
  <si>
    <t>Grid item #326. Discovered from Tagged page grid in sequential order.</t>
  </si>
  <si>
    <t>Discovered at visual grid position #318. Verified Ad Details URL. Format: Single Image Ad.</t>
  </si>
  <si>
    <t>🙏 ਕੱਚੇ ਚਾਹੇ ਪੱਕੇ ਅਾਖ਼ਿਰ ਖ਼ੁਰ ਜਾਣਾ ..    #ਨੀਵੇਂ E ਠੀਕ ਅਾਂ #ੳੁੱਚਿਅਾਂ ਨੇ ਵੀ ਤੁਰ ਜਾਣਾ ✅ #gulabiqueens #jimmysheirgill #gurjazz #gagankokri #vaddagrewal #buntybains #harsimran #bigdhillon #veetbaljit #jennyjohal #navvinder #kambi #soniamann #elly #gippygrewal #amritmaan #sonambajwa #neerubajwa #sukhsanghera #jasminsandhu #badshah #raftaar #gururandhawa #jassigill #sunandasharma #diljitdosanjh #nehakakkar</t>
  </si>
  <si>
    <t>#ਨ, #ੳ, #gulabiqueens, #jimmysheirgill, #gurjazz, #gagankokri, #vaddagrewal, #buntybains, #harsimran, #bigdhillon, #veetbaljit, #jennyjohal, #navvinder, #kambi, #soniamann, #elly, #gippygrewal, #amritmaan, #sonambajwa, #neerubajwa, #sukhsanghera, #jasminsandhu, #badshah, #raftaar, #gururandhawa, #jassigill, #sunandasharma, #diljitdosanjh, #nehakakkar, #mankirtaulakh, #gurwinderweaver, #whosunilgrover, #Raule_di_jameen</t>
  </si>
  <si>
    <t>Tagged non-reel item (Static Photo) at grid position #327.</t>
  </si>
  <si>
    <t>Grid item #327. Discovered from Tagged page grid in sequential order.</t>
  </si>
  <si>
    <t>Discovered at visual grid position #319. Verified Ad Details URL. Format: Single Image Ad.</t>
  </si>
  <si>
    <t>A big thank you to @semrush for the bundle of @godivauk chocolates! The post-Christmas diet might need to be shifted back a couple of weeks... . . . . #agencylife #digitalmarketing #officefun #teamwork #seomarketing #digitalmarketingtools</t>
  </si>
  <si>
    <t>#agencylife, #digitalmarketing, #officefun, #teamwork, #seomarketing, #digitalmarketingtools</t>
  </si>
  <si>
    <t>Tagged non-reel item (Static Photo) at grid position #328.</t>
  </si>
  <si>
    <t>Grid item #328. Discovered from Tagged page grid in sequential order.</t>
  </si>
  <si>
    <t>https://adstransparency.google.com/advertiser/AR01693402396748677121/creative/CR17609764220277096449?region=anywhere</t>
  </si>
  <si>
    <t>There's an average of 40000 searches on #Google every second. QUITE A LOT!  What's even more interesting 🤔 is that every day, 15% of that day's queries have never been asked before!  Just think 💭 about all the possibilities and keywords which you can use to rank your website!  #wearedma #dma #digitalmarketingagency #digitalagency #marketingagency #digitalmarketing #seo #searchengineoptimization #s</t>
  </si>
  <si>
    <t>#Google, #wearedma, #dma, #digitalmarketingagency, #digitalagency, #marketingagency, #digitalmarketing, #seo, #searchengineoptimization, #searchenginemarketing, #googlefacts, #googlemarketing, #seofacts, #seostats, #marketingfacts, #marketingstats, #marketingstrategy, #contentmarketingstrategy, #onpageseo, #offpageseo, #untiedstates, #unitedkingdom, #australia</t>
  </si>
  <si>
    <t>Tagged non-reel item (Static Photo) at grid position #329.</t>
  </si>
  <si>
    <t>Grid item #329. Discovered from Tagged page grid in sequential order.</t>
  </si>
  <si>
    <t>Ran from Dec 23, 2025 to Dec 30, 2025</t>
  </si>
  <si>
    <t>Discovered at visual grid position #320. Verified Ad Details URL. Format: Single Image Ad.</t>
  </si>
  <si>
    <t>Pertenecemos a la red más grande de consultores en #marketingdigital del 🌎. Más de 180 #expertos en más de 80 países, constantemente compartiendo nuestro conocimiento y expertise colectivo. Una fuente de conocimiento inigualable. 🙌🏼🖥🌎🖥🙌🏼 #marketing #socialmedia #mexico . . . . . #ecommerce #tiendaonline #coaching #exito #tips #marketingonline #marketingstrategy #marketingestrategico #marketingcoac</t>
  </si>
  <si>
    <t>#marketingdigital, #expertos, #marketing, #socialmedia, #mexico, #ecommerce, #tiendaonline, #coaching, #exito, #tips, #marketingonline, #marketingstrategy, #marketingestrategico, #marketingcoach, #marketingplan, #redessociales, #diseñoweb, #communitymanager, #mkt, #mktdigital, #resultados, #clientes, #posicionamientoweb, #estrategia, #estrategiadigital, #estrategiasdemarketing, #businesscoach, #emprender, #duda, #googlepartner</t>
  </si>
  <si>
    <t>Tagged non-reel item (Static Photo) at grid position #330.</t>
  </si>
  <si>
    <t>Grid item #330. Discovered from Tagged page grid in sequential order.</t>
  </si>
  <si>
    <t>Discovered at visual grid position #321. Verified Ad Details URL. Format: Single Image Ad.</t>
  </si>
  <si>
    <t>Wishing you tons of happiness, love and one LEGENDARY adventure - DMA fam!  As we're entering last week of this year, we dedicated these posts to help you #focus on the upcoming year 🎉 in order to disrupt 🤟🏻 your business!  Snippets are more impactful 💥 than ever!  Nearly a third of snippets return a snippet. Optimizing your content will be a priority!  Google displays different snippet based on t</t>
  </si>
  <si>
    <t>#focus, #linkinbio, #dma, #wearedma, #digitalmarketingagency, #digitalmarketing, #marketingagency, #digitalagency, #seo, #searchengineoptimization, #seostrategy, #seofact, #seofacts, #snippet, #snippets, #websitesnippet, #contentsnippet, #contentmarketing, #blog, #blogs, #blogwriting, #articlewriting, #copywriting, #copywriter, #unitedstates, #unitedkingdom, #australia</t>
  </si>
  <si>
    <t>Tagged non-reel item (Photo Carousel) at grid position #331.</t>
  </si>
  <si>
    <t>Grid item #331. Discovered from Tagged page grid in sequential order.</t>
  </si>
  <si>
    <t>https://adstransparency.google.com/advertiser/AR01693402396748677121/creative/CR14974916270829338625?region=anywhere</t>
  </si>
  <si>
    <t>Are #metatags #metatitles and #metadescriptions still important?  ABSOLUTELY!  We create awesome 😎 descriptions that entice users to click the page... that's what you really wanna do at the end of the day!  Check out ➤ Link in Bio and view full video on our #youtube channel!  #wearedma #dma #digitalmarketingagency #digitalmarketing #marketingagency #searchengineoptimization #seo #contentmarketing</t>
  </si>
  <si>
    <t>#metatags, #metatitles, #metadescriptions, #youtube, #wearedma, #dma, #digitalmarketingagency, #digitalmarketing, #marketingagency, #searchengineoptimization, #seo, #contentmarketing, #onpageoptimization, #onpageseo, #seofacts, #seostats, #seotricks, #seoadvice, #websitecontent, #blogwriting, #articlewriting, #copywriting, #copywriter, #blogger, #blogs, #contentmarketingstrategy, #unitedstates, #unitedkingdom, #australia</t>
  </si>
  <si>
    <t>Tagged non-reel item (Static Photo) at grid position #332.</t>
  </si>
  <si>
    <t>Grid item #332. Discovered from Tagged page grid in sequential order.</t>
  </si>
  <si>
    <t>Discovered at visual grid position #322. Verified Ad Details URL. Format: Single Image Ad.</t>
  </si>
  <si>
    <t>Starting on the 26th- we will be doing a five ''business'' day countdown to the New Year with '2019 trend' articles so we all are prepared for the New Year! Happy Holidays everyone!</t>
  </si>
  <si>
    <t>Tagged non-reel item (Static Photo) at grid position #333.</t>
  </si>
  <si>
    <t>Grid item #333. Discovered from Tagged page grid in sequential order.</t>
  </si>
  <si>
    <t>Discovered at visual grid position #323. Verified Ad Details URL. Format: Single Image Ad.</t>
  </si>
  <si>
    <t>https://adstransparency.google.com/advertiser/AR01693402396748677121/creative/CR12106977903607021569?region=anywhere</t>
  </si>
  <si>
    <t>Hoy refrescamos la tarde con @aperolspain en @Theinbounder #valencia #valenciagram</t>
  </si>
  <si>
    <t>#valencia, #valenciagram</t>
  </si>
  <si>
    <t>Tagged non-reel item (Static Photo) at grid position #334.</t>
  </si>
  <si>
    <t>Discovered at visual grid position #324. Verified Ad Details URL. Format: Single Image Ad.</t>
  </si>
  <si>
    <t>Grid item #334. Discovered from Tagged page grid in sequential order.</t>
  </si>
  <si>
    <t>#SEO is less of a task and more of a day-to-day activity. It's like breathing and walking!  Let's compare SEO with a 🌳 tree.  When was the best time to plant a tree? 20 years ago!  If you want to get 🤟🏻 better day by day, month by month, quarter by quarter... you need to start NOW!  Check our latest video 🎥 on our #youtube channel! ➽ Link in Bio  #dma #wearedma #digitalmarketingagency #digitalagen</t>
  </si>
  <si>
    <t>#SEO, #youtube, #dma, #wearedma, #digitalmarketingagency, #digitalagency, #marketingagency, #digitalmarketing, #searchengineoptimization, #contentmarketing, #websiteranking, #websiterank, #contentmarketing, #videomarketing, #keywordsoptimization, #keywordsresearch, #digitalmarketingstrategy, #seostrategy, #seofacts, #seoadvice, #seoquotes, #seoquote, #unitedstates, #unitedkingdom, #australia</t>
  </si>
  <si>
    <t>Tagged non-reel item (Static Photo) at grid position #335.</t>
  </si>
  <si>
    <t>Grid item #335. Discovered from Tagged page grid in sequential order.</t>
  </si>
  <si>
    <t>Discovered at visual grid position #325. Verified Ad Details URL. Format: Single Image Ad.</t>
  </si>
  <si>
    <t>https://adstransparency.google.com/advertiser/AR01693402396748677121/creative/CR05985645102935048193?region=anywhere</t>
  </si>
  <si>
    <t>💌Merci à  LinkedIn France , @HubSpot, @legroupelaposte , @textmasterteam , @payplug_fr , @jobteaser_ et  @semrush_france pour leurs 7 conseils pour réussir sa stratégie de croissance en 2019 ! Découvrez l'article dans notre blog ➡️ Lien en bio 💌  Thank you LinkedIn France , HubSpot, LaPoste, TextMaster, Payplug, Jobteaser and SEMrush  for contributing to '7 Tips for Successful Growth Strategy in 2</t>
  </si>
  <si>
    <t>#inboundmarketing, #inbound, #hubspotpartner, #marketingautomation, #seo, #marketingtips, #agenceparis, #marketingdigitale, #vacances, #hiver</t>
  </si>
  <si>
    <t>Tagged non-reel item (Photo Carousel) at grid position #336.</t>
  </si>
  <si>
    <t>Grid item #336. Discovered from Tagged page grid in sequential order.</t>
  </si>
  <si>
    <t>It’s day 11 of #spinsucks Christmas, folks! Today, @dietrichgini gives to you...ELEVEN #software and #tools you must be using in 2019! Once again, hi @coschedule 😘</t>
  </si>
  <si>
    <t>#spinsucks, #software, #tools</t>
  </si>
  <si>
    <t>Tagged non-reel item (Static Photo) at grid position #337.</t>
  </si>
  <si>
    <t>Grid item #337. Discovered from Tagged page grid in sequential order.</t>
  </si>
  <si>
    <t>Discovered at visual grid position #326. Verified Ad Details URL. Format: Single Image Ad.</t>
  </si>
  <si>
    <t>New niche -2month 🚀 🚀 sin enlaces - contenido original - amazon afiliados generando 100-300 usd al mes - proyecto ya sin tocar... #seo #passiveincome #income #money #house #trabajo #mexico #latino #losangeles inversión o USD - solo tiempo 🚀</t>
  </si>
  <si>
    <t>#seo, #passiveincome, #income, #money, #house, #trabajo, #mexico, #latino, #losangeles</t>
  </si>
  <si>
    <t>Tagged non-reel item (Static Photo) at grid position #338.</t>
  </si>
  <si>
    <t>https://adstransparency.google.com/advertiser/AR01693402396748677121/creative/CR17909872319895961601?region=anywhere</t>
  </si>
  <si>
    <t>Grid item #338. Discovered from Tagged page grid in sequential order.</t>
  </si>
  <si>
    <t>Discovered at visual grid position #327. Verified Ad Details URL. Format: Single Image Ad.</t>
  </si>
  <si>
    <t>This article by @semrush is exactly what you need to read going into a new year, check it out! “SEM experiments that will blow your mind” 🤯➡️ https://www.semrush.com/blog/seo-experiments-that-will-blow-your-mind/ • • • • • #sem #seo #searchenginemarketing #searchengineoptimization #content #digitalmarketing</t>
  </si>
  <si>
    <t>#sem, #seo, #searchenginemarketing, #searchengineoptimization, #content, #digitalmarketing</t>
  </si>
  <si>
    <t>Tagged non-reel item (Static Photo) at grid position #339.</t>
  </si>
  <si>
    <t>Grid item #339. Discovered from Tagged page grid in sequential order.</t>
  </si>
  <si>
    <t>Um levantamento realizado pela SEMrush, líder global de marketing digital, revelou as celebridades mais pesquisadas pelos brasileiros na internet em 2018. Neymar, atual camisa 10 do Paris Saint Germain, desta vez, ganhou o título de celebridade mais digitada nos mecanismos de buscas, como Google e Bing. Em segundo lugar, aparece o jogador Cristiano Ronaldo, com a marca de 10 milhões de buscas. Bru</t>
  </si>
  <si>
    <t>#marketingdigital, #celebridades, #famosos, #pesquisa, #busca, #google, #bing</t>
  </si>
  <si>
    <t>Tagged non-reel item (Photo Carousel) at grid position #340.</t>
  </si>
  <si>
    <t>Grid item #340. Discovered from Tagged page grid in sequential order.</t>
  </si>
  <si>
    <t>Discovered at visual grid position #328. Verified Ad Details URL. Format: Single Image Ad.</t>
  </si>
  <si>
    <t>Are You Looking for Digital marketing Services? We are experts at SEO &amp; Digital marketing with clients ranking across India in the most competitive markets.  We offer full transparency and a systemized ethical approach that actually generates rankings and results. Search Engine Optimization is a crucial cornerstone for any online marketing campaign. We use dependable and reliable organic search ta</t>
  </si>
  <si>
    <t>#syntricon, #searchengineoptimization, #seo, #socialmediamarketing, #seoservices, #contentmarketing, #serp, #campaign, #traffic, #googleranking, #pagespeed, #searchconsole, #crawler, #website, #backlink, #smo, #fitch, #india, #canada, #travel, #technology, #fortnite, #universal, #digitalmarketing, #seotips, #business, #socialmediamanagement, #blogger, #seoexpert, #Instagrammarketing</t>
  </si>
  <si>
    <t>Tagged non-reel item (Static Photo) at grid position #341.</t>
  </si>
  <si>
    <t>Grid item #341. Discovered from Tagged page grid in sequential order.</t>
  </si>
  <si>
    <t>https://adstransparency.google.com/advertiser/AR01693402396748677121/creative/CR04123763998296375297?region=anywhere</t>
  </si>
  <si>
    <t>Discovered at visual grid position #329. Verified Ad Details URL. Format: Single Image Ad.</t>
  </si>
  <si>
    <t>✔️ Ya es oficial, soy Gurú. Certificado y avalado por @semrush_es ¿eh?  Gracias majos! 😂  #soyguru #guru #alguruyoghurt #marketing #marketingdigital y tal</t>
  </si>
  <si>
    <t>#soyguru, #guru, #alguruyoghurt, #marketing, #marketingdigital</t>
  </si>
  <si>
    <t>Tagged non-reel item (Static Photo) at grid position #342.</t>
  </si>
  <si>
    <t>Grid item #342. Discovered from Tagged page grid in sequential order.</t>
  </si>
  <si>
    <t>You may have heard of people spending months working towards coming on the ‘First Page of Google’. .  If you are a Digital Marketer, you may know of the more formal term – SEO –Search Engine Optimization. Well, today, you may realize the value of good SEO but what goes on behind it is – quality keyword research. .  Keyword research is when people use keywords to find and research actual search ter</t>
  </si>
  <si>
    <t>#seo, #marketing, #digitalmarketing, #socialmedia, #business, #socialmediamarketing, #contentmarketing, #branding, #webdesign, #marketingdigital, #entrepreneur, #onlinemarketing, #google, #marketingtips, #advertising, #startup, #sem, #smallbusiness, #website, #smm, #marketingstrategy, #instagram, #digitalagency, #socialmediatips, #webdevelopment, #content, #blogging, #digital, #internetmarketing, #sem</t>
  </si>
  <si>
    <t>Tagged non-reel item (Photo Carousel) at grid position #343.</t>
  </si>
  <si>
    <t>Discovered at visual grid position #330. Verified Ad Details URL. Format: Single Image Ad.</t>
  </si>
  <si>
    <t>Grid item #343. Discovered from Tagged page grid in sequential order.</t>
  </si>
  <si>
    <t>Top digital marketing tools. Are you using them? LIkE &amp; #FOLLOW DigitalRelaunch.com #marketing  #marketingtips #b2cmarketing #b2bmarketing #strategy #mktg #digitalmarketing #marketingstrategy  #mobilemarketing #socialmediamarketing #promotion</t>
  </si>
  <si>
    <t>#FOLLOW, #marketing, #marketingtips, #b2cmarketing, #b2bmarketing, #strategy, #mktg, #digitalmarketing, #marketingstrategy, #mobilemarketing, #socialmediamarketing, #promotion</t>
  </si>
  <si>
    <t>Tagged non-reel item (Static Photo) at grid position #344.</t>
  </si>
  <si>
    <t>Grid item #344. Discovered from Tagged page grid in sequential order.</t>
  </si>
  <si>
    <t>https://adstransparency.google.com/advertiser/AR01693402396748677121/creative/CR06514224709419139073?region=anywhere</t>
  </si>
  <si>
    <t>Discovered at visual grid position #331. Verified Ad Details URL. Format: Single Image Ad.</t>
  </si>
  <si>
    <t>Here they are, 4 useful marketing anaytics tools for your business💁🏼</t>
  </si>
  <si>
    <t>Tagged non-reel item (Photo Carousel) at grid position #345.</t>
  </si>
  <si>
    <t>Grid item #345. Discovered from Tagged page grid in sequential order.</t>
  </si>
  <si>
    <t>What does your team do while eating lunch? We watch remarketing webinars to continue to grow our skills! 🤔</t>
  </si>
  <si>
    <t>Tagged non-reel item (Static Photo) at grid position #346.</t>
  </si>
  <si>
    <t>Grid item #346. Discovered from Tagged page grid in sequential order.</t>
  </si>
  <si>
    <t>Discovered at visual grid position #332. Verified Ad Details URL. Format: Video Ad.</t>
  </si>
  <si>
    <t>https://adstransparency.google.com/advertiser/AR01693402396748677121/creative/CR08963800688979083265?region=anywhere</t>
  </si>
  <si>
    <t>Get together for 6th Annual Digital Marketing Summit at Hyderabad. This time will have Awesome Content i.e Open Mic, Pitching Session on Digital Marketing Challenges along with Expert Speaker Talks, Panel Discussion, etc.  ABOUT SPEAKER  Rohan Ayyar is the Regional Marketing Manager for India at SEMrush. He is an experienced digital marketer who has worked in both agency and in-house, developing d</t>
  </si>
  <si>
    <t>#hyderabad, #hyderabadcity, #hyderabadevents, #hydevents, #hyderabadtimes, #hyderabaddiaries, #hyderabadblogger, #hyderabadbloggers, #hyderabadblog, #hyderabadentrepreneurs, #hyderabadstartup, #igershyderabad, #hyderabadinsta, #entrepreneur, #digitalmarketing, #socialmedia, #semrush</t>
  </si>
  <si>
    <t>Tagged non-reel item (Static Photo) at grid position #347.</t>
  </si>
  <si>
    <t>Grid item #347. Discovered from Tagged page grid in sequential order.</t>
  </si>
  <si>
    <t>Trends and changes, from mobile-first indexing to page speed. Discover what makes the difference for your business to show up in search engine results 🔍 http://ow.ly/DOfL50jPq94 / #SEO #OnlineAdvertising #Contractors #HomeServices #Professionals #GooglePartners #Bing #Inc5000</t>
  </si>
  <si>
    <t>#SEO, #OnlineAdvertising, #Contractors, #HomeServices, #Professionals, #GooglePartners, #Bing, #Inc5000</t>
  </si>
  <si>
    <t>Tagged non-reel item (Static Photo) at grid position #348.</t>
  </si>
  <si>
    <t>Grid item #348. Discovered from Tagged page grid in sequential order.</t>
  </si>
  <si>
    <t>Discovered at visual grid position #333. Verified Ad Details URL. Format: Single Image Ad.</t>
  </si>
  <si>
    <t>technology, business, musthave</t>
  </si>
  <si>
    <t>19 entrepreneurs give their must have business technologies on Rescue a CEO. Check out the link in out profile for the full post. #technology #business #musthave</t>
  </si>
  <si>
    <t>#technology, #business, #musthave</t>
  </si>
  <si>
    <t>Tagged non-reel item (Photo Carousel) at grid position #349.</t>
  </si>
  <si>
    <t>https://adstransparency.google.com/advertiser/AR01693402396748677121/creative/CR01663896701569597441?region=anywhere</t>
  </si>
  <si>
    <t>Grid item #349. Discovered from Tagged page grid in sequential order.</t>
  </si>
  <si>
    <t>программирование, дети, детскоеобразование</t>
  </si>
  <si>
    <t>Discovered at visual grid position #334. Verified Ad Details URL. Format: Single Image Ad.</t>
  </si>
  <si>
    <t>На прошлых выходных ученики Кодабры в Петербурге представили свои проекты в офисе SEMrush! Ребята показали реальные игры, сделанные с помощью Minecraft, Python и Unity, и доказали всем, что уже стали настоящими программистами.  А еще ребята увидели своими глазами, как функционирует международная IT-компания SEMrush, создающая незаменимые для любого маркетолога продукты. Спасибо нашему партнеру за</t>
  </si>
  <si>
    <t>#программирование, #дети, #детскоеобразование, #minecraftedu, #unity3d</t>
  </si>
  <si>
    <t>Tagged non-reel item (Photo Carousel) at grid position #350.</t>
  </si>
  <si>
    <t>Grid item #350. Discovered from Tagged page grid in sequential order.</t>
  </si>
  <si>
    <t>You have control of your future. Today you can start the change that you want to be....only you can do it.  #training  #education  #careeradvice  #resume</t>
  </si>
  <si>
    <t>#training, #education, #careeradvice, #resume</t>
  </si>
  <si>
    <t>Tagged non-reel item (Static Photo) at grid position #351.</t>
  </si>
  <si>
    <t>Grid item #351. Discovered from Tagged page grid in sequential order.</t>
  </si>
  <si>
    <t>Discovered at visual grid position #335. Verified Ad Details URL. Format: Single Image Ad.</t>
  </si>
  <si>
    <t>Healthcare / Ecommerce</t>
  </si>
  <si>
    <t>Smart Health Monitor: Non-invasive portable glucose meter wellness promotion</t>
  </si>
  <si>
    <t>https://adstransparency.google.com/advertiser/AR01693402396748677121/creative/CR04966302690461089793?region=anywhere</t>
  </si>
  <si>
    <t>@semrush is organizing a FREE event on #brand reputation management with two industry experts ( Marcela de Vivo and @shanebarker ) @theworkshopsacramento - #Sacramento.  The topic for the workshop is: Improve Your Reputation to Grow Your #Business  RESERVE YOUR SPOT NOW! ==&gt;&gt; [Link in the Bio] . . . . .  #semrush #business #marketing #startups #socialmedia #businessideas #growthhacks #digitalmarke</t>
  </si>
  <si>
    <t>#brand, #Sacramento, #Business, #semrush, #business, #marketing, #startups, #socialmedia, #businessideas, #growthhacks, #digitalmarketing, #workshop, #businesshacks, #branding, #eventinsacramento, #thinkstodoinsacramento, #socialmedia, #socialmediamarketing, #brandmanagement, #influencermarketing, #influencers, #brands, #event, #thingstodo</t>
  </si>
  <si>
    <t>Tagged non-reel item (Static Photo) at grid position #352.</t>
  </si>
  <si>
    <t>Grid item #352. Discovered from Tagged page grid in sequential order.</t>
  </si>
  <si>
    <t>Discovered at visual grid position #336. Verified Ad Details URL. Format: Single Image Ad.</t>
  </si>
  <si>
    <t>Un lunes a puro Marketing en #Madrid 😉👉 por la mañana clase de SEO en @AulaCM, por la tarde el SEMrush eCommerce Meetup de @semrush_es y finalmente por la noche, cena con los ponentes y periodistas del Meetup #rushenvivo 🔝 #seo #marketingdigital #ecommerce #ecommercebusiness #marketingonline #congreso #semrush</t>
  </si>
  <si>
    <t>#Madrid, #rushenvivo, #seo, #marketingdigital, #ecommerce, #ecommercebusiness, #marketingonline, #congreso, #semrush</t>
  </si>
  <si>
    <t>Tagged non-reel item (Photo Carousel) at grid position #353.</t>
  </si>
  <si>
    <t>Grid item #353. Discovered from Tagged page grid in sequential order.</t>
  </si>
  <si>
    <t>cookies, cookyes, customcookies</t>
  </si>
  <si>
    <t>#cookies #cookyes #customcookies 🌲🎁🌲🎁🌲🎁🌲🎁🌲🎁🌲🎁🌲🎁🌲🎁🌲🎁🌲🎁🌲🎁🌲🎁🌲🎁🌲🎁🌲🎁🌲🎁🌲🎁🌲🎁 Sta arrivando 🎅🏼.... #christmas #natale2018 #natale #biscopalle #snoopy #decoratedcookies #decoratedsugarcookies #sugarcookies  #customcookies #royalicing #royalicingcookies #edibleart #cookiesofinstagram #instasweet</t>
  </si>
  <si>
    <t>#cookies, #cookyes, #customcookies, #christmas, #natale2018, #natale, #biscopalle, #snoopy, #decoratedcookies, #decoratedsugarcookies, #sugarcookies, #customcookies, #royalicing, #royalicingcookies, #edibleart, #cookiesofinstagram, #instasweet</t>
  </si>
  <si>
    <t>Tagged non-reel item (Photo Carousel) at grid position #354.</t>
  </si>
  <si>
    <t>Discovered at visual grid position #337. Verified Ad Details URL. Format: Single Image Ad.</t>
  </si>
  <si>
    <t>Grid item #354. Discovered from Tagged page grid in sequential order.</t>
  </si>
  <si>
    <t>https://adstransparency.google.com/advertiser/AR01693402396748677121/creative/CR11409546382344716289?region=anywhere</t>
  </si>
  <si>
    <t>Do we have to optimise for RankBrain? 🤔😀 ⠀ No, just give them value. ⠀ Step 1:  Understand what drives value for your customers ⠀ Talk to them, survey them, and watch their actions and reactions. In short, capture data to understand what is important to your customers and what opportunities you have to help them. ⠀ Step 2:  Understand your value proposition ⠀ The value customers receive is equal t</t>
  </si>
  <si>
    <t>#entrepreneur, #motivation, #success, #lifestyle, #digitalmarketing, #money, #seo, #inspiration, #marketing, #rankbrain, #goals, #advice, #feelings, #entrepreneur, #reality, #gold, #choices, #wise, #workhard, #englad, #london, #marketing, #socialmedia, #marketingdigital, #branding, #onlinemarketing, #business, #success, #startup, #influencer</t>
  </si>
  <si>
    <t>Tagged video reel discovered from Tagged grid position #355.</t>
  </si>
  <si>
    <t>Grid item #355. Discovered from Tagged page grid in sequential order.</t>
  </si>
  <si>
    <t>DSA18, award, cheers</t>
  </si>
  <si>
    <t>Ran from Dec 12, 2025 to Dec 23, 2025</t>
  </si>
  <si>
    <t>Discovered at visual grid position #338. Verified Ad Details URL. Format: Single Image Ad.</t>
  </si>
  <si>
    <t>Trots 😊 Onze klant @semrush wint award in categorie online tools tijdens de #DSA18 ! 🍾🎉 #award #cheers #semrush</t>
  </si>
  <si>
    <t>#DSA18, #award, #cheers, #semrush</t>
  </si>
  <si>
    <t>Tagged non-reel item (Static Photo) at grid position #356.</t>
  </si>
  <si>
    <t>Grid item #356. Discovered from Tagged page grid in sequential order.</t>
  </si>
  <si>
    <t>All-in-one marketing tool that provides intelligence data for #seo #ppc #socialmedia and #content</t>
  </si>
  <si>
    <t>#seo, #ppc, #socialmedia, #content</t>
  </si>
  <si>
    <t>Tagged non-reel item (Static Photo) at grid position #357.</t>
  </si>
  <si>
    <t>Discovered at visual grid position #339. Verified Ad Details URL. Format: Single Image Ad.</t>
  </si>
  <si>
    <t>Grid item #357. Discovered from Tagged page grid in sequential order.</t>
  </si>
  <si>
    <t>https://adstransparency.google.com/advertiser/AR01693402396748677121/creative/CR11172432576646217729?region=anywhere</t>
  </si>
  <si>
    <t>Carousel Ad</t>
  </si>
  <si>
    <t>Lead your market. Grow your SEO strategy with industry-best data, automations, and customizable reporting that proves impact.</t>
  </si>
  <si>
    <t>Sobre trabalho: Ontem era domingo, eu e o Rafa olhamos um para o outro no meio da tarde e falamos, e aí vamos trabalhar? Haha sim, os dois são tão workaholic que o nosso hobbie é trabalhar. E o melhor de tudo, fazemos isso juntos (por isso é importante casar com quem combina com seus sonhos e propósito de vida). Eu sempre gostei de trabalhar, acho que o segredo pra você amar é ser grato, sabe? Alg</t>
  </si>
  <si>
    <t>#digitalmarketing, #marketing, #digitalnomad, #nomadesdigitais, #homeoffice, #workfromanywhere, #projectmanagement</t>
  </si>
  <si>
    <t>Tagged non-reel item (Static Photo) at grid position #358.</t>
  </si>
  <si>
    <t>Grid item #358. Discovered from Tagged page grid in sequential order.</t>
  </si>
  <si>
    <t>Discovered at visual grid position #340. Verified Ad Details URL. Format: Carousel Ad.</t>
  </si>
  <si>
    <t>Power more efficient teams and boost organic growth, with the platform that centralizes every tool for global search strategies.</t>
  </si>
  <si>
    <t>The Sunday Talk – SEO is changing ⠀ Watch the whole video here https://youtu.be/T6Rjqhi2l6s • • • • #marketing #socialmedia #marketingdigital #branding #entrepreneur #socialmediamarketing #onlinemarketing #business #advertising #blogger #motivation #marketingonline #entrepreneurship #success #startup #influencer #seo #entrepreneurs #digitalinfluencer #digital #marketingtips #workhard #london #engl</t>
  </si>
  <si>
    <t>#marketing, #socialmedia, #marketingdigital, #branding, #entrepreneur, #socialmediamarketing, #onlinemarketing, #business, #advertising, #blogger, #motivation, #marketingonline, #entrepreneurship, #success, #startup, #influencer, #seo, #entrepreneurs, #digitalinfluencer, #digital, #marketingtips, #workhard, #london, #england, #rankbrain, #google, #dedication, #canon, #brand, #goals</t>
  </si>
  <si>
    <t>Tagged video reel discovered from Tagged grid position #359.</t>
  </si>
  <si>
    <t>Grid item #359. Discovered from Tagged page grid in sequential order.</t>
  </si>
  <si>
    <t>https://adstransparency.google.com/advertiser/AR01693402396748677121/creative/CR01269360043686363137?region=anywhere</t>
  </si>
  <si>
    <t>Discovered at visual grid position #341. Verified Ad Details URL. Format: Carousel Ad.</t>
  </si>
  <si>
    <t>Buongiorno da @lancettedilusso.it , il tuo #luxury #watchmagazine . Sulla pagina #facebook di @semrush è apparsa la #classifica delle tendenze nel settore abbigliamento e moda in ambito #onlineshopping .  Come è ben evidente, l’articolo più cercato in #italia è l’#orologio , che, in ogni periodo dell’anno, si posiziona sempre al vertice.  @apple, grazie al suo #applewatch , ha sicuramente aiutato</t>
  </si>
  <si>
    <t>#luxury, #watchmagazine, #facebook, #classifica, #onlineshopping, #italia, #orologio, #applewatch, #moda, #watch, #smartwatch, #luxurylifestyle, #wrist, #rank, #ranking, #rolex, #swatch, #omega, #cartier, #seo, #onlineshop, #shopping, #shoppingonline, #clothes, #semrush, #fashion, #fashionblogger</t>
  </si>
  <si>
    <t>Tagged non-reel item (Static Photo) at grid position #360.</t>
  </si>
  <si>
    <t>Grid item #360. Discovered from Tagged page grid in sequential order.</t>
  </si>
  <si>
    <t>A Maria veio direto da Rússia para a Ilha da Magia trabalhar na feira de negócios do #RDsummit e alcançou um grande momento: o seu sonho de ser uma cidadã do mundo. Ela, que sempre quis sair de sua cidade pequena, e está amando conhecer tantos profissionais bacanas e é, claro, falar MUITO português. Maria é fluentissima!!! Ela tbem quer tomar guaraná e comer pão de queijo. A Maria pode até ser de</t>
  </si>
  <si>
    <t>Discovered at visual grid position #342. Verified Ad Details URL. Format: Single Image Ad.</t>
  </si>
  <si>
    <t>#RDsummit, #HumanosDoRD, #RDSummit2018, #VuêNoRD, #SEMrush, #LiliNoRD, #LureNoRD, #LiliPorAí</t>
  </si>
  <si>
    <t>Tagged non-reel item (Static Photo) at grid position #361.</t>
  </si>
  <si>
    <t>Grid item #361. Discovered from Tagged page grid in sequential order.</t>
  </si>
  <si>
    <t>https://adstransparency.google.com/advertiser/AR01693402396748677121/creative/CR01114022827620564993?region=anywhere</t>
  </si>
  <si>
    <t>#semrush #event in #milano #italy #italy🇮🇹 #marketing #webmarketing #gala #seo #sem</t>
  </si>
  <si>
    <t>#semrush, #event, #milano, #italy, #italy, #marketing, #webmarketing, #gala, #seo, #sem</t>
  </si>
  <si>
    <t>Tagged non-reel item (Static Photo) at grid position #362.</t>
  </si>
  <si>
    <t>Grid item #362. Discovered from Tagged page grid in sequential order.</t>
  </si>
  <si>
    <t>Discovered at visual grid position #343. Verified Ad Details URL. Format: Single Image Ad.</t>
  </si>
  <si>
    <t>| Jeff The Alien 👽 &amp; I Came To Slay The @InternetSummit ⚔️! It Was Great Catching Up With @brooklyndecker After Her Live Panel Interview, Running Into  @amvs.theworld &amp; Then Taking @amazon_alexa Home (Thank You @semrush )❗️I Definitely Had A Great Time &amp; Look Forward To Next Years Conference‼️| #ISUM18 #ISummit2018 #Tradeshow #Conference #RDU #RaleighConventionCenter #InternetSummit #InternetSummi</t>
  </si>
  <si>
    <t>#ISUM18, #ISummit2018, #Tradeshow, #Conference, #RDU, #RaleighConventionCenter, #InternetSummit, #InternetSummit2018, #BowTie, #BowTieGuy, #FeatherBowTie, #WoodBowTie, #Fashion, #JeffTheAlien, #SemRush, #Alexa, #AmazonAlexa, #TalkToMeAlexa, #AlexaDoYouLoveMe, #Alien, #Viral</t>
  </si>
  <si>
    <t>Tagged non-reel item (Photo Carousel) at grid position #363.</t>
  </si>
  <si>
    <t>Grid item #363. Discovered from Tagged page grid in sequential order.</t>
  </si>
  <si>
    <t>Discovered at visual grid position #344. Verified Ad Details URL. Format: Single Image Ad.</t>
  </si>
  <si>
    <t>In a brainy discussion with @doc.sheldon, @thegypsy66 and Jason Barnard (organised by @antonshulke via @SEMrush). ⠀ https://youtu.be/EZaatS3fiH0 ⠀ Machine Learning is the future of Digital Marketing. • • • • #digitalmarketing #digitalmarketingagency #digitalmarketingtips #digitalmarketingstrategy #digitalmarketingtraining #seo #rankbrain #google #digitalmarketinglife marketing101 #england #canon #</t>
  </si>
  <si>
    <t>https://adstransparency.google.com/advertiser/AR01693402396748677121/creative/CR10292272419099901953?region=anywhere</t>
  </si>
  <si>
    <t>#digitalmarketing, #digitalmarketingagency, #digitalmarketingtips, #digitalmarketingstrategy, #digitalmarketingtraining, #seo, #rankbrain, #google, #digitalmarketinglife, #england, #canon, #london, #semrush, #course, #learn, #tips, #education, #semrushacademy, #lifestyle, #influencer, #contentmarketing, #digitalmarketing101, #influencermarketing, #workhard, #workhardpaysoff, #digital, #wisdom, #machinelearning, #artificialintelligence</t>
  </si>
  <si>
    <t>Tagged video reel discovered from Tagged grid position #364.</t>
  </si>
  <si>
    <t>Grid item #364. Discovered from Tagged page grid in sequential order.</t>
  </si>
  <si>
    <t>Where will your office be today? 👨🏽‍💻</t>
  </si>
  <si>
    <t>Tagged non-reel item (Static Photo) at grid position #365.</t>
  </si>
  <si>
    <t>Grid item #365. Discovered from Tagged page grid in sequential order.</t>
  </si>
  <si>
    <t>Discovered at visual grid position #345. Verified Ad Details URL. Format: Single Image Ad.</t>
  </si>
  <si>
    <t>Ainda absorvendo tudo, por que foi indescritível ✨ #RDSummit2018 ACTION!!</t>
  </si>
  <si>
    <t>#RDSummit2018</t>
  </si>
  <si>
    <t>Tagged non-reel item (Photo Carousel) at grid position #366.</t>
  </si>
  <si>
    <t>Grid item #366. Discovered from Tagged page grid in sequential order.</t>
  </si>
  <si>
    <t>Discovered at visual grid position #346. Verified Ad Details URL. Format: Single Image Ad.</t>
  </si>
  <si>
    <t>Сегодня принял участие во встрече для маркетологов, которую в очередной раз организовывает #Semrush. Сегодня разговоры были про email-маркетинг, #mindbox и интересные кейсы. Суперская цитата встречи - авангард безумной интеграции.</t>
  </si>
  <si>
    <t>#Semrush, #mindbox</t>
  </si>
  <si>
    <t>Tagged non-reel item (Static Photo) at grid position #367.</t>
  </si>
  <si>
    <t>Grid item #367. Discovered from Tagged page grid in sequential order.</t>
  </si>
  <si>
    <t>Join us LIVE this December for 'Digital Marketing in 2019', a FREE 7½ hour livestream series, featuring 120 of the world's leading digital marketers! Check out the link in our bio :)</t>
  </si>
  <si>
    <t>Tagged non-reel item (Static Photo) at grid position #368.</t>
  </si>
  <si>
    <t>Grid item #368. Discovered from Tagged page grid in sequential order.</t>
  </si>
  <si>
    <t>data, cyberattacks, breach</t>
  </si>
  <si>
    <t>Discovered at visual grid position #347. Verified Ad Details URL. Format: Single Image Ad.</t>
  </si>
  <si>
    <t>If you're not thinking about it you should. How are you protecting your data? #data #cyberattacks  #breach  #cybersecurity</t>
  </si>
  <si>
    <t>#data, #cyberattacks, #breach, #cybersecurity</t>
  </si>
  <si>
    <t>Tagged non-reel item (Static Photo) at grid position #369.</t>
  </si>
  <si>
    <t>Grid item #369. Discovered from Tagged page grid in sequential order.</t>
  </si>
  <si>
    <t>https://adstransparency.google.com/advertiser/AR01693402396748677121/creative/CR00530538463758385153?region=anywhere</t>
  </si>
  <si>
    <t>Trabajando a tope con el equipo de @semrush_es en Sant Petersburgo #Rusia #marketingdigital #trabajoenequipo #seo #travel #santpetersburg</t>
  </si>
  <si>
    <t>#Rusia, #marketingdigital, #trabajoenequipo, #seo, #travel, #santpetersburg</t>
  </si>
  <si>
    <t>Tagged non-reel item (Photo Carousel) at grid position #370.</t>
  </si>
  <si>
    <t>Grid item #370. Discovered from Tagged page grid in sequential order.</t>
  </si>
  <si>
    <t>Ran from Dec 22, 2025 to Dec 23, 2025</t>
  </si>
  <si>
    <t>Discovered at visual grid position #348. Verified Ad Details URL. Format: Video Ad.</t>
  </si>
  <si>
    <t>Team looking dapper yesterday at Melbourne Cup celebrations 👌👌 #SeekMarketing • • • • • #digitalmarketing #onlinemarketing #contentmarketing #smm #seo #startuplife #emailmarketing #marketingonline #marketingtips #marketing #startup #socialmediatips #onlinebusiness #marketingdigital #startups #socialmedia #successquotes #socialmediamarketing #marketingstrategy #inspirationalquote #motivationalquote</t>
  </si>
  <si>
    <t>#SeekMarketing, #digitalmarketing, #onlinemarketing, #contentmarketing, #smm, #seo, #startuplife, #emailmarketing, #marketingonline, #marketingtips, #marketing, #startup, #socialmediatips, #onlinebusiness, #marketingdigital, #startups, #socialmedia, #successquotes, #socialmediamarketing, #marketingstrategy, #inspirationalquote, #motivationalquote, #branding, #entrepreneurship, #entrepreneurlife, #businessowner, #sem, #entrepreneur, #inspiration</t>
  </si>
  <si>
    <t>Tagged non-reel item (Static Photo) at grid position #371.</t>
  </si>
  <si>
    <t>Grid item #371. Discovered from Tagged page grid in sequential order.</t>
  </si>
  <si>
    <t>SEMrushDiwali, DiwaliGift, FestivalOfLights</t>
  </si>
  <si>
    <t>Thank you so much for the lovely Diwali Gift @semrush - loved it ❤️ Proud to be associated with with you! #SEMrushDiwali #DiwaliGift #FestivalOfLights</t>
  </si>
  <si>
    <t>#SEMrushDiwali, #DiwaliGift, #FestivalOfLights</t>
  </si>
  <si>
    <t>Tagged non-reel item (Static Photo) at grid position #372.</t>
  </si>
  <si>
    <t>Grid item #372. Discovered from Tagged page grid in sequential order.</t>
  </si>
  <si>
    <t>Discovered at visual grid position #349. Verified Ad Details URL. Format: Single Image Ad.</t>
  </si>
  <si>
    <t>Initiated by a thought 💭, executed by passion and delivered with love -  Creating that exceptional experience for digital community is another example of ‘ believing and making it possible ‘  Once again a perfect example of team work @obbserv  #obbserv #semrush #googleneverdies  #google #udaipur #success #digitalmarketing #digital</t>
  </si>
  <si>
    <t>#obbserv, #semrush, #googleneverdies, #google, #udaipur, #success, #digitalmarketing, #digital</t>
  </si>
  <si>
    <t>Tagged non-reel item (Photo Carousel) at grid position #373.</t>
  </si>
  <si>
    <t>Grid item #373. Discovered from Tagged page grid in sequential order.</t>
  </si>
  <si>
    <t>https://adstransparency.google.com/advertiser/AR01693402396748677121/creative/CR06593200842935894017?region=anywhere</t>
  </si>
  <si>
    <t>Actual results of a clients website rankings💯 . What you’re looking at is a graph that shows you an increase of the number of Organic visitors going to this website 📈 After learning they spent over $8k on a mediocre website back in 2016...that wasn’t completed, we redesigned and launched a new (#responsive) website for much less 💵 and have been helping them grow their online rankings in multiple c</t>
  </si>
  <si>
    <t>#responsive, #algorithm, #Gastown, #Vancouver, #Marketing, #Agency, #wordpress, #Instagood, #love, #photooftheday, #instamood, #SEO, #PPC, #Websites, #digital, #googleseo, #searchengineoptimization, #riseup, #honesty, #integrity, #transparent</t>
  </si>
  <si>
    <t>Tagged non-reel item (Static Photo) at grid position #374.</t>
  </si>
  <si>
    <t>Discovered at visual grid position #350. Verified Ad Details URL. Format: Single Image Ad.</t>
  </si>
  <si>
    <t>Grid item #374. Discovered from Tagged page grid in sequential order.</t>
  </si>
  <si>
    <t>“The best place to hide a dead body is on the second page of Google” #SearchEngine #Google #DigitalMarketingDirector #Dweeb #Punny</t>
  </si>
  <si>
    <t>#SearchEngine, #Google, #DigitalMarketingDirector, #Dweeb, #Punny</t>
  </si>
  <si>
    <t>Tagged non-reel item (Photo Carousel) at grid position #375.</t>
  </si>
  <si>
    <t>Grid item #375. Discovered from Tagged page grid in sequential order.</t>
  </si>
  <si>
    <t>https://adstransparency.google.com/advertiser/AR01693402396748677121/creative/CR05937200319967526913?region=anywhere</t>
  </si>
  <si>
    <t>Ya no hay vuelta atrás! Motores a tope de revoluciones! Llega el #CEMD18!! 🤘🤘 #marketingdigital #socialmedia #badajoz</t>
  </si>
  <si>
    <t>Discovered at visual grid position #351. Verified Ad Details URL. Format: Single Image Ad.</t>
  </si>
  <si>
    <t>#CEMD18, #marketingdigital, #socialmedia, #badajoz</t>
  </si>
  <si>
    <t>Tagged video reel discovered from Tagged grid position #376.</t>
  </si>
  <si>
    <t>Grid item #376. Discovered from Tagged page grid in sequential order.</t>
  </si>
  <si>
    <t>Hi beautiful, how was your day today? 🍂🍁🍂 . . It was a #busyday over here... I am taking a SEO COURSE by @hashtagjeff to improve my website! So much information...👏👏👏 . . I am so excited for improvements that my brain is finding it hard to shut down at night lately.... do YOU know any good sleep remedies to help me fall asleep faster??? I would love to hear them... 😴💤🛏 🧠 . . Todays lunch/dinner wa</t>
  </si>
  <si>
    <t>#busyday, #pitasandwich, #munchkintimeblog, #momlife, #rrmagfan, #bhgfood, #foodgawker, #eeeeeat, #whatsfordinner, #foodwinewomen, #mywilliamssonoma, #mommytime, #mommyduties, #lifeandthyme, #food4thought, #mommyoftwo, #foodrevolution, #shereadstruth, #cravingsatisfied, #thisisboise, #whatsforlunch, #mommymode, #lifeofamom, #newrecipe, #healthyeatinghabits</t>
  </si>
  <si>
    <t>Tagged non-reel item (Static Photo) at grid position #377.</t>
  </si>
  <si>
    <t>Grid item #377. Discovered from Tagged page grid in sequential order.</t>
  </si>
  <si>
    <t>Discovered at visual grid position #352. Verified Ad Details URL. Format: Single Image Ad.</t>
  </si>
  <si>
    <t>‪Hoy estamos impartiendo un taller práctico de herramientas #SEO y Linkbuilding en #Madrid junto a @alexmat3o 👉un sábado a tope de formación 😉👍‬ #posicionamientoweb</t>
  </si>
  <si>
    <t>#SEO, #Madrid, #posicionamientoweb</t>
  </si>
  <si>
    <t>Tagged non-reel item (Static Photo) at grid position #378.</t>
  </si>
  <si>
    <t>Grid item #378. Discovered from Tagged page grid in sequential order.</t>
  </si>
  <si>
    <t>https://adstransparency.google.com/advertiser/AR01693402396748677121/creative/CR00414054896241737729?region=anywhere</t>
  </si>
  <si>
    <t>Discovered at visual grid position #353. Verified Ad Details URL. Format: Video Ad.</t>
  </si>
  <si>
    <t>Great evening</t>
  </si>
  <si>
    <t>Tagged non-reel item (Static Photo) at grid position #379.</t>
  </si>
  <si>
    <t>Grid item #379. Discovered from Tagged page grid in sequential order.</t>
  </si>
  <si>
    <t>Wow, what a week! We were honored to attend the @semrush Australia Search Awards with @babyvillagestore for our three nominations in Best SEO Campaign, Best Online Breakthrough and Best B2C Campaign. Although we didn't take anything out this time, we are super stoked to be nominated with the best in the industry! And the views from the @sydneyoperahouse were stunning. Thanks for having us! See you</t>
  </si>
  <si>
    <t>Tagged non-reel item (Photo Carousel) at grid position #380.</t>
  </si>
  <si>
    <t>Grid item #380. Discovered from Tagged page grid in sequential order.</t>
  </si>
  <si>
    <t>Discovered at visual grid position #354. Verified Ad Details URL. Format: Single Image Ad.</t>
  </si>
  <si>
    <t>Winner winner, chicken dinner. Huge vindication for the world class caliber of work by our Commerce Search team. Campaign award was for work delivered on Adore Beauty, and Jason scooped the big personality gong. ▫️ @semrush ▪️ @adorebeautyofficial ▫️ @overdose.digital ▪️ #overdose #digital #seo #awards #winner #campaign #adorebeauty #semrush #semrushawards #strategy #digitalmarketing #worldclass #</t>
  </si>
  <si>
    <t>#overdose, #digital, #seo, #awards, #winner, #campaign, #adorebeauty, #semrush, #semrushawards, #strategy, #digitalmarketing, #worldclass, #hustle, #team, #goals, #levelup</t>
  </si>
  <si>
    <t>Tagged non-reel item (Static Photo) at grid position #381.</t>
  </si>
  <si>
    <t>Grid item #381. Discovered from Tagged page grid in sequential order.</t>
  </si>
  <si>
    <t>https://adstransparency.google.com/advertiser/AR01693402396748677121/creative/CR13247407281085087745?region=anywhere</t>
  </si>
  <si>
    <t>Apple search ads are expected to earn $500 million by the end of this year. This success is proof of the emerging Search Engine Marketing. So why wait? Get inspired to discover a whole new marketing experience. Speak to us today! website:-http://greencode.co.in/index.php  #apple #applewatch #appleinc #appleindia #digitalmarketing #seo #marketingagency #digitalsolutions #sem #iphone #appleproducts</t>
  </si>
  <si>
    <t>#apple, #applewatch, #appleinc, #appleindia, #digitalmarketing, #seo, #marketingagency, #digitalsolutions, #sem, #iphone, #appleproducts</t>
  </si>
  <si>
    <t>Tagged non-reel item (Static Photo) at grid position #382.</t>
  </si>
  <si>
    <t>Discovered at visual grid position #355. Verified Ad Details URL. Format: Video Ad.</t>
  </si>
  <si>
    <t>Grid item #382. Discovered from Tagged page grid in sequential order.</t>
  </si>
  <si>
    <t>Check out our stud of an SEO Manager, Jason at @pubcon last week! He spoke🗣on behalf of #ottmarketing and shared his personal passion and knowledge of #FakeReviews. ⭐️⭐️⭐️⭐️⭐️ Find out how he is helping our clients generate and launch great review strategies on the #gradeus blog, 'Fake Reviews, Review Management, and the Review Site of the Future'! Visit the link on our Facebook Page! Thanks for m</t>
  </si>
  <si>
    <t>#ottmarketing, #FakeReviews, #gradeus, #OTTfamily, #seo, #seomarketing, #pubcon, #panel, #seoblog, #googlereviews, #overthetopmarketing, #agencylife, #vegas</t>
  </si>
  <si>
    <t>Tagged non-reel item (Photo Carousel) at grid position #383.</t>
  </si>
  <si>
    <t>Grid item #383. Discovered from Tagged page grid in sequential order.</t>
  </si>
  <si>
    <t>Discovered at visual grid position #356. Verified Ad Details URL. Format: Video Ad.</t>
  </si>
  <si>
    <t>Looking to Generate REAL, QUALITY, Traffic From Your Blog Posts⁉️ - - #Linkinbio For FREE Keyword Tools We've Used For 6 Years and Counting - -  I am going to give you a sneak peek on how you can conduct keyword research utilizing some tools that are free and at a much Fiendlier subscriber $$ for the entrepreneur or someone who is building their business on a budget. - - These tools that I will wa</t>
  </si>
  <si>
    <t>#Linkinbio, #SEO, #entrepreneur, #keywords, #keywordresearch, #marketing, #business, #digital, #seo, #googleforeducation, #learn, #grow, #boss, #womensupportingwomen, #agency, #louisville, #denver, #facebook</t>
  </si>
  <si>
    <t>Tagged non-reel item (Static Photo) at grid position #384.</t>
  </si>
  <si>
    <t>Grid item #384. Discovered from Tagged page grid in sequential order.</t>
  </si>
  <si>
    <t>SEMrush</t>
  </si>
  <si>
    <t>https://adstransparency.google.com/advertiser/AR01693402396748677121/creative/CR15103675035266580481?region=anywhere</t>
  </si>
  <si>
    <t>It’s award season at Semrush and the AI Visibility Awards are the Oscars of search!  We’re very excited to present the winners for 2025 and celebrate 12 brands that outperformed the competition and set the benchmark for AI search performance.   No submissions or opinions. Just real data that demonstrates who’s leading and who’s accelerating. 🏆  The AI Visibility Awards are powered by the AI Visibility Index, our benchmark for ChatGPT and Google AI Mode performance. Together, the Index and Awards offer clarity for who is actually winning in AI-driven discovery and why.  This red carpet is a real who’s who across 4 verticals: Digital Technology &amp; Software, Business &amp; Professional Services, Fashion &amp; Apparel, and Consumer Electronics:  Give it up for our Category Winners with the highest visibility overall: Microsoft  Google  Patagonia  Samsung Electronics   Next up, our Growth Engines. These brands saw the biggest rise in visibility: Anthropic  Intuit  UNIQLO  Logitech   Finally, our Challengers. The younger brands that were high-flyers: Freshworks  Rippling  Nuuly  Nothing   Congrats to all winners!   Check out the complete awards page for a sneak peek into their strategies (and tactics you can use in 2026). https://lnkd.in/eRM7FcQC</t>
  </si>
  <si>
    <t>AI Search &amp; GEO, Search Visibility, Competitive Intelligence, Growth Marketing</t>
  </si>
  <si>
    <t>Gather all the #SEMrush data in one engaging report for your clients!</t>
  </si>
  <si>
    <t>#SEMrush</t>
  </si>
  <si>
    <t>Tagged non-reel item (Static Photo) at grid position #385.</t>
  </si>
  <si>
    <t>Grid item #385. Discovered from Tagged page grid in sequential order.</t>
  </si>
  <si>
    <t>SEMrushAwards</t>
  </si>
  <si>
    <t>Ran from Dec 18, 2025 to Dec 31, 2025</t>
  </si>
  <si>
    <t>Discovered at visual grid position #357. Verified Ad Details URL. Format: Video Ad.</t>
  </si>
  <si>
    <t>#SEMrushAwards</t>
  </si>
  <si>
    <t>Tagged non-reel item (Static Photo) at grid position #386.</t>
  </si>
  <si>
    <t>Grid item #386. Discovered from Tagged page grid in sequential order.</t>
  </si>
  <si>
    <t>What is SEO content? And why is it important? 🤓 - Find out all about how brands like @refinery29 keep their content on point in our new blog (in profile) - #SEO #SEOcontent #SEMrush #Google #ContentMarketing #Brighton #refinery29</t>
  </si>
  <si>
    <t>#SEO, #SEOcontent, #SEMrush, #Google, #ContentMarketing, #Brighton, #refinery29</t>
  </si>
  <si>
    <t>Tagged non-reel item (Static Photo) at grid position #387.</t>
  </si>
  <si>
    <t>Grid item #387. Discovered from Tagged page grid in sequential order.</t>
  </si>
  <si>
    <t>Discovered at visual grid position #358. Verified Ad Details URL. Format: Single Image Ad.</t>
  </si>
  <si>
    <t>https://adstransparency.google.com/advertiser/AR01693402396748677121/creative/CR04115567594377838593?region=anywhere</t>
  </si>
  <si>
    <t>Our @semrush plant from @brightonseo is still going strong! 🌱 It’s good to see that our team are as good at growing plants as they are at growing our clients search visibility! 📶 Speak to us if you would like to find out more about our SEO services 🖥</t>
  </si>
  <si>
    <t>Tagged non-reel item (Static Photo) at grid position #388.</t>
  </si>
  <si>
    <t>Grid item #388. Discovered from Tagged page grid in sequential order.</t>
  </si>
  <si>
    <t>Discovered at visual grid position #359. Verified Ad Details URL. Format: Single Image Ad.</t>
  </si>
  <si>
    <t>All the way from Las Vegas, a couple of our teammates are representing at this year’s Pubcon Pro 2018 conference! DM us if you’d like to meet up! #pubcon #marketingconference #lasvegas</t>
  </si>
  <si>
    <t>#pubcon, #marketingconference, #lasvegas</t>
  </si>
  <si>
    <t>Tagged non-reel item (Photo Carousel) at grid position #389.</t>
  </si>
  <si>
    <t>Grid item #389. Discovered from Tagged page grid in sequential order.</t>
  </si>
  <si>
    <t>Discovered at visual grid position #360. Verified Ad Details URL. Format: Single Image Ad.</t>
  </si>
  <si>
    <t>https://adstransparency.google.com/advertiser/AR01693402396748677121/creative/CR13777855876947771393?region=anywhere</t>
  </si>
  <si>
    <t>The 30 Best Digital Marketing Blogs You Need To Follow In 2019 🤳🏻 Check the blog! Link in bio ⬆️ 🔗  Keep Your Knowledge Fresh And Never Fall Behind With The Latest News, Developments And Updates In The World Of Digital Marketing! 💻  From Breaking Headlines To In-Depth Analysis Of Emerging Trends, These Blogs Will Provide You With All The Latest News In The Digital Marketing Industry 🖥️ #marketingt</t>
  </si>
  <si>
    <t>#marketingtips, #OnlineMarketing, #DigitalMarketing, #marketingconsultant, #marketingcampaign, #websiteanalysis, #onlinemarketer, #socialmediaanalytics, #dataanalytic, #marketing101, #Marketing, #digitalmarketingtips, #bespokemarketingservice, #searchengineoptimization, #marketingmanager, #bespokemarketingservice, #marketingnews, #businesstips, #entrepreneurmarketing, #entrepreneurlifestyle, #marketinghelp, #technology, #digitalmarketingagency, #marketingconsultant</t>
  </si>
  <si>
    <t>Tagged non-reel item (Static Photo) at grid position #390.</t>
  </si>
  <si>
    <t>Grid item #390. Discovered from Tagged page grid in sequential order.</t>
  </si>
  <si>
    <t>Win more clients with Semrush by your side</t>
  </si>
  <si>
    <t>Join the Semrush Partner Program and leverage AI, market-leading data, and automation to drive client growth and accelerate your agency’s revenue.</t>
  </si>
  <si>
    <t>BusinessoftheYear, Kansas, AGAGroup</t>
  </si>
  <si>
    <t>Kansas Department of Commerce and Kansas Lt. Govenor Tracey Mann present 2018 Kansas MBE of the year. #BusinessoftheYear  #Kansas  #AGAGroup  #Staffing #award</t>
  </si>
  <si>
    <t>#BusinessoftheYear, #Kansas, #AGAGroup, #Staffing, #award</t>
  </si>
  <si>
    <t>Tagged non-reel item (Static Photo) at grid position #391.</t>
  </si>
  <si>
    <t>Ran from Nov 30, 2025 to Dec 12, 2025</t>
  </si>
  <si>
    <t>Grid item #391. Discovered from Tagged page grid in sequential order.</t>
  </si>
  <si>
    <t>Discovered at visual grid position #361. Verified Ad Details URL. Format: Single Image Ad.</t>
  </si>
  <si>
    <t>BusinessoftheYear, AGAGroup, Kansas</t>
  </si>
  <si>
    <t>Thank you. #BusinessoftheYear #AGAGroup #Kansas  #2018 #Awards</t>
  </si>
  <si>
    <t>#BusinessoftheYear, #AGAGroup, #Kansas, #2018, #Awards</t>
  </si>
  <si>
    <t>Tagged non-reel item (Static Photo) at grid position #392.</t>
  </si>
  <si>
    <t>Grid item #392. Discovered from Tagged page grid in sequential order.</t>
  </si>
  <si>
    <t>https://adstransparency.google.com/advertiser/AR01693402396748677121/creative/CR11456010919100809217?region=anywhere</t>
  </si>
  <si>
    <t>Ran from Dec 7, 2025 to Dec 22, 2025</t>
  </si>
  <si>
    <t>Discovered at visual grid position #362. Verified Ad Details URL. Format: Single Image Ad.</t>
  </si>
  <si>
    <t>Keyword Cannibalization: How to Keep it From Harming Your On-Site SEO  via @semrush  #linkbuilding #LocalSEO #SEO #SEM #digitalmarketing #inboundmarketing #lead #socialmedia #socialmediatips #socialmediamarketing #onlinemarketing #backlinks</t>
  </si>
  <si>
    <t>#linkbuilding, #LocalSEO, #SEO, #SEM, #digitalmarketing, #inboundmarketing, #lead, #socialmedia, #socialmediatips, #socialmediamarketing, #onlinemarketing, #backlinks</t>
  </si>
  <si>
    <t>Tagged non-reel item (Static Photo) at grid position #393.</t>
  </si>
  <si>
    <t>Grid item #393. Discovered from Tagged page grid in sequential order.</t>
  </si>
  <si>
    <t>#EVENTO Chegou a hora de falar sobre conversão e vendas, com um 'super time' de palestrantes que, com certeza, terão muito a contribuir e agregar na sua trajetória de sucesso! O evento ocorre 16 de outubro a partir de 9h, na Faculdade Estácio Prado. @semrush</t>
  </si>
  <si>
    <t>#EVENTO</t>
  </si>
  <si>
    <t>Tagged non-reel item (Photo Carousel) at grid position #394.</t>
  </si>
  <si>
    <t>Grid item #394. Discovered from Tagged page grid in sequential order.</t>
  </si>
  <si>
    <t>Ran from Dec 4, 2025 to Dec 22, 2025</t>
  </si>
  <si>
    <t>Discovered at visual grid position #363. Verified Ad Details URL. Format: Single Image Ad.</t>
  </si>
  <si>
    <t>https://adstransparency.google.com/advertiser/AR01693402396748677121/creative/CR13068219596228526081?region=anywhere</t>
  </si>
  <si>
    <t>Now we are #webinar #googlemybusiness #SEMRush #google #GMB #marketing #tips #howto</t>
  </si>
  <si>
    <t>#webinar, #googlemybusiness, #SEMRush, #google, #GMB, #marketing, #tips, #howto</t>
  </si>
  <si>
    <t>Tagged non-reel item (Photo Carousel) at grid position #395.</t>
  </si>
  <si>
    <t>Grid item #395. Discovered from Tagged page grid in sequential order.</t>
  </si>
  <si>
    <t>semrush, semrushpeople</t>
  </si>
  <si>
    <t>#semrush #semrushpeople</t>
  </si>
  <si>
    <t>Discovered at visual grid position #364. Verified Ad Details URL. Format: Single Image Ad.</t>
  </si>
  <si>
    <t>#semrush, #semrushpeople</t>
  </si>
  <si>
    <t>Tagged non-reel item (Static Photo) at grid position #396.</t>
  </si>
  <si>
    <t>Grid item #396. Discovered from Tagged page grid in sequential order.</t>
  </si>
  <si>
    <t>7 Ways To Increase Your Organic Facebook Reach  via @semrush  #linkbuilding #LocalSEO #SEO #SEM #digitalmarketing #inboundmarketing #lead #socialmedia #socialmediatips #socialmediamarketing #onlinemarketing #marketers #marketingtips</t>
  </si>
  <si>
    <t>Ran from Dec 7, 2025 to Dec 21, 2025</t>
  </si>
  <si>
    <t>#linkbuilding, #LocalSEO, #SEO, #SEM, #digitalmarketing, #inboundmarketing, #lead, #socialmedia, #socialmediatips, #socialmediamarketing, #onlinemarketing, #marketers, #marketingtips</t>
  </si>
  <si>
    <t>Discovered at visual grid position #365. Verified Ad Details URL. Format: Single Image Ad.</t>
  </si>
  <si>
    <t>Tagged non-reel item (Static Photo) at grid position #397.</t>
  </si>
  <si>
    <t>Grid item #397. Discovered from Tagged page grid in sequential order.</t>
  </si>
  <si>
    <t>https://adstransparency.google.com/advertiser/AR01693402396748677121/creative/CR01117695265176813569?region=anywhere</t>
  </si>
  <si>
    <t>What is #Amazon PPC?: A Complete Beginners Guide to Optimization  via @semrush  #PPC #SEM #digitakmarketing</t>
  </si>
  <si>
    <t>#Amazon, #PPC, #SEM, #digitakmarketing</t>
  </si>
  <si>
    <t>Tagged non-reel item (Static Photo) at grid position #398.</t>
  </si>
  <si>
    <t>Grid item #398. Discovered from Tagged page grid in sequential order.</t>
  </si>
  <si>
    <t>Discovered at visual grid position #366. Verified Ad Details URL. Format: Single Image Ad.</t>
  </si>
  <si>
    <t>👉El #Monetiza18 se trata del evento online más 🔝de #marketing digital con 20 ponentes de primerísimo nivel 😎😲 Se realizó el 3 de octubre 📅 . Estos son los datos recogidos tras su monitorización 📥📈📊: .➡️Trending Topic en España. .➡️5443 tweets 🐤 y 592 participantes 👥🗣 .➡️5000 personas apuntadas como asistentes 😲 .➡️ @facchinjose aportó más de 2000 interacciones 🤤👏👏 . Sin duda se trata de uno de los</t>
  </si>
  <si>
    <t>#Monetiza18, #marketing, #metricool, #rrss, #marketingdigital, #digitalmarketing, #socialMedia, #socialmediamarketing, #socialmediatools, #metricoolers, #socialmedia, #socialmediatools, #marketing, #marketingdigital, #rrss, #summer, #summerday, #summervibes, #cool, #weekend, #friyay, #wedsnesday, #semrush, #webescuela, #prestashop, #raiola</t>
  </si>
  <si>
    <t>Tagged non-reel item (Photo Carousel) at grid position #399.</t>
  </si>
  <si>
    <t>Grid item #399. Discovered from Tagged page grid in sequential order.</t>
  </si>
  <si>
    <t>@ecommercehub è l'evento di riferimento in ambito #marketing per gli operatori #ecommerce: con @antonio_giarr, Founder &amp; CEO di #Userbot, e @jacopopaoletti, Co-Founder &amp; CMO, vi parleremo di come l'#IntelligenzaArtificiale può fare la differenza anche nel #CommercioElettronico. Scopri di più su #eh2018: https://ecommercehub.it #AI #ArtificialIntelligence #startup</t>
  </si>
  <si>
    <t>#marketing, #ecommerce, #Userbot, #IntelligenzaArtificiale, #CommercioElettronico, #eh2018, #AI, #ArtificialIntelligence, #startup</t>
  </si>
  <si>
    <t>Tagged video reel discovered from Tagged grid position #400.</t>
  </si>
  <si>
    <t>Grid item #400. Discovered from Tagged page grid in sequential order.</t>
  </si>
  <si>
    <t>Discovered at visual grid position #367. Verified Ad Details URL. Format: Single Image Ad.</t>
  </si>
  <si>
    <t>How to Get People to Sign Up for Your Email Newsletter  via @semrush  #emailmarketing</t>
  </si>
  <si>
    <t>#emailmarketing</t>
  </si>
  <si>
    <t>Tagged non-reel item (Static Photo) at grid position #401.</t>
  </si>
  <si>
    <t>Grid item #401. Discovered from Tagged page grid in sequential order.</t>
  </si>
  <si>
    <t>https://adstransparency.google.com/advertiser/AR01693402396748677121/creative/CR12077864940237488129?region=anywhere</t>
  </si>
  <si>
    <t>Ran from Dec 5, 2025 to Dec 22, 2025</t>
  </si>
  <si>
    <t>Discovered at visual grid position #368. Verified Ad Details URL. Format: Single Image Ad.</t>
  </si>
  <si>
    <t>Start your Monday off right with some #results.  This graph is for an apartment management company based in Washington, DC.  Can you tell where we came in? (Hint: right before their organic search ranking shot up, followed by their website traffic). We’re here to help you Dominate your Market. Give us a call today to learn how.  #MoreMoneyLessProblems • • • #direction #marketing #digitalmarketing</t>
  </si>
  <si>
    <t>#results, #MoreMoneyLessProblems, #direction, #marketing, #digitalmarketing, #seo, #contentmarketing, #rankings, #search, #organic, #google, #googlepartner, #advertising, #agency, #startup, #business, #strategy, #adwords, #ppc, #webdesign, #design</t>
  </si>
  <si>
    <t>Tagged non-reel item (Static Photo) at grid position #402.</t>
  </si>
  <si>
    <t>Grid item #402. Discovered from Tagged page grid in sequential order.</t>
  </si>
  <si>
    <t>New project, 3 months of life, these are your profits, from this moment only increase .  This is the power of seo well done Passive Income #seo #google #california #sandiego #income #latin #money #pasive #marketingdigital #digitalmarketing</t>
  </si>
  <si>
    <t>#seo, #google, #california, #sandiego, #income, #latin, #money, #pasive, #marketingdigital, #digitalmarketing</t>
  </si>
  <si>
    <t>Tagged non-reel item (Static Photo) at grid position #403.</t>
  </si>
  <si>
    <t>Grid item #403. Discovered from Tagged page grid in sequential order.</t>
  </si>
  <si>
    <t>Discovered at visual grid position #369. Verified Ad Details URL. Format: Single Image Ad.</t>
  </si>
  <si>
    <t>PEEC</t>
  </si>
  <si>
    <t>Un mal que no se lo deseo ni a mi competencia 😂😂😂. Etiqueta un amigo/a que pueda interesarle 😉 . . . . . #rimasmarketeras #estrategiadigital #Adwords #googleads #sem #marketing #marketingonline #mememarketing #marketingdigital #communitymanager #socialmedia #marketeros #mercadologo #mercadólogo #mercadeo #mercadeodigital #mercadeoenred #mercadeoonline #redessociales  #comercializacion  #mercadotec</t>
  </si>
  <si>
    <t>#rimasmarketeras, #estrategiadigital, #Adwords, #googleads, #sem, #marketing, #marketingonline, #mememarketing, #marketingdigital, #communitymanager, #socialmedia, #marketeros, #mercadologo, #mercadólogo, #mercadeo, #mercadeodigital, #mercadeoenred, #mercadeoonline, #redessociales, #comercializacion, #mercadotecnia, #publicidad, #publicidadonline, #mercadotecniasocial, #mercadotecniadigital, #mercadeoypublicidad, #publicidadymercadeo, #marketer, #piensamerca</t>
  </si>
  <si>
    <t>Tagged non-reel item (Static Photo) at grid position #404.</t>
  </si>
  <si>
    <t>Grid item #404. Discovered from Tagged page grid in sequential order.</t>
  </si>
  <si>
    <t>@semrush thanks for the stickies!! #brightonseo</t>
  </si>
  <si>
    <t>#brightonseo</t>
  </si>
  <si>
    <t>Tagged non-reel item (Photo Carousel) at grid position #405.</t>
  </si>
  <si>
    <t>Discovered at visual grid position #370. Verified Ad Details URL. Format: Single Image Ad.</t>
  </si>
  <si>
    <t>Grid item #405. Discovered from Tagged page grid in sequential order.</t>
  </si>
  <si>
    <t>It’s been a blast! Get me home 🏡🐺🏃🏼‍♀️😴</t>
  </si>
  <si>
    <t>Tagged non-reel item (Photo Carousel) at grid position #406.</t>
  </si>
  <si>
    <t>Grid item #406. Discovered from Tagged page grid in sequential order.</t>
  </si>
  <si>
    <t>https://peec.ai/</t>
  </si>
  <si>
    <t>Discovered at visual grid position #371. Verified Ad Details URL. Format: Single Image Ad.</t>
  </si>
  <si>
    <t>The future belongs to SERPs, says @randderuiter. Don't fight it, embrace it! #brightonseo</t>
  </si>
  <si>
    <t>Tagged non-reel item (Static Photo) at grid position #407.</t>
  </si>
  <si>
    <t>Grid item #407. Discovered from Tagged page grid in sequential order.</t>
  </si>
  <si>
    <t>Peec AI GmbH</t>
  </si>
  <si>
    <t>Search Text Ad: "Track AI Brand Visibility - Start 7-Day Free Trial"</t>
  </si>
  <si>
    <t>https://adstransparency.google.com/advertiser/AR05016556376214732801/creative/CR12417144911122399233?region=anywhere</t>
  </si>
  <si>
    <t>Discovered at visual grid position #372. Verified Ad Details URL. Format: Single Image Ad.</t>
  </si>
  <si>
    <t>When you love what you do 🖥</t>
  </si>
  <si>
    <t>Tagged non-reel item (Static Photo) at grid position #408.</t>
  </si>
  <si>
    <t>Grid item #408. Discovered from Tagged page grid in sequential order.</t>
  </si>
  <si>
    <t>Happy 10th birthday #semrush #brightonseo 🍰🎂🍾 🎈</t>
  </si>
  <si>
    <t>#semrush, #brightonseo</t>
  </si>
  <si>
    <t>Tagged non-reel item (Static Photo) at grid position #409.</t>
  </si>
  <si>
    <t>Grid item #409. Discovered from Tagged page grid in sequential order.</t>
  </si>
  <si>
    <t>Discovered at visual grid position #373. Verified Ad Details URL. Format: Single Image Ad.</t>
  </si>
  <si>
    <t>Responsive Display Ad: Peec AI AEO Platform - Monitor Brand Mentions in AI Search</t>
  </si>
  <si>
    <t>Ever wonder exactly by how much traffic to your site would increase if you worked with Direction? Here’s your answer.  This is a case study for an air conditioning company in Georgia. Can you tell the before and after?  No spin here; just putting in real work. • • • #direction #marketing #digitalmarketing #marketingagency #advertising #content #contentmarketing #blog #seo #google #search #ranking</t>
  </si>
  <si>
    <t>https://adstransparency.google.com/advertiser/AR05016556376214732801/creative/CR14430034042231455745?region=anywhere</t>
  </si>
  <si>
    <t>#direction, #marketing, #digitalmarketing, #marketingagency, #advertising, #content, #contentmarketing, #blog, #seo, #google, #search, #ranking, #strategy, #web, #googlepartner, #semrush</t>
  </si>
  <si>
    <t>Tagged non-reel item (Static Photo) at grid position #410.</t>
  </si>
  <si>
    <t>Grid item #410. Discovered from Tagged page grid in sequential order.</t>
  </si>
  <si>
    <t>So great to be home, and to have ALREADY delivered our first workshop about messenger bot strategy! 🤖🤖 Now that that’s in the bag, it’s time to refocus on guesting on @semrush’s Twitter chat (#semrushchat) tomorrow! The chat will begin at 10am CT over on Twitter, so don’t forget to come join me in a fun conversation about building your digital community! 😁😁😁 | #twittermarketing #communityfirst #so</t>
  </si>
  <si>
    <t>#semrushchat, #twittermarketing, #communityfirst, #sociallove, #smm, #socialmediamarketing, #smokedbourbon, #loveict, #wichitaks, #digitalmarketing</t>
  </si>
  <si>
    <t>Tagged non-reel item (Static Photo) at grid position #411.</t>
  </si>
  <si>
    <t>Grid item #411. Discovered from Tagged page grid in sequential order.</t>
  </si>
  <si>
    <t>Discovered at visual grid position #374. Verified Ad Details URL. Format: Single Image Ad.</t>
  </si>
  <si>
    <t>How to Use Instagram Stories to Build Your Audience  via @semrush by @shanebarker  #digitalmarketing #inboundmarketing #lead #socialmedia #socialmediatips #socialmediamarketing #onlinemarketing #marketers #marketingtips</t>
  </si>
  <si>
    <t>#digitalmarketing, #inboundmarketing, #lead, #socialmedia, #socialmediatips, #socialmediamarketing, #onlinemarketing, #marketers, #marketingtips</t>
  </si>
  <si>
    <t>Tagged non-reel item (Static Photo) at grid position #412.</t>
  </si>
  <si>
    <t>Grid item #412. Discovered from Tagged page grid in sequential order.</t>
  </si>
  <si>
    <t>https://adstransparency.google.com/advertiser/AR05016556376214732801/creative/CR09057676948808925185?region=anywhere</t>
  </si>
  <si>
    <t>Happy to Announce @bookmycolleges as #Community #Partner  @semrush is coming to Indore!  Ticket price is ₹200. Only 100 seats are available! (Including Dinner) - 27th Sept , 6:00 Pm onwards :D  Who should you join the session: - #startups and #entrepreneurs who want to drive their #marketing #Strategy , win market share, and keep their #sales pipeline flowing - #digital Marketers who want to know</t>
  </si>
  <si>
    <t>#Community, #Partner, #startups, #entrepreneurs, #marketing, #Strategy, #sales, #digital, #DomainNames, #dinner</t>
  </si>
  <si>
    <t>Tagged non-reel item (Static Photo) at grid position #413.</t>
  </si>
  <si>
    <t>Discovered at visual grid position #375. Verified Ad Details URL. Format: Single Image Ad.</t>
  </si>
  <si>
    <t>Grid item #413. Discovered from Tagged page grid in sequential order.</t>
  </si>
  <si>
    <t>Huge result for our Search &amp; Insights team, being nominated for 3 awards for their outstanding on-going execution for Adore Beauty. ▫️ @semrush ▪️ @adorebeautyofficial ▫️ @google ▪️ @overdose.digital ▫️ #semrush #seo #awards #australia #adorebeauty #ecommerce #overdose #digital #digitalmarketing #agency #onlinemarketing #content #contentmarketing #winning #hustle #grind #results</t>
  </si>
  <si>
    <t>#semrush, #seo, #awards, #australia, #adorebeauty, #ecommerce, #overdose, #digital, #digitalmarketing, #agency, #onlinemarketing, #content, #contentmarketing, #winning, #hustle, #grind, #results</t>
  </si>
  <si>
    <t>Tagged non-reel item (Static Photo) at grid position #414.</t>
  </si>
  <si>
    <t>Grid item #414. Discovered from Tagged page grid in sequential order.</t>
  </si>
  <si>
    <t>emotedigital</t>
  </si>
  <si>
    <t>Discovered at visual grid position #376. Verified Ad Details URL. Format: Single Image Ad.</t>
  </si>
  <si>
    <t>https://peec.ai/for-agencies</t>
  </si>
  <si>
    <t>If you needed further proof on the popularity of free shipping #emotedigital @semrush</t>
  </si>
  <si>
    <t>#emotedigital</t>
  </si>
  <si>
    <t>Tagged non-reel item (Static Photo) at grid position #415.</t>
  </si>
  <si>
    <t>Grid item #415. Discovered from Tagged page grid in sequential order.</t>
  </si>
  <si>
    <t>Search Text Ad: "Peec AI for Agencies - White-Label AI Search Visibility Reports"</t>
  </si>
  <si>
    <t>https://adstransparency.google.com/advertiser/AR05016556376214732801/creative/CR04743430884646977537?region=anywhere</t>
  </si>
  <si>
    <t>We are beyond ecstatic to announce that we have been shortlisted as one of the finalists for the Best Advertising Campaign in this year's SEM Rush Awards Australia! ••• Thanks to our wonderful DigitalMaas Team who made this recognition possible and to all our clients for their unyielding trust. Your support alone means the entire world to us! 💚 #DigitalMaas #DigitalMarketing #SEMRushAwards #Google</t>
  </si>
  <si>
    <t>#DigitalMaas, #DigitalMarketing, #SEMRushAwards, #GooglePartners</t>
  </si>
  <si>
    <t>Tagged non-reel item (Static Photo) at grid position #416.</t>
  </si>
  <si>
    <t>Grid item #416. Discovered from Tagged page grid in sequential order.</t>
  </si>
  <si>
    <t>Discovered at visual grid position #377. Verified Ad Details URL. Format: Single Image Ad.</t>
  </si>
  <si>
    <t>so excited to announce that the world's largest online marketing platform SEMrush has launched in Australia! 🎉 They’ve got 3+ million users, 30+ tools and 140+ databases globally, this platform is continuing to grow rapidly! 💁🏻‍♀️ Such a fabulous evening at Bar Carolina, South Yarra celebrating this 🍹 @semrush #semrush @barcarolina_sthyarra @sydneypublicrelations #southyarra #launch #melbournefood</t>
  </si>
  <si>
    <t>#semrush, #southyarra, #launch, #melbournefoodie, #melbournefood, #melbournedrinks, #invitation, #agfg, #melbourneescapades</t>
  </si>
  <si>
    <t>Tagged non-reel item (Static Photo) at grid position #417.</t>
  </si>
  <si>
    <t>Grid item #417. Discovered from Tagged page grid in sequential order.</t>
  </si>
  <si>
    <t>Discovered at visual grid position #378. Verified Ad Details URL. Format: Single Image Ad.</t>
  </si>
  <si>
    <t>¿Cómo crear alianzas estratégicas? • • • Escucha este episodio: https://bit.ly/2QqkMYX • • • #HazMarketing #NEO #marketinghackshow #mkt #digital #estrategias #business #tips  #lifehacks #hacks #éxito #workharder #show #newepisode #podcastlife #audio #soundcloud #spotify #picoftheday #miércoles #septiembre #emprendedores #entrepreneurship</t>
  </si>
  <si>
    <t>#HazMarketing, #NEO, #marketinghackshow, #mkt, #digital, #estrategias, #business, #tips, #lifehacks, #hacks, #éxito, #workharder, #show, #newepisode, #podcastlife, #audio, #soundcloud, #spotify, #picoftheday, #miércoles, #septiembre, #emprendedores, #entrepreneurship</t>
  </si>
  <si>
    <t>https://peec.ai/demo</t>
  </si>
  <si>
    <t>Tagged non-reel item (Static Photo) at grid position #418.</t>
  </si>
  <si>
    <t>Grid item #418. Discovered from Tagged page grid in sequential order.</t>
  </si>
  <si>
    <t>LEARN MORE ABOUT BLOG And INSTAGRAM.  We are going to make a Instagram community around the Globe.  Here You Learn Trick's And Ideas For Geting More Followers On Instagram. . 🅱🅱🅱🅱 #searchengine #seo #seotips #tips #website #indore #madhayapradesh #india #blog #blogger #instag  #how #share #love #follow #about #google #technology #webdesign #webdeveloper #websites #backend #gadget #hindi #student #</t>
  </si>
  <si>
    <t>#searchengine, #seo, #seotips, #tips, #website, #indore, #madhayapradesh, #india, #blog, #blogger, #instag, #how, #share, #love, #follow, #about, #google, #technology, #webdesign, #webdeveloper, #websites, #backend, #gadget, #hindi, #student, #italy</t>
  </si>
  <si>
    <t>Search Text Ad: "Peec AI Live Demo - Schedule a Platform Walkthrough"</t>
  </si>
  <si>
    <t>Tagged non-reel item (Static Photo) at grid position #419.</t>
  </si>
  <si>
    <t>https://adstransparency.google.com/advertiser/AR05016556376214732801/creative/CR16418874655017795585?region=anywhere</t>
  </si>
  <si>
    <t>Grid item #419. Discovered from Tagged page grid in sequential order.</t>
  </si>
  <si>
    <t>Discovered at visual grid position #379. Verified Ad Details URL. Format: Single Image Ad.</t>
  </si>
  <si>
    <t>The Complete Guide: How to Identify Intent in Search  via @semrush Team  #SEO #localSEO #DigitalMarketing #SEM</t>
  </si>
  <si>
    <t>#SEO, #localSEO, #DigitalMarketing, #SEM</t>
  </si>
  <si>
    <t>Tagged non-reel item (Static Photo) at grid position #420.</t>
  </si>
  <si>
    <t>Grid item #420. Discovered from Tagged page grid in sequential order.</t>
  </si>
  <si>
    <t>Discovered at visual grid position #380. Verified Ad Details URL. Format: Single Image Ad.</t>
  </si>
  <si>
    <t>In Magazine Issue 65, we featured Oleg Shchegolev, CEO and co-founder of @SEMrush on how he grew one of the biggest digital marketing brands on the planet. . You wouldn’t know it from SEMrush’s wild success—it’s grown into one of the world’s leading digital marketing suites, used by more than 2 million professionals—but CEO and co-founder Oleg Shchegolev launched the company at the worst time imag</t>
  </si>
  <si>
    <t>Tagged non-reel item (Static Photo) at grid position #421.</t>
  </si>
  <si>
    <t>Grid item #421. Discovered from Tagged page grid in sequential order.</t>
  </si>
  <si>
    <t>cloud, Cloud, computing</t>
  </si>
  <si>
    <t>Search Text Ad: "Smart AEO Analytics - Monitor ChatGPT, Perplexity &amp; Gemini Mentions"</t>
  </si>
  <si>
    <t>https://adstransparency.google.com/advertiser/AR05016556376214732801/creative/CR10003101161642524673?region=anywhere</t>
  </si>
  <si>
    <t>What was once a dream, is now a reality. Is your data in the #cloud? Improve productivity, mobility, accessibility, and security.  #Cloud  #computing  #data  #mobility  #cybersecurity  #technology #MSP  #delaware</t>
  </si>
  <si>
    <t>#cloud, #Cloud, #computing, #data, #mobility, #cybersecurity, #technology, #MSP, #delaware</t>
  </si>
  <si>
    <t>Tagged non-reel item (Static Photo) at grid position #422.</t>
  </si>
  <si>
    <t>Grid item #422. Discovered from Tagged page grid in sequential order.</t>
  </si>
  <si>
    <t>Discovered at visual grid position #381. Verified Ad Details URL. Format: Single Image Ad.</t>
  </si>
  <si>
    <t>5 Local SEO Questions  via @semrush Team by @andrewshotland  #linkbuilding #LocalSEO #SEO #SEM #digitalmarketing</t>
  </si>
  <si>
    <t>Tagged non-reel item (Static Photo) at grid position #423.</t>
  </si>
  <si>
    <t>Grid item #423. Discovered from Tagged page grid in sequential order.</t>
  </si>
  <si>
    <t>Discovered at visual grid position #382. Verified Ad Details URL. Format: Single Image Ad.</t>
  </si>
  <si>
    <t>Step-By-Step Guide: SEO Pruning with SEMrush  via @semrush  #contentmarketing #ContentStrategy #growthhack #growthhacking #growthhacker #webdesign #webdesigner #linkbuilding #LocalSEO #SEO #SEM #digitalmarketing #inboundmarketing #lead #socialmedia #socialmediatips #socialmediamarketing #onlinemarketing #marketers #marketingtips #agenturpixelportal #pixelportal #berlin #prenzlauerberg</t>
  </si>
  <si>
    <t>#contentmarketing, #ContentStrategy, #growthhack, #growthhacking, #growthhacker, #webdesign, #webdesigner, #linkbuilding, #LocalSEO, #SEO, #SEM, #digitalmarketing, #inboundmarketing, #lead, #socialmedia, #socialmediatips, #socialmediamarketing, #onlinemarketing, #marketers, #marketingtips, #agenturpixelportal, #pixelportal, #berlin, #prenzlauerberg</t>
  </si>
  <si>
    <t>Tagged non-reel item (Static Photo) at grid position #424.</t>
  </si>
  <si>
    <t>Grid item #424. Discovered from Tagged page grid in sequential order.</t>
  </si>
  <si>
    <t>Search Text Ad: "AI Search Analytics Platform for Marketing &amp; Growth Teams"</t>
  </si>
  <si>
    <t>https://adstransparency.google.com/advertiser/AR05016556376214732801/creative/CR08771988686490304513?region=anywhere</t>
  </si>
  <si>
    <t>Want to make real money in your e-commerce business? Of course, you do! . Then you need to join us for @SumoMe Ecom Week starting Monday! Join 13 of the top experts in e-commerce from giants in the industry like @Yotpo @teamfizzle @bigcommerce @oberlo and more to learn effective strategies, such as, - How to turn likes into sales - Growth hacks for growing your store without blowing your budget -</t>
  </si>
  <si>
    <t>#meetedgar, #socialmediamarketing, #ecommercebusiness, #digitalmarketing, #marketingstrategy, #ecommercetips, #subscriptionboxes, #entrepreneur, #startup, #startupbusiness</t>
  </si>
  <si>
    <t>Tagged non-reel item (Static Photo) at grid position #425.</t>
  </si>
  <si>
    <t>Discovered at visual grid position #383. Verified Ad Details URL. Format: Single Image Ad.</t>
  </si>
  <si>
    <t>Grid item #425. Discovered from Tagged page grid in sequential order.</t>
  </si>
  <si>
    <t>Interested in becoming a DOYO Live Sponsor? DM us today! #doyolive #inbound #cmworld #socialmediamarketing #digitalmarketing #youngstowngram #ohio</t>
  </si>
  <si>
    <t>#doyolive, #inbound, #cmworld, #socialmediamarketing, #digitalmarketing, #youngstowngram, #ohio</t>
  </si>
  <si>
    <t>Tagged non-reel item (Static Photo) at grid position #426.</t>
  </si>
  <si>
    <t>Grid item #426. Discovered from Tagged page grid in sequential order.</t>
  </si>
  <si>
    <t>https://adstransparency.google.com/advertiser/AR05016556376214732801/creative/CR08480653246552080385?region=anywhere</t>
  </si>
  <si>
    <t>Discovered at visual grid position #384. Verified Ad Details URL. Format: Single Image Ad.</t>
  </si>
  <si>
    <t>Y mientras tanto, me sigo formando en  #marketingdecontenidos y #SEO, con 'SEMrush Academy' 🔥 ¡Cuánto tiempo hacía que no me presentaba (y aprobaba) un examen! He aquí mi título 'SEMRUSH SEO TOOLKIT EXAM' 〰️ #semrush #sem #marketingdigital #trafficanalytics #blogger #blogging #emprendedordigital</t>
  </si>
  <si>
    <t>#marketingdecontenidos, #SEO, #semrush, #sem, #marketingdigital, #trafficanalytics, #blogger, #blogging, #emprendedordigital</t>
  </si>
  <si>
    <t>Tagged non-reel item (Static Photo) at grid position #427.</t>
  </si>
  <si>
    <t>Grid item #427. Discovered from Tagged page grid in sequential order.</t>
  </si>
  <si>
    <t>Depuis la mise à jour de l’algorithme #Google Medic, ce 1er août 2018, le blog Orson ne cesse de prendre des positions 🚀💪 #skyisthelimit #seo #referencement #whitehat #medic #content #inbound #webmarketing #traffic #serp #startup #performance #referencementnaturel #startuplifestyle #entrepreneurs @semrush</t>
  </si>
  <si>
    <t>#Google, #skyisthelimit, #seo, #referencement, #whitehat, #medic, #content, #inbound, #webmarketing, #traffic, #serp, #startup, #performance, #referencementnaturel, #startuplifestyle, #entrepreneurs</t>
  </si>
  <si>
    <t>Tagged non-reel item (Static Photo) at grid position #428.</t>
  </si>
  <si>
    <t>Grid item #428. Discovered from Tagged page grid in sequential order.</t>
  </si>
  <si>
    <t>Discovered at visual grid position #385. Verified Ad Details URL. Format: Single Image Ad.</t>
  </si>
  <si>
    <t>Got nothing to do tomorrow morning?  Come watch me dig into an eCommerce website on SEMrush Chat (Twitter). Should be fun, the site is built on BigCommerce.  #SEO #ecommerce #bigcommerce</t>
  </si>
  <si>
    <t>#SEO, #ecommerce, #bigcommerce</t>
  </si>
  <si>
    <t>Tagged non-reel item (Static Photo) at grid position #429.</t>
  </si>
  <si>
    <t>Every tool for winning SEO in one place</t>
  </si>
  <si>
    <t>https://adstransparency.google.com/advertiser/AR05016556376214732801/creative/CR02617533329959813121?region=anywhere</t>
  </si>
  <si>
    <t>The platform for soaring organic growth. Automate manual work, forecast outcomes, and customize reports, powered by the market's leading search data.</t>
  </si>
  <si>
    <t>Grid item #429. Discovered from Tagged page grid in sequential order.</t>
  </si>
  <si>
    <t>Con @userbotai ci vediamo il 5 ottobre a #Salerno per @ecommercehub! #Userbot #eh2018</t>
  </si>
  <si>
    <t>Ran from Nov 26, 2025 to Dec 30, 2025</t>
  </si>
  <si>
    <t>#Salerno, #Userbot, #eh2018</t>
  </si>
  <si>
    <t>Tagged non-reel item (Static Photo) at grid position #430.</t>
  </si>
  <si>
    <t>Discovered at visual grid position #386. Verified Ad Details URL. Format: Single Image Ad.</t>
  </si>
  <si>
    <t>Grid item #430. Discovered from Tagged page grid in sequential order.</t>
  </si>
  <si>
    <t>Join the Semrush Partner Program</t>
  </si>
  <si>
    <t>Work with a global leader in SEO and AI search. Gain partner benefits, complete co-marketing support, and tools to grow faster together.</t>
  </si>
  <si>
    <t>SEO, AI Search &amp; GEO, Growth Marketing</t>
  </si>
  <si>
    <t>In case it hasn’t been obvious enough, I definitely have a soft spot for meringue.. 🤤Throwback to the Melbourne Influencer Dine Event hosted by @semrush! ❤️ @barcarolina_sthyarra</t>
  </si>
  <si>
    <t>Tagged non-reel item (Static Photo) at grid position #431.</t>
  </si>
  <si>
    <t>Grid item #431. Discovered from Tagged page grid in sequential order.</t>
  </si>
  <si>
    <t>https://peec.ai/visibility/platform</t>
  </si>
  <si>
    <t>Discovered at visual grid position #387. Verified Ad Details URL. Format: Single Image Ad.</t>
  </si>
  <si>
    <t>Are you at #DSDC?! Come meet the #SEMrush team and ask us all about our latest update: Mobile Data in Traffic Analytics! 📱📈 @digitalsummits  #conference #digital #analytics #dc #marketing #content #seo #ppc #pla #smm</t>
  </si>
  <si>
    <t>#DSDC, #SEMrush, #conference, #digital, #analytics, #dc, #marketing, #content, #seo, #ppc, #pla, #smm</t>
  </si>
  <si>
    <t>Tagged non-reel item (Static Photo) at grid position #432.</t>
  </si>
  <si>
    <t>Grid item #432. Discovered from Tagged page grid in sequential order.</t>
  </si>
  <si>
    <t>Search Text Ad: "GEO Optimization Platform - Generative Engine Optimization by Peec AI"</t>
  </si>
  <si>
    <t>https://adstransparency.google.com/advertiser/AR05016556376214732801/creative/CR15077145013689253889?region=anywhere</t>
  </si>
  <si>
    <t>Took this during a lunch I went to with @semrush the other day!! Such a gorgeous view from @icebergsdiningroomandbar 😍💙 thanks for a fabulous lunch guys!! 💛 .  Who would you love to take to lunch here?? . . #vegan #veganfood #icebergs #semrush #beautiful #beach #bondi #bondibeach #notsponsored #view #lunch #landscape #lifestyle #oceanpools #winter #Sydneywinter #Sydney</t>
  </si>
  <si>
    <t>#vegan, #veganfood, #icebergs, #semrush, #beautiful, #beach, #bondi, #bondibeach, #notsponsored, #view, #lunch, #landscape, #lifestyle, #oceanpools, #winter, #Sydneywinter, #Sydney</t>
  </si>
  <si>
    <t>Tagged non-reel item (Static Photo) at grid position #433.</t>
  </si>
  <si>
    <t>Grid item #433. Discovered from Tagged page grid in sequential order.</t>
  </si>
  <si>
    <t>Discovered at visual grid position #388. Verified Ad Details URL. Format: Single Image Ad.</t>
  </si>
  <si>
    <t>“On-page SEO is no longer satisfied by raw keyword use. Matching keywords to searcher INTENT is critical.” — Rand Fishkin . Not doing Keyword Research and publishing the blog post right away can cost you decent amount of visitors that you could have tapped otherwise. 😏  #editinstitute #digitalmarketing #onpageseo #seo #searchengineoptimization #keywordresearch #googlesearch #rankings #backlinks #k</t>
  </si>
  <si>
    <t>#editinstitute, #digitalmarketing, #onpageseo, #seo, #searchengineoptimization, #keywordresearch, #googlesearch, #rankings, #backlinks, #kwfinder, #semrush, #growthhack, #OnlineMarketing, #ig, #igers, #instadaily, #instamood, #friday, #friyay, #tweegram, #instafamous</t>
  </si>
  <si>
    <t>Tagged non-reel item (Static Photo) at grid position #434.</t>
  </si>
  <si>
    <t>Grid item #434. Discovered from Tagged page grid in sequential order.</t>
  </si>
  <si>
    <t>Discovered at visual grid position #389. Verified Ad Details URL. Format: Single Image Ad.</t>
  </si>
  <si>
    <t>SEMRUSH engraved copper mirror acrylic place cards for @semrush PR Event @tinazafiropoulos @sydneypublicrelations @lisamessenger @collectivehub @ashley_themadhatter</t>
  </si>
  <si>
    <t>Tagged non-reel item (Static Photo) at grid position #435.</t>
  </si>
  <si>
    <t>Grid item #435. Discovered from Tagged page grid in sequential order.</t>
  </si>
  <si>
    <t>Industry Event, Video Marketing</t>
  </si>
  <si>
    <t>Grow your agency with the Semrush Partner Program</t>
  </si>
  <si>
    <t>Get the data, automations, and AI insights trusted by 40% of the Fortune 500. Deliver enterprise-level results for every client and boost your ROI.</t>
  </si>
  <si>
    <t>Search Text Ad: "Scale Agency Retainers with AI Search Services &amp; Audits"</t>
  </si>
  <si>
    <t>https://adstransparency.google.com/advertiser/AR05016556376214732801/creative/CR00023504131217948673?region=anywhere</t>
  </si>
  <si>
    <t>Discovered at visual grid position #390. Verified Ad Details URL. Format: Single Image Ad.</t>
  </si>
  <si>
    <t>The perfect color combination 👌 for @semrush PR Event @icebergsdiningroomandbar featuring our copper mirror acrylic place cards #engraved and #personalized @360designncut . . . #Repost @tinazafiropoulos ・・・ Team SPR - PR event 2 of the week ✔️@SEMrushcom — @biancayoungx @360designncut  @icebergsdiningroomandbar  Thank you to all amazing guests + suppliers!</t>
  </si>
  <si>
    <t>#engraved, #personalized, #Repost</t>
  </si>
  <si>
    <t>Tagged non-reel item (Static Photo) at grid position #436.</t>
  </si>
  <si>
    <t>Grid item #436. Discovered from Tagged page grid in sequential order.</t>
  </si>
  <si>
    <t>Win a @finconexpo Ticket! Aragon is giving away (1) pass to a rising star content creator! The contest starts today &amp; ends on the 27th! Enter the giveaway &amp; let's meet in Orlando! Link in bio!</t>
  </si>
  <si>
    <t>Tagged non-reel item (Static Photo) at grid position #437.</t>
  </si>
  <si>
    <t>Grid item #437. Discovered from Tagged page grid in sequential order.</t>
  </si>
  <si>
    <t>Discovered at visual grid position #391. Verified Ad Details URL. Format: Single Image Ad.</t>
  </si>
  <si>
    <t>Mondays aren’t bad if you love where you work! 🌞</t>
  </si>
  <si>
    <t>Tagged non-reel item (Static Photo) at grid position #438.</t>
  </si>
  <si>
    <t>Grid item #438. Discovered from Tagged page grid in sequential order.</t>
  </si>
  <si>
    <t>https://adstransparency.google.com/advertiser/AR05016556376214732801/creative/CR07749788419957456897?region=anywhere</t>
  </si>
  <si>
    <t>Today’s lunch with the stunning view of Bondi Beach 🙈🙈 @semrushcom  #SEMrush</t>
  </si>
  <si>
    <t>Tagged non-reel item (Static Photo) at grid position #439.</t>
  </si>
  <si>
    <t>Discovered at visual grid position #392. Verified Ad Details URL. Format: Single Image Ad.</t>
  </si>
  <si>
    <t>Grid item #439. Discovered from Tagged page grid in sequential order.</t>
  </si>
  <si>
    <t>Content Marketing, Industry Event</t>
  </si>
  <si>
    <t>GOLD DONUTS AND WINE  Recently I attended an event by @semrushcom and was absolutely enamoured with the 🍽️ table setting. Namely, this gold 🍩 donut.  Sure, it was a total blogging 👩🏼‍💻 win to see my name ✏️ written in stone. Not to mention winning 🏆 'best blog content'. . But let's face it, when you're the last to leave and they give you 6 gold 🍩 donuts. Well, hello sugar heaven. I'm ❤️ home.  Cou</t>
  </si>
  <si>
    <t>#explorewitherin, #gnomads, #foodporn, #foodgasm, #dessertsofmelbourne, #SEMRUSH, #SEMRUSHdine</t>
  </si>
  <si>
    <t>Tagged non-reel item (Static Photo) at grid position #440.</t>
  </si>
  <si>
    <t>Grid item #440. Discovered from Tagged page grid in sequential order.</t>
  </si>
  <si>
    <t>Discovered at visual grid position #393. Verified Ad Details URL. Format: Single Image Ad.</t>
  </si>
  <si>
    <t>https://adstransparency.google.com/advertiser/AR05016556376214732801/creative/CR04501385356981043201?region=anywhere</t>
  </si>
  <si>
    <t>From 0-20 Million Views On Quora And How I Did It  Do you use Quora? Maybe you have answered a few questions here and there in your spare time, but have you considered incorporating Quora into your digital marketing strategy?  A couple of years ago I had the fortune of having an answer featured in the Quora digest on Christmas day 2014 when I was in Malta. It was a question about salaries at diffe</t>
  </si>
  <si>
    <t>Tagged non-reel item (Static Photo) at grid position #441.</t>
  </si>
  <si>
    <t>Grid item #441. Discovered from Tagged page grid in sequential order.</t>
  </si>
  <si>
    <t>Here are just a few of the insights shared by our wonderful speakers last night at our Future Content Session!🗣</t>
  </si>
  <si>
    <t>Tagged non-reel item (Photo Carousel) at grid position #442.</t>
  </si>
  <si>
    <t>Grid item #442. Discovered from Tagged page grid in sequential order.</t>
  </si>
  <si>
    <t>Discovered at visual grid position #394. Verified Ad Details URL. Format: Single Image Ad.</t>
  </si>
  <si>
    <t>Creating lead capturing forms is like catching fish. Read the link in our bio to learn how to dangle the right bait, hook the right leads, draw them in, &amp; convert them to tasty sales 🐟🎣</t>
  </si>
  <si>
    <t>Tagged non-reel item (Static Photo) at grid position #443.</t>
  </si>
  <si>
    <t>Grid item #443. Discovered from Tagged page grid in sequential order.</t>
  </si>
  <si>
    <t>Data and automations to dominate SEO</t>
  </si>
  <si>
    <t>Outpace your competitors with market-leading data that finds every opportunity, then cut manual work with automations and customizable reporting.</t>
  </si>
  <si>
    <t>Search Text Ad: "Peec AI: The AEO Platform - Win Visibility in AI Search"</t>
  </si>
  <si>
    <t>https://adstransparency.google.com/advertiser/AR05016556376214732801/creative/CR08892140044408586241?region=anywhere</t>
  </si>
  <si>
    <t>Huge thank you to our amazing speakers tonight #FutureContent. It’s been a great evening discussing the future of social media</t>
  </si>
  <si>
    <t>#FutureContent</t>
  </si>
  <si>
    <t>Tagged non-reel item (Static Photo) at grid position #444.</t>
  </si>
  <si>
    <t>Grid item #444. Discovered from Tagged page grid in sequential order.</t>
  </si>
  <si>
    <t>Discovered at visual grid position #395. Verified Ad Details URL. Format: Single Image Ad.</t>
  </si>
  <si>
    <t>Finally for today here were some #twitter chats mentioned during the sit down with @nerdontherocks on #socialonsunday. Watch this space though part 2 of the interview will be aired this Sunday at 10.30 on Limerick City Community Radio.</t>
  </si>
  <si>
    <t>#twitter, #socialonsunday</t>
  </si>
  <si>
    <t>Tagged non-reel item (Static Photo) at grid position #445.</t>
  </si>
  <si>
    <t>Grid item #445. Discovered from Tagged page grid in sequential order.</t>
  </si>
  <si>
    <t>Look who won some swaggggg thanks @semrushcom! 🔥🔥🔥</t>
  </si>
  <si>
    <t>Tagged non-reel item (Static Photo) at grid position #446.</t>
  </si>
  <si>
    <t>Grid item #446. Discovered from Tagged page grid in sequential order.</t>
  </si>
  <si>
    <t>Discovered at visual grid position #396. Verified Ad Details URL. Format: Single Image Ad.</t>
  </si>
  <si>
    <t>https://adstransparency.google.com/advertiser/AR05016556376214732801/creative/CR10656106821095260161?region=anywhere</t>
  </si>
  <si>
    <t>Dünyanın en gelişmiş dijital pazarlama araçlarından biri olan SEMrushtan Head of Global Marketing Olga Andrienko ve MENAT PR Manager Adam ile Türkiye pazarında büyüme stratejilerini konuştuk.  #semrush #marketing</t>
  </si>
  <si>
    <t>#semrush, #marketing</t>
  </si>
  <si>
    <t>Tagged non-reel item (Static Photo) at grid position #447.</t>
  </si>
  <si>
    <t>Grid item #447. Discovered from Tagged page grid in sequential order.</t>
  </si>
  <si>
    <t>Discovered at visual grid position #397. Verified Ad Details URL. Format: Single Image Ad.</t>
  </si>
  <si>
    <t>Who else thinks it’s bullshit Google Ads is auto applying their garbage ad suggestions starting 8/14? To stop this, login to your account in new interface &gt; click settings &gt; account settings &gt; ad suggestions &gt; click don’t automatically apply ad suggestions.</t>
  </si>
  <si>
    <t>Tagged non-reel item (Static Photo) at grid position #448.</t>
  </si>
  <si>
    <t>Grid item #448. Discovered from Tagged page grid in sequential order.</t>
  </si>
  <si>
    <t>3 🔑 factors for a successful project.  1️⃣ Communication. 2️⃣ Setting expectations.  3️⃣ Transparency. . . . . #Syntx #Entrepreneur #entrepreneurship #motivation #sales #seo #digitalmarketing #optimization #growth #technology #hustle #b2b #inspiration #productivity #ppc #bestoftheday #follow #work #customerlove #salestips #leaders #leadership #socialmediamarketing #business #smallbusiness #trendin</t>
  </si>
  <si>
    <t>https://adstransparency.google.com/advertiser/AR05016556376214732801/creative/CR12275662641078206465?region=anywhere</t>
  </si>
  <si>
    <t>#Syntx, #Entrepreneur, #entrepreneurship, #motivation, #sales, #seo, #digitalmarketing, #optimization, #growth, #technology, #hustle, #b2b, #inspiration, #productivity, #ppc, #bestoftheday, #follow, #work, #customerlove, #salestips, #leaders, #leadership, #socialmediamarketing, #business, #smallbusiness, #trending, #marketing, #digitalmarketing, #onlinemarketing, #tuesday</t>
  </si>
  <si>
    <t>Tagged non-reel item (Static Photo) at grid position #449.</t>
  </si>
  <si>
    <t>Grid item #449. Discovered from Tagged page grid in sequential order.</t>
  </si>
  <si>
    <t>Discovered at visual grid position #398. Verified Ad Details URL. Format: Single Image Ad.</t>
  </si>
  <si>
    <t>Semrush is probably the best SEO tool you can use 🔥</t>
  </si>
  <si>
    <t>Tagged non-reel item (Static Photo) at grid position #450.</t>
  </si>
  <si>
    <t>Grid item #450. Discovered from Tagged page grid in sequential order.</t>
  </si>
  <si>
    <t>Discovered at visual grid position #399. Verified Ad Details URL. Format: Single Image Ad.</t>
  </si>
  <si>
    <t>How fast your #website can rank on google depends upon the difficulty of the keyword you want to rank for. Most of the times it is easier to rank for a local business than an national business if #seo is done properly. You can rank your website easily if there is less competition.</t>
  </si>
  <si>
    <t>#website, #seo</t>
  </si>
  <si>
    <t>Tagged non-reel item (Static Photo) at grid position #451.</t>
  </si>
  <si>
    <t>Grid item #451. Discovered from Tagged page grid in sequential order.</t>
  </si>
  <si>
    <t>https://adstransparency.google.com/advertiser/AR05016556376214732801/creative/CR15141815375647211521?region=anywhere</t>
  </si>
  <si>
    <t>The Inbound Marketer Vs The Outbound Marketer !!! via @semrushcom ● ● ●  #InboundMarketing #outboudmarketing #SEO #SEM #SMO #SMM #leadgeneration #rainmakerDM #rainmakerinteractive #socialmediamarketing #DigitalMarketing #marketing #OnlineMarketing</t>
  </si>
  <si>
    <t>#InboundMarketing, #outboudmarketing, #SEO, #SEM, #SMO, #SMM, #leadgeneration, #rainmakerDM, #rainmakerinteractive, #socialmediamarketing, #DigitalMarketing, #marketing, #OnlineMarketing</t>
  </si>
  <si>
    <t>Tagged non-reel item (Static Photo) at grid position #452.</t>
  </si>
  <si>
    <t>Grid item #452. Discovered from Tagged page grid in sequential order.</t>
  </si>
  <si>
    <t>Discovered at visual grid position #400. Verified Ad Details URL. Format: Single Image Ad.</t>
  </si>
  <si>
    <t>Almost as good as free hugs - get your free 2 weeks trial to 2x your Facebook Ads performance!  Limited time only - Link in bio! . . . . . #Syntx #Entrepreneur #entrepreneurship #motivation #sales #seo #digitalmarketing #optimization #growth #technology #hustle #b2b #inspiration #productivity #ppc #bestoftheday #follow #work #customerlove #salestips #leaders #leadership #socialmediamarketing #busi</t>
  </si>
  <si>
    <t>#Syntx, #Entrepreneur, #entrepreneurship, #motivation, #sales, #seo, #digitalmarketing, #optimization, #growth, #technology, #hustle, #b2b, #inspiration, #productivity, #ppc, #bestoftheday, #follow, #work, #customerlove, #salestips, #leaders, #leadership, #socialmediamarketing, #business, #smallbusiness, #trending, #marketing, #digitalmarketing, #onlinemarketing</t>
  </si>
  <si>
    <t>Tagged non-reel item (Static Photo) at grid position #453.</t>
  </si>
  <si>
    <t>Grid item #453. Discovered from Tagged page grid in sequential order.</t>
  </si>
  <si>
    <t>Discovered at visual grid position #401. Verified Ad Details URL. Format: Single Image Ad.</t>
  </si>
  <si>
    <t>https://adstransparency.google.com/advertiser/AR05016556376214732801/creative/CR10482587874594127873?region=anywhere</t>
  </si>
  <si>
    <t>#dsden #semrush Partied a bit too hard at the Digital Summit Denver 😎</t>
  </si>
  <si>
    <t>#dsden, #semrush</t>
  </si>
  <si>
    <t>Tagged non-reel item (Static Photo) at grid position #454.</t>
  </si>
  <si>
    <t>Grid item #454. Discovered from Tagged page grid in sequential order.</t>
  </si>
  <si>
    <t>Won this #tshirt from the #semrush official team in the #SEMRush #meetup yesterday in #gurugram at #91springboard  #digitalmarketing #onlinemarketing #internetmarketing #influencermarketing #performancemarketing #360advertisement #360marketing #360advertising #seo #smo #sem #winner #winningspirit #ShouTech #blogger #indianblogger #writer @semrushcom @shoutech @91springboard</t>
  </si>
  <si>
    <t>#tshirt, #semrush, #SEMRush, #meetup, #gurugram, #91springboard, #digitalmarketing, #onlinemarketing, #internetmarketing, #influencermarketing, #performancemarketing, #360advertisement, #360marketing, #360advertising, #seo, #smo, #sem, #winner, #winningspirit, #ShouTech, #blogger, #indianblogger, #writer</t>
  </si>
  <si>
    <t>Tagged non-reel item (Static Photo) at grid position #455.</t>
  </si>
  <si>
    <t>Grid item #455. Discovered from Tagged page grid in sequential order.</t>
  </si>
  <si>
    <t>Discovered at visual grid position #402. Verified Ad Details URL. Format: Single Image Ad.</t>
  </si>
  <si>
    <t>Welcome to the family @semrushcom -&gt; After some exciting meetings between Russia and Australia we will be heading the HQ expansion of SEMrush in Australia with a series of exciting events and a marketing expansion and execution strategy this year. SEMrush is the world’s largest digital marketing software and given our team’s software and tech experience we cannot wait to jump on board 👌🏽</t>
  </si>
  <si>
    <t>Tagged non-reel item (Static Photo) at grid position #456.</t>
  </si>
  <si>
    <t>Grid item #456. Discovered from Tagged page grid in sequential order.</t>
  </si>
  <si>
    <t>https://adstransparency.google.com/advertiser/AR05016556376214732801/creative/CR13758031476140539905?region=anywhere</t>
  </si>
  <si>
    <t>Discovered at visual grid position #403. Verified Ad Details URL. Format: Single Image Ad.</t>
  </si>
  <si>
    <t>You know what’s expensive? Custom, professional videos. ✨ You know what’s not expensive and gets just as much engagement? Instagram Stories. ✨ So don’t let that precious content go to waste! ✨ ➕Save them and share to Facebook ➕Add to you highlights ➕Upload to YouTube (you’ll need to edit to be landscape) ➕Save mentions or testimonials from clients and put them on your website ✨ Boom! Free video. ✨</t>
  </si>
  <si>
    <t>Tagged non-reel item (Static Photo) at grid position #457.</t>
  </si>
  <si>
    <t>Grid item #457. Discovered from Tagged page grid in sequential order.</t>
  </si>
  <si>
    <t>📶 Dia 19 de Julho #canoas vai receber o workshop Resultados na Era Digital, um evento para empresas e profissionais que querem acelerar resultados no ambiente online. Vagas limitadas! 🚀 @ufospacecanoas @agenciacharterhouse @resdigitais @semrushcom #marketingdigital #marketing #empreendedorismo #poa #portoalegre</t>
  </si>
  <si>
    <t>#canoas, #marketingdigital, #marketing, #empreendedorismo, #poa, #portoalegre</t>
  </si>
  <si>
    <t>Tagged non-reel item (Static Photo) at grid position #458.</t>
  </si>
  <si>
    <t>Grid item #458. Discovered from Tagged page grid in sequential order.</t>
  </si>
  <si>
    <t>Ran from Nov 26, 2025 to Dec 29, 2025</t>
  </si>
  <si>
    <t>Discovered at visual grid position #404. Verified Ad Details URL. Format: Single Image Ad.</t>
  </si>
  <si>
    <t>SSJ18</t>
  </si>
  <si>
    <t>https://peec.ai/black-friday</t>
  </si>
  <si>
    <t>Cooking deer medallions in a Michelin-starred restaurant in Helsinki ✅ #SSJ18</t>
  </si>
  <si>
    <t>#SSJ18</t>
  </si>
  <si>
    <t>Tagged non-reel item (Static Photo) at grid position #459.</t>
  </si>
  <si>
    <t>Grid item #459. Discovered from Tagged page grid in sequential order.</t>
  </si>
  <si>
    <t>Search Text Ad: "Black Friday Exclusive - Save on Annual AEO Platform Subscriptions"</t>
  </si>
  <si>
    <t>https://adstransparency.google.com/advertiser/AR05016556376214732801/creative/CR16330717161322446849?region=anywhere</t>
  </si>
  <si>
    <t>#digitalmarketing #ppc #cpm #socialmediamarketing #adwords #internetadvertising #affiliatemarketing #affiliatemarketingtools  #OnlineMarketing #EmailMarketing #Google #SEM #DigitalMarketing #Adwords #ContentMarketing #Blog</t>
  </si>
  <si>
    <t>Discovered at visual grid position #405. Verified Ad Details URL. Format: Single Image Ad.</t>
  </si>
  <si>
    <t>#digitalmarketing, #ppc, #cpm, #socialmediamarketing, #adwords, #internetadvertising, #affiliatemarketing, #affiliatemarketingtools, #OnlineMarketing, #EmailMarketing, #Google, #SEM, #DigitalMarketing, #Adwords, #ContentMarketing, #Blog</t>
  </si>
  <si>
    <t>Tagged non-reel item (Static Photo) at grid position #460.</t>
  </si>
  <si>
    <t>Grid item #460. Discovered from Tagged page grid in sequential order.</t>
  </si>
  <si>
    <t>AI Search &amp; GEO, Content Marketing, Industry Event</t>
  </si>
  <si>
    <t>You are cordially invited to the most awaited event of the year -- ReDi Digital Dialogue 2018  to celebrate Social Media Day on June 30. Be part of  Responsibly Digital (ReDi) and participate in digital workshops designed for you, panel discussions on mental health and  digital &amp; digital trends and its impact  and keynote speakers from Government of Chattisgarh &amp; Twitter India.  If not booked alre</t>
  </si>
  <si>
    <t>#REDI2018, #ResponsiblyDigital, #Ahmedabad</t>
  </si>
  <si>
    <t>Tagged non-reel item (Static Photo) at grid position #461.</t>
  </si>
  <si>
    <t>Grid item #461. Discovered from Tagged page grid in sequential order.</t>
  </si>
  <si>
    <t>Discovered at visual grid position #406. Verified Ad Details URL. Format: Single Image Ad.</t>
  </si>
  <si>
    <t>Technical SEO VS Content Optimisations 🔍  #DigitalMarketing #SocialMediaMarketing #DisplayMarketing #SEO #SMO #SMM #SEM #OnlineMarketing #InternetMarketing #GrowthHacking #ContentMarketing #ContentStrategy #InboundMarketing #DataScience #socialmedia #marketingspecialist</t>
  </si>
  <si>
    <t>#DigitalMarketing, #SocialMediaMarketing, #DisplayMarketing, #SEO, #SMO, #SMM, #SEM, #OnlineMarketing, #InternetMarketing, #GrowthHacking, #ContentMarketing, #ContentStrategy, #InboundMarketing, #DataScience, #socialmedia, #marketingspecialist</t>
  </si>
  <si>
    <t>Tagged non-reel item (Static Photo) at grid position #462.</t>
  </si>
  <si>
    <t>Grid item #462. Discovered from Tagged page grid in sequential order.</t>
  </si>
  <si>
    <t>Search Text Ad: "Analyze Brand Sentiment in AI Search - Free 7-Day Trial"</t>
  </si>
  <si>
    <t>https://adstransparency.google.com/advertiser/AR05016556376214732801/creative/CR16556748259180150785?region=anywhere</t>
  </si>
  <si>
    <t>Ran from Nov 27, 2025 to Dec 30, 2025</t>
  </si>
  <si>
    <t>Discovered at visual grid position #407. Verified Ad Details URL. Format: Single Image Ad.</t>
  </si>
  <si>
    <t>🇩🇪⚽️👨🏻💶🐮🍼🚱🍺Wusstet ihr, der deutsche Fußball-Fan kauft Milch statt Bier? (Reimt sich auch noch!) Lustige Fakten über die deutschen Fußball-Fans haben die Datenspezialisten von  @emetriq_at_work, @socialbakers und @semrushcom herausgefunden. #worldcup #worldcup2018 #fussball #marketingstats #contentmarketing #infografik #techpr #wm2018 #wm #wmfieber #fussballwm #fussballwm2018</t>
  </si>
  <si>
    <t>#worldcup, #worldcup2018, #fussball, #marketingstats, #contentmarketing, #infografik, #techpr, #wm2018, #wm, #wmfieber, #fussballwm, #fussballwm2018</t>
  </si>
  <si>
    <t>Tagged non-reel item (Photo Carousel) at grid position #463.</t>
  </si>
  <si>
    <t>Grid item #463. Discovered from Tagged page grid in sequential order.</t>
  </si>
  <si>
    <t>Discovered at visual grid position #408. Verified Ad Details URL. Format: Single Image Ad.</t>
  </si>
  <si>
    <t>https://adstransparency.google.com/advertiser/AR05016556376214732801/creative/CR07652558537993748481?region=anywhere</t>
  </si>
  <si>
    <t>↪Hoy vamos a contaros un poco acerca de las #Keywords o palabras clave🔐. Se trata de un término (o conjunto de ellos) que utilizan los usuarios de internet a la hora de buscar contenido en la web, a través de los motores de búsqueda (Google, Bing, etc) - Estas palabras clave tienen varias funcionalidades y te pueden ayudar mucho dentro de tus post, en tus descripciones etc. Aquí te mostramos algun</t>
  </si>
  <si>
    <t>#Keywords, #PalabrasClave, #longtailkeywords, #SEO, #posicionamientoweb, #socialmedia, #redessociales, #communitymanager, #Valencia, #LittleBIGIDEAS</t>
  </si>
  <si>
    <t>Tagged non-reel item (Static Photo) at grid position #464.</t>
  </si>
  <si>
    <t>Grid item #464. Discovered from Tagged page grid in sequential order.</t>
  </si>
  <si>
    <t>Discovered at visual grid position #409. Verified Ad Details URL. Format: Single Image Ad.</t>
  </si>
  <si>
    <t>Ashley Ward Content Marketer at SEMrush  She will be talking about 'Content Marketing ROI'  Ashley Ward is a Corporate Speaker and Evangelist for SEMrush, the most comprehensive business intelligence platform for digital marketing. Her passion is focused on helping businesses and marketing professionals gain long-term ROI through teaching content marketing and social media marketing tips and trick</t>
  </si>
  <si>
    <t>#gdmsnigeria2018, #gdmsafrica, #gdms, #digitalmarketing, #contentmarketing, #ROI, #speaker, #conference, #summit</t>
  </si>
  <si>
    <t>Tagged non-reel item (Static Photo) at grid position #465.</t>
  </si>
  <si>
    <t>Grid item #465. Discovered from Tagged page grid in sequential order.</t>
  </si>
  <si>
    <t>https://adstransparency.google.com/advertiser/AR05016556376214732801/creative/CR18365701485397803009?region=anywhere</t>
  </si>
  <si>
    <t>Como ya saben para nosotros las métricas son muy importantes porque muestran el resultado de las técnicas SEO empleadas en nuestra estrategia. - Hoy mostramos parte de esos resultados, con el posicionamiento de nuevas palabras claves en la primera página de Google como: Servicios web y Preprodución, que se suman a Productora audiovisual y Productora audiovisual en Venezuela para búsquedas internac</t>
  </si>
  <si>
    <t>#bgcreativos, #seo, #sem, #produccionaudiovisual, #blog</t>
  </si>
  <si>
    <t>Tagged non-reel item (Static Photo) at grid position #466.</t>
  </si>
  <si>
    <t>Ran from Nov 28, 2025 to Dec 29, 2025</t>
  </si>
  <si>
    <t>Grid item #466. Discovered from Tagged page grid in sequential order.</t>
  </si>
  <si>
    <t>Discovered at visual grid position #410. Verified Ad Details URL. Format: Single Image Ad.</t>
  </si>
  <si>
    <t>Conheça tudo sobre a ferramenta e entenda como ela trará benefícios para o seu negócio. Link para o artigo em nossa bio. 😄📊 . . . . . #marketingdigital #gearseo #semrush #digitalmarketing #business #palavrachave #learn #benefícios #seo</t>
  </si>
  <si>
    <t>#marketingdigital, #gearseo, #semrush, #digitalmarketing, #business, #palavrachave, #learn, #benefícios, #seo</t>
  </si>
  <si>
    <t>Tagged non-reel item (Static Photo) at grid position #467.</t>
  </si>
  <si>
    <t>Grid item #467. Discovered from Tagged page grid in sequential order.</t>
  </si>
  <si>
    <t>Discovered at visual grid position #411. Verified Ad Details URL. Format: Single Image Ad.</t>
  </si>
  <si>
    <t>#SearchEngineOptimization #DigitalMarketing #InboundMarketing #Blog #Emailmarketing #SEO #SEM  #SocialMedia #SocialMediaMarketing #SocialMarketing #PPC #Marketing #InternetMarketing #Contentmarketing #SMM #GrowthHacking #InboundMarketing #GrowthHacking #Innovation #smallbusiness #business #SMM #SEO #blogging #blog #Content #socialmedia #emailmarketing  #ContentMarketing #SmallBiz #Marketing  #Digi</t>
  </si>
  <si>
    <t>Search Text Ad: "Compare AEO Platforms - Why Leading Brands Choose Peec AI"</t>
  </si>
  <si>
    <t>#SearchEngineOptimization, #DigitalMarketing, #InboundMarketing, #Blog, #Emailmarketing, #SEO, #SEM, #SocialMedia, #SocialMediaMarketing, #SocialMarketing, #PPC, #Marketing, #InternetMarketing, #Contentmarketing, #SMM, #GrowthHacking, #InboundMarketing, #GrowthHacking, #Innovation, #smallbusiness, #business, #SMM, #SEO, #blogging, #blog, #Content, #socialmedia, #emailmarketing, #ContentMarketing, #SmallBiz, #Marketing, #DigitalMarketing, #securityadda</t>
  </si>
  <si>
    <t>Tagged non-reel item (Static Photo) at grid position #468.</t>
  </si>
  <si>
    <t>https://adstransparency.google.com/advertiser/AR05016556376214732801/creative/CR08787300373749563393?region=anywhere</t>
  </si>
  <si>
    <t>Grid item #468. Discovered from Tagged page grid in sequential order.</t>
  </si>
  <si>
    <t>It was great meeting Pavel Frolov and Khadisha Bekkozhina from @semrushcom Luckily they found some time to run a workshop for us whilst they were here in Sydney for the @searchsummitau .  It was awesome to learn about all the new features that SEMRush are rolling out and the 4mation team learnt a bunch of valuable stuff! 🔎✨📈 #SEO #SEM #SEMRush #SEOtips #sydneytech  #strategy #digitalmarketing #mak</t>
  </si>
  <si>
    <t>Discovered at visual grid position #412. Verified Ad Details URL. Format: Single Image Ad.</t>
  </si>
  <si>
    <t>#SEO, #SEM, #SEMRush, #SEOtips, #sydneytech, #strategy, #digitalmarketing, #makingfriends, #mowingthelawn</t>
  </si>
  <si>
    <t>Tagged non-reel item (Static Photo) at grid position #469.</t>
  </si>
  <si>
    <t>Grid item #469. Discovered from Tagged page grid in sequential order.</t>
  </si>
  <si>
    <t>melbournebound, hometime</t>
  </si>
  <si>
    <t>✌️ out SYDNEY ✈️ Thx SEMRush for having me on your team this week! #melbournebound #hometime</t>
  </si>
  <si>
    <t>#melbournebound, #hometime</t>
  </si>
  <si>
    <t>Tagged non-reel item (Static Photo) at grid position #470.</t>
  </si>
  <si>
    <t>Grid item #470. Discovered from Tagged page grid in sequential order.</t>
  </si>
  <si>
    <t>https://adstransparency.google.com/advertiser/AR05016556376214732801/creative/CR15541951159055941633?region=anywhere</t>
  </si>
  <si>
    <t>Discovered at visual grid position #413. Verified Ad Details URL. Format: Single Image Ad.</t>
  </si>
  <si>
    <t>Tavola rotonda notevole al #lws18  #SEO #linkbuilding #linkwebsummit #link #linking #searchengineoptimization #web #digitalmarketing #digital #webmarketing #online #strategie #strategiedigitali #digitalpr #pubblicherelazioni #Google #googlesearch #googlepenguin #qualityrater #qualityrating</t>
  </si>
  <si>
    <t>#lws18, #SEO, #linkbuilding, #linkwebsummit, #link, #linking, #searchengineoptimization, #web, #digitalmarketing, #digital, #webmarketing, #online, #strategie, #strategiedigitali, #digitalpr, #pubblicherelazioni, #Google, #googlesearch, #googlepenguin, #qualityrater, #qualityrating</t>
  </si>
  <si>
    <t>Tagged non-reel item (Static Photo) at grid position #471.</t>
  </si>
  <si>
    <t>Grid item #471. Discovered from Tagged page grid in sequential order.</t>
  </si>
  <si>
    <t>Discovered at visual grid position #414. Verified Ad Details URL. Format: Single Image Ad.</t>
  </si>
  <si>
    <t>Learn the secrets of mobile search dominance with breakout session leader, Maryna Hrdovich – VP Strategic Growth &amp; Development at @semrushcom 🙌</t>
  </si>
  <si>
    <t>Tagged non-reel item (Static Photo) at grid position #472.</t>
  </si>
  <si>
    <t>Grid item #472. Discovered from Tagged page grid in sequential order.</t>
  </si>
  <si>
    <t>https://adstransparency.google.com/advertiser/AR05016556376214732801/creative/CR07973029618728828929?region=anywhere</t>
  </si>
  <si>
    <t>Вечерний #meetup в @semrushcom #seo #semrush</t>
  </si>
  <si>
    <t>#meetup, #seo, #semrush</t>
  </si>
  <si>
    <t>Tagged non-reel item (Static Photo) at grid position #473.</t>
  </si>
  <si>
    <t>Grid item #473. Discovered from Tagged page grid in sequential order.</t>
  </si>
  <si>
    <t>Discovered at visual grid position #415. Verified Ad Details URL. Format: Single Image Ad.</t>
  </si>
  <si>
    <t>Uiuiui, die #Royalwedding-Fans unter uns sind very excited! Und passend zur morgigen Hochzeit 💞hat unser Kunde @semrushcom ausgewertet, dass #meghanmarkle die Prinzessin der Suchanfragen ist, noch vor #katemiddleton und #cinderella 👑! #semrushstats #royalwedding2018 #infografik #theroyalwedding #contentmarketing #marketingstats #trendingtopic</t>
  </si>
  <si>
    <t>#Royalwedding, #meghanmarkle, #katemiddleton, #cinderella, #semrushstats, #royalwedding2018, #infografik, #theroyalwedding, #contentmarketing, #marketingstats, #trendingtopic</t>
  </si>
  <si>
    <t>Tagged non-reel item (Static Photo) at grid position #474.</t>
  </si>
  <si>
    <t>Grid item #474. Discovered from Tagged page grid in sequential order.</t>
  </si>
  <si>
    <t>Discovered at visual grid position #416. Verified Ad Details URL. Format: Single Image Ad.</t>
  </si>
  <si>
    <t>FREE EBOOK! 📕 Click the link in today’s story to get your copy. Get step-by-step instructions for starting your business and marketing tips from @semrushcom 🔥</t>
  </si>
  <si>
    <t>Tagged non-reel item (Static Photo) at grid position #475.</t>
  </si>
  <si>
    <t>Grid item #475. Discovered from Tagged page grid in sequential order.</t>
  </si>
  <si>
    <t>Subscription</t>
  </si>
  <si>
    <t>https://peec.ai/pricing</t>
  </si>
  <si>
    <t>Just recorded another episode of my #marketingbuzzword Podcast with Tim from @semrushcom All about PPC and Paid Search live from #EngagePrague with @socialbakers  Really loved recording this and cannot wait to share it!  #ppc #podcast #marketingpodcast #podcaster #paidsearch #marketing #buzzwords #semrush</t>
  </si>
  <si>
    <t>#marketingbuzzword, #EngagePrague, #ppc, #podcast, #marketingpodcast, #podcaster, #paidsearch, #marketing, #buzzwords, #semrush</t>
  </si>
  <si>
    <t>Tagged non-reel item (Photo Carousel) at grid position #476.</t>
  </si>
  <si>
    <t>Grid item #476. Discovered from Tagged page grid in sequential order.</t>
  </si>
  <si>
    <t>Discovered at visual grid position #417. Verified Ad Details URL. Format: Single Image Ad.</t>
  </si>
  <si>
    <t>Search Text Ad: "See Pricing Plans - Flexible AEO Tracking for Teams &amp; Growth"</t>
  </si>
  <si>
    <t>https://adstransparency.google.com/advertiser/AR05016556376214732801/creative/CR10434718780453027841?region=anywhere</t>
  </si>
  <si>
    <t>How to Uncover Your Competitors’ Social Media Strategies via @semrushcom ➡️ https://www.semrush.com/blog/how-to-use-semrush-for-social-media-competitive-analysis/ • • • • #sem #seo #searchengineoptimization #searchenginemarketing #digitalmarketing #socialmedia #socialmediamarketing #advertising #advertisingagency #managedservices</t>
  </si>
  <si>
    <t>#sem, #seo, #searchengineoptimization, #searchenginemarketing, #digitalmarketing, #socialmedia, #socialmediamarketing, #advertising, #advertisingagency, #managedservices</t>
  </si>
  <si>
    <t>Tagged non-reel item (Static Photo) at grid position #477.</t>
  </si>
  <si>
    <t>Grid item #477. Discovered from Tagged page grid in sequential order.</t>
  </si>
  <si>
    <t>Semrush, iceicebaby, semrush</t>
  </si>
  <si>
    <t>Discovered at visual grid position #418. Verified Ad Details URL. Format: Single Image Ad.</t>
  </si>
  <si>
    <t>Definitiv einer der Hingucker des letzten OMClubs: Die Eis Bar von #Semrush.  Wer hat sich hier auch den ein oder anderen Drink gegönnt? 🥂 ________________________________________________  #iceicebaby #semrush #sponsor #thankyou #omclub2017 #omclub #partyon #coldasice #barsponsoring</t>
  </si>
  <si>
    <t>#Semrush, #iceicebaby, #semrush, #sponsor, #thankyou, #omclub2017, #omclub, #partyon, #coldasice, #barsponsoring</t>
  </si>
  <si>
    <t>Tagged non-reel item (Static Photo) at grid position #478.</t>
  </si>
  <si>
    <t>Grid item #478. Discovered from Tagged page grid in sequential order.</t>
  </si>
  <si>
    <t>https://adstransparency.google.com/advertiser/AR05016556376214732801/creative/CR07857169723413233665?region=anywhere</t>
  </si>
  <si>
    <t>Thanks again @semrushcom for these t-shirts! 🔥😁</t>
  </si>
  <si>
    <t>Tagged non-reel item (Photo Carousel) at grid position #479.</t>
  </si>
  <si>
    <t>Grid item #479. Discovered from Tagged page grid in sequential order.</t>
  </si>
  <si>
    <t>Discovered at visual grid position #419. Verified Ad Details URL. Format: Single Image Ad.</t>
  </si>
  <si>
    <t>If you’re not learning and maintaining your knowledge in the digital marketing arena you are missing an opportunity. Shoutout to @semrushcom and @ericosiu for today’s webinar on Unconventional Growth Tactics for 2018 &amp; Beyond! #ProblemSolved #digitalmarketing #growth</t>
  </si>
  <si>
    <t>#ProblemSolved, #digitalmarketing, #growth</t>
  </si>
  <si>
    <t>Tagged non-reel item (Static Photo) at grid position #480.</t>
  </si>
  <si>
    <t>Grid item #480. Discovered from Tagged page grid in sequential order.</t>
  </si>
  <si>
    <t>Discovered at visual grid position #420. Verified Ad Details URL. Format: Single Image Ad.</t>
  </si>
  <si>
    <t>@semrushcom stats: here’s the most popular #dating #apps around.📱❤️ #badoo #tinder #grinder #marketing #tech #smm  #content #date #love #app #application #semrush #mobile #web #informatica #webmarketing #socialmedia #smm #socialmediamarketing #digital #socialmedia #semrushstats</t>
  </si>
  <si>
    <t>#dating, #apps, #badoo, #tinder, #grinder, #marketing, #tech, #smm, #content, #date, #love, #app, #application, #semrush, #mobile, #web, #informatica, #webmarketing, #socialmedia, #smm, #socialmediamarketing, #digital, #socialmedia, #semrushstats</t>
  </si>
  <si>
    <t>Tagged non-reel item (Static Photo) at grid position #481.</t>
  </si>
  <si>
    <t>Grid item #481. Discovered from Tagged page grid in sequential order.</t>
  </si>
  <si>
    <t>https://adstransparency.google.com/advertiser/AR05016556376214732801/creative/CR10872155152236675073?region=anywhere</t>
  </si>
  <si>
    <t>Discovered at visual grid position #421. Verified Ad Details URL. Format: Single Image Ad.</t>
  </si>
  <si>
    <t>BLOG TOOLS  You’ve got a business to run and you’ve got ideas for your blog. . Overwhelm takes over! . A blogger needs to be productive and efficient with creating their content. What’s the blog secret? Tools! Lots of magical tools that can help any blogger become a better blogger. . We've got our favorites listed in this post! Check to see if your favorite tool made the list at http://bit.ly/tool</t>
  </si>
  <si>
    <t>#blogging, #blogtools, #bloggers, #entrepreneurship, #creativepreneur, #communityovercompetition, #entrepreneurlife</t>
  </si>
  <si>
    <t>Tagged non-reel item (Static Photo) at grid position #482.</t>
  </si>
  <si>
    <t>Grid item #482. Discovered from Tagged page grid in sequential order.</t>
  </si>
  <si>
    <t>With @SEMRushCom #Tonight #SEO #SEM #Marketing</t>
  </si>
  <si>
    <t>#Tonight, #SEO, #SEM, #Marketing</t>
  </si>
  <si>
    <t>Tagged non-reel item (Static Photo) at grid position #483.</t>
  </si>
  <si>
    <t>Grid item #483. Discovered from Tagged page grid in sequential order.</t>
  </si>
  <si>
    <t>Discovered at visual grid position #422. Verified Ad Details URL. Format: Single Image Ad.</t>
  </si>
  <si>
    <t>Display Banner: "Agency Partner Program - Deliver High-Margin GEO Services to Clients"</t>
  </si>
  <si>
    <t>https://adstransparency.google.com/advertiser/AR05016556376214732801/creative/CR15801240834386427905?region=anywhere</t>
  </si>
  <si>
    <t>An Evening with @SEMRushCom !!! #SEO #SEM #Marketing</t>
  </si>
  <si>
    <t>#SEO, #SEM, #Marketing</t>
  </si>
  <si>
    <t>Tagged non-reel item (Static Photo) at grid position #484.</t>
  </si>
  <si>
    <t>Grid item #484. Discovered from Tagged page grid in sequential order.</t>
  </si>
  <si>
    <t>Discovered at visual grid position #423. Verified Ad Details URL. Format: Single Image Ad.</t>
  </si>
  <si>
    <t>Throwback fra UK Search Awards. En bra kveld med supre bransjevenner. Spesielt gøy var det at @semrushcom vant prisen for beste SEO-plattform og Elephate fikk pris for beste innholdsmarkedsføring og innholdsstrategi. Alltid hyggelig å sitte på vinnerbordet. 🏆🥇🙌🏻😇✈️🥂 #UKSearchAwards #søkemotoroptimalisering #innholdsmarkedsføring #innholdsstrategi #seo #SearchPlanet</t>
  </si>
  <si>
    <t>#UKSearchAwards, #søkemotoroptimalisering, #innholdsmarkedsføring, #innholdsstrategi, #seo, #SearchPlanet</t>
  </si>
  <si>
    <t>Tagged non-reel item (Static Photo) at grid position #485.</t>
  </si>
  <si>
    <t>Grid item #485. Discovered from Tagged page grid in sequential order.</t>
  </si>
  <si>
    <t>https://adstransparency.google.com/advertiser/AR05016556376214732801/creative/CR04879608672512114689?region=anywhere</t>
  </si>
  <si>
    <t>Let’s connect @seokevin380 if you agree. . . . . . #feedback #improvement #content #contentcreator #blogger #blog #blogging #elonmusk #entrepreneur #mindset #seo #marketingtips #seotips #business #onlinemarketing #internet #socialmedia #socialmediamarketing #targetmarketing #smm #searchengineoptimization</t>
  </si>
  <si>
    <t>#feedback, #improvement, #content, #contentcreator, #blogger, #blog, #blogging, #elonmusk, #entrepreneur, #mindset, #seo, #marketingtips, #seotips, #business, #onlinemarketing, #internet, #socialmedia, #socialmediamarketing, #targetmarketing, #smm, #searchengineoptimization</t>
  </si>
  <si>
    <t>Tagged non-reel item (Static Photo) at grid position #486.</t>
  </si>
  <si>
    <t>Grid item #486. Discovered from Tagged page grid in sequential order.</t>
  </si>
  <si>
    <t>Discovered at visual grid position #424. Verified Ad Details URL. Format: Single Image Ad.</t>
  </si>
  <si>
    <t>No elf on our shelf! Bots only. RogerBots and crawlers - og nettbutikker man kan optimalisere og elefanter som kan puttes penger på. Burde jo ha vært en veddeløpshest, men sjefen er mot gambling. 🤓 #seo #ehandel #nettbutikkSEO #ecommerceSEO #tekniskSEO #SearchPlanet</t>
  </si>
  <si>
    <t>#seo, #ehandel, #nettbutikkSEO, #ecommerceSEO, #tekniskSEO, #SearchPlanet</t>
  </si>
  <si>
    <t>Tagged non-reel item (Static Photo) at grid position #487.</t>
  </si>
  <si>
    <t>Grid item #487. Discovered from Tagged page grid in sequential order.</t>
  </si>
  <si>
    <t>Discovered at visual grid position #425. Verified Ad Details URL. Format: Single Image Ad.</t>
  </si>
  <si>
    <t>Everything your clients see is a reflection of your brand. From your social media posts, to how you communicate, to your website, down to how you dress! How are you optimizing the customer experience? Here are a few tips: . ➖Send your clients a small personalized gift [this one speaks volumes towards building long term relationships!] ➖Make sure your website is easy to navigate. Is the information</t>
  </si>
  <si>
    <t>Tagged non-reel item (Static Photo) at grid position #488.</t>
  </si>
  <si>
    <t>Grid item #488. Discovered from Tagged page grid in sequential order.</t>
  </si>
  <si>
    <t>https://adstransparency.google.com/advertiser/AR05016556376214732801/creative/CR06560459585683980289?region=anywhere</t>
  </si>
  <si>
    <t>Thanks to everybody that showed up we greatly appreciate it! And a big thanks to our speaker Ashley Ward, for taking the time to come to our school for the first time to talk to us about SEMRush and Digital Marketing and bringing us amazing gifts and food! @semrushcom Look forward to our next meeting! #semrush #marketing #digitalmarketing #csula #csulamktclub</t>
  </si>
  <si>
    <t>#semrush, #marketing, #digitalmarketing, #csula, #csulamktclub</t>
  </si>
  <si>
    <t>Tagged non-reel item (Photo Carousel) at grid position #489.</t>
  </si>
  <si>
    <t>Grid item #489. Discovered from Tagged page grid in sequential order.</t>
  </si>
  <si>
    <t>Discovered at visual grid position #426. Verified Ad Details URL. Format: Single Image Ad.</t>
  </si>
  <si>
    <t>Muito feliz em estar no meio de tanta mulher “porreta”. 😃  Obrigada SEMrush, ferramenta de marketing digital líder no mercado, por me convidar a colaborar com essa homenagem ao Dia Internacional das Mulheres! . . . “Uma mulher deve ser duas coisas: QUEM e o QUE ela quiser.'</t>
  </si>
  <si>
    <t>Tagged non-reel item (Static Photo) at grid position #490.</t>
  </si>
  <si>
    <t>Grid item #490. Discovered from Tagged page grid in sequential order.</t>
  </si>
  <si>
    <t>https://adstransparency.google.com/advertiser/AR05016556376214732801/creative/CR16521296061520674817?region=anywhere</t>
  </si>
  <si>
    <t>Will you be at the organic #marketing #event of the year? Join Conductor, our amazing speakers, and partners for two days of #digitalmarketing insights at #C3NY. Use promo C318-INSTA</t>
  </si>
  <si>
    <t>#marketing, #event, #digitalmarketing, #C3NY</t>
  </si>
  <si>
    <t>Discovered at visual grid position #427. Verified Ad Details URL. Format: Single Image Ad.</t>
  </si>
  <si>
    <t>Tagged non-reel item (Static Photo) at grid position #491.</t>
  </si>
  <si>
    <t>Grid item #491. Discovered from Tagged page grid in sequential order.</t>
  </si>
  <si>
    <t>Big fan of everything @semrushcom  Great tool that I use weekly and great events like #DTDconf that I presented on today!  Most of all they have great employees &amp; I love the orange!  Thanks for the swag Krista Tidman &amp; team! #DSphx  If you’re at @digitalsummits stop by their booth!</t>
  </si>
  <si>
    <t>#DTDconf, #DSphx</t>
  </si>
  <si>
    <t>Tagged non-reel item (Static Photo) at grid position #492.</t>
  </si>
  <si>
    <t>Grid item #492. Discovered from Tagged page grid in sequential order.</t>
  </si>
  <si>
    <t>Discovered at visual grid position #428. Verified Ad Details URL. Format: Single Image Ad.</t>
  </si>
  <si>
    <t>https://adstransparency.google.com/advertiser/AR05016556376214732801/creative/CR01886147583961726977?region=anywhere</t>
  </si>
  <si>
    <t>Meet SEMrush team in Pune. Only 100 seats are available. Link in bio. Tickets @ INR 200.  Agenda: 5:30 pm - 6:00 pm Registration &amp; Networking 6:00 pm - 6:30 pm Fernando Angulo: Big MKT Tools for SMB 6:30 pm - 6:45 pm Q&amp;A 6:45 pm - 7:15 pm Ashish Dasharathi: Campaign Management and Reporting Using Google Data Studio 7:15 pm - 8:00 pm Prasad Ajinkya: Adwords scripting work 8:00 pm - 8:15 pm Q&amp;A 8:15</t>
  </si>
  <si>
    <t>Tagged non-reel item (Static Photo) at grid position #493.</t>
  </si>
  <si>
    <t>Grid item #493. Discovered from Tagged page grid in sequential order.</t>
  </si>
  <si>
    <t>Discovered at visual grid position #429. Verified Ad Details URL. Format: Single Image Ad.</t>
  </si>
  <si>
    <t>Let's talk keyword research! First up.. . ◼️ Keyword structure . Keywords can be short tail (generic), {for example “marketing”, or “SEO”}or long-tail (descriptive and specific), {ie SEO services for boss babes' 😬} . Short-tail keywords have the potential to drive more visits (IF you manage to rank for them- they tend to be super competitive!) While long-tail keywords drive more targeted traffic a</t>
  </si>
  <si>
    <t>Tagged non-reel item (Static Photo) at grid position #494.</t>
  </si>
  <si>
    <t>Grid item #494. Discovered from Tagged page grid in sequential order.</t>
  </si>
  <si>
    <t>Si lavora anche di sabato. #Brainstorming per McQueen, #sito #socialmedia #seo #marketing #semrush #video 👩‍💻👨‍💻 • • #youtoodigital #digitalstrategy #workinprogress . . #socialmediatips #webagency #agencylife #digitalmarketing #digitallife #entrepreneurslife #socialmediamarketing #officelife #officejob #worklife #workmode #workaholic #atwork #workhard #planning #smm #saturday #ipadpro #macbookpro</t>
  </si>
  <si>
    <t>#Brainstorming, #sito, #socialmedia, #seo, #marketing, #semrush, #video, #youtoodigital, #digitalstrategy, #workinprogress, #socialmediatips, #webagency, #agencylife, #digitalmarketing, #digitallife, #entrepreneurslife, #socialmediamarketing, #officelife, #officejob, #worklife, #workmode, #workaholic, #atwork, #workhard, #planning, #smm, #saturday, #ipadpro, #macbookpro, #apple</t>
  </si>
  <si>
    <t>Tagged non-reel item (Static Photo) at grid position #495.</t>
  </si>
  <si>
    <t>Grid item #495. Discovered from Tagged page grid in sequential order.</t>
  </si>
  <si>
    <t>https://adstransparency.google.com/advertiser/AR05016556376214732801/creative/CR07256735219577782273?region=anywhere</t>
  </si>
  <si>
    <t>Discovered at visual grid position #430. Verified Ad Details URL. Format: Single Image Ad.</t>
  </si>
  <si>
    <t>Semrush @semrushcom for an All-in-one Marketing Toolkit ・・・ http://www.semrush.com/sem/?ref=8111621893 ・・・ SEMrush Tip of the Day! ⏩ Todd Butcher 😀💻 #SEMrush #SEOtips #SEOtipoftheday #customerreviews</t>
  </si>
  <si>
    <t>#SEMrush, #SEOtips, #SEOtipoftheday, #customerreviews</t>
  </si>
  <si>
    <t>Tagged non-reel item (Static Photo) at grid position #496.</t>
  </si>
  <si>
    <t>Grid item #496. Discovered from Tagged page grid in sequential order.</t>
  </si>
  <si>
    <t>We ❤ our tools. Here are some of our favorites that we find ourselves using daily or weekly. 〰️ 1. Google Analytics: we utilize this daily to analyze search traffic  2. Google Search Console: we use GSC weekly to analyze impressions + queries 3. Hootsuite: there are many social scheduling platforms out there, but we use Hootsuite, mainly for streamlining instagram content 4. Mailchimp: email marke</t>
  </si>
  <si>
    <t>Discovered at visual grid position #431. Verified Ad Details URL. Format: Single Image Ad.</t>
  </si>
  <si>
    <t>Tagged non-reel item (Static Photo) at grid position #497.</t>
  </si>
  <si>
    <t>Grid item #497. Discovered from Tagged page grid in sequential order.</t>
  </si>
  <si>
    <t>https://adstransparency.google.com/advertiser/AR05016556376214732801/creative/CR04805165687997726721?region=anywhere</t>
  </si>
  <si>
    <t>How to survive the death of Facebook Pages. Signup for our FREE webinar today, click link in bio! #doyolive . . . . . . . . . . . . #facebookpage #facebookmarketing #deathoffacebookpages #digitalmarketing #marketingconference #youngstown #ohio</t>
  </si>
  <si>
    <t>#doyolive, #facebookpage, #facebookmarketing, #deathoffacebookpages, #digitalmarketing, #marketingconference, #youngstown, #ohio</t>
  </si>
  <si>
    <t>Tagged non-reel item (Static Photo) at grid position #498.</t>
  </si>
  <si>
    <t>Grid item #498. Discovered from Tagged page grid in sequential order.</t>
  </si>
  <si>
    <t>rusia, nochesBlancas</t>
  </si>
  <si>
    <t>Discovered at visual grid position #432. Verified Ad Details URL. Format: Single Image Ad.</t>
  </si>
  <si>
    <t>Hoy me acorde de #rusia, si hacia fresco en Julio, ahora en Enero ❄️❄️❄️❄️ 🙈  #nochesBlancas con @semrush_es</t>
  </si>
  <si>
    <t>#rusia, #nochesBlancas</t>
  </si>
  <si>
    <t>Tagged non-reel item (Static Photo) at grid position #499.</t>
  </si>
  <si>
    <t>Grid item #499. Discovered from Tagged page grid in sequential order.</t>
  </si>
  <si>
    <t>https://adstransparency.google.com/advertiser/AR05016556376214732801/creative/CR07530997975535845377?region=anywhere</t>
  </si>
  <si>
    <t>It's time to build a strategy for 2018 and audit your website.  Pune Digital Marketers invites you to join SEMrush webinar:  Live Site Audit with Nitin Manchanda (Global SEO Head at Trivago) and Ross Tavendale (UK Based expert with over 10 years experience) at 3:00 PM (IST) on January 24.  Ross will review 2-3 real websites and share their SEO secrets, best practices, and purely practical tips.  L</t>
  </si>
  <si>
    <t>#SEO, #Audit, #LiveAudit, #SEMrush, #SEO, #OrganjcGrowth, #OnlineMarketing, #DigitalMarketing, #PuneMarketers</t>
  </si>
  <si>
    <t>Tagged non-reel item (Static Photo) at grid position #500.</t>
  </si>
  <si>
    <t>Discovered at visual grid position #433. Verified Ad Details URL. Format: Single Image Ad.</t>
  </si>
  <si>
    <t>Grid item #500. Discovered from Tagged page grid in sequential order.</t>
  </si>
  <si>
    <t>SEMarush, Meetup</t>
  </si>
  <si>
    <t>We are at #SEMarush #Meetup</t>
  </si>
  <si>
    <t>#SEMarush, #Meetup</t>
  </si>
  <si>
    <t>Tagged non-reel item (Photo Carousel) at grid position #501.</t>
  </si>
  <si>
    <t>Grid item #501. Discovered from Tagged page grid in sequential order.</t>
  </si>
  <si>
    <t>Discovered at visual grid position #434. Verified Ad Details URL. Format: Single Image Ad.</t>
  </si>
  <si>
    <t>New year, new social media trends? These entrepreneurs sure think so! Read on to find out their top 10 social media predictions for 2018 🎊 [LINK IN BIO] . . . . .  #business #biz #smallbusiness #smallbiz #entrepreneur #entrepreneurship #socialmedia #facebook #instagram #twitter #linkedin #marketing #digitalmarketing #digitalmedia #marketingagency #digital #media #businessadvice #bizadvice #newyear</t>
  </si>
  <si>
    <t>#business, #biz, #smallbusiness, #smallbiz, #entrepreneur, #entrepreneurship, #socialmedia, #facebook, #instagram, #twitter, #linkedin, #marketing, #digitalmarketing, #digitalmedia, #marketingagency, #digital, #media, #businessadvice, #bizadvice, #newyear, #2018</t>
  </si>
  <si>
    <t>Tagged non-reel item (Static Photo) at grid position #502.</t>
  </si>
  <si>
    <t>Grid item #502. Discovered from Tagged page grid in sequential order.</t>
  </si>
  <si>
    <t>https://adstransparency.google.com/advertiser/AR05016556376214732801/creative/CR05535764802145615873?region=anywhere</t>
  </si>
  <si>
    <t>Amigos, o ano começou animado ;) ⠀ Eu e meus sócios na GrowthTeam fomos convidados pela SEMRush para falar sobre as tendências de #GrowthHacking para 2018. ⠀ Falaremos sobre o que está chegando agora no BR em termos de inovação e tb o que vimos na Growth Marketing Conference, que tivemos o prazer de conferir no final de 2017. ⠀ Como sempre, vai ser incrível 🚀⠀ Vamos? ⠀ Inscrições, link na bio!</t>
  </si>
  <si>
    <t>#GrowthHacking</t>
  </si>
  <si>
    <t>Tagged non-reel item (Static Photo) at grid position #503.</t>
  </si>
  <si>
    <t>Discovered at visual grid position #435. Verified Ad Details URL. Format: Single Image Ad.</t>
  </si>
  <si>
    <t>Grid item #503. Discovered from Tagged page grid in sequential order.</t>
  </si>
  <si>
    <t>A few days ago, SEMrush released Ranking Factors Study 2.0, an updated version of its research which looked into the factors that have the biggest influence on the position of the domain in search engine result pages (SERPs). Click link in bio to find out the top 17 Google search ranking factors👆  #seo #contentmarketing #marketing #semrush #99signals #google #startups #smallbiz #business #blogging</t>
  </si>
  <si>
    <t>#seo, #contentmarketing, #marketing, #semrush, #99signals, #google, #startups, #smallbiz, #business, #blogging, #blogger, #startuplife, #instatips</t>
  </si>
  <si>
    <t>Tagged non-reel item (Static Photo) at grid position #504.</t>
  </si>
  <si>
    <t>Grid item #504. Discovered from Tagged page grid in sequential order.</t>
  </si>
  <si>
    <t>https://adstransparency.google.com/advertiser/AR05016556376214732801/creative/CR10468144389203951617?region=anywhere</t>
  </si>
  <si>
    <t>Discovered at visual grid position #436. Verified Ad Details URL. Format: Single Image Ad.</t>
  </si>
  <si>
    <t>How to Use @semrushcom to Amplify Your Content Marketing. Click link in bio👆to read the article!  #contentmarketing #semrush #seo #content #smallbiz #smallbizsat #startups #marketing #contentstrategy #entrepreneur #entrepreneurship #99signals #blogging #bloggingtips #business</t>
  </si>
  <si>
    <t>#contentmarketing, #semrush, #seo, #content, #smallbiz, #smallbizsat, #startups, #marketing, #contentstrategy, #entrepreneur, #entrepreneurship, #99signals, #blogging, #bloggingtips, #business</t>
  </si>
  <si>
    <t>Tagged non-reel item (Static Photo) at grid position #505.</t>
  </si>
  <si>
    <t>Grid item #505. Discovered from Tagged page grid in sequential order.</t>
  </si>
  <si>
    <t>🤓 How to perform a thorough SEO site audit: link in bio!  #seoaudit #siteaudit #seo #sem #searchengineoptimization #searchenginemarketing #seotips #seoagenxy #seocompany #seoservice #googleanalytics #sitespeed #digitalmarketing #laseo #losangeles #searchmarketing #sitespeed #linkbuilding #googleupdate</t>
  </si>
  <si>
    <t>#seoaudit, #siteaudit, #seo, #sem, #searchengineoptimization, #searchenginemarketing, #seotips, #seoagenxy, #seocompany, #seoservice, #googleanalytics, #sitespeed, #digitalmarketing, #laseo, #losangeles, #searchmarketing, #sitespeed, #linkbuilding, #googleupdate</t>
  </si>
  <si>
    <t>Tagged non-reel item (Static Photo) at grid position #506.</t>
  </si>
  <si>
    <t>Grid item #506. Discovered from Tagged page grid in sequential order.</t>
  </si>
  <si>
    <t>christmas, godivachocolate</t>
  </si>
  <si>
    <t>Discovered at visual grid position #437. Verified Ad Details URL. Format: Single Image Ad.</t>
  </si>
  <si>
    <t>https://adstransparency.google.com/advertiser/AR05016556376214732801/creative/CR01949663166652743681?region=anywhere</t>
  </si>
  <si>
    <t>Merry Christmas 🎄 to the @semrushcom @semrush_people team! Thank you so much for my wonderful gift 🎁  Someone almost got there before me! #christmas #godivachocolate</t>
  </si>
  <si>
    <t>#christmas, #godivachocolate</t>
  </si>
  <si>
    <t>Tagged non-reel item (Photo Carousel) at grid position #507.</t>
  </si>
  <si>
    <t>Grid item #507. Discovered from Tagged page grid in sequential order.</t>
  </si>
  <si>
    <t>Thank you to our clients for a fantastic year &amp; thank you to all of the tools that help make the Honey Bees awesome at their jobs! 🎄🐝 . . . #merrychristmas #thankyou #agencylife  #kwawesome #weloveourclients #socialmediamarketing #digitalmarketing #marketingtools</t>
  </si>
  <si>
    <t>#merrychristmas, #thankyou, #agencylife, #kwawesome, #weloveourclients, #socialmediamarketing, #digitalmarketing, #marketingtools</t>
  </si>
  <si>
    <t>Tagged non-reel item (Static Photo) at grid position #508.</t>
  </si>
  <si>
    <t>Discovered at visual grid position #438. Verified Ad Details URL. Format: Single Image Ad.</t>
  </si>
  <si>
    <t>Grid item #508. Discovered from Tagged page grid in sequential order.</t>
  </si>
  <si>
    <t>So many delicious christmas presents 🎀 Thank you @121watt &amp; @bing &amp; @semrushcom 🎁</t>
  </si>
  <si>
    <t>Tagged non-reel item (Static Photo) at grid position #509.</t>
  </si>
  <si>
    <t>Grid item #509. Discovered from Tagged page grid in sequential order.</t>
  </si>
  <si>
    <t>https://adstransparency.google.com/advertiser/AR05016556376214732801/creative/CR06178031875127246849?region=anywhere</t>
  </si>
  <si>
    <t>Discovered at visual grid position #439. Verified Ad Details URL. Format: Single Image Ad.</t>
  </si>
  <si>
    <t>Thank you for the presents @semrushcom 🎁</t>
  </si>
  <si>
    <t>Tagged non-reel item (Static Photo) at grid position #510.</t>
  </si>
  <si>
    <t>Grid item #510. Discovered from Tagged page grid in sequential order.</t>
  </si>
  <si>
    <t>Voglio lavorare così. Con quella ventata di famiglia che arriva da lontano e mi fa sentire vicina. Sentendomi parte di un gruppo di lavoro che va oltre ritorni economici e visibilità. E allora grazie @semrushcom perché oggi con questo regalo di Natale, ho amato ancora di più il mio lavoro e mi sono sentita a casa.  Qui, sola e stanca, ho ritirato un cesto di cioccolatini proprio mentre ne ritirava</t>
  </si>
  <si>
    <t>#raccontidivita, #scrivodunquesono, #unanuovame, #copywriting, #natale2017</t>
  </si>
  <si>
    <t>Tagged non-reel item (Static Photo) at grid position #511.</t>
  </si>
  <si>
    <t>Grid item #511. Discovered from Tagged page grid in sequential order.</t>
  </si>
  <si>
    <t>Discovered at visual grid position #440. Verified Ad Details URL. Format: Single Image Ad.</t>
  </si>
  <si>
    <t>doyolive</t>
  </si>
  <si>
    <t>https://adstransparency.google.com/advertiser/AR05016556376214732801/creative/CR01323660524935708673?region=anywhere</t>
  </si>
  <si>
    <t>Why go on in on Facebook Live in 2018, click link in bio to learn more. Reserve a you spot on our FREE webinar + live Q&amp;A today! #doyolive</t>
  </si>
  <si>
    <t>#doyolive</t>
  </si>
  <si>
    <t>Tagged non-reel item (Static Photo) at grid position #512.</t>
  </si>
  <si>
    <t>Grid item #512. Discovered from Tagged page grid in sequential order.</t>
  </si>
  <si>
    <t>Discovered at visual grid position #441. Verified Ad Details URL. Format: Single Image Ad.</t>
  </si>
  <si>
    <t>Thanks for the sweets @semrushcom, we ❤️ you!!!</t>
  </si>
  <si>
    <t>Tagged non-reel item (Static Photo) at grid position #513.</t>
  </si>
  <si>
    <t>Grid item #513. Discovered from Tagged page grid in sequential order.</t>
  </si>
  <si>
    <t>Always market. #digitalmarketing</t>
  </si>
  <si>
    <t>Tagged non-reel item (Static Photo) at grid position #514.</t>
  </si>
  <si>
    <t>https://adstransparency.google.com/advertiser/AR05016556376214732801/creative/CR10344186960116973569?region=anywhere</t>
  </si>
  <si>
    <t>Grid item #514. Discovered from Tagged page grid in sequential order.</t>
  </si>
  <si>
    <t>Content Marketing, Digital Marketing, Industry Event</t>
  </si>
  <si>
    <t>Discovered at visual grid position #442. Verified Ad Details URL. Format: Single Image Ad.</t>
  </si>
  <si>
    <t>‘‘Tis the season, Merry Christmas! 🎄🎁 #doyolive . . . . . . . . . . . . . . . . . . #happyholidays #merrychristmas #holidays #christmasvacation #santaclaus #hohoho🎅  #🎄 #🎁 #contentmarketing #branding #youngstown #boardman #canfield #poland #austintown #akron #canton #cleveland #pittsburgh #erie #chicago #toledo #detroit #erie #newyork #socialmediamarketing #digitalmarketing #creativedirector #inte</t>
  </si>
  <si>
    <t>#doyolive, #happyholidays, #merrychristmas, #holidays, #christmasvacation, #santaclaus, #hohoho, #contentmarketing, #branding, #youngstown, #boardman, #canfield, #poland, #austintown, #akron, #canton, #cleveland, #pittsburgh, #erie, #chicago, #toledo, #detroit, #erie, #newyork, #socialmediamarketing, #digitalmarketing, #creativedirector, #interactive, #eventplanner</t>
  </si>
  <si>
    <t>Tagged non-reel item (Static Photo) at grid position #515.</t>
  </si>
  <si>
    <t>Grid item #515. Discovered from Tagged page grid in sequential order.</t>
  </si>
  <si>
    <t>Discovered at visual grid position #443. Verified Ad Details URL. Format: Single Image Ad.</t>
  </si>
  <si>
    <t>Olha só que tri o presente 🎁 que ganhamos do @semrushcom 😍😋</t>
  </si>
  <si>
    <t>Tagged non-reel item (Static Photo) at grid position #516.</t>
  </si>
  <si>
    <t>Grid item #516. Discovered from Tagged page grid in sequential order.</t>
  </si>
  <si>
    <t>https://adstransparency.google.com/advertiser/AR05016556376214732801/creative/CR01692383218189205505?region=anywhere</t>
  </si>
  <si>
    <t>dsdallas</t>
  </si>
  <si>
    <t>Discovered at visual grid position #444. Verified Ad Details URL. Format: Single Image Ad.</t>
  </si>
  <si>
    <t>Thank you @semrushcom for a tchotchke that made this little lady of mine a happy sleeper. #dsdallas</t>
  </si>
  <si>
    <t>#dsdallas</t>
  </si>
  <si>
    <t>Tagged non-reel item (Static Photo) at grid position #517.</t>
  </si>
  <si>
    <t>Grid item #517. Discovered from Tagged page grid in sequential order.</t>
  </si>
  <si>
    <t>https://adstransparency.google.com/advertiser/AR05016556376214732801/creative/CR01019464509804249089?region=anywhere</t>
  </si>
  <si>
    <t>Our first Christmas card travelled all the way from sunny Philadelphia! Thank you @semrushcom 😊⛄🎄Wishing you a very happy holidays, too!</t>
  </si>
  <si>
    <t>Tagged non-reel item (Static Photo) at grid position #518.</t>
  </si>
  <si>
    <t>Discovered at visual grid position #445. Verified Ad Details URL. Format: Single Image Ad.</t>
  </si>
  <si>
    <t>Grid item #518. Discovered from Tagged page grid in sequential order.</t>
  </si>
  <si>
    <t>From Corporate Speaker Ashley Ward’s presentation on content strategy ✨ #SEMrush #DSDAL</t>
  </si>
  <si>
    <t>#SEMrush, #DSDAL</t>
  </si>
  <si>
    <t>Tagged non-reel item (Static Photo) at grid position #519.</t>
  </si>
  <si>
    <t>Grid item #519. Discovered from Tagged page grid in sequential order.</t>
  </si>
  <si>
    <t>Discovered at visual grid position #446. Verified Ad Details URL. Format: Single Image Ad.</t>
  </si>
  <si>
    <t>Are you using #gifs and #memes on #socialmedia? You should! Dario shared a lot of tips and examples on @semrushcom blog - link in bio! 😁😂😃😇 #startupgrind #marketing101 #marketinglife #marketingplan #marketingdigital #marketingonline #startuptips #startup #b2b #b2c #brand #branding #branding101 #growthhacking #growth  #businessowner #localbiz #localbusiness #contentcuration #contentmarketingtips #S</t>
  </si>
  <si>
    <t>#gifs, #memes, #socialmedia, #startupgrind, #marketing101, #marketinglife, #marketingplan, #marketingdigital, #marketingonline, #startuptips, #startup, #b2b, #b2c, #brand, #branding, #branding101, #growthhacking, #growth, #businessowner, #localbiz, #localbusiness, #contentcuration, #contentmarketingtips, #Sem, #webtraffic, #onlinetraffic, #onlinemarketing, #networkmarketers, #homebiz, #mobilemarketing</t>
  </si>
  <si>
    <t>Tagged non-reel item (Static Photo) at grid position #520.</t>
  </si>
  <si>
    <t>Grid item #520. Discovered from Tagged page grid in sequential order.</t>
  </si>
  <si>
    <t>https://adstransparency.google.com/advertiser/AR05016556376214732801/creative/CR00615555202488991745?region=anywhere</t>
  </si>
  <si>
    <t>Busy Month! Finishing up Recordings and pre-masters for #PurgationEP + #Marketing 📈 #linkbuilding 📨Setting up #mainstage3 🎹 writing ✍️ blog posts 📝 AND...shooting a sweet Cover Song Video 🎥 🎤 for y’all! #SEO @semrushcom @trelloapp</t>
  </si>
  <si>
    <t>#PurgationEP, #Marketing, #linkbuilding, #mainstage3, #SEO</t>
  </si>
  <si>
    <t>Tagged non-reel item (Static Photo) at grid position #521.</t>
  </si>
  <si>
    <t>Grid item #521. Discovered from Tagged page grid in sequential order.</t>
  </si>
  <si>
    <t>Discovered at visual grid position #447. Verified Ad Details URL. Format: Single Image Ad.</t>
  </si>
  <si>
    <t>📌TIP FOR YOUR BUSINESS✏️ Learn what matters to get your website on top of Google search • You need to show high authority in your domain and that you deliver value to your audience • How does Google assess that? • 1) direct visitors coming to your website and how long they stay 2) other websites linking to your website 3) right content length - short for broad articles, long for narrow topics 4) o</t>
  </si>
  <si>
    <t>Tagged non-reel item (Static Photo) at grid position #522.</t>
  </si>
  <si>
    <t>Grid item #522. Discovered from Tagged page grid in sequential order.</t>
  </si>
  <si>
    <t>Discovered at visual grid position #448. Verified Ad Details URL. Format: Single Image Ad.</t>
  </si>
  <si>
    <t>I'm really excited today! 🎉 👇 First, I got some terrific news from Midwest Digital Marketing Conference announcing that I'll be speaking at next year's conference! 🙌🏻 I can't wait to join thousands of fellow marketers in downtown St. Louis in March. (I'll be sharing more details soon if you're interested in attending, including more about my Blogging topic.) 👇 Second, today is the day that I'm lau</t>
  </si>
  <si>
    <t>#Blogging, #BloggingTips, #bloggers, #bloggerlife, #bloggerstyle, #blogs, #instablogger, #blogpost, #blog, #lifestyleblogger, #instablog, #bblogger, #lifestyleblog, #bbloggers, #fbloggers, #fblogger, #lbloggers, #contentmarketing, #onlinebusiness, #entrepreneur, #onlinebiz, #workfromhome, #makemoneyonline, #onlinemarketing, #affiliatemarketing, #digitalmarketing, #internetmarketing, #makemoney, #financialfreedom</t>
  </si>
  <si>
    <t>Tagged non-reel item (Static Photo) at grid position #523.</t>
  </si>
  <si>
    <t>Grid item #523. Discovered from Tagged page grid in sequential order.</t>
  </si>
  <si>
    <t>https://adstransparency.google.com/advertiser/AR05016556376214732801/creative/CR11672936755010469889?region=anywhere</t>
  </si>
  <si>
    <t>When migrating your site from HTTP to HTTPS, do not make any other changes to your website. Google is assuming that nothing else has changed on your website. If you change more than one thing, Google may have a hard time acknowledging all the changes.  #seomarketing #emailmarketingtips #learnmarketing #learningresources #marketingdigital #smm #smo #digitalreckoner</t>
  </si>
  <si>
    <t>#seomarketing, #emailmarketingtips, #learnmarketing, #learningresources, #marketingdigital, #smm, #smo, #digitalreckoner</t>
  </si>
  <si>
    <t>Tagged non-reel item (Static Photo) at grid position #524.</t>
  </si>
  <si>
    <t>Discovered at visual grid position #449. Verified Ad Details URL. Format: Single Image Ad.</t>
  </si>
  <si>
    <t>Grid item #524. Discovered from Tagged page grid in sequential order.</t>
  </si>
  <si>
    <t>Get tips of the day on Digital Marketing everyday at Digital Reckoner #marketingdigital #learningresources #learnmarketing #digitalreckoner #seo #seomarketing #seoanalysis #emailmarketingtips #digitalvideoagency #digitalvidya #smm #smo #fbmarketing #learndigitalmarketing</t>
  </si>
  <si>
    <t>#marketingdigital, #learningresources, #learnmarketing, #digitalreckoner, #seo, #seomarketing, #seoanalysis, #emailmarketingtips, #digitalvideoagency, #digitalvidya, #smm, #smo, #fbmarketing, #learndigitalmarketing</t>
  </si>
  <si>
    <t>Tagged non-reel item (Static Photo) at grid position #525.</t>
  </si>
  <si>
    <t>Grid item #525. Discovered from Tagged page grid in sequential order.</t>
  </si>
  <si>
    <t>https://adstransparency.google.com/advertiser/AR05016556376214732801/creative/CR15367453741695369217?region=anywhere</t>
  </si>
  <si>
    <t>Discovered at visual grid position #450. Verified Ad Details URL. Format: Single Image Ad.</t>
  </si>
  <si>
    <t>WHAT IS AFFILIATE MARKETING? . Essentially affiliate marketing involves a merchant paying a commission to other online entities, known as affiliates, for referring new business to the merchant’s website. Affiliate marketing is performance-based, which means affiliates only get paid when their promotional efforts actually result in a transaction. . One of the reasons affiliate marketing can provide</t>
  </si>
  <si>
    <t>Tagged non-reel item (Static Photo) at grid position #526.</t>
  </si>
  <si>
    <t>Grid item #526. Discovered from Tagged page grid in sequential order.</t>
  </si>
  <si>
    <t>facebook, returnofinvestment, ROI</t>
  </si>
  <si>
    <t>Whatever industry your in, your business is always looking for new clients 💰 this sales funnel illustrate 6 steps before you convert a visitor to your website/office into a Client 😎 . There is an amazing amount of data📲 that #facebook already is collecting for FREE 😍 . .  With Facebook Advertising, businesses are able to scale &amp; predict #returnofinvestment /#ROI with accuracy that is unprecedented</t>
  </si>
  <si>
    <t>#facebook, #returnofinvestment, #ROI</t>
  </si>
  <si>
    <t>Tagged non-reel item (Static Photo) at grid position #527.</t>
  </si>
  <si>
    <t>Grid item #527. Discovered from Tagged page grid in sequential order.</t>
  </si>
  <si>
    <t>Discovered at visual grid position #451. Verified Ad Details URL. Format: Single Image Ad.</t>
  </si>
  <si>
    <t>https://adstransparency.google.com/advertiser/AR05016556376214732801/creative/CR06641856019171377153?region=anywhere</t>
  </si>
  <si>
    <t>Acompanhe essa semana as entrevistas exclusivas e nosso giro no #rdsummit siga nosso canal @mercadobinario http://bit.ly/CanalMBp</t>
  </si>
  <si>
    <t>#rdsummit</t>
  </si>
  <si>
    <t>Tagged non-reel item (Photo Carousel) at grid position #528.</t>
  </si>
  <si>
    <t>Grid item #528. Discovered from Tagged page grid in sequential order.</t>
  </si>
  <si>
    <t>Discovered at visual grid position #452. Verified Ad Details URL. Format: Single Image Ad.</t>
  </si>
  <si>
    <t>#SMDAYIT + #DIDAYS inizia il terzo giorno. Con Olga Andrienko. . . . Dissetiamo le genti, direbbe @rudybandiera citato ieri in slide! Nei saperi e nelle conoscenze. . . . #socialmediastrategy #socialmediamarketing #digitalmarketing</t>
  </si>
  <si>
    <t>#SMDAYIT, #DIDAYS, #socialmediastrategy, #socialmediamarketing, #digitalmarketing</t>
  </si>
  <si>
    <t>Tagged non-reel item (Static Photo) at grid position #529.</t>
  </si>
  <si>
    <t>Grid item #529. Discovered from Tagged page grid in sequential order.</t>
  </si>
  <si>
    <t>https://adstransparency.google.com/advertiser/AR05016556376214732801/creative/CR04472575266115289089?region=anywhere</t>
  </si>
  <si>
    <t>I'm so pleased that @optimisey inaugural  event went down a storm. Great turn out,  informative speakers and a great time had by all.</t>
  </si>
  <si>
    <t>Tagged non-reel item (Static Photo) at grid position #530.</t>
  </si>
  <si>
    <t>Grid item #530. Discovered from Tagged page grid in sequential order.</t>
  </si>
  <si>
    <t>Discovered at visual grid position #453. Verified Ad Details URL. Format: Single Image Ad.</t>
  </si>
  <si>
    <t>Well damn @semrushcom - *now* I feel like an event organiser. I've got a pull-up banner! 😄 #Optimisey #cambridge #seomeetup</t>
  </si>
  <si>
    <t>#Optimisey, #cambridge, #seomeetup</t>
  </si>
  <si>
    <t>Tagged non-reel item (Static Photo) at grid position #531.</t>
  </si>
  <si>
    <t>Grid item #531. Discovered from Tagged page grid in sequential order.</t>
  </si>
  <si>
    <t>Discovered at visual grid position #454. Verified Ad Details URL. Format: Single Image Ad.</t>
  </si>
  <si>
    <t>[[ Divani che diventeranno famosi e dove trovarli ]] Grazie a  #GaetanoRomeo e @semrushcom per il talkshow di ieri.  Con @jacopomatteuzzi , @williamsbarzaglia, @enrico.maioli e la super inviata di #semrush direttamente da San Pietroburgo e @salvatorericevuto  in regia è stato davvero un #digitaltalkshow immenso.Occasione stupenda.. da ripetere :) #milano #digitalmarketing #socialmediamarketing #in</t>
  </si>
  <si>
    <t>#GaetanoRomeo, #semrush, #digitaltalkshow, #milano, #digitalmarketing, #socialmediamarketing, #inboundmarketing</t>
  </si>
  <si>
    <t>Tagged non-reel item (Static Photo) at grid position #532.</t>
  </si>
  <si>
    <t>Grid item #532. Discovered from Tagged page grid in sequential order.</t>
  </si>
  <si>
    <t>https://adstransparency.google.com/advertiser/AR05016556376214732801/creative/CR02090198800135094273?region=anywhere</t>
  </si>
  <si>
    <t>SimilarWeb (Chrome EXTENSION) &amp; SEMrush are tools that help in Keyword Research as well as in identifying your competition and analyzing its website data.  Keyword Research is one of the most important aspect of SEO. You get to know about a lot of trends in your industry and you're able to reach a WIDER AUDIENCE. Timing is the most CRUCIAL element... I have experienced it myself when I got a great</t>
  </si>
  <si>
    <t>#keywordtool, #keywordresearch, #bloggingtips, #seotips2017, #hashtags, #trending, #socialmedia, #smm, #digitalmarketingtips, #interestingfacts, #tipsntricks, #instagood, #instagrammarketing, #thestartupfever, #bengalurustartups, #startupindia, #digitalindia, #wordpress, #organictraffic</t>
  </si>
  <si>
    <t>Tagged non-reel item (Photo Carousel) at grid position #533.</t>
  </si>
  <si>
    <t>Grid item #533. Discovered from Tagged page grid in sequential order.</t>
  </si>
  <si>
    <t>Discovered at visual grid position #455. Verified Ad Details URL. Format: Single Image Ad.</t>
  </si>
  <si>
    <t>Never miss a beat when it comes to our #MarketersToolbox series!  Https://www.agencysparks.com/blog/marketerstoolbox-semrush-vs-moz Subscribe to our email list to receive insights on marketing tools and content updates! - - - #marketingcontent #SEO #keywordsearch #keyword #monitor #competitiveanalysis #optimization #data #lists</t>
  </si>
  <si>
    <t>#MarketersToolbox, #marketingcontent, #SEO, #keywordsearch, #keyword, #monitor, #competitiveanalysis, #optimization, #data, #lists</t>
  </si>
  <si>
    <t>Tagged non-reel item (Static Photo) at grid position #534.</t>
  </si>
  <si>
    <t>Grid item #534. Discovered from Tagged page grid in sequential order.</t>
  </si>
  <si>
    <t>https://adstransparency.google.com/advertiser/AR05016556376214732801/creative/CR17795802068733132801?region=anywhere</t>
  </si>
  <si>
    <t>Grande oportunidade de conhecer os fundadores do SemRush e aprender mais com eles! Levando novos amigos e muito conhecimento para casa! #sem #semrush #ppc #seo</t>
  </si>
  <si>
    <t>#sem, #semrush, #ppc, #seo</t>
  </si>
  <si>
    <t>Tagged non-reel item (Static Photo) at grid position #535.</t>
  </si>
  <si>
    <t>Grid item #535. Discovered from Tagged page grid in sequential order.</t>
  </si>
  <si>
    <t>Discovered at visual grid position #456. Verified Ad Details URL. Format: Single Image Ad.</t>
  </si>
  <si>
    <t>SEMrush è un software di business intelligence e di ricerca che fornisce dati sulle attività di marketing online dei competitor e dei leader del settore!  Siamo felici di annunciare che @SEMrushcom è sponsor ufficiale dell'OkDay 2017.  Per saperne di più visita il sito web: https://it.semrush.com/ . . . #webmarketing #event #varese #bustoarsizio #lombardia #aziende #digitalmarketing #digitaltransf</t>
  </si>
  <si>
    <t>#webmarketing, #event, #varese, #bustoarsizio, #lombardia, #aziende, #digitalmarketing, #digitaltransformation, #digitaldetox, #neverstoplearning, #workshop, #socialmediamarketing, #smm, #igerslombardia, #igersvarese, #socialmedia, #ecommerce, #italiancompany, #business, #networking, #meeting, #conference, #networkingevents, #marketing, #italianeconomy</t>
  </si>
  <si>
    <t>Tagged non-reel item (Static Photo) at grid position #536.</t>
  </si>
  <si>
    <t>Grid item #536. Discovered from Tagged page grid in sequential order.</t>
  </si>
  <si>
    <t>https://adstransparency.google.com/advertiser/AR05016556376214732801/creative/CR01363372093202235393?region=anywhere</t>
  </si>
  <si>
    <t>Discovered at visual grid position #457. Verified Ad Details URL. Format: Single Image Ad.</t>
  </si>
  <si>
    <t>#WeGroupsInspiration 💡 Oggi vogliamo ringraziare coloro che supportano tutti i giorni il nostro lavoro, le nostre idee, la creatività e la difficoltà senza abbandonarci mai 💞 #Grazie . . . . . .  #WeGroups #Tool #WebMarketing #GraphicDesign #WebDesign #digitalagency  #webagency  #3D</t>
  </si>
  <si>
    <t>#WeGroupsInspiration, #Grazie, #WeGroups, #Tool, #WebMarketing, #GraphicDesign, #WebDesign, #digitalagency, #webagency, #3D</t>
  </si>
  <si>
    <t>Tagged non-reel item (Static Photo) at grid position #537.</t>
  </si>
  <si>
    <t>Grid item #537. Discovered from Tagged page grid in sequential order.</t>
  </si>
  <si>
    <t>https://adstransparency.google.com/advertiser/AR05016556376214732801/creative/CR00714493107046973441?region=anywhere</t>
  </si>
  <si>
    <t>What do you do when your mid-afternoon meeting canceled and you don't have another meeting on the same end of town for another hour and a half? Why you go to @starbucks and grab and diet passion tango lemonade iced tea and work on a client SEO audit. Thanks @thebagnet for giving me somewhere to hang my bag on the patio table rather than putting it on the ground! Ladies, if you've never heard of Ba</t>
  </si>
  <si>
    <t>#bagnet, #seoaudits, #starbucks, #icedtea, #fall, #fallweather, #fallweatherishere, #meetings, #entrepreneurlife, #businessowner, #bossgirl, #girlboss, #ladyboss, #bosslady, #semrush, #seoaudit, #seowork, #marketing, #marketingprofessional</t>
  </si>
  <si>
    <t>Tagged non-reel item (Static Photo) at grid position #538.</t>
  </si>
  <si>
    <t>Discovered at visual grid position #458. Verified Ad Details URL. Format: Single Image Ad.</t>
  </si>
  <si>
    <t>Grid item #538. Discovered from Tagged page grid in sequential order.</t>
  </si>
  <si>
    <t>I've been busy catching up Post #InsightLanc so I haven't had a lot of time to share photos from the conference. This pic is with @paulklebanov of @semrushcom. He was our first breakout presenter and did an awesome job.</t>
  </si>
  <si>
    <t>#InsightLanc</t>
  </si>
  <si>
    <t>Tagged non-reel item (Static Photo) at grid position #539.</t>
  </si>
  <si>
    <t>Grid item #539. Discovered from Tagged page grid in sequential order.</t>
  </si>
  <si>
    <t>Discovered at visual grid position #459. Verified Ad Details URL. Format: Single Image Ad.</t>
  </si>
  <si>
    <t>https://adstransparency.google.com/advertiser/AR05016556376214732801/creative/CR01899007978766336001?region=anywhere</t>
  </si>
  <si>
    <t>Fancy a seat? In great company with these brilliant #Brightonseo sponsors. #digitalmarketing #searchmarketing #howdeepisyourcrawl #seo #brighton</t>
  </si>
  <si>
    <t>#Brightonseo, #digitalmarketing, #searchmarketing, #howdeepisyourcrawl, #seo, #brighton</t>
  </si>
  <si>
    <t>Tagged non-reel item (Static Photo) at grid position #540.</t>
  </si>
  <si>
    <t>Grid item #540. Discovered from Tagged page grid in sequential order.</t>
  </si>
  <si>
    <t>Discovered at visual grid position #460. Verified Ad Details URL. Format: Single Image Ad.</t>
  </si>
  <si>
    <t>We would ❤️ to see you on stage at DOYO Live in 2018, call for speakers is open. Visit link in bio to submit today! #doyolive #🎤</t>
  </si>
  <si>
    <t>Tagged non-reel item (Static Photo) at grid position #541.</t>
  </si>
  <si>
    <t>Grid item #541. Discovered from Tagged page grid in sequential order.</t>
  </si>
  <si>
    <t>https://adstransparency.google.com/advertiser/AR05016556376214732801/creative/CR11603393744065265665?region=anywhere</t>
  </si>
  <si>
    <t>My top 3 #BrightonSEO tips ⠀  Watch the video here https://youtu.be/HFQCuAW_hlQ ⠀ ⠀  #seo #digitalmarketing #conference #digital #tips #socialmediamarketing #mktdigital #businesscoach #marketing101 #networking #marketingonline #marketingtips #consulting #socialmediatips #internetmarketing #marketingdigital #digitalinfluencer #love #challenge #influencer #invest #trader #onlinebusiness #businessopp</t>
  </si>
  <si>
    <t>#BrightonSEO, #seo, #digitalmarketing, #conference, #digital, #tips, #socialmediamarketing, #mktdigital, #businesscoach, #marketing101, #networking, #marketingonline, #marketingtips, #consulting, #socialmediatips, #internetmarketing, #marketingdigital, #digitalinfluencer, #love, #challenge, #influencer, #invest, #trader, #onlinebusiness, #businessopportunity, #positivevibes, #positiveenergy, #workhard, #successnow, #dailymotivation</t>
  </si>
  <si>
    <t>Tagged non-reel item (Static Photo) at grid position #542.</t>
  </si>
  <si>
    <t>Grid item #542. Discovered from Tagged page grid in sequential order.</t>
  </si>
  <si>
    <t>DSDET</t>
  </si>
  <si>
    <t>Discovered at visual grid position #461. Verified Ad Details URL. Format: Single Image Ad.</t>
  </si>
  <si>
    <t>Track everything. #DSDET</t>
  </si>
  <si>
    <t>#DSDET</t>
  </si>
  <si>
    <t>Tagged non-reel item (Static Photo) at grid position #543.</t>
  </si>
  <si>
    <t>Grid item #543. Discovered from Tagged page grid in sequential order.</t>
  </si>
  <si>
    <t>Thank you team @semrushcom for the awesome swag!! #semrushchat #digitalmarketing #socialmedia #seo #smm #technicalseo #swag</t>
  </si>
  <si>
    <t>#semrushchat, #digitalmarketing, #socialmedia, #seo, #smm, #technicalseo, #swag</t>
  </si>
  <si>
    <t>Tagged non-reel item (Static Photo) at grid position #544.</t>
  </si>
  <si>
    <t>Grid item #544. Discovered from Tagged page grid in sequential order.</t>
  </si>
  <si>
    <t>Display Banner: "Peec AI Dashboard - Real-time Visibility &amp; Sentiment Tracking across ChatGPT &amp; Perplexity"</t>
  </si>
  <si>
    <t>https://adstransparency.google.com/advertiser/AR05016556376214732801/creative/CR10042571773653811201?region=anywhere</t>
  </si>
  <si>
    <t>Ran from Nov 26, 2025 to Dec 28, 2025</t>
  </si>
  <si>
    <t>dsphilly</t>
  </si>
  <si>
    <t>Discovered at visual grid position #462. Verified Ad Details URL. Format: Single Image Ad.</t>
  </si>
  <si>
    <t>We are ‘chimpin with some Brotherly Love this week. Who’s with us DS Philadelphia #dsphilly</t>
  </si>
  <si>
    <t>#dsphilly</t>
  </si>
  <si>
    <t>Tagged non-reel item (Static Photo) at grid position #545.</t>
  </si>
  <si>
    <t>Grid item #545. Discovered from Tagged page grid in sequential order.</t>
  </si>
  <si>
    <t>imbatman, panda, imgroot</t>
  </si>
  <si>
    <t>#imbatman #panda #imgroot🌱 #semrush #lego</t>
  </si>
  <si>
    <t>Discovered at visual grid position #463. Verified Ad Details URL. Format: Single Image Ad.</t>
  </si>
  <si>
    <t>#imbatman, #panda, #imgroot, #semrush, #lego</t>
  </si>
  <si>
    <t>Tagged non-reel item (Static Photo) at grid position #546.</t>
  </si>
  <si>
    <t>Grid item #546. Discovered from Tagged page grid in sequential order.</t>
  </si>
  <si>
    <t>https://adstransparency.google.com/advertiser/AR05016556376214732801/creative/CR05867077823444811777?region=anywhere</t>
  </si>
  <si>
    <t>Did you make your mark at DOYO Live? 2018 call for speakers now open. Click link in bio. Sign up for our email list. Get your invite to submit to speak. And other totally awesome offers and VIP content. Tag a friend who would be interested in speaking! #doyolive</t>
  </si>
  <si>
    <t>Tagged non-reel item (Static Photo) at grid position #547.</t>
  </si>
  <si>
    <t>Grid item #547. Discovered from Tagged page grid in sequential order.</t>
  </si>
  <si>
    <t>Discovered at visual grid position #464. Verified Ad Details URL. Format: Single Image Ad.</t>
  </si>
  <si>
    <t>Take a break, it's Friday! (Thx @semrushcom for the nice tshirt, just got in mail) #takeoff #timeoff #tgif #relax</t>
  </si>
  <si>
    <t>#takeoff, #timeoff, #tgif, #relax</t>
  </si>
  <si>
    <t>Tagged non-reel item (Static Photo) at grid position #548.</t>
  </si>
  <si>
    <t>Grid item #548. Discovered from Tagged page grid in sequential order.</t>
  </si>
  <si>
    <t>https://adstransparency.google.com/advertiser/AR05016556376214732801/creative/CR01604472040868282369?region=anywhere</t>
  </si>
  <si>
    <t>Spreadsheets and emails and analytic reports OH MY! It's going to be a late night at the office, but luckily I found one last can of @drinkmati in the fridge to keep me going. Life as a business owner is about finding tricks to keep you going and exercise and caffeine are my go to.⠀ #drinkmati #matienergy #matienergydrinks #energydrinks #businessowner #longnight #smallbusinessowner #femalebusiness</t>
  </si>
  <si>
    <t>#drinkmati, #matienergy, #matienergydrinks, #energydrinks, #businessowner, #longnight, #smallbusinessowner, #femalebusinessowner, #analytics, #spreadsheets, #emails, #marketing</t>
  </si>
  <si>
    <t>Tagged non-reel item (Static Photo) at grid position #549.</t>
  </si>
  <si>
    <t>Discovered at visual grid position #465. Verified Ad Details URL. Format: Single Image Ad.</t>
  </si>
  <si>
    <t>Grid item #549. Discovered from Tagged page grid in sequential order.</t>
  </si>
  <si>
    <t>empiezaelfindesemana</t>
  </si>
  <si>
    <t>Yo me fío siempre de @semrush_es ...y si me dicen que me tome un descanso ¿quién soy yo para discutirlo? 😏#empiezaelfindesemana</t>
  </si>
  <si>
    <t>#empiezaelfindesemana</t>
  </si>
  <si>
    <t>Tagged non-reel item (Photo Carousel) at grid position #550.</t>
  </si>
  <si>
    <t>Grid item #550. Discovered from Tagged page grid in sequential order.</t>
  </si>
  <si>
    <t>Discovered at visual grid position #466. Verified Ad Details URL. Format: Single Image Ad.</t>
  </si>
  <si>
    <t>Agosto inizia con il buon umore, uno splendido regalo (e dei buoni propositi per sfruttarlo al meglio)! Grazie @semrush #happyholidays #agosto #webmarketinginmovimento</t>
  </si>
  <si>
    <t>#happyholidays, #agosto, #webmarketinginmovimento</t>
  </si>
  <si>
    <t>Tagged non-reel item (Static Photo) at grid position #551.</t>
  </si>
  <si>
    <t>Grid item #551. Discovered from Tagged page grid in sequential order.</t>
  </si>
  <si>
    <t>https://adstransparency.google.com/advertiser/AR05016556376214732801/creative/CR09652827886956052481?region=anywhere</t>
  </si>
  <si>
    <t>Just perfect - many many thanks @semrushcom</t>
  </si>
  <si>
    <t>Tagged non-reel item (Static Photo) at grid position #552.</t>
  </si>
  <si>
    <t>Grid item #552. Discovered from Tagged page grid in sequential order.</t>
  </si>
  <si>
    <t>Discovered at visual grid position #467. Verified Ad Details URL. Format: Single Image Ad.</t>
  </si>
  <si>
    <t>Tarde de #terraseo #madrid</t>
  </si>
  <si>
    <t>#terraseo, #madrid</t>
  </si>
  <si>
    <t>Tagged non-reel item (Static Photo) at grid position #553.</t>
  </si>
  <si>
    <t>Grid item #553. Discovered from Tagged page grid in sequential order.</t>
  </si>
  <si>
    <t>https://adstransparency.google.com/advertiser/AR05016556376214732801/creative/CR15642813715768672257?region=anywhere</t>
  </si>
  <si>
    <t>Grazie ai ragazzi di SemRush: siete il toooooop!  You Rock Guys Thanks a lot for the amazing gift!!!!! 😍😍😍😍😍😍😍😍 @semrushcom #semrush #onoffcomunica</t>
  </si>
  <si>
    <t>Discovered at visual grid position #468. Verified Ad Details URL. Format: Single Image Ad.</t>
  </si>
  <si>
    <t>#semrush, #onoffcomunica</t>
  </si>
  <si>
    <t>Tagged non-reel item (Photo Carousel) at grid position #554.</t>
  </si>
  <si>
    <t>Grid item #554. Discovered from Tagged page grid in sequential order.</t>
  </si>
  <si>
    <t>¡¡Vaya regalitos más chulos acabo de recibir del equipo de @semrush_es!! 🎁🌞 Ahora tendré con qué hidratarme en el #gym entre serie y serie... Vaya manera de cuidar a sus #bloggers ✌  #fotodeldia #marketingdigital #picoftheday #verano2017</t>
  </si>
  <si>
    <t>Discovered at visual grid position #469. Verified Ad Details URL. Format: Single Image Ad.</t>
  </si>
  <si>
    <t>#gym, #bloggers, #fotodeldia, #marketingdigital, #picoftheday, #verano2017</t>
  </si>
  <si>
    <t>Tagged non-reel item (Static Photo) at grid position #555.</t>
  </si>
  <si>
    <t>Grid item #555. Discovered from Tagged page grid in sequential order.</t>
  </si>
  <si>
    <t>https://adstransparency.google.com/advertiser/AR05016556376214732801/creative/CR01478605515998101505?region=anywhere</t>
  </si>
  <si>
    <t>SEMrush ancora una volta ha avuto il coraggio di ospitare un altro mio post. Tema: Domini. Buona lettura ;) https://it.semrush.com/blog/come-scegliere-dominio-web/ #seo</t>
  </si>
  <si>
    <t>#seo</t>
  </si>
  <si>
    <t>Tagged non-reel item (Static Photo) at grid position #556.</t>
  </si>
  <si>
    <t>Grid item #556. Discovered from Tagged page grid in sequential order.</t>
  </si>
  <si>
    <t>Discovered at visual grid position #470. Verified Ad Details URL. Format: Single Image Ad.</t>
  </si>
  <si>
    <t>About white label in #SEO :) it often feels like its a white embroidery one would add to its #blackhat .  Is #whitehatSEO just as decorative according to you ?</t>
  </si>
  <si>
    <t>#SEO, #blackhat, #whitehatSEO</t>
  </si>
  <si>
    <t>Tagged non-reel item (Static Photo) at grid position #557.</t>
  </si>
  <si>
    <t>Grid item #557. Discovered from Tagged page grid in sequential order.</t>
  </si>
  <si>
    <t>This is how one feels after a #negativeseo attack &amp; the #disavow battle :) #linkspam #seo #webmaster #rankings #blackhat</t>
  </si>
  <si>
    <t>#negativeseo, #disavow, #linkspam, #seo, #webmaster, #rankings, #blackhat</t>
  </si>
  <si>
    <t>Tagged non-reel item (Static Photo) at grid position #558.</t>
  </si>
  <si>
    <t>Grid item #558. Discovered from Tagged page grid in sequential order.</t>
  </si>
  <si>
    <t>https://adstransparency.google.com/advertiser/AR05016556376214732801/creative/CR13916836852528054273?region=anywhere</t>
  </si>
  <si>
    <t>Discovered at visual grid position #471. Verified Ad Details URL. Format: Single Image Ad.</t>
  </si>
  <si>
    <t>Après #wnsm16 Souvenirs de Russie Avec #wnsm17. J'ai passé 3 jours inoubliables à St. Petersburg avec des amis et découvert de nouvelles cultures et nouvelles personnes. #Entreprendre : profites à fond des moments importants de la vie 😎#russian #exploreeverything #stpetersburg #teambuilding #seminaire #russia #entrepreneurlifestyle #entrepeneurlife #travelgram</t>
  </si>
  <si>
    <t>#wnsm16, #wnsm17, #Entreprendre, #russian, #exploreeverything, #stpetersburg, #teambuilding, #seminaire, #russia, #entrepreneurlifestyle, #entrepeneurlife, #travelgram</t>
  </si>
  <si>
    <t>Tagged non-reel item (Static Photo) at grid position #559.</t>
  </si>
  <si>
    <t>Grid item #559. Discovered from Tagged page grid in sequential order.</t>
  </si>
  <si>
    <t>WNSM17</t>
  </si>
  <si>
    <t>Discovered at visual grid position #472. Verified Ad Details URL. Format: Single Image Ad.</t>
  </si>
  <si>
    <t>‪Great city, great country. Thanks you so much @semrushcom for #WNSM17 see you soon 😘‬</t>
  </si>
  <si>
    <t>#WNSM17</t>
  </si>
  <si>
    <t>Tagged non-reel item (Static Photo) at grid position #560.</t>
  </si>
  <si>
    <t>Grid item #560. Discovered from Tagged page grid in sequential order.</t>
  </si>
  <si>
    <t>whitenights, rusia, sanpetersburgo</t>
  </si>
  <si>
    <t>https://adstransparency.google.com/advertiser/AR05016556376214732801/creative/CR09451675601908793345?region=anywhere</t>
  </si>
  <si>
    <t>12 de la noche en SPb, parece que no anochece !!! 😱 #whitenights #rusia #sanpetersburgo #wnsm17</t>
  </si>
  <si>
    <t>#whitenights, #rusia, #sanpetersburgo, #wnsm17</t>
  </si>
  <si>
    <t>Tagged non-reel item (Static Photo) at grid position #561.</t>
  </si>
  <si>
    <t>Grid item #561. Discovered from Tagged page grid in sequential order.</t>
  </si>
  <si>
    <t>Discovered at visual grid position #473. Verified Ad Details URL. Format: Single Image Ad.</t>
  </si>
  <si>
    <t>wnsm17</t>
  </si>
  <si>
    <t>Just a #wnsm17 boat trip view</t>
  </si>
  <si>
    <t>#wnsm17</t>
  </si>
  <si>
    <t>Tagged non-reel item (Static Photo) at grid position #562.</t>
  </si>
  <si>
    <t>Grid item #562. Discovered from Tagged page grid in sequential order.</t>
  </si>
  <si>
    <t>Facciamo un po' di chiarezza.  #seo #SEMrush</t>
  </si>
  <si>
    <t>#seo, #SEMrush</t>
  </si>
  <si>
    <t>Tagged non-reel item (Static Photo) at grid position #563.</t>
  </si>
  <si>
    <t>Discovered at visual grid position #474. Verified Ad Details URL. Format: Single Image Ad.</t>
  </si>
  <si>
    <t>Grid item #563. Discovered from Tagged page grid in sequential order.</t>
  </si>
  <si>
    <t>https://adstransparency.google.com/advertiser/AR05016556376214732801/creative/CR07077189368808472577?region=anywhere</t>
  </si>
  <si>
    <t>Here I am! Welcome kit com vodka e paracetamol. Clever Russians. #wnsm17</t>
  </si>
  <si>
    <t>Tagged non-reel item (Static Photo) at grid position #564.</t>
  </si>
  <si>
    <t>Grid item #564. Discovered from Tagged page grid in sequential order.</t>
  </si>
  <si>
    <t>Discovered at visual grid position #475. Verified Ad Details URL. Format: Single Image Ad.</t>
  </si>
  <si>
    <t>Oh so cute Twitter QR code that I don't have to create myself! (Yes I create QR Codes for digital marketing strategy). Someone please scan it and see if it works. I used the share via feature from @semrushcom #semrush is my all time favorite #seotool, competitor research and is only getting better! #Twitter. #QRcode #digitalmarketing #digitalmarketingstrategy  #socialmediamarketing #marketing #seo</t>
  </si>
  <si>
    <t>#semrush, #seotool, #Twitter, #QRcode, #digitalmarketing, #digitalmarketingstrategy, #socialmediamarketing, #marketing, #seo, #sem, #smo, #googleanalytics, #googleadwords, #ppc, #paidsearch, #inboundmarketing, #socialmediastrategy, #graphicdesign, #campaign</t>
  </si>
  <si>
    <t>Tagged non-reel item (Static Photo) at grid position #565.</t>
  </si>
  <si>
    <t>Grid item #565. Discovered from Tagged page grid in sequential order.</t>
  </si>
  <si>
    <t>https://adstransparency.google.com/advertiser/AR05016556376214732801/creative/CR18174418390951657473?region=anywhere</t>
  </si>
  <si>
    <t>Did you know our Practical Content Strategist Certification Course features some amazing guest speakers? Sujan Patel, Michele Linn, Dan Levy, Steve Rayson, and Ryan West have all shared their expertise with us. You won't want to miss out on this course, so make sure you enroll today and save 20%! Details are available through the link in our profile! 📲</t>
  </si>
  <si>
    <t>Tagged non-reel item (Static Photo) at grid position #566.</t>
  </si>
  <si>
    <t>Grid item #566. Discovered from Tagged page grid in sequential order.</t>
  </si>
  <si>
    <t>Discovered at visual grid position #476. Verified Ad Details URL. Format: Single Image Ad.</t>
  </si>
  <si>
    <t>Doing some keyword research.</t>
  </si>
  <si>
    <t>Tagged non-reel item (Static Photo) at grid position #567.</t>
  </si>
  <si>
    <t>Grid item #567. Discovered from Tagged page grid in sequential order.</t>
  </si>
  <si>
    <t>The first #wnsm17 guest from Brazil is here :)</t>
  </si>
  <si>
    <t>Discovered at visual grid position #477. Verified Ad Details URL. Format: Single Image Ad.</t>
  </si>
  <si>
    <t>Tagged non-reel item (Static Photo) at grid position #568.</t>
  </si>
  <si>
    <t>Grid item #568. Discovered from Tagged page grid in sequential order.</t>
  </si>
  <si>
    <t>https://adstransparency.google.com/advertiser/AR05016556376214732801/creative/CR05624922619494006785?region=anywhere</t>
  </si>
  <si>
    <t>Il nostro Sergio è estasiato dalla pausa relax firmata @semrushcom. 😜 #wmf17 @webmarketingfestival #snack #foodporn #rimini #team #coworkers #webmarketing #lavoro #fun #work #job #italy #italia #photooftheday #picoftheday #instamood #igersrimini #marketing #seo #portrait #smile #italian #design #coding #business #web #people #birra #beer</t>
  </si>
  <si>
    <t>#wmf17, #snack, #foodporn, #rimini, #team, #coworkers, #webmarketing, #lavoro, #fun, #work, #job, #italy, #italia, #photooftheday, #picoftheday, #instamood, #igersrimini, #marketing, #seo, #portrait, #smile, #italian, #design, #coding, #business, #web, #people, #birra, #beer</t>
  </si>
  <si>
    <t>Tagged non-reel item (Static Photo) at grid position #569.</t>
  </si>
  <si>
    <t>Grid item #569. Discovered from Tagged page grid in sequential order.</t>
  </si>
  <si>
    <t>Discovered at visual grid position #478. Verified Ad Details URL. Format: Single Image Ad.</t>
  </si>
  <si>
    <t>Cheers #WMF17! 🍻@semrushcom @webmarketingfestival #rimini #team #coworkers #webmarketing #lavoro #fun #work #job #italy #italia #photooftheday #picoftheday #instamood #igersrimini #marketing #seo #portrait #smile #italian #design #coding #business #web #people #birra #beer</t>
  </si>
  <si>
    <t>#WMF17, #rimini, #team, #coworkers, #webmarketing, #lavoro, #fun, #work, #job, #italy, #italia, #photooftheday, #picoftheday, #instamood, #igersrimini, #marketing, #seo, #portrait, #smile, #italian, #design, #coding, #business, #web, #people, #birra, #beer</t>
  </si>
  <si>
    <t>Tagged non-reel item (Static Photo) at grid position #570.</t>
  </si>
  <si>
    <t>Grid item #570. Discovered from Tagged page grid in sequential order.</t>
  </si>
  <si>
    <t>digitalintelligence, supplier, semrush</t>
  </si>
  <si>
    <t>https://adstransparency.google.com/advertiser/AR05016556376214732801/creative/CR00906715914567680001?region=anywhere</t>
  </si>
  <si>
    <t>@semrushcom ti vuole bene #digitalintelligence #supplier #semrush #beluga</t>
  </si>
  <si>
    <t>#digitalintelligence, #supplier, #semrush, #beluga</t>
  </si>
  <si>
    <t>Tagged non-reel item (Static Photo) at grid position #571.</t>
  </si>
  <si>
    <t>Grid item #571. Discovered from Tagged page grid in sequential order.</t>
  </si>
  <si>
    <t>Discovered at visual grid position #479. Verified Ad Details URL. Format: Single Image Ad.</t>
  </si>
  <si>
    <t>Memories of a refreshing swim in #seonthebeach #tbt #tbt❤️ 😎 Countdown to be on the beach! ¡Danos un corazoncito ❤️ si ahora mismo te encantaría poder chasquear los dedos y aparecer en esa piscina ahora mismo! 😅Refrescantes recuerdos que volverán a repetirse la semana que viene en #SOB17 y que esperamos que quieras compartir con nosotros 😎 Save the date! 23 y 24 de junio en #LaManga #Murcia Te esp</t>
  </si>
  <si>
    <t>#seonthebeach, #tbt, #tbt, #SOB17, #LaManga, #Murcia, #online, #digital, #marketing, #socialmediamarketing, #socialmedia, #SEO, #web, #ASO, #CRO, #copywriting, #app, #UX, #learning, #gaming, #youtube, #voicesearch, #analytics, #SEM, #beach, #beachlife, #mediterranean, #funny, #summer, #onthebeachers</t>
  </si>
  <si>
    <t>Tagged non-reel item (Static Photo) at grid position #572.</t>
  </si>
  <si>
    <t>Grid item #572. Discovered from Tagged page grid in sequential order.</t>
  </si>
  <si>
    <t>Discovered at visual grid position #480. Verified Ad Details URL. Format: Single Image Ad.</t>
  </si>
  <si>
    <t>It's a pleasure to be a sponsor of #searchleeds today. Don't forget to send us the photos with your #calibrelollipop . . . . . . . #searchleeds #seo  #recruitment #digitalmarketing  #digital #tech #digitalcommunity</t>
  </si>
  <si>
    <t>#searchleeds, #calibrelollipop, #searchleeds, #seo, #recruitment, #digitalmarketing, #digital, #tech, #digitalcommunity</t>
  </si>
  <si>
    <t>Tagged non-reel item (Static Photo) at grid position #573.</t>
  </si>
  <si>
    <t>https://adstransparency.google.com/advertiser/AR05016556376214732801/creative/CR00520717514229940225?region=anywhere</t>
  </si>
  <si>
    <t>Grid item #573. Discovered from Tagged page grid in sequential order.</t>
  </si>
  <si>
    <t>What's more exciting than trade show swag!? . . . #IRCE  #IRCE2017 #SemRush #fidgetspinner #LightUpSpinner #CustomSocks #CustomTShirt #CustomCandle #PopSocket #Anxiety #Fidget #CustomCandy #HomemadeCandy#l #TradeShow #Giveaway #Chicago #McCormick #McCormickPlace# #InternetRetailer #PromoProducts #Marketing #Advertising #PromoteLikeAPro #PromotionalProducts #Promotions</t>
  </si>
  <si>
    <t>#IRCE, #IRCE2017, #SemRush, #fidgetspinner, #LightUpSpinner, #CustomSocks, #CustomTShirt, #CustomCandle, #PopSocket, #Anxiety, #Fidget, #CustomCandy, #HomemadeCandy, #l, #TradeShow, #Giveaway, #Chicago, #McCormick, #McCormickPlace, #InternetRetailer, #PromoProducts, #Marketing, #Advertising, #PromoteLikeAPro, #PromotionalProducts, #Promotions</t>
  </si>
  <si>
    <t>Tagged non-reel item (Static Photo) at grid position #574.</t>
  </si>
  <si>
    <t>Grid item #574. Discovered from Tagged page grid in sequential order.</t>
  </si>
  <si>
    <t>Discovered at visual grid position #481. Verified Ad Details URL. Format: Single Image Ad.</t>
  </si>
  <si>
    <t>Website security is a must and one of the things you should do first is move to https.' For such a small monetary investment, your website will reap so much reward by switching today.  #seo #sem #websecurity #rankingfactors #hireme</t>
  </si>
  <si>
    <t>#seo, #sem, #websecurity, #rankingfactors, #hireme</t>
  </si>
  <si>
    <t>Tagged non-reel item (Static Photo) at grid position #575.</t>
  </si>
  <si>
    <t>Grid item #575. Discovered from Tagged page grid in sequential order.</t>
  </si>
  <si>
    <t>https://adstransparency.google.com/advertiser/AR05016556376214732801/creative/CR07907421622460481537?region=anywhere</t>
  </si>
  <si>
    <t>Discovered at visual grid position #482. Verified Ad Details URL. Format: Single Image Ad.</t>
  </si>
  <si>
    <t>@theinbounder after-party at @framesnyc - thank you to @semrushcom for the fantastic food and fun #theinbounder #nyc #framesnyc #digitalmarketing #newyorkcity</t>
  </si>
  <si>
    <t>#theinbounder, #nyc, #framesnyc, #digitalmarketing, #newyorkcity</t>
  </si>
  <si>
    <t>Tagged non-reel item (Static Photo) at grid position #576.</t>
  </si>
  <si>
    <t>Grid item #576. Discovered from Tagged page grid in sequential order.</t>
  </si>
  <si>
    <t>And that's a wrap on day one of the Atlanta @digitalsummits! It was an awesome experience and I hope to make this an annual event for me. Looking forward to cramming my brain even more full of knowledge tomorrow! #digitalsummit #DSATL #digitalmarketing</t>
  </si>
  <si>
    <t>#digitalsummit, #DSATL, #digitalmarketing</t>
  </si>
  <si>
    <t>Tagged non-reel item (Static Photo) at grid position #577.</t>
  </si>
  <si>
    <t>Grid item #577. Discovered from Tagged page grid in sequential order.</t>
  </si>
  <si>
    <t>Ran from Nov 28, 2025 to Dec 30, 2025</t>
  </si>
  <si>
    <t>Discovered at visual grid position #483. Verified Ad Details URL. Format: Single Image Ad.</t>
  </si>
  <si>
    <t>https://adstransparency.google.com/advertiser/AR05016556376214732801/creative/CR11673893811162972161?region=anywhere</t>
  </si>
  <si>
    <t>Che giornata! Grazie a tutti ragazzi e grazie a chi ha partecipato al webinar! 🤓📌⚡️ #SEMRushRoundTable  Per rivedere l'evento potete cliccare nel link che trovate sul mio profilo Facebook e nella pagina di SEMRush #onoffcomunica #SEMrushLive #semrush #ecommerce</t>
  </si>
  <si>
    <t>#SEMRushRoundTable, #onoffcomunica, #SEMrushLive, #semrush, #ecommerce</t>
  </si>
  <si>
    <t>Tagged non-reel item (Static Photo) at grid position #578.</t>
  </si>
  <si>
    <t>Grid item #578. Discovered from Tagged page grid in sequential order.</t>
  </si>
  <si>
    <t>Discovered at visual grid position #484. Verified Ad Details URL. Format: Single Image Ad.</t>
  </si>
  <si>
    <t>Domani alle 12.00 in diretta con SEMrush per la nuova edizione di SEMrush Round Table in cui parleremo di #SocialMedia e #Ecommerce.  Come integrare i social media nel proprio Business Online?  Scoprilo seguendo l'evento live registrandoti al link che trovate sulla Pagina di @semrushcom 📌⚡️💪🏼🔝 http://bit.ly/RoundTableSMM  #StayTuned🔷🔶💡</t>
  </si>
  <si>
    <t>#SocialMedia, #Ecommerce, #StayTuned</t>
  </si>
  <si>
    <t>Tagged non-reel item (Static Photo) at grid position #579.</t>
  </si>
  <si>
    <t>Grid item #579. Discovered from Tagged page grid in sequential order.</t>
  </si>
  <si>
    <t>https://adstransparency.google.com/advertiser/AR05016556376214732801/creative/CR04838218820004872193?region=anywhere</t>
  </si>
  <si>
    <t>Ed eccoci allo Stand #SEMrush (F30) io e @salvatorericevuto durante il #NetcommForum! Tutto pronto per domani in diretta da Milano con la Round Table sui 'Social Media per #Ecommerce'. Dalle 12:00 in diretta streaming da Milano in compagnia di Andrea D'Ottavio Sonia Milan Nunzia Falco Simeone e Leonardo Prati! Per registrarsi e seguire l'evento in diretta basta cliccare sul link nella Pagina Faceb</t>
  </si>
  <si>
    <t>#SEMrush, #NetcommForum, #Ecommerce, #SEMrushLive, #semrush, #ecommerce, #socialmediamarketing, #livestreaming, #savethedate, #soproud, #onoffcomunica, #cantwait, #keeppushing, #vietatomancare</t>
  </si>
  <si>
    <t>Tagged non-reel item (Static Photo) at grid position #580.</t>
  </si>
  <si>
    <t>Grid item #580. Discovered from Tagged page grid in sequential order.</t>
  </si>
  <si>
    <t>Discovered at visual grid position #485. Verified Ad Details URL. Format: Single Image Ad.</t>
  </si>
  <si>
    <t>Mirad! Increíbles regalos para SORTEO durante VideoSUMMITIII organizado por @clubdevideografos VEA las bases del sorteo. #videografo #videografos #videografodebodas #videografosdeboda #clubdevideografos #videosummit #VideoSUMMITIII #congreso #sorteo</t>
  </si>
  <si>
    <t>#videografo, #videografos, #videografodebodas, #videografosdeboda, #clubdevideografos, #videosummit, #VideoSUMMITIII, #congreso, #sorteo</t>
  </si>
  <si>
    <t>Tagged non-reel item (Static Photo) at grid position #581.</t>
  </si>
  <si>
    <t>Grid item #581. Discovered from Tagged page grid in sequential order.</t>
  </si>
  <si>
    <t>theinbounder, machinelearning</t>
  </si>
  <si>
    <t>Discovered at visual grid position #486. Verified Ad Details URL. Format: Single Image Ad.</t>
  </si>
  <si>
    <t>Love this tip from @olgandrievo at #theinbounder Important to remember with all the hype around #machinelearning</t>
  </si>
  <si>
    <t>#theinbounder, #machinelearning</t>
  </si>
  <si>
    <t>Tagged non-reel item (Static Photo) at grid position #582.</t>
  </si>
  <si>
    <t>Grid item #582. Discovered from Tagged page grid in sequential order.</t>
  </si>
  <si>
    <t>https://adstransparency.google.com/advertiser/AR05016556376214732801/creative/CR09213222865925570561?region=anywhere</t>
  </si>
  <si>
    <t>Oggi succedono cose belle in studio. Ho pasticciato un po' con Google Analytics e Facebook ADS. Ne è venuto fuori un articolo per gli amici di @semrushcom su un filo {rosso} come nelle leggende giapponesi tra utenti, bisogni e geolocalizzazione 😍 Il link lo trovi in bio! . . . . . #ladyboss #semrush #marketing#marketingtips #entrepreneur #seo #socialmedia #socialmediamarketing #socialmediamanager</t>
  </si>
  <si>
    <t>#ladyboss, #semrush, #marketing, #marketingtips, #entrepreneur, #seo, #socialmedia, #socialmediamarketing, #socialmediamanager, #communitymanager, #marketingtips, #facebookads, #digitalmarketing, #webmarketing, #inboundmarketing, #contentmarketing</t>
  </si>
  <si>
    <t>Tagged non-reel item (Static Photo) at grid position #583.</t>
  </si>
  <si>
    <t>Grid item #583. Discovered from Tagged page grid in sequential order.</t>
  </si>
  <si>
    <t>Discovered at visual grid position #487. Verified Ad Details URL. Format: Single Image Ad.</t>
  </si>
  <si>
    <t>SemRush, SEMrushroom, OMExpo2017</t>
  </si>
  <si>
    <t>Gente guapa de #SemRush con  @y.kotru en #SEMrushroom #OMExpo2017</t>
  </si>
  <si>
    <t>#SemRush, #SEMrushroom, #OMExpo2017</t>
  </si>
  <si>
    <t>Tagged non-reel item (Static Photo) at grid position #584.</t>
  </si>
  <si>
    <t>Grid item #584. Discovered from Tagged page grid in sequential order.</t>
  </si>
  <si>
    <t>SEMrushRoom, omexpo2017</t>
  </si>
  <si>
    <t>Ya de camino a #SEMrushRoom en #omexpo2017 con muchas ganas y un compi de lujo @lu1sma</t>
  </si>
  <si>
    <t>Discovered at visual grid position #488. Verified Ad Details URL. Format: Single Image Ad.</t>
  </si>
  <si>
    <t>https://adstransparency.google.com/advertiser/AR05016556376214732801/creative/CR01711398790755254273?region=anywhere</t>
  </si>
  <si>
    <t>#SEMrushRoom, #omexpo2017</t>
  </si>
  <si>
    <t>Tagged non-reel item (Static Photo) at grid position #585.</t>
  </si>
  <si>
    <t>Grid item #585. Discovered from Tagged page grid in sequential order.</t>
  </si>
  <si>
    <t>How to Get #traffic to your #websites or #blog  http://bit.ly/2pLyyrX  #seo #search #searchengine #searchenginemarketing #searchengine #socialmediamarketing #socialmedia #socialmediatip #socialmediaqueen #businesses #businesscasual #titter #searchengines #searchinsia #searchengineranking #google #googlesearch #bing #ads #adsense #googleadsense #serp #paidadvert #paidadvertisement #paidads #paidadv</t>
  </si>
  <si>
    <t>#traffic, #websites, #blog, #seo, #search, #searchengine, #searchenginemarketing, #searchengine, #socialmediamarketing, #socialmedia, #socialmediatip, #socialmediaqueen, #businesses, #businesscasual, #titter, #searchengines, #searchinsia, #searchengineranking, #google, #googlesearch, #bing, #ads, #adsense, #googleadsense, #serp, #paidadvert, #paidadvertisement, #paidads, #paidadvertising</t>
  </si>
  <si>
    <t>Tagged non-reel item (Static Photo) at grid position #586.</t>
  </si>
  <si>
    <t>Grid item #586. Discovered from Tagged page grid in sequential order.</t>
  </si>
  <si>
    <t>Discovered at visual grid position #489. Verified Ad Details URL. Format: Single Image Ad.</t>
  </si>
  <si>
    <t>Google's Rank Brain is a machine-learning artificial intelligence system… To learn more visit our bio link! . . #rankbrain #google #googlepartners #Agency #Instagood #love #photooftheday #instamood #SEO #PPC #Websites #digital #blog #amp</t>
  </si>
  <si>
    <t>#rankbrain, #google, #googlepartners, #Agency, #Instagood, #love, #photooftheday, #instamood, #SEO, #PPC, #Websites, #digital, #blog, #amp</t>
  </si>
  <si>
    <t>Tagged non-reel item (Static Photo) at grid position #587.</t>
  </si>
  <si>
    <t>Grid item #587. Discovered from Tagged page grid in sequential order.</t>
  </si>
  <si>
    <t>https://adstransparency.google.com/advertiser/AR05016556376214732801/creative/CR16588146368489455617?region=anywhere</t>
  </si>
  <si>
    <t>Discovered at visual grid position #490. Verified Ad Details URL. Format: Single Image Ad.</t>
  </si>
  <si>
    <t>Unfortunately, Amy couldn't attend @brightonseo, but we made sure to bring back plenty of goodies for her!🛍 . . . #BrightonSEO #Conference #DigitalMarketing #Marketing #Media #Ecommerce #Hull2017 #CityOfCulture2017</t>
  </si>
  <si>
    <t>#BrightonSEO, #Conference, #DigitalMarketing, #Marketing, #Media, #Ecommerce, #Hull2017, #CityOfCulture2017</t>
  </si>
  <si>
    <t>Tagged non-reel item (Static Photo) at grid position #588.</t>
  </si>
  <si>
    <t>Grid item #588. Discovered from Tagged page grid in sequential order.</t>
  </si>
  <si>
    <t>The #semrush party at #BrightonSEO with some awesome industry folks</t>
  </si>
  <si>
    <t>#semrush, #BrightonSEO</t>
  </si>
  <si>
    <t>Tagged non-reel item (Photo Carousel) at grid position #589.</t>
  </si>
  <si>
    <t>Grid item #589. Discovered from Tagged page grid in sequential order.</t>
  </si>
  <si>
    <t>Discovered at visual grid position #491. Verified Ad Details URL. Format: Single Image Ad.</t>
  </si>
  <si>
    <t>https://adstransparency.google.com/advertiser/AR05016556376214732801/creative/CR01148763409328635905?region=anywhere</t>
  </si>
  <si>
    <t>Уставшие и счастливые 🎉🎉🎉</t>
  </si>
  <si>
    <t>Tagged non-reel item (Static Photo) at grid position #590.</t>
  </si>
  <si>
    <t>Grid item #590. Discovered from Tagged page grid in sequential order.</t>
  </si>
  <si>
    <t>Лисята разлетаются только так 🏃🏼‍♀️🏃🏼‍♀️🏃🏼‍♀️ #brighton #BrightonSEO #semrush</t>
  </si>
  <si>
    <t>#brighton, #BrightonSEO, #semrush</t>
  </si>
  <si>
    <t>Discovered at visual grid position #492. Verified Ad Details URL. Format: Single Image Ad.</t>
  </si>
  <si>
    <t>Tagged non-reel item (Static Photo) at grid position #591.</t>
  </si>
  <si>
    <t>Grid item #591. Discovered from Tagged page grid in sequential order.</t>
  </si>
  <si>
    <t>https://adstransparency.google.com/advertiser/AR05016556376214732801/creative/CR15692211517619437569?region=anywhere</t>
  </si>
  <si>
    <t>Follow @swapnilsurve30 to get more posts on SEO Tips.... Hashtag Used:  #digitalmarketingtips  #digitalmarketingexpert  #digitalmarketingstrategists  #digitalmarketing #seo #seotips #searchengineoptimisation #swapnilsurve #sem #adwords #google #yahoo #bing #digitalmarketer</t>
  </si>
  <si>
    <t>#digitalmarketingtips, #digitalmarketingexpert, #digitalmarketingstrategists, #digitalmarketing, #seo, #seotips, #searchengineoptimisation, #swapnilsurve, #sem, #adwords, #google, #yahoo, #bing, #digitalmarketer</t>
  </si>
  <si>
    <t>Tagged non-reel item (Static Photo) at grid position #592.</t>
  </si>
  <si>
    <t>Grid item #592. Discovered from Tagged page grid in sequential order.</t>
  </si>
  <si>
    <t>Discovered at visual grid position #493. Verified Ad Details URL. Format: Single Image Ad.</t>
  </si>
  <si>
    <t>Follow @swapnilsurve30 to get more posts on SEO Tips.... Hashtag Used: #digitalmarketingtips  #digitalmarketingexpert  #digitalmarketingstrategists  #digitalmarketing #seo #seotips #searchengineoptimisation #swapnilsurve #sem #adwords #google #yahoo #bing #digitalmarketer #thursdayz #thursdaythoughts #thursdaymorning #thursdaytip</t>
  </si>
  <si>
    <t>#digitalmarketingtips, #digitalmarketingexpert, #digitalmarketingstrategists, #digitalmarketing, #seo, #seotips, #searchengineoptimisation, #swapnilsurve, #sem, #adwords, #google, #yahoo, #bing, #digitalmarketer, #thursdayz, #thursdaythoughts, #thursdaymorning, #thursdaytip</t>
  </si>
  <si>
    <t>Tagged non-reel item (Static Photo) at grid position #593.</t>
  </si>
  <si>
    <t>Grid item #593. Discovered from Tagged page grid in sequential order.</t>
  </si>
  <si>
    <t>Follow @swapnilsurve30 to get more posts on SEO Tips.... Hashtag Used: #digitalmarketingtips  #digitalmarketingexpert  #digitalmarketingstrategists  #digitalmarketing #seo #seotips #searchengineoptimisation #swapnilsurve #sem #adwords #google #yahoo #bing #digitalmarketer #digitalmarketing #wednesdaywisdom #wednesdayvibes #ppc</t>
  </si>
  <si>
    <t>#digitalmarketingtips, #digitalmarketingexpert, #digitalmarketingstrategists, #digitalmarketing, #seo, #seotips, #searchengineoptimisation, #swapnilsurve, #sem, #adwords, #google, #yahoo, #bing, #digitalmarketer, #digitalmarketing, #wednesdaywisdom, #wednesdayvibes, #ppc</t>
  </si>
  <si>
    <t>Tagged non-reel item (Static Photo) at grid position #594.</t>
  </si>
  <si>
    <t>Discovered at visual grid position #494. Verified Ad Details URL. Format: Single Image Ad.</t>
  </si>
  <si>
    <t>Grid item #594. Discovered from Tagged page grid in sequential order.</t>
  </si>
  <si>
    <t>https://adstransparency.google.com/advertiser/AR05016556376214732801/creative/CR06678522395495497729?region=anywhere</t>
  </si>
  <si>
    <t>semrush, semrushlive, adwords</t>
  </si>
  <si>
    <t>Oggi alla SEMrush WebStudy Marathon ero in ottima compagnia!!! Bravi tutti, grazie di cuore ❤ #semrush #semrushlive #adwords #webstudymarathon #volpe #picoftheday</t>
  </si>
  <si>
    <t>#semrush, #semrushlive, #adwords, #webstudymarathon, #volpe, #picoftheday</t>
  </si>
  <si>
    <t>Tagged non-reel item (Static Photo) at grid position #595.</t>
  </si>
  <si>
    <t>Grid item #595. Discovered from Tagged page grid in sequential order.</t>
  </si>
  <si>
    <t>tcs2017, incomestore</t>
  </si>
  <si>
    <t>Discovered at visual grid position #495. Verified Ad Details URL. Format: Single Image Ad.</t>
  </si>
  <si>
    <t>Having a blast and learning so much at #tcs2017 with @emilylynnconklin, a fox from @semrushcom, and others on the #incomestore team.</t>
  </si>
  <si>
    <t>#tcs2017, #incomestore</t>
  </si>
  <si>
    <t>Tagged non-reel item (Static Photo) at grid position #596.</t>
  </si>
  <si>
    <t>Grid item #596. Discovered from Tagged page grid in sequential order.</t>
  </si>
  <si>
    <t>https://adstransparency.google.com/advertiser/AR05016556376214732801/creative/CR02155252118557032449?region=anywhere</t>
  </si>
  <si>
    <t>Join me today at 11AM EST/4PM GMT on #Twitter ✌️️tune in to my #TwitterChat w/ @semrushcom ☝️️ I'll discuss recent #Google updates &amp; #SEO strategies that stick in 2017! Follow #SEMRushChat on Twitter for updates, find me @searchdecoder</t>
  </si>
  <si>
    <t>#Twitter, #TwitterChat, #Google, #SEO, #SEMRushChat</t>
  </si>
  <si>
    <t>Tagged non-reel item (Static Photo) at grid position #597.</t>
  </si>
  <si>
    <t>Grid item #597. Discovered from Tagged page grid in sequential order.</t>
  </si>
  <si>
    <t>Discovered at visual grid position #496. Verified Ad Details URL. Format: Single Image Ad.</t>
  </si>
  <si>
    <t>#seoandlove #semrush snippet opportunities</t>
  </si>
  <si>
    <t>#seoandlove, #semrush</t>
  </si>
  <si>
    <t>Tagged non-reel item (Static Photo) at grid position #598.</t>
  </si>
  <si>
    <t>Grid item #598. Discovered from Tagged page grid in sequential order.</t>
  </si>
  <si>
    <t>E vissero tutti seo e content 😍</t>
  </si>
  <si>
    <t>Discovered at visual grid position #497. Verified Ad Details URL. Format: Single Image Ad.</t>
  </si>
  <si>
    <t>Tagged non-reel item (Static Photo) at grid position #599.</t>
  </si>
  <si>
    <t>Grid item #599. Discovered from Tagged page grid in sequential order.</t>
  </si>
  <si>
    <t>Display Banner: "Track AI Brand Visibility - See exactly where your brand appears in AI search results"</t>
  </si>
  <si>
    <t>https://adstransparency.google.com/advertiser/AR05016556376214732801/creative/CR01802740306915885057?region=anywhere</t>
  </si>
  <si>
    <t>rugby, 6nazioni</t>
  </si>
  <si>
    <t>Inizia la nostra avventura verso la nazionale all'Olimpico 🏉. Un grazie speciale a SemRush :) #rugby #6nazioni</t>
  </si>
  <si>
    <t>#rugby, #6nazioni</t>
  </si>
  <si>
    <t>Tagged non-reel item (Static Photo) at grid position #600.</t>
  </si>
  <si>
    <t>Grid item #600. Discovered from Tagged page grid in sequential order.</t>
  </si>
  <si>
    <t>Discovered at visual grid position #498. Verified Ad Details URL. Format: Single Image Ad.</t>
  </si>
  <si>
    <t>The Ultimate #SEO tools Showdown - @semrushcom vs @ahrefscom vs @moz_hq vs spyfu. Click link in bio!🖕🏻 #99signals #seo #seotools #moz #semrush #ahrefs #spyfu #marketing #contentmarketing #blogging #bloggingtips #contentwriting #searchengineoptimization #linkbuildingtips #linkbuildingseo #inboundmarketing #smallbiz #startups #entrepreneur #blogger #bloggerlife #startuplife #keywordresearch</t>
  </si>
  <si>
    <t>#SEO, #99signals, #seo, #seotools, #moz, #semrush, #ahrefs, #spyfu, #marketing, #contentmarketing, #blogging, #bloggingtips, #contentwriting, #searchengineoptimization, #linkbuildingtips, #linkbuildingseo, #inboundmarketing, #smallbiz, #startups, #entrepreneur, #blogger, #bloggerlife, #startuplife, #keywordresearch</t>
  </si>
  <si>
    <t>Tagged non-reel item (Static Photo) at grid position #601.</t>
  </si>
  <si>
    <t>Grid item #601. Discovered from Tagged page grid in sequential order.</t>
  </si>
  <si>
    <t>https://adstransparency.google.com/advertiser/AR05016556376214732801/creative/CR03492617085270360065?region=anywhere</t>
  </si>
  <si>
    <t>La compañía internacional SEMrush especializada en marketing participará en #Omexpo ¡No te lo pierdas! #bienvenidos #sponsor #SEO #PPC #digitalbusiness #marketingdigital #ecommerce #digitalmarketing</t>
  </si>
  <si>
    <t>#Omexpo, #bienvenidos, #sponsor, #SEO, #PPC, #digitalbusiness, #marketingdigital, #ecommerce, #digitalmarketing</t>
  </si>
  <si>
    <t>Tagged non-reel item (Static Photo) at grid position #602.</t>
  </si>
  <si>
    <t>Grid item #602. Discovered from Tagged page grid in sequential order.</t>
  </si>
  <si>
    <t>Discovered at visual grid position #499. Verified Ad Details URL. Format: Single Image Ad.</t>
  </si>
  <si>
    <t>epicprojectday, epicskills, molinos</t>
  </si>
  <si>
    <t>Сегодня в первый раз проводим собственную полноценную конференцию для проектных менеджеров от Epic Skills. Подъем в 5-30 утра, с 7 утра подготовка площадки, в 10 утра на первой лекции почти полный зал. А сейчас вовсе некуда сажать людей. Горжусь работой команды @epic_skills 💛 И спикерами, которые нашли время. За историей того, как всё проходит, следите по хештегу #epicprojectday #epicskills #molin</t>
  </si>
  <si>
    <t>#epicprojectday, #epicskills, #molinos, #yandex, #besmart, #улей, #nimax, #semrush, #ингрия</t>
  </si>
  <si>
    <t>Tagged non-reel item (Static Photo) at grid position #603.</t>
  </si>
  <si>
    <t>Grid item #603. Discovered from Tagged page grid in sequential order.</t>
  </si>
  <si>
    <t>Content Marketing, Startup &amp; Growth, Video Marketing</t>
  </si>
  <si>
    <t>Discovered at visual grid position #500. Verified Ad Details URL. Format: Single Image Ad.</t>
  </si>
  <si>
    <t>Business Tips 🌟 . To really engage with an audience and make a lasting IMPACT with your brand message ensure you appeal to their EMOTIONS. . Laughter 😄 and happiness 🤗 are powerful and persuasive feelings.  We all want to be happy, right, and we love to share content that makes us feel good! . . . ⚍⚍⚍⚍⚍⚍⚍⚍⚍⚍⚍⚍⚍⚍⚍⚍⚍⚍⚍ . #business #businesstips #tips #instatips #persuasion #influence #happiness #hap</t>
  </si>
  <si>
    <t>#business, #businesstips, #tips, #instatips, #persuasion, #influence, #happiness, #happy, #emotions, #smallbusiness, #smallbiz, #startup, #entrepreneur, #entrepreneurship, #success, #winner, #positivity, #motivation, #inspiration, #likeaboss</t>
  </si>
  <si>
    <t>Tagged non-reel item (Static Photo) at grid position #604.</t>
  </si>
  <si>
    <t>Grid item #604. Discovered from Tagged page grid in sequential order.</t>
  </si>
  <si>
    <t>https://adstransparency.google.com/advertiser/AR05016556376214732801/creative/CR05823261391724740609?region=anywhere</t>
  </si>
  <si>
    <t>@semrushcom #milano #seo #ecommerce #milan #marketing #amazon #magento</t>
  </si>
  <si>
    <t>#milano, #seo, #ecommerce, #milan, #marketing, #amazon, #magento</t>
  </si>
  <si>
    <t>Tagged non-reel item (Static Photo) at grid position #605.</t>
  </si>
  <si>
    <t>Grid item #605. Discovered from Tagged page grid in sequential order.</t>
  </si>
  <si>
    <t>Discovered at visual grid position #501. Verified Ad Details URL. Format: Single Image Ad.</t>
  </si>
  <si>
    <t>#Agencylife can be a little hairy at times or is it furry? Thanks @semrushcom for the foxy gear! #semrush #OfficePerks</t>
  </si>
  <si>
    <t>#Agencylife, #semrush, #OfficePerks</t>
  </si>
  <si>
    <t>Tagged non-reel item (Static Photo) at grid position #606.</t>
  </si>
  <si>
    <t>Grid item #606. Discovered from Tagged page grid in sequential order.</t>
  </si>
  <si>
    <t>navidad</t>
  </si>
  <si>
    <t>Qué gustito da recibir regalos en #navidad de amigos que están lejos y a la vez muy cerca. Gracias @semrush_es</t>
  </si>
  <si>
    <t>Discovered at visual grid position #502. Verified Ad Details URL. Format: Single Image Ad.</t>
  </si>
  <si>
    <t>#navidad</t>
  </si>
  <si>
    <t>Tagged non-reel item (Static Photo) at grid position #607.</t>
  </si>
  <si>
    <t>Grid item #607. Discovered from Tagged page grid in sequential order.</t>
  </si>
  <si>
    <t>semrush</t>
  </si>
  <si>
    <t>https://adstransparency.google.com/advertiser/AR05016556376214732801/creative/CR10325031431746617345?region=anywhere</t>
  </si>
  <si>
    <t>Per ora il regalo più bello me lo ha fatto #semrush 🎅 Grazie!</t>
  </si>
  <si>
    <t>#semrush</t>
  </si>
  <si>
    <t>Tagged non-reel item (Static Photo) at grid position #608.</t>
  </si>
  <si>
    <t>Grid item #608. Discovered from Tagged page grid in sequential order.</t>
  </si>
  <si>
    <t>Discovered at visual grid position #503. Verified Ad Details URL. Format: Single Image Ad.</t>
  </si>
  <si>
    <t>semrush, instapicture, instagramer</t>
  </si>
  <si>
    <t>Grazie a #semrush per il bel regalo di Natale!  Un pensiero che abbiamo molto apprezzato 😉  #instapicture #instagramer #photoday</t>
  </si>
  <si>
    <t>#semrush, #instapicture, #instagramer, #photoday</t>
  </si>
  <si>
    <t>Tagged non-reel item (Static Photo) at grid position #609.</t>
  </si>
  <si>
    <t>Grid item #609. Discovered from Tagged page grid in sequential order.</t>
  </si>
  <si>
    <t>semrush, semrushlive</t>
  </si>
  <si>
    <t>It was a real adventure and very useful! Thank you, guys 😊👏🏼👌🏼🖥 #semrush #semrushlive</t>
  </si>
  <si>
    <t>#semrush, #semrushlive</t>
  </si>
  <si>
    <t>Discovered at visual grid position #504. Verified Ad Details URL. Format: Single Image Ad.</t>
  </si>
  <si>
    <t>Tagged non-reel item (Static Photo) at grid position #610.</t>
  </si>
  <si>
    <t>Grid item #610. Discovered from Tagged page grid in sequential order.</t>
  </si>
  <si>
    <t>https://adstransparency.google.com/advertiser/AR05016556376214732801/creative/CR05912681760423936001?region=anywhere</t>
  </si>
  <si>
    <t>Christmas came early. Big thanks to Olga and the SEMrush team!</t>
  </si>
  <si>
    <t>Tagged non-reel item (Static Photo) at grid position #611.</t>
  </si>
  <si>
    <t>Grid item #611. Discovered from Tagged page grid in sequential order.</t>
  </si>
  <si>
    <t>People don't want more content, they want better content. Some interesting ideas from one of my previous webinars on digital marketing and content marketing with the amazing team of SEMRush. Thanks for the post @semrushcom and hosting another memorable webinar @mikhaildoudy</t>
  </si>
  <si>
    <t>Tagged non-reel item (Static Photo) at grid position #612.</t>
  </si>
  <si>
    <t>Grid item #612. Discovered from Tagged page grid in sequential order.</t>
  </si>
  <si>
    <t>https://adstransparency.google.com/advertiser/AR05016556376214732801/creative/CR11123426407093370881?region=anywhere</t>
  </si>
  <si>
    <t>AAAAAAAAAAWWWWWW 🌷 ну вы поняли 🦄 спасибо алиэкспрессу за это</t>
  </si>
  <si>
    <t>Tagged non-reel item (Static Photo) at grid position #613.</t>
  </si>
  <si>
    <t>Grid item #613. Discovered from Tagged page grid in sequential order.</t>
  </si>
  <si>
    <t>Discovered at visual grid position #505. Verified Ad Details URL. Format: Single Image Ad.</t>
  </si>
  <si>
    <t>SEMrush vs Moz: Which SEO tool should you invest in? Check out our detailed comparison review to find out! Click link in bio👆  #seo #contentmarketing #seotools #semrush #moz #semrushvsmoz #99signals #inbound #blogging #marketing #smallbiz #startups #blogginglife #inboundmarketing #contentstrategy #startuplife #smallbusiness #mozpro #digitalmarketing</t>
  </si>
  <si>
    <t>#seo, #contentmarketing, #seotools, #semrush, #moz, #semrushvsmoz, #99signals, #inbound, #blogging, #marketing, #smallbiz, #startups, #blogginglife, #inboundmarketing, #contentstrategy, #startuplife, #smallbusiness, #mozpro, #digitalmarketing</t>
  </si>
  <si>
    <t>Tagged non-reel item (Static Photo) at grid position #614.</t>
  </si>
  <si>
    <t>Grid item #614. Discovered from Tagged page grid in sequential order.</t>
  </si>
  <si>
    <t>Discovered at visual grid position #506. Verified Ad Details URL. Format: Single Image Ad.</t>
  </si>
  <si>
    <t>Sem e Rush, soffici gadget da #iabforum #semrush #softmarketing #volpeoprocione?</t>
  </si>
  <si>
    <t>#iabforum, #semrush, #softmarketing, #volpeoprocione</t>
  </si>
  <si>
    <t>Tagged non-reel item (Static Photo) at grid position #615.</t>
  </si>
  <si>
    <t>Grid item #615. Discovered from Tagged page grid in sequential order.</t>
  </si>
  <si>
    <t>https://adstransparency.google.com/advertiser/AR05016556376214732801/creative/CR16763611751219462145?region=anywhere</t>
  </si>
  <si>
    <t>Digital Marketing, Video Marketing</t>
  </si>
  <si>
    <t>Come migliorare (subito!) le #performance di un #sitoweb  https://it.semrush.com/blog/come-migliorare-prestazioni-sito-web/ #webagency #webdesign</t>
  </si>
  <si>
    <t>#performance, #sitoweb, #webagency, #webdesign</t>
  </si>
  <si>
    <t>Tagged non-reel item (Static Photo) at grid position #616.</t>
  </si>
  <si>
    <t>Grid item #616. Discovered from Tagged page grid in sequential order.</t>
  </si>
  <si>
    <t>Discovered at visual grid position #507. Verified Ad Details URL. Format: Single Image Ad.</t>
  </si>
  <si>
    <t>Digital Marketing, Startup &amp; Growth, Industry Event</t>
  </si>
  <si>
    <t>A sua chance de se tornar um empreendedor de sucesso e ter sua própria startup está no link na bio! Inscreva-se no Startup Online Meetup e traga todas as suas dúvidas sobre o mundo do empreendedorismo e descubra como o crowdfunding pode ser seu braço direito! 💚  #crowdfunding #financiamentocoletivo #empreendedorismo #empreendedor #empresario #CEO #kickante #startup #evento #online #gratuito #dicas</t>
  </si>
  <si>
    <t>#crowdfunding, #financiamentocoletivo, #empreendedorismo, #empreendedor, #empresario, #CEO, #kickante, #startup, #evento, #online, #gratuito, #dicas, #marketing</t>
  </si>
  <si>
    <t>Tagged non-reel item (Static Photo) at grid position #617.</t>
  </si>
  <si>
    <t>Grid item #617. Discovered from Tagged page grid in sequential order.</t>
  </si>
  <si>
    <t>Discovered at visual grid position #508. Verified Ad Details URL. Format: Single Image Ad.</t>
  </si>
  <si>
    <t>https://adstransparency.google.com/advertiser/AR05016556376214732801/creative/CR03912878492722659329?region=anywhere</t>
  </si>
  <si>
    <t>We are pleased to announce that our Head of SEO has just published an article on SEMRUSH - one of the world's largest marketing media. You can read the article here: https://www.semrush.com/blog/marketing-attribution-in-five-steps/</t>
  </si>
  <si>
    <t>Tagged non-reel item (Static Photo) at grid position #618.</t>
  </si>
  <si>
    <t>Grid item #618. Discovered from Tagged page grid in sequential order.</t>
  </si>
  <si>
    <t>For #ToolThursday we are talking about #SEMrush. It is a business intelligence and competitive research software that provides you with analytic reports of the SEO, paid search, and link building about your website (or the one you are currently looking into). It also provides you with a powerful toolkit that offers you all necessary metrics and data regarding the competitors of your website.  It i</t>
  </si>
  <si>
    <t>#ToolThursday, #SEMrush, #SpinnakerNordic, #NotRocketScience, #DigitalMarketing, #ContentMarketing, #OnlineMarketing, #AdWords, #SEO, #GooglePartners, #Analytics, #Results, #Success, #Marketing, #Agency, #Branding, #B2B</t>
  </si>
  <si>
    <t>Tagged non-reel item (Static Photo) at grid position #619.</t>
  </si>
  <si>
    <t>Grid item #619. Discovered from Tagged page grid in sequential order.</t>
  </si>
  <si>
    <t>Discovered at visual grid position #509. Verified Ad Details URL. Format: Single Image Ad.</t>
  </si>
  <si>
    <t>Free live online training workshop by inspiring expert @benjaminmangold 'Track your marketing with Google Analytics'. Please go to Instagram profile link for details. #freetraining #digitaladvertising #digitalanalytics #digitalcareers #googleanalytics #benjaminmangold #lovesdata #onlinemarketing #analytics_expert #socialmedia #contentmarketing #digitalindustry #lovesdatalive</t>
  </si>
  <si>
    <t>#freetraining, #digitaladvertising, #digitalanalytics, #digitalcareers, #googleanalytics, #benjaminmangold, #lovesdata, #onlinemarketing, #analytics_expert, #socialmedia, #contentmarketing, #digitalindustry, #lovesdatalive</t>
  </si>
  <si>
    <t>Tagged non-reel item (Static Photo) at grid position #620.</t>
  </si>
  <si>
    <t>Grid item #620. Discovered from Tagged page grid in sequential order.</t>
  </si>
  <si>
    <t>https://adstransparency.google.com/advertiser/AR05016556376214732801/creative/CR10337192966652690433?region=anywhere</t>
  </si>
  <si>
    <t>Discovered at visual grid position #510. Verified Ad Details URL. Format: Single Image Ad.</t>
  </si>
  <si>
    <t>Hey there #pubcon Day 2 @pubcon @semrushcom @roland_us @bossfx_us @internetmarketingninjas</t>
  </si>
  <si>
    <t>Tagged non-reel item (Static Photo) at grid position #621.</t>
  </si>
  <si>
    <t>Grid item #621. Discovered from Tagged page grid in sequential order.</t>
  </si>
  <si>
    <t>Discovered at visual grid position #511. Verified Ad Details URL. Format: Single Image Ad.</t>
  </si>
  <si>
    <t>RT @olgandrienko  @semrushcom team ❤️</t>
  </si>
  <si>
    <t>Tagged non-reel item (Static Photo) at grid position #622.</t>
  </si>
  <si>
    <t>Grid item #622. Discovered from Tagged page grid in sequential order.</t>
  </si>
  <si>
    <t>https://adstransparency.google.com/advertiser/AR05016556376214732801/creative/CR01971120960702513153?region=anywhere</t>
  </si>
  <si>
    <t>Pubcon</t>
  </si>
  <si>
    <t>We're excited to be joining the fun at #Pubcon!</t>
  </si>
  <si>
    <t>#Pubcon</t>
  </si>
  <si>
    <t>Tagged non-reel item (Static Photo) at grid position #623.</t>
  </si>
  <si>
    <t>Grid item #623. Discovered from Tagged page grid in sequential order.</t>
  </si>
  <si>
    <t>Discovered at visual grid position #512. Verified Ad Details URL. Format: Single Image Ad.</t>
  </si>
  <si>
    <t>https://adstransparency.google.com/advertiser/AR05016556376214732801/creative/CR03006269376811761665?region=anywhere</t>
  </si>
  <si>
    <t>Tenemos ya 7 horas viendo, aprendiendo y tuiteando las ponencias del congreso online 'Negocios y Monetización Digital 2016' #NMDigital16 gracias a @facchinjose y @semrushcom  #MarketingDigital #Online</t>
  </si>
  <si>
    <t>#NMDigital16, #MarketingDigital, #Online</t>
  </si>
  <si>
    <t>Tagged non-reel item (Static Photo) at grid position #624.</t>
  </si>
  <si>
    <t>Grid item #624. Discovered from Tagged page grid in sequential order.</t>
  </si>
  <si>
    <t>Business Tips 💥  Break the boredom!! If your content tends to be repetitive your readers will 'switch off'. Have you ever found yourself thinking about something completely different 🤔 during a tedious presentation?  Stop 📵 your audience from zoning out by changing- &gt;  fonts &gt;  colours &gt;  introduce the unexpected &gt;  be disruptive!! ⚍⚍⚍⚍⚍⚍⚍⚍⚍⚍⚍⚍⚍⚍⚍⚍⚍⚍ #business #businesswoman #businessman #business</t>
  </si>
  <si>
    <t>#business, #businesswoman, #businessman, #businesstips, #tips, #quoteoftheday, #smallbusines, #smallbiz, #startup, #entrepreneur, #entrepreneurship, #howto, #marketing, #boredom, #successful, #winning, #growthhacking</t>
  </si>
  <si>
    <t>Tagged non-reel item (Static Photo) at grid position #625.</t>
  </si>
  <si>
    <t>Grid item #625. Discovered from Tagged page grid in sequential order.</t>
  </si>
  <si>
    <t>https://adstransparency.google.com/advertiser/AR05016556376214732801/creative/CR03635787818627760129?region=anywhere</t>
  </si>
  <si>
    <t>Discovered at visual grid position #513. Verified Ad Details URL. Format: Single Image Ad.</t>
  </si>
  <si>
    <t>#BrightonSEO 🚀</t>
  </si>
  <si>
    <t>#BrightonSEO</t>
  </si>
  <si>
    <t>Tagged non-reel item (Static Photo) at grid position #626.</t>
  </si>
  <si>
    <t>Grid item #626. Discovered from Tagged page grid in sequential order.</t>
  </si>
  <si>
    <t>#AgradecimientoPleno ... realmente no consigo las palabras para poder expresar lo agradecida que estoy con todos los amigos cerca y lejos que nos han ayudado a difundir el evento de @canariasdigital  Realmente no saben el valor que tiene para mi tanto amor, solidaridad, generosidad.  Gracias por poner banners con enlace directo a la compra de entradas en la home de sus webs, blogs, envío de newsle</t>
  </si>
  <si>
    <t>#AgradecimientoPleno, #CD2016, #NanaActitud, #AmigosVerdaderos, #gracias, #canarias</t>
  </si>
  <si>
    <t>Tagged non-reel item (Static Photo) at grid position #627.</t>
  </si>
  <si>
    <t>Grid item #627. Discovered from Tagged page grid in sequential order.</t>
  </si>
  <si>
    <t>Discovered at visual grid position #514. Verified Ad Details URL. Format: Single Image Ad.</t>
  </si>
  <si>
    <t>https://adstransparency.google.com/advertiser/AR05016556376214732801/creative/CR08575078961548099585?region=anywhere</t>
  </si>
  <si>
    <t>#Repost @jeffbullas with @repostapp ・・・ The 15 Best #Podcasts for New Product-Driven #Entrepreneurs http://bit.ly/2aWE46b #contentmarketing #marketing #entrepreneur #entrepreneurship  #marketing #digitalmarketing</t>
  </si>
  <si>
    <t>#Repost, #Podcasts, #Entrepreneurs, #contentmarketing, #marketing, #entrepreneur, #entrepreneurship, #marketing, #digitalmarketing</t>
  </si>
  <si>
    <t>Tagged non-reel item (Static Photo) at grid position #628.</t>
  </si>
  <si>
    <t>Grid item #628. Discovered from Tagged page grid in sequential order.</t>
  </si>
  <si>
    <t>Discovered at visual grid position #515. Verified Ad Details URL. Format: Single Image Ad.</t>
  </si>
  <si>
    <t>Hoy celebro mi primer año en #semrush, ha sido un año lleno de nuevas experiencias y de gente maravillosa. ¡Gracias! Спасибо! 😍</t>
  </si>
  <si>
    <t>Tagged non-reel item (Static Photo) at grid position #629.</t>
  </si>
  <si>
    <t>Grid item #629. Discovered from Tagged page grid in sequential order.</t>
  </si>
  <si>
    <t>Mais brindes para nosso evento #semrush #WordCampBH #WordPress #belohorizonte</t>
  </si>
  <si>
    <t>#semrush, #WordCampBH, #WordPress, #belohorizonte</t>
  </si>
  <si>
    <t>Tagged non-reel item (Static Photo) at grid position #630.</t>
  </si>
  <si>
    <t>Grid item #630. Discovered from Tagged page grid in sequential order.</t>
  </si>
  <si>
    <t>https://adstransparency.google.com/advertiser/AR05016556376214732801/creative/CR15323805672693301249?region=anywhere</t>
  </si>
  <si>
    <t>Discovered at visual grid position #516. Verified Ad Details URL. Format: Single Image Ad.</t>
  </si>
  <si>
    <t>dinnerwithfriends, wmf16, instafood</t>
  </si>
  <si>
    <t>E cena fu... #dinnerwithfriends #wmf16 #instafood #foodporn #rimini #grigliatadipesce #saturdayevening #happydinner #rivieraromagnola</t>
  </si>
  <si>
    <t>#dinnerwithfriends, #wmf16, #instafood, #foodporn, #rimini, #grigliatadipesce, #saturdayevening, #happydinner, #rivieraromagnola</t>
  </si>
  <si>
    <t>Tagged non-reel item (Static Photo) at grid position #631.</t>
  </si>
  <si>
    <t>Grid item #631. Discovered from Tagged page grid in sequential order.</t>
  </si>
  <si>
    <t>wmf16</t>
  </si>
  <si>
    <t>Discovered at visual grid position #517. Verified Ad Details URL. Format: Single Image Ad.</t>
  </si>
  <si>
    <t>Bella gente al #wmf16</t>
  </si>
  <si>
    <t>#wmf16</t>
  </si>
  <si>
    <t>Tagged non-reel item (Static Photo) at grid position #632.</t>
  </si>
  <si>
    <t>Grid item #632. Discovered from Tagged page grid in sequential order.</t>
  </si>
  <si>
    <t>Content Marketing, Startup &amp; Growth</t>
  </si>
  <si>
    <t>https://adstransparency.google.com/advertiser/AR05016556376214732801/creative/CR16111946946196799489?region=anywhere</t>
  </si>
  <si>
    <t>Live contest alle 13:50 con @semrush - uscite e cercate l'aereo fuori, fotografate e postate con #semrush poi venite allo stand e ritirate il PREMIO :) #socialmedia #startup #wmf16</t>
  </si>
  <si>
    <t>#semrush, #socialmedia, #startup, #wmf16</t>
  </si>
  <si>
    <t>Tagged non-reel item (Static Photo) at grid position #633.</t>
  </si>
  <si>
    <t>Grid item #633. Discovered from Tagged page grid in sequential order.</t>
  </si>
  <si>
    <t>wnsm16</t>
  </si>
  <si>
    <t>Discovered at visual grid position #518. Verified Ad Details URL. Format: Single Image Ad.</t>
  </si>
  <si>
    <t>El equipo de @semrushcom entrevistando a @kicoes para el #wnsm16</t>
  </si>
  <si>
    <t>#wnsm16</t>
  </si>
  <si>
    <t>Tagged non-reel item (Static Photo) at grid position #634.</t>
  </si>
  <si>
    <t>Grid item #634. Discovered from Tagged page grid in sequential order.</t>
  </si>
  <si>
    <t>About to start the final presentations after the team work session at #wnsm16 #seo</t>
  </si>
  <si>
    <t>#wnsm16, #seo</t>
  </si>
  <si>
    <t>Tagged non-reel item (Static Photo) at grid position #635.</t>
  </si>
  <si>
    <t>Grid item #635. Discovered from Tagged page grid in sequential order.</t>
  </si>
  <si>
    <t>https://adstransparency.google.com/advertiser/AR05016556376214732801/creative/CR08821750546948947969?region=anywhere</t>
  </si>
  <si>
    <t>A punto de salir para #saintpetesburg para el White Night Summit de @semrush_es Muchas ganas de descubrir lo que nos han preparado 😊</t>
  </si>
  <si>
    <t>#saintpetesburg</t>
  </si>
  <si>
    <t>Tagged non-reel item (Static Photo) at grid position #636.</t>
  </si>
  <si>
    <t>Grid item #636. Discovered from Tagged page grid in sequential order.</t>
  </si>
  <si>
    <t>Discovered at visual grid position #519. Verified Ad Details URL. Format: Single Image Ad.</t>
  </si>
  <si>
    <t>Relatori di un certo livello!</t>
  </si>
  <si>
    <t>Tagged non-reel item (Static Photo) at grid position #637.</t>
  </si>
  <si>
    <t>Grid item #637. Discovered from Tagged page grid in sequential order.</t>
  </si>
  <si>
    <t>https://adstransparency.google.com/advertiser/AR05016556376214732801/creative/CR18093817067579899905?region=anywhere</t>
  </si>
  <si>
    <t>Preparados para el @seonthebeach con @semrush_es y @stream_factory 24/25 junio @fevertree_es @rivesgin</t>
  </si>
  <si>
    <t>Tagged non-reel item (Static Photo) at grid position #638.</t>
  </si>
  <si>
    <t>Discovered at visual grid position #520. Verified Ad Details URL. Format: Single Image Ad.</t>
  </si>
  <si>
    <t>Grid item #638. Discovered from Tagged page grid in sequential order.</t>
  </si>
  <si>
    <t>theinbounder, valencia, semrush</t>
  </si>
  <si>
    <t>Gracias #theinbounder #valencia! Bringing back to Italy new friends, new perspectives and a new set of #semrush glasses 😂</t>
  </si>
  <si>
    <t>#theinbounder, #valencia, #semrush</t>
  </si>
  <si>
    <t>Tagged non-reel item (Static Photo) at grid position #639.</t>
  </si>
  <si>
    <t>Grid item #639. Discovered from Tagged page grid in sequential order.</t>
  </si>
  <si>
    <t>Discovered at visual grid position #521. Verified Ad Details URL. Format: Single Image Ad.</t>
  </si>
  <si>
    <t>#cookies #cookyes #customcookies #lettering #semrush #Bologna #adworldexperience #abc</t>
  </si>
  <si>
    <t>#cookies, #cookyes, #customcookies, #lettering, #semrush, #Bologna, #adworldexperience, #abc</t>
  </si>
  <si>
    <t>Tagged non-reel item (Static Photo) at grid position #640.</t>
  </si>
  <si>
    <t>Grid item #640. Discovered from Tagged page grid in sequential order.</t>
  </si>
  <si>
    <t>Display Banner: "Peec AI: The AEO Platform - Monitor brand mentions, sentiment &amp; rankings in AI. 7-Day Free Trial"</t>
  </si>
  <si>
    <t>https://adstransparency.google.com/advertiser/AR05016556376214732801/creative/CR17103325041354866689?region=anywhere</t>
  </si>
  <si>
    <t>Grumpy Samo has a new friend 🐱😺 #semrushlive #inboundsamo #inbound #inboundmarketing #socialmedia #seo #inbound16 #smm #socialmediatips #semrush #semrushchat</t>
  </si>
  <si>
    <t>#semrushlive, #inboundsamo, #inbound, #inboundmarketing, #socialmedia, #seo, #inbound16, #smm, #socialmediatips, #semrush, #semrushchat</t>
  </si>
  <si>
    <t>Tagged non-reel item (Static Photo) at grid position #641.</t>
  </si>
  <si>
    <t>Grid item #641. Discovered from Tagged page grid in sequential order.</t>
  </si>
  <si>
    <t>Discovered at visual grid position #522. Verified Ad Details URL. Format: Single Image Ad.</t>
  </si>
  <si>
    <t>semrushcontest, yeswecan, apple40years</t>
  </si>
  <si>
    <t>My jewels Viola and Melissa with my Apple family devices (iPad and iPhone 6S) for the Semrush Contest #semrushcontest #yeswecan #apple40years</t>
  </si>
  <si>
    <t>#semrushcontest, #yeswecan, #apple40years</t>
  </si>
  <si>
    <t>Tagged non-reel item (Static Photo) at grid position #642.</t>
  </si>
  <si>
    <t>Grid item #642. Discovered from Tagged page grid in sequential order.</t>
  </si>
  <si>
    <t>https://adstransparency.google.com/advertiser/AR05016556376214732801/creative/CR07296207712784744449?region=anywhere</t>
  </si>
  <si>
    <t>Discovered at visual grid position #523. Verified Ad Details URL. Format: Single Image Ad.</t>
  </si>
  <si>
    <t>New episode out: SEMrush's Michael Stricker talks SEO keyword research, best practices for using SEMrush, and much more! 💣💣👓 See full transcriptions and more on our site: http://expresswriters.com/the-write-podcast Subscribe in iTunes: https://itunes.apple.com/us/podcast/the-write-podcast/id1082066558?mt=2  #marketing #storytelling #googlesearch#webtraffic #optimization #content #seo#seoproblems #</t>
  </si>
  <si>
    <t>#marketing, #storytelling, #googlesearch, #webtraffic, #optimization, #content, #seo, #seoproblems, #success, #entreprenuer, #marketer, #sales, #copywriting, #writing, #write, #contentmarketing, #podcast, #blogging, #inboundmarketing, #growthhacking, #branding, #startuplife, #entrepreneurs, #podcaster, #expresswriters</t>
  </si>
  <si>
    <t>Tagged non-reel item (Static Photo) at grid position #643.</t>
  </si>
  <si>
    <t>Grid item #643. Discovered from Tagged page grid in sequential order.</t>
  </si>
  <si>
    <t>We tagged few of our favorites and would love to know about yours. #tag them here #marketing #marketingtools #seo #sem #adwords #analytics #insights</t>
  </si>
  <si>
    <t>#tag, #marketing, #marketingtools, #seo, #sem, #adwords, #analytics, #insights</t>
  </si>
  <si>
    <t>Tagged non-reel item (Static Photo) at grid position #644.</t>
  </si>
  <si>
    <t>Grid item #644. Discovered from Tagged page grid in sequential order.</t>
  </si>
  <si>
    <t>Discovered at visual grid position #524. Verified Ad Details URL. Format: Single Image Ad.</t>
  </si>
  <si>
    <t>https://adstransparency.google.com/advertiser/AR05016556376214732801/creative/CR03679118609805737985?region=anywhere</t>
  </si>
  <si>
    <t>We LOVE the amazing tool @semrushcom for finding, discovering and honing down relevant keywords to use in writing online content. Check out our guide on how to research keywords for your #SEO here:  https://expresswriters.com/foundations-researching-keywords-content-using-semrush/  #semrush #marketing #googlesearch #webtraffic #optimization #content #google #seoproblems #success #entreprenuer #sal</t>
  </si>
  <si>
    <t>#SEO, #semrush, #marketing, #googlesearch, #webtraffic, #optimization, #content, #google, #seoproblems, #success, #entreprenuer, #sales, #copywriting, #writing, #write, #contentmarketing, #blogger, #blogging, #inboundmarketing, #growthhacking, #branding, #startuplife, #entrepreneurs, #newblogpost, #expresswriters</t>
  </si>
  <si>
    <t>Tagged non-reel item (Static Photo) at grid position #645.</t>
  </si>
  <si>
    <t>Grid item #645. Discovered from Tagged page grid in sequential order.</t>
  </si>
  <si>
    <t>eshowbcn16</t>
  </si>
  <si>
    <t>Gracias a todos por pasar a conocer el funcionamiento de @semrush_es y celebrarlo con nosotros el #eshowbcn16</t>
  </si>
  <si>
    <t>#eshowbcn16</t>
  </si>
  <si>
    <t>Tagged non-reel item (Static Photo) at grid position #646.</t>
  </si>
  <si>
    <t>Grid item #646. Discovered from Tagged page grid in sequential order.</t>
  </si>
  <si>
    <t>Discovered at visual grid position #525. Verified Ad Details URL. Format: Single Image Ad.</t>
  </si>
  <si>
    <t>Gran jornada con @semrush_es en #eshowbcn16 ,Sí dan un premio al stand más completo el premio era para este stand</t>
  </si>
  <si>
    <t>Tagged non-reel item (Static Photo) at grid position #647.</t>
  </si>
  <si>
    <t>Grid item #647. Discovered from Tagged page grid in sequential order.</t>
  </si>
  <si>
    <t>https://adstransparency.google.com/advertiser/AR05016556376214732801/creative/CR01624675635748143105?region=anywhere</t>
  </si>
  <si>
    <t>Discovered at visual grid position #526. Verified Ad Details URL. Format: Single Image Ad.</t>
  </si>
  <si>
    <t>A estas horas y todavía trabajando. El sueño me está ganando la partida. Mañana seguiré con más tareas pendientes. Buenas noches.</t>
  </si>
  <si>
    <t>Tagged non-reel item (Static Photo) at grid position #648.</t>
  </si>
  <si>
    <t>Grid item #648. Discovered from Tagged page grid in sequential order.</t>
  </si>
  <si>
    <t>tradeshows, HomelessEntrepreneur, semrush</t>
  </si>
  <si>
    <t>Always looking for a way to spice up #tradeshows by having a lot of fun!' #HomelessEntrepreneur #semrush #eShowBCN16 #gintonic #hugeGintonic #oranges #lemons #lafira</t>
  </si>
  <si>
    <t>#tradeshows, #HomelessEntrepreneur, #semrush, #eShowBCN16, #gintonic, #hugeGintonic, #oranges, #lemons, #lafira</t>
  </si>
  <si>
    <t>Tagged non-reel item (Static Photo) at grid position #649.</t>
  </si>
  <si>
    <t>Grid item #649. Discovered from Tagged page grid in sequential order.</t>
  </si>
  <si>
    <t>Discovered at visual grid position #527. Verified Ad Details URL. Format: Single Image Ad.</t>
  </si>
  <si>
    <t>https://adstransparency.google.com/advertiser/AR05016556376214732801/creative/CR05428805547946147841?region=anywhere</t>
  </si>
  <si>
    <t>Seguire la #maratona di #SEMrush di #SMM ci aiuta a capire come migliorare le #strategie @gfiorelli</t>
  </si>
  <si>
    <t>#maratona, #SEMrush, #SMM, #strategie</t>
  </si>
  <si>
    <t>Tagged non-reel item (Static Photo) at grid position #650.</t>
  </si>
  <si>
    <t>Grid item #650. Discovered from Tagged page grid in sequential order.</t>
  </si>
  <si>
    <t>Comenzamos anoche en #Barcelona junto con todo el equipo de @semrush_es en español la gira por #España :) ¿Quieres participar? #SEMrush  #rushdegira #seo #marketingdigital #inteligenciacompetitiva #Marketing #socialmedia</t>
  </si>
  <si>
    <t>#Barcelona, #España, #SEMrush, #rushdegira, #seo, #marketingdigital, #inteligenciacompetitiva, #Marketing, #socialmedia</t>
  </si>
  <si>
    <t>Tagged non-reel item (Static Photo) at grid position #651.</t>
  </si>
  <si>
    <t>Grid item #651. Discovered from Tagged page grid in sequential order.</t>
  </si>
  <si>
    <t>Discovered at visual grid position #528. Verified Ad Details URL. Format: Single Image Ad.</t>
  </si>
  <si>
    <t>#SEOandLOVE [lui ha detto che preferisce così]. Quando c'è passione c'è [quasi] tutto ciò che serve! L'anno prossimo di nuovo a #verona? :-)</t>
  </si>
  <si>
    <t>#SEOandLOVE, #verona</t>
  </si>
  <si>
    <t>Tagged non-reel item (Static Photo) at grid position #652.</t>
  </si>
  <si>
    <t>LLM users convert at 4.4x more than traditional search  Semrush's AI Visibility Index examined how brands appear across AI search platforms and found something significant about user behavior. People coming through LLM responses aren't just browsing. They're actively looking to make decisions and take action.  The difference is substantial enough to matter. A 4.4x conversion lift isn't marginal at all.   This means that AI responses aren't just competing with search results; they are competing with the websites and guiding users towards the conversion.   If you are too focused on top-of-funnel queries and prompts, you have already lost the user.  This report (linked below) has some other great nuggets on who is searching, where they are searching, and who is grabbing the most share of voice, but that insight above really jumped out at me.    #semrushpartner</t>
  </si>
  <si>
    <t>Grid item #652. Discovered from Tagged page grid in sequential order.</t>
  </si>
  <si>
    <t>#semrushpartner</t>
  </si>
  <si>
    <t>https://adstransparency.google.com/advertiser/AR05016556376214732801/creative/CR08409708976756752385?region=anywhere</t>
  </si>
  <si>
    <t>In alto i calici: @seoandlove si conclude degnamente con fiumi di spritz!  #seoandlove #igersverona #igersveneto #igersitalia #verona #veronesità #veronainlove #veneto #spritz #love #instalove</t>
  </si>
  <si>
    <t>#seoandlove, #igersverona, #igersveneto, #igersitalia, #verona, #veronesità, #veronainlove, #veneto, #spritz, #love, #instalove</t>
  </si>
  <si>
    <t>Tagged non-reel item (Static Photo) at grid position #653.</t>
  </si>
  <si>
    <t>Ran from Nov 25, 2025 to Dec 1, 2025</t>
  </si>
  <si>
    <t>Grid item #653. Discovered from Tagged page grid in sequential order.</t>
  </si>
  <si>
    <t>Discovered at visual grid position #529. Verified Ad Details URL. Format: Single Image Ad.</t>
  </si>
  <si>
    <t>Join in for tactical insights &amp; real use cases</t>
  </si>
  <si>
    <t>Hey, Berlin leaders! At the upcoming meetup we’ll serve forward-thinking frameworks for SEO, Content, GEO &amp; AI followed by networking.</t>
  </si>
  <si>
    <t>SEO, AI Search &amp; GEO, Content Strategy</t>
  </si>
  <si>
    <t>#SEOandLOVE #seotools #digitalmarketing  #searchmarketing #SEO #webmarketing  #love #webstagram</t>
  </si>
  <si>
    <t>#SEOandLOVE, #seotools, #digitalmarketing, #searchmarketing, #SEO, #webmarketing, #love, #webstagram</t>
  </si>
  <si>
    <t>Tagged non-reel item (Static Photo) at grid position #654.</t>
  </si>
  <si>
    <t>Grid item #654. Discovered from Tagged page grid in sequential order.</t>
  </si>
  <si>
    <t>Ran from Nov 21, 2025 to Dec 1, 2025</t>
  </si>
  <si>
    <t>https://adstransparency.google.com/advertiser/AR05016556376214732801/creative/CR02089256681878847489?region=anywhere</t>
  </si>
  <si>
    <t>Discovered at visual grid position #530. Verified Ad Details URL. Format: Single Image Ad.</t>
  </si>
  <si>
    <t>Join me tomorrow at 12pm PST for a live webinar with @semrushcom on 'Authority Building: How to Establish Your Personal Brand with Social Media!' Bit.ly/SEMrushCynthiaLIVE to register</t>
  </si>
  <si>
    <t>Tagged non-reel item (Static Photo) at grid position #655.</t>
  </si>
  <si>
    <t>Grid item #655. Discovered from Tagged page grid in sequential order.</t>
  </si>
  <si>
    <t>Ring in the New Year with our #Expert Weigh-In: Content Marketing Predictions For 2016. We asked more than 19 experts for their predictions and insights! (Link in profile.) #2016 #newyear #marketing #googlesearch #webtraffic #optimization #content #seo #seoproblems #success #entreprenuer #sales #copywriting #writing #write  #contentmarketing #blogger #blogging #inboundmarketing #growthhacking #bra</t>
  </si>
  <si>
    <t>#Expert, #2016, #newyear, #marketing, #googlesearch, #webtraffic, #optimization, #content, #seo, #seoproblems, #success, #entreprenuer, #sales, #copywriting, #writing, #write, #contentmarketing, #blogger, #blogging, #inboundmarketing, #growthhacking, #branding, #startuplife, #entrepreneurs, #newblogpost, #amwriting, #amediting, #blogging, #copywriting, #copyediting, #expresswriters</t>
  </si>
  <si>
    <t>Tagged non-reel item (Static Photo) at grid position #656.</t>
  </si>
  <si>
    <t>Grid item #656. Discovered from Tagged page grid in sequential order.</t>
  </si>
  <si>
    <t>Ran from Nov 18, 2025 to Nov 21, 2025</t>
  </si>
  <si>
    <t>Discovered at visual grid position #531. Verified Ad Details URL. Format: Single Image Ad.</t>
  </si>
  <si>
    <t>https://adstransparency.google.com/advertiser/AR05016556376214732801/creative/CR17630686414725185537?region=anywhere</t>
  </si>
  <si>
    <t>Presente de Final de Ano que recebemos do pessoal da @semrushcom #😍</t>
  </si>
  <si>
    <t>Tagged non-reel item (Static Photo) at grid position #657.</t>
  </si>
  <si>
    <t>Grid item #657. Discovered from Tagged page grid in sequential order.</t>
  </si>
  <si>
    <t>Discovered at visual grid position #532. Verified Ad Details URL. Format: Single Image Ad.</t>
  </si>
  <si>
    <t>Delighted to receive this gift from our friends at @semrushcom yesterday! Our office was quite delighted. We'll do more sharing tonight.  #holidays #gifts #semrush #chocolate #mmm #marketing #googlesearch #webtraffic #optimization #content #seo #seoproblems #success #entreprenuer #sales #copywriting #writing #contentmarketing #blogging #inboundmarketing #growthhacking #branding #brandidentity #sta</t>
  </si>
  <si>
    <t>#holidays, #gifts, #semrush, #chocolate, #mmm, #marketing, #googlesearch, #webtraffic, #optimization, #content, #seo, #seoproblems, #success, #entreprenuer, #sales, #copywriting, #writing, #contentmarketing, #blogging, #inboundmarketing, #growthhacking, #branding, #brandidentity, #startuplife, #entrepreneurs, #branding101, #workfromhome, #expresswriters, #writer</t>
  </si>
  <si>
    <t>Tagged non-reel item (Static Photo) at grid position #658.</t>
  </si>
  <si>
    <t>Grid item #658. Discovered from Tagged page grid in sequential order.</t>
  </si>
  <si>
    <t>TwitterSmarter, twitter, TwitterTip</t>
  </si>
  <si>
    <t>Join me tomorrow on Thursday, December 3rd at 1pm ET/10am PT for the #TwitterSmarter Twitter chat. It's the place to connect + learn + share Twitter tips. My guest will be Tara Clapper (Twitter handle is @taramclapper), Blog Editor at @semrushcom. The topic will be Personal Branding on Twitter. I recommend using TweetChat.com to participate in the chat. #twitter #TwitterTip #TwitterChat #TwitterHe</t>
  </si>
  <si>
    <t>#TwitterSmarter, #twitter, #TwitterTip, #TwitterChat, #TwitterHelp, #TwitterTips, #semrush</t>
  </si>
  <si>
    <t>Tagged non-reel item (Static Photo) at grid position #659.</t>
  </si>
  <si>
    <t>https://adstransparency.google.com/advertiser/AR05016556376214732801/creative/CR15920686211350396929?region=anywhere</t>
  </si>
  <si>
    <t>Grid item #659. Discovered from Tagged page grid in sequential order.</t>
  </si>
  <si>
    <t>Discovered at visual grid position #533. Verified Ad Details URL. Format: Single Image Ad.</t>
  </si>
  <si>
    <t>Blogging tips for branding and lead generation</t>
  </si>
  <si>
    <t>Tagged non-reel item (Static Photo) at grid position #660.</t>
  </si>
  <si>
    <t>Grid item #660. Discovered from Tagged page grid in sequential order.</t>
  </si>
  <si>
    <t>Ran from Nov 18, 2025 to Dec 2, 2025</t>
  </si>
  <si>
    <t>Owned, Earned, and Paid Media  #paidmedia #earnedmedia #digitalmedia﻿ #marketing #digitalmarketing</t>
  </si>
  <si>
    <t>Discovered at visual grid position #534. Verified Ad Details URL. Format: Single Image Ad.</t>
  </si>
  <si>
    <t>#paidmedia, #earnedmedia, #digitalmedia, #marketing, #digitalmarketing</t>
  </si>
  <si>
    <t>Tagged non-reel item (Static Photo) at grid position #661.</t>
  </si>
  <si>
    <t>Grid item #661. Discovered from Tagged page grid in sequential order.</t>
  </si>
  <si>
    <t>https://adstransparency.google.com/advertiser/AR05016556376214732801/creative/CR07103511565508280321?region=anywhere</t>
  </si>
  <si>
    <t>WriterAccess will be a sponsor at @adtech_ this year!  Come meet us at Booth 1020 (across from our friends at @moo.) We will be holding a special Happy Hour for our clients on Wednesday at 6:30pm. Contact your Account Manager for details!  #adtech #adtechny #technology #marketing #nyc</t>
  </si>
  <si>
    <t>#adtech, #adtechny, #technology, #marketing, #nyc</t>
  </si>
  <si>
    <t>Tagged non-reel item (Static Photo) at grid position #662.</t>
  </si>
  <si>
    <t>Grid item #662. Discovered from Tagged page grid in sequential order.</t>
  </si>
  <si>
    <t>Discovered at visual grid position #535. Verified Ad Details URL. Format: Single Image Ad.</t>
  </si>
  <si>
    <t>With @OlgaSEMRush from @semrushcom &amp; @karizmatic_k at @adtech_london  #socialmediamarketing #socialmedia #socialmediatips #internetmarketing #digital #tech #technology #online #digitalmarketing #digital  #marketing #advertising #seo #googlesearch #webtraffic #contentmarketing #selfpromo #engage #branding #brandawareness  #brand #targetaudience #shoutout #relationship #me #entrepreneur #entrepreneu</t>
  </si>
  <si>
    <t>#socialmediamarketing, #socialmedia, #socialmediatips, #internetmarketing, #digital, #tech, #technology, #online, #digitalmarketing, #digital, #marketing, #advertising, #seo, #googlesearch, #webtraffic, #contentmarketing, #selfpromo, #engage, #branding, #brandawareness, #brand, #targetaudience, #shoutout, #relationship, #me, #entrepreneur, #entrepreneurship, #leadership, #businessowners, #businessman</t>
  </si>
  <si>
    <t>Tagged non-reel item (Static Photo) at grid position #663.</t>
  </si>
  <si>
    <t>Grid item #663. Discovered from Tagged page grid in sequential order.</t>
  </si>
  <si>
    <t>https://adstransparency.google.com/advertiser/AR05016556376214732801/creative/CR10838512982644752385?region=anywhere</t>
  </si>
  <si>
    <t>Such a fantastic weekend!  A lot of good info and getting to meet my #seo industry heroes. So much fun!</t>
  </si>
  <si>
    <t>Tagged non-reel item (Static Photo) at grid position #664.</t>
  </si>
  <si>
    <t>Grid item #664. Discovered from Tagged page grid in sequential order.</t>
  </si>
  <si>
    <t>Discovered at visual grid position #536. Verified Ad Details URL. Format: Single Image Ad.</t>
  </si>
  <si>
    <t>Un ultimo saluto ai ragazzi di #wmexpo e a quelli di Semrush, cui si deve questo aperitivo. Ph. @lorenzolofoto</t>
  </si>
  <si>
    <t>#wmexpo</t>
  </si>
  <si>
    <t>Tagged non-reel item (Static Photo) at grid position #665.</t>
  </si>
  <si>
    <t>Grid item #665. Discovered from Tagged page grid in sequential order.</t>
  </si>
  <si>
    <t>Discovered at visual grid position #537. Verified Ad Details URL. Format: Single Image Ad.</t>
  </si>
  <si>
    <t>Today on the #expresswriters #blog is our #Interview With The @semrushcom #Team: #Talking #SEO &amp; #Online #Marketing - #read about it here: https://expresswriters.com/qa-interview-with-the-semrush-team-talking-seo-online-marketing/ #content</t>
  </si>
  <si>
    <t>#expresswriters, #blog, #Interview, #Team, #Talking, #SEO, #Online, #Marketing, #read, #content</t>
  </si>
  <si>
    <t>Tagged non-reel item (Static Photo) at grid position #666.</t>
  </si>
  <si>
    <t>Grid item #666. Discovered from Tagged page grid in sequential order.</t>
  </si>
  <si>
    <t>https://adstransparency.google.com/advertiser/AR05016556376214732801/creative/CR05188027344870178817?region=anywhere</t>
  </si>
  <si>
    <t>Ran from Nov 27, 2025 to Dec 22, 2025</t>
  </si>
  <si>
    <t>Discovered at visual grid position #538. Verified Ad Details URL. Format: Single Image Ad.</t>
  </si>
  <si>
    <t>There are at least two ways of reaching the target. Remember the plan B if your Plan A doesn't work A/B testing #SEO #marketing #strategies #tactics</t>
  </si>
  <si>
    <t>#SEO, #marketing, #strategies, #tactics</t>
  </si>
  <si>
    <t>Tagged non-reel item (Static Photo) at grid position #667.</t>
  </si>
  <si>
    <t>Grid item #667. Discovered from Tagged page grid in sequential order.</t>
  </si>
  <si>
    <t>roburritos, rankpoplife</t>
  </si>
  <si>
    <t>https://adstransparency.google.com/advertiser/AR05016556376214732801/creative/CR01452026196786151425?region=anywhere</t>
  </si>
  <si>
    <t>@semrushcom, @rankpoplife, and @prospectmx crews hangin at #roburritos today for lunch. #rankpoplife @roburritos</t>
  </si>
  <si>
    <t>#roburritos, #rankpoplife</t>
  </si>
  <si>
    <t>Tagged non-reel item (Static Photo) at grid position #668.</t>
  </si>
  <si>
    <t>Grid item #668. Discovered from Tagged page grid in sequential order.</t>
  </si>
  <si>
    <t>Discovered at visual grid position #539. Verified Ad Details URL. Format: Single Image Ad.</t>
  </si>
  <si>
    <t>AccuRanker (@accuranker)</t>
  </si>
  <si>
    <t>Most marketing teams are optimizing for people who don't exist.  They're chasing keywords nobody's typing, creating content nobody wants, and wondering why nothing converts.   Here's what actually works: knowing your customer so well you can predict what they'll search before they do.  Since I started consulting on SEO strategies seven years ago, I've seen businesses chase trends, throw budget audits, or optimize for every SEO best practice under the sun, only to fall flat because they didn't get their audience.  The agency told them it was going to take time or the algorithm changed, but it was doomed to fail from the start.   If only they knew their customers.  Here's how to make it work:  1️⃣ Start with data you already have. Dive into Google Analytics, CRM reports, or cluster keyword research tools like Semrush. (This helps you find the topics, not just the keywords.)  2️⃣Look at who's visiting your site, what they're clicking, and where they drop off.  Patterns tell stories; if they are dropping, you are missing something.   3️⃣Talk to your customers. Surveys, interviews, or a quick poll on LinkedIn can reveal what your audience loves, hates, or needs.   4️⃣You can just ask open-ended questions, and you'll uncover insights that no tool can give you.  5️⃣ Build personas that live. Don't just write 'Sarah, 35, mom.'  6️⃣ Test and tweak. Use your insights to craft targeted campaigns, then measure what hits. A/B test headlines, landing pages, or even keywords. If your data indicates that your audience prefers video tutorials, consider ditching the 2,000-word blog post.  Knowing your customers is a superpower that most acquisition marketing teams skip.  SEO done around a customer is poised to convert.   Semrush partner post</t>
  </si>
  <si>
    <t>Discovered at grid #1 from Tagged page grid in sequential order.</t>
  </si>
  <si>
    <t>SEO, Content Strategy, Growth Marketing, Keyword Research</t>
  </si>
  <si>
    <t>Discovered at visual grid position #540. Verified Ad Details URL. Format: Single Image Ad.</t>
  </si>
  <si>
    <t>Hvad gør man når AI overtager kunderejsen? Det fik deltagerne svar på i både København og Aarhus i de to forgangne uger. 💡  Spændende indsigter fra vores globale analyse af brugernes AI-adfærd i de nordiske markeder og anbefalinger fra ekspertpanelet om, hvad de hver især gør, for at navigere i den nye virkelighed. 🤖📱  Tak til alle der deltog. 🙏🏻</t>
  </si>
  <si>
    <t>Tagged non-reel item (Photo Carousel) at grid position #2.</t>
  </si>
  <si>
    <t>https://adstransparency.google.com/advertiser/AR05016556376214732801/creative/CR15615681273488474113?region=anywhere</t>
  </si>
  <si>
    <t>Discovered at grid #2 from Tagged page grid in sequential order.</t>
  </si>
  <si>
    <t>SEO &amp; Rank Tracking, AI Search &amp; GEO, Digital Marketing</t>
  </si>
  <si>
    <t>Real Tools. Real Business. Real Results.  At The Masterminders 2025, we asked: “What tools are ACTUALLY moving the needle in your business?”  Surprisingly, they said  ❌ No familiar Ahrefs ❌ No Semrush ❌ No Google Search Console  Only tools they use daily to drive real revenue. These aren’t affiliate links.  They’re the tools that founders, marketers &amp; agency owners are scaling with right now.  Dro</t>
  </si>
  <si>
    <t>#themasterminders, #seo, #conference</t>
  </si>
  <si>
    <t>Tagged non-reel item (Photo Carousel) at grid position #3.</t>
  </si>
  <si>
    <t>Discovered at grid #3 from Tagged page grid in sequential order.</t>
  </si>
  <si>
    <t>AI Mode != AI Overviews  If you think pushing the latest 'tactic' for visibility in AI Overviews will cover your bases for AI Mode, it won't.  According to my tracked data in Semrush's AIO there is a big difference between what I see in AI Mode vs AI Overviews.   (Side note, I love that Semrush can track AI Mode)  This means that AI Overviews is still keyed off of basic prompts functioning like keywords, but AI Mode is a rebuild of how search will work.   I still don't think an AI Mode default is right around the corner because monetization isn't ready yet, but be prepared for it. It is coming.   #SemrushPartner</t>
  </si>
  <si>
    <t>Search Visibility, Keyword Research</t>
  </si>
  <si>
    <t>SEO &amp; Rank Tracking, AI Search &amp; GEO, Keyword Research</t>
  </si>
  <si>
    <t>@everyone @followers   AccuRanker is the world’s fastest, most accurate keyword rank tracking tool. #AccuRanker provides their 32,000 customers with in-depth SEO analytics and a powerful infrastructure to help them increase their organic traffic.  Learn more about AccuRanker SEO services and sign up for your free 14-day trial 👉https://accuranker.sjv.io/3ekrNd 👈  *We are an affiliate partner of Acc</t>
  </si>
  <si>
    <t>Discovered at visual grid position #541. Verified Ad Details URL. Format: Single Image Ad.</t>
  </si>
  <si>
    <t>#AccuRanker, #keywordrankingtool, #SEO, #analytics, #trackingtool, #smallbusiness, #smallbusinesssolutions, #digitalmarketing, #marketingstrategy, #shinedelight, #shinedelightenterprises</t>
  </si>
  <si>
    <t>Tagged non-reel item (Static Photo) at grid position #4.</t>
  </si>
  <si>
    <t>Discovered at grid #4 from Tagged page grid in sequential order.</t>
  </si>
  <si>
    <t>SEO &amp; Rank Tracking</t>
  </si>
  <si>
    <t>https://adstransparency.google.com/advertiser/AR05016556376214732801/creative/CR17970234846835900417?region=anywhere</t>
  </si>
  <si>
    <t>How Bajaj Finserv scaled search performance, automated reporting, and unlocked +260% visibility gains with Semrush Enterprise.</t>
  </si>
  <si>
    <t>Enterprise brands rarely lack strategy. They struggle to scale it across a fragmented stack of point solutions.   Bajaj Finserv a leader in Indian financial services, fixed that by standardizing on Semrush Enterprise as their single platform for search and content.   One platform, one source of truth, automated heavy lifting, and room to launch new categories faster.  The impact:  • 260% growth in share of voice  • 28% increase in traffic  • 3x more page-one results  This is what happens when you replace point tools with a platform built for scale. Thank you ANSHUL BALI for your partnership and for sharing your story.  Full story: https://lnkd.in/d4Wamz2z  Congrats Jack P, Bijith Bhaskar and team.</t>
  </si>
  <si>
    <t>List of the 9 best SEO competitor rank tracking tools for 2023 to help you stay on top of your competitors’ SEO performance &amp; improve your own website’s SEO. Read More t.ly/d6UXw   #SEOExperts #SEO #SEOTools  @ahrefs @semrush @SEOmozPRO @SERanking @spyfu @brightedge</t>
  </si>
  <si>
    <t>#SEOExperts, #SEO, #SEOTools</t>
  </si>
  <si>
    <t>Search Visibility, Enterprise &amp; GTM, Content Strategy, Growth Marketing</t>
  </si>
  <si>
    <t>Tagged non-reel item (Photo Carousel) at grid position #5.</t>
  </si>
  <si>
    <t>Discovered at grid #5 from Tagged page grid in sequential order.</t>
  </si>
  <si>
    <t>SEO &amp; Rank Tracking, Video Marketing</t>
  </si>
  <si>
    <t>Ran from Nov 25, 2025 to Nov 29, 2025</t>
  </si>
  <si>
    <t>Discovered at visual grid position #542. Verified Ad Details URL. Format: Single Image Ad.</t>
  </si>
  <si>
    <t>WOW for en løsning! Vi er ret vilde med den her indretning hos @accuranker i Aarhus - hvad synes I? 😍♻️  AccuRanker er nogen af verdens bedste, til det de gør. Derfor er de også meget stolte af deres navn og logo – og vil gerne vise det frem. Det hjalp vi med på en kreativ og grøn måde med en plantevæg og mosvæg med logo. ☘️  Vores Design- og Indretningskonsulent i Aarhus Gitte Frydensberg foreslo</t>
  </si>
  <si>
    <t>#newyorker, #mosvæg, #mos, #moss, #mosswall, #mosswalls, #greenmood, #greenwalls, #greeninspiration, #greenwall, #green, #interiordesign, #interior, #interiør, #plantevæg, #plantevægge, #planter, #planteservice, #naturalgreenwalls, #greenarchitecture, #greenarchitecturenow, #greenery, #plantwalldesign, #plantwall, #plantgoals, #biophilia, #verticalgarden, #indretning</t>
  </si>
  <si>
    <t>Discovered at grid #6 from Tagged page grid in sequential order.</t>
  </si>
  <si>
    <t>SEO &amp; Rank Tracking, Content Marketing, Digital Marketing</t>
  </si>
  <si>
    <t>https://adstransparency.google.com/advertiser/AR05016556376214732801/creative/CR01140574135055810561?region=anywhere</t>
  </si>
  <si>
    <t>6 Best SEO Affiliate programs that are Best 💯  @affiliatecage   #contentcreator #affiliatemarketingtips #seo #digitalmarketing #digital #affiliated #affiliateprograms #like4likes #likeforlikes #likes #likeforlikeback #boost #semrush #surferseo #accuranker #rankmath #serpstat #nitropack #boost #affiliatemarketer #blogging #blogger #wordpressdeveloper #wordpress #likeforlikes❤</t>
  </si>
  <si>
    <t>#contentcreator, #affiliatemarketingtips, #seo, #digitalmarketing, #digital, #affiliated, #affiliateprograms, #like4likes, #likeforlikes, #likes, #likeforlikeback, #boost, #semrush, #surferseo, #accuranker, #rankmath, #serpstat, #nitropack, #boost, #affiliatemarketer, #blogging, #blogger, #wordpressdeveloper, #wordpress, #likeforlikes</t>
  </si>
  <si>
    <t>Tagged non-reel item (Photo Carousel) at grid position #7.</t>
  </si>
  <si>
    <t>Discovered at grid #7 from Tagged page grid in sequential order.</t>
  </si>
  <si>
    <t>Discovered at visual grid position #543. Verified Ad Details URL. Format: Single Image Ad.</t>
  </si>
  <si>
    <t>SEO &amp; Rank Tracking, Keyword Research</t>
  </si>
  <si>
    <t>One of the essential elements of SEO is picking the right keyword via Keyword research, making your pages rank for them.  It is also necessary for a blogger or SEO professional to check their Google keyword ranking for target keywords. These are the best keyword rank tracking tools that you can use to track your website ranking for your target keywords. . . . #seo #kewordresearch #blogging #blogge</t>
  </si>
  <si>
    <t>#seo, #kewordresearch, #blogging, #bloggers, #bloggingtips, #bloggerlife, #bloggerslife, #blog, #googlesearch, #semrush, #accuranker, #serpwatcher, #seranking, #ahrefs, #rankwatch</t>
  </si>
  <si>
    <t>Discovered at grid #8 from Tagged page grid in sequential order.</t>
  </si>
  <si>
    <t>Ran from Nov 21, 2025 to Dec 2, 2025</t>
  </si>
  <si>
    <t>Discovered at visual grid position #544. Verified Ad Details URL. Format: Single Image Ad.</t>
  </si>
  <si>
    <t>5 ways to monitor competitor</t>
  </si>
  <si>
    <t>https://adstransparency.google.com/advertiser/AR05016556376214732801/creative/CR04783556049674174465?region=anywhere</t>
  </si>
  <si>
    <t>Tagged non-reel item (Photo Carousel) at grid position #9.</t>
  </si>
  <si>
    <t>Discovered at grid #9 from Tagged page grid in sequential order.</t>
  </si>
  <si>
    <t>Do you want to keep track of your ranking articles on Google searches? These are the best ranking tracking software you can consider trying.  . . . #seo #blogging #bloggers #bloggerlife #blog #bloggerlife #ranktracker #wordpress #semrush #ahrefs #accuranker #shoutmeloud #bloggingtips</t>
  </si>
  <si>
    <t>#seo, #blogging, #bloggers, #bloggerlife, #blog, #bloggerlife, #ranktracker, #wordpress, #semrush, #ahrefs, #accuranker, #shoutmeloud, #bloggingtips</t>
  </si>
  <si>
    <t>Discovered at grid #10 from Tagged page grid in sequential order.</t>
  </si>
  <si>
    <t>Discovered at visual grid position #545. Verified Ad Details URL. Format: Single Image Ad.</t>
  </si>
  <si>
    <t>Check our new blog 'Best SERP Tracking Tools' https://myinfoadda.com/serp-tracking-tools/  #bestserptool #bestwebsitetrackingtool #onlinetrackingtool #serprankingtool #myinfoadda</t>
  </si>
  <si>
    <t>#bestserptool, #bestwebsitetrackingtool, #onlinetrackingtool, #serprankingtool, #myinfoadda</t>
  </si>
  <si>
    <t>Discovered at grid #11 from Tagged page grid in sequential order.</t>
  </si>
  <si>
    <t>SEO &amp; Rank Tracking, Keyword Research, Digital Marketing</t>
  </si>
  <si>
    <t>https://adstransparency.google.com/advertiser/AR05016556376214732801/creative/CR01245615978415390721?region=anywhere</t>
  </si>
  <si>
    <t>Discovered at visual grid position #546. Verified Ad Details URL. Format: Single Image Ad.</t>
  </si>
  <si>
    <t>Discovered at grid #12. Verified video reel. Direct link confirmed.</t>
  </si>
  <si>
    <t>SEO &amp; Rank Tracking, Digital Marketing</t>
  </si>
  <si>
    <t>🔵 معرفی برترین استارتاپ های کشور دانمارک  1. Iconfinder  2. Influencer marketing hub 3. Acuuranker 4. Sleeknote 5. Templafy   بررسی کامل این استارتاپ ها در شماره 31 ماهنامه پیشران انجام شده است.   🔴 www.pishran.xyz  ✅ با ما سهم خود را از آینده بیشتر کنید  #آینده_پژوهی #پیشران #استارتاپ #کارآفرین #موفقیت #پیشرفت #هدف #کسب_وکار #رشد_فردی #انگیزش #فناوری #نوآوری #تکنولوژی #استارتاپ</t>
  </si>
  <si>
    <t>#آینده_پژوهی, #پیشران, #استارتاپ, #کارآفرین, #موفقیت, #پیشرفت, #هدف, #کسب_وکار, #رشد_فردی, #انگیزش, #فناوری, #نوآوری, #تکنولوژی, #استارتاپ</t>
  </si>
  <si>
    <t>Tagged non-reel item (Photo Carousel) at grid position #13.</t>
  </si>
  <si>
    <t>Discovered at visual grid position #547. Verified Ad Details URL. Format: Single Image Ad.</t>
  </si>
  <si>
    <t>Discovered at grid #13 from Tagged page grid in sequential order.</t>
  </si>
  <si>
    <t>https://adstransparency.google.com/advertiser/AR05016556376214732801/creative/CR05573575220318437377?region=anywhere</t>
  </si>
  <si>
    <t>SEO Tactics to Implement Tonight ⠀ with the amazing @lukaszzelezny - https://youtu.be/GxjcgEfrH1M ⠀ This conference is organised by @clickconsult ⠀ ⠀ ⠀⠀ ⠀ #contentmarketing #seo #digitalmarketing #digitalinfluencer #BenchmarkConf #seotip #keywordresearch #seospecialist #seoexperts #contentmarketing #seo2019 #business #marketing #internetmarketing #successminded #successquotes #successtips #b2bmark</t>
  </si>
  <si>
    <t>#contentmarketing, #seo, #digitalmarketing, #digitalinfluencer, #BenchmarkConf, #seotip, #keywordresearch, #seospecialist, #seoexperts, #contentmarketing, #seo2019, #business, #marketing, #internetmarketing, #successminded, #successquotes, #successtips, #b2bmarketers, #maincontent, #branding, #blogging, #entrepreneur, #website, #startup, #marketing, #sales, #digitalodyssey, #socialmedia, #marketingstrategy, #marketingtips</t>
  </si>
  <si>
    <t>Discovered at grid #14. Verified video reel. Direct link confirmed.</t>
  </si>
  <si>
    <t>Discovered at visual grid position #548. Verified Ad Details URL. Format: Single Image Ad.</t>
  </si>
  <si>
    <t>Our team went shooting today! 🎯 🔫 turns out to be a damn good idea, we had so much fun!!! 😃 . . . And you, what are you doing for #teambuilding? Let me know in the comments!😉 . . . #AccuRanker #AccuRankerTeam #fun #teambuilding2019 #bestteamever #shooting #officelife #ilovemyjob #ilovewhatido #lovelife #livelive #enjoythemoment #workcanbefuntoo #funatwork #instaphoto #instagood #polishgirl #happyg</t>
  </si>
  <si>
    <t>#teambuilding, #AccuRanker, #AccuRankerTeam, #fun, #teambuilding2019, #bestteamever, #shooting, #officelife, #ilovemyjob, #ilovewhatido, #lovelife, #livelive, #enjoythemoment, #workcanbefuntoo, #funatwork, #instaphoto, #instagood, #polishgirl, #happygirl, #girlsandguns, #realgunshooting, #realgun, #funtime</t>
  </si>
  <si>
    <t>Tagged non-reel item (Photo Carousel) at grid position #15.</t>
  </si>
  <si>
    <t>https://adstransparency.google.com/advertiser/AR05016556376214732801/creative/CR12892717362679119873?region=anywhere</t>
  </si>
  <si>
    <t>Discovered at grid #15 from Tagged page grid in sequential order.</t>
  </si>
  <si>
    <t>Discovered at visual grid position #549. Verified Ad Details URL. Format: Single Image Ad.</t>
  </si>
  <si>
    <t>I'm so excited! And I just can't hide it😃 . . . #happiness #happinessisthekeytolife #excitement #brunette #polishgirl #happygirlsareprettygirls #Ilovemyjob #lovelife #happytravels #businesstrip #GoogleGrump🐯 #BrightonSEO #SEO #SM #socialmedia #digitalmarketing #brightonseoconference #brightonseoconference2019 #throwback #ilovewhatido #photographer #photolover #dji  #photographyismypassion📷 #succes</t>
  </si>
  <si>
    <t>#happiness, #happinessisthekeytolife, #excitement, #brunette, #polishgirl, #happygirlsareprettygirls, #Ilovemyjob, #lovelife, #happytravels, #businesstrip, #GoogleGrump, #BrightonSEO, #SEO, #SM, #socialmedia, #digitalmarketing, #brightonseoconference, #brightonseoconference2019, #throwback, #ilovewhatido, #photographer, #photolover, #dji, #photographyismypassion, #successstory, #instagood, #funtime, #conference, #digitalolympus, #sweetsfromrussia</t>
  </si>
  <si>
    <t>Discovered at grid #16 from Tagged page grid in sequential order.</t>
  </si>
  <si>
    <t>SEO &amp; Rank Tracking, Digital Marketing, Video Marketing</t>
  </si>
  <si>
    <t>Discovered at visual grid position #550. Verified Ad Details URL. Format: Single Image Ad.</t>
  </si>
  <si>
    <t>https://adstransparency.google.com/advertiser/AR05016556376214732801/creative/CR16728894740291911681?region=anywhere</t>
  </si>
  <si>
    <t>Discovered at grid #17 from Tagged page grid in sequential order.</t>
  </si>
  <si>
    <t>Cheers🍷 . . . 📸 credits to @ievany 💕 who captured me in action🙆‍♀️ thank youuu! . . . #photolover #AccuRanker #sunsetdenmark #sunsetlover #AccuRankerOffice #theviewfromthetop #wine #glassofwine🍷 #cheers #success #CompanyBirthday #aarhus #mylittlebigcity #denmark🇩🇰 #danishphotography #danishlife #hygge #DanishCompany #hyggelife #nordiclife #tbt #polishgirl #ilovemyjob #smm #photography #ilovewhatid</t>
  </si>
  <si>
    <t>#photolover, #AccuRanker, #sunsetdenmark, #sunsetlover, #AccuRankerOffice, #theviewfromthetop, #wine, #glassofwine, #cheers, #success, #CompanyBirthday, #aarhus, #mylittlebigcity, #denmark, #danishphotography, #danishlife, #hygge, #DanishCompany, #hyggelife, #nordiclife, #tbt, #polishgirl, #ilovemyjob, #smm, #photography, #ilovewhatido</t>
  </si>
  <si>
    <t>Tagged non-reel item (Photo Carousel) at grid position #18.</t>
  </si>
  <si>
    <t>Discovered at visual grid position #551. Verified Ad Details URL. Format: Single Image Ad.</t>
  </si>
  <si>
    <t>Discovered at grid #18 from Tagged page grid in sequential order.</t>
  </si>
  <si>
    <t>I love taking the iniciative of the creative part of my job! 😍 . . . AccuRanker turned 6 years this year and we had an amazing party in our beautiful, modern office in the heart of Aarhus spending time together, knowing each other better and having fun! 🎉🎊We invited partners, customers, our friends and family members who wanted to celebrate this special day with us! . . . Company growth is incredi</t>
  </si>
  <si>
    <t>#AccuRankerTeam, #food, #birthdaycake, #ilovewhatido, #Ilovemyjob, #photographer, #socialmediamanager, #videography, #makingmovie, #AccuRanker, #teamgoals, #CompanyBirthday, #party, #foodporn, #photomood, #photolover, #passion, #photographyismypassion, #GoogleGrump, #partytime, #birthdays, #danishphotography, #DanishCompany, #nordicliving, #danishhygge, #hygge, #danishlife, #companygoals, #successstory</t>
  </si>
  <si>
    <t>Tagged non-reel item (Photo Carousel) at grid position #19.</t>
  </si>
  <si>
    <t>Discovered at grid #19 from Tagged page grid in sequential order.</t>
  </si>
  <si>
    <t>https://adstransparency.google.com/advertiser/AR05016556376214732801/creative/CR11450008573455630337?region=anywhere</t>
  </si>
  <si>
    <t>Ran from Nov 18, 2025 to Dec 1, 2025</t>
  </si>
  <si>
    <t>Discovered at visual grid position #552. Verified Ad Details URL. Format: Single Image Ad.</t>
  </si>
  <si>
    <t>Thanks to all our partners for helping us to make #digitalolympusevent real!</t>
  </si>
  <si>
    <t>#digitalolympusevent</t>
  </si>
  <si>
    <t>Tagged non-reel item (Static Photo) at grid position #20.</t>
  </si>
  <si>
    <t>See the top brands and their strategies</t>
  </si>
  <si>
    <t>Discovered at grid #20 from Tagged page grid in sequential order.</t>
  </si>
  <si>
    <t>Download your free blueprint for AI search and borrow the tactics used by leading brands. Get them now before the competition does.</t>
  </si>
  <si>
    <t>Thanks for the SEO goodies @nickfettiplace 🤗🙌🏻 @accuranker @brightedge_  #seo #digitalmarketing</t>
  </si>
  <si>
    <t>#seo, #digitalmarketing</t>
  </si>
  <si>
    <t>Ran from Nov 12, 2025 to Dec 31, 2025</t>
  </si>
  <si>
    <t>Discovered at visual grid position #553. Verified Ad Details URL. Format: Single Image Ad.</t>
  </si>
  <si>
    <t>Discovered at grid #21 from Tagged page grid in sequential order.</t>
  </si>
  <si>
    <t>SEO &amp; Rank Tracking, Keyword Research, Content Marketing</t>
  </si>
  <si>
    <t>https://adstransparency.google.com/advertiser/AR05016556376214732801/creative/CR00855878139031584769?region=anywhere</t>
  </si>
  <si>
    <t>Only a few days to go now to #brightonSEO 💥  Come and see us at Stand B3- great giveaways, awesome team and the Conference's BEST competition! . . . #AccuRanker #seotools #SEO #brightonSEO #brightonevents #digitalmarketing #keywords #KeywordRankTracker #article #expertsonly #news #SEM #seonews #event #socialmedia #giveaways #awesometeam #best #competition #meetus #seomarketing #seotool #seoprofess</t>
  </si>
  <si>
    <t>#brightonSEO, #AccuRanker, #seotools, #SEO, #brightonSEO, #brightonevents, #digitalmarketing, #keywords, #KeywordRankTracker, #article, #expertsonly, #news, #SEM, #seonews, #event, #socialmedia, #giveaways, #awesometeam, #best, #competition, #meetus, #seomarketing, #seotool, #seoprofessionals, #marketingdigital, #searchengineoptimization</t>
  </si>
  <si>
    <t>Discovered at grid #22 from Tagged page grid in sequential order.</t>
  </si>
  <si>
    <t>OtterlyAI (@otterlyai)</t>
  </si>
  <si>
    <t>SEO &amp; Rank Tracking, AI Search &amp; GEO</t>
  </si>
  <si>
    <t>Ran from Nov 12, 2025 to Dec 12, 2025</t>
  </si>
  <si>
    <t>Discovered at visual grid position #554. Verified Ad Details URL. Format: Single Image Ad.</t>
  </si>
  <si>
    <t>Schema markup works great for Google. ChatGPT never even looked at it.  @tompeham 's team ran a real test: they added unique attributes to schema markup and tracked what happened across platforms. Google organic visibility went up. Google AI Overviews went up. ChatGPT and the other AI search engines showed zero impact, and when asked directly for that data, some of them hallucinated an answer inst</t>
  </si>
  <si>
    <t>#SEO, #Schema, #AISearch, #ChatGPT, #Page2Podcast</t>
  </si>
  <si>
    <t>Discovered at grid #1. Verified video reel. Direct link confirmed.</t>
  </si>
  <si>
    <t>https://adstransparency.google.com/advertiser/AR05016556376214732801/creative/CR02973953974157180929?region=anywhere</t>
  </si>
  <si>
    <t>Discovered at visual grid position #555. Verified Ad Details URL. Format: Single Image Ad.</t>
  </si>
  <si>
    <t>Comment “bots” and I’ll send you the link.  AI crawlers like ChatGPT and Claude hit business websites every day, and most analytics tools never see it, because they only track browsers running JavaScript, and bots don’t run it. Otterly’s new Agent Analytics reads server logs instead, so you can finally see that traffic. We use Otterly for AI visibility and GEO across every client account, this fil</t>
  </si>
  <si>
    <t>#FindYourAgent</t>
  </si>
  <si>
    <t>Discovered at grid #2. Verified video reel. Direct link confirmed.</t>
  </si>
  <si>
    <t>if you know you know #zerovisibility @otterlyai</t>
  </si>
  <si>
    <t>#zerovisibility</t>
  </si>
  <si>
    <t>Discovered at grid #3. Verified video reel. Direct link confirmed.</t>
  </si>
  <si>
    <t>Discovered at visual grid position #556. Verified Ad Details URL. Format: Single Image Ad.</t>
  </si>
  <si>
    <t>https://adstransparency.google.com/advertiser/AR05016556376214732801/creative/CR18191343061768863745?region=anywhere</t>
  </si>
  <si>
    <t>we started a new video series: People of AI Search @slopelift x @otterlyai  full interview on otterly.ai/blog</t>
  </si>
  <si>
    <t>Discovered at grid #4. Verified video reel. Direct link confirmed.</t>
  </si>
  <si>
    <t>SEO &amp; Rank Tracking, AI Search &amp; GEO, Content Marketing</t>
  </si>
  <si>
    <t>Discovered at visual grid position #557. Verified Ad Details URL. Format: Single Image Ad.</t>
  </si>
  <si>
    <t>Ever wondered if your brand even shows up when someone asks ChatGPT or Gemini for advice?   These 7 GEO and AEO tools help you find out, and fix it before your competitors take the spotlight.   Profound gives enterprise teams a deep look at how AI systems crawl and present their brand, while Peec AI keeps things simple with clean prompt-level tracking for busy marketing teams.   OtterlyAI watches</t>
  </si>
  <si>
    <t>#TDDeepDive, #TechDogs, #GEO, #AEO, #AICitations, #AISearch</t>
  </si>
  <si>
    <t>SEO &amp; Rank Tracking, AI Search &amp; GEO, Startup &amp; Growth</t>
  </si>
  <si>
    <t>https://adstransparency.google.com/advertiser/AR05016556376214732801/creative/CR01686138610618728449?region=anywhere</t>
  </si>
  <si>
    <t>😱 Reddit is the most cited source in AI search answers. YouTube just became №2 — and grew faster than almost anyone expected.  Is your brand even part of that conversation? 👀  Adsy Talks episode is LIVE today! We sat down with Thomas Peham @tompeham , co-founder of Otterly AI @otterlyai , to talk about what’s really driving AI visibility right now.  In this episode: 🔹 Why ChatGPT behaves like a br</t>
  </si>
  <si>
    <t>#AdsyTalks, #AIsearch, #adsy, #GEO</t>
  </si>
  <si>
    <t>Discovered at grid #6. Verified video reel. Direct link confirmed.</t>
  </si>
  <si>
    <t>Discovered at visual grid position #558. Verified Ad Details URL. Format: Single Image Ad.</t>
  </si>
  <si>
    <t>Your free blueprint for dominating AI search</t>
  </si>
  <si>
    <t>The AI Visibility Index shows you the proven strategies used by the brands winning AI search.</t>
  </si>
  <si>
    <t>168 Teilnehmende. Jede Menge starke Fragen. Ein Thema, das gerade alle bewegt: #GEO.  Gestern sind wir gemeinsam mit Valentin Zehnder (SUNZINET), Julius Hemingway (@storybloklife) und Thomas Peham (@otterlyai) tief ins Thema Generative Engine Optimization eingetaucht – und die Q&amp;A Session hat gezeigt: Der Bedarf an Orientierung ist riesig.  Ein großes Dankeschön an alle, die dabei waren und die Di</t>
  </si>
  <si>
    <t>#GEO, #SEO, #KIMarketing, #DigitalesMarketing, #Webinar</t>
  </si>
  <si>
    <t>Discovered at visual grid position #559. Verified Ad Details URL. Format: Single Image Ad.</t>
  </si>
  <si>
    <t>I was nervous. A video team followed me around OMR Festival in Hamburg. 📹  To tell my story. And the bigger one: how AI has changed search, and how businesses are scrambling to keep up.  AI Search is reshaping how every brand gets found.  Huge thanks to everyone who shared their perspective on camera.  🎥 by @miku.media</t>
  </si>
  <si>
    <t>https://adstransparency.google.com/advertiser/AR05016556376214732801/creative/CR16729574513355784193?region=anywhere</t>
  </si>
  <si>
    <t>Discovered at grid #8. Verified video reel. Direct link confirmed.</t>
  </si>
  <si>
    <t>Ran from Nov 11, 2025 to Dec 31, 2025</t>
  </si>
  <si>
    <t>Discovered at visual grid position #560. Verified Ad Details URL. Format: Single Image Ad.</t>
  </si>
  <si>
    <t>Your brand might be completely invisible to AI search right now. And the scary part is you would never know.  When someone asks ChatGPT, Perplexity, or Google AI a question your brand should be the answer to, are you showing up? Are you being recommended? Or are your competitors getting that mention while you are left out of the conversation entirely?  I ran an AI search audit on Blog With Ben usi</t>
  </si>
  <si>
    <t>#OtterlyAI, #AISearch, #GEO, #GenerativeEngineOptimization, #BloggingTips</t>
  </si>
  <si>
    <t>Discovered at grid #9. Verified video reel. Direct link confirmed.</t>
  </si>
  <si>
    <t>Podcast-Werbegrafik für „Content Strategy Rocks Staffel 3' mit Thomas Peham zum Thema KI-Suche und Content-Strategie, dargestellt als stilisierter Social-Media-Post mit einer leuchtenden KI-Sphäre und den Schlagworten „Sichtbarkeit in KI-Suchen', „Content für KI-Agenten' und „SEO &amp; GEO' auf dunklem Hintergrund.</t>
  </si>
  <si>
    <t>Discovered at visual grid position #561. Verified Ad Details URL. Format: Single Image Ad.</t>
  </si>
  <si>
    <t>OMR Festival Hamburg, in a nutshell.  We are coming back @otterlyai</t>
  </si>
  <si>
    <t>Discovered at grid #11. Verified video reel. Direct link confirmed.</t>
  </si>
  <si>
    <t>https://adstransparency.google.com/advertiser/AR05016556376214732801/creative/CR03832011748961943553?region=anywhere</t>
  </si>
  <si>
    <t>Discovered at visual grid position #562. Verified Ad Details URL. Format: Single Image Ad.</t>
  </si>
  <si>
    <t>POV: you’re a marketing manager and you open your laptop. You go to see how your site is performing in Google Analytics, and you notice that your Click-Through Rate has plummeted, but your rankings are stable. What’s going on here?   Over 65% of Google search results pages contain an AI Overview. Meaning that over of half of all sales related queries ends right then and there. Someone looks for a</t>
  </si>
  <si>
    <t>#aio, #aiseo, #discoveraio, #aiotracker</t>
  </si>
  <si>
    <t>Tagged non-reel item (Photo Carousel) at grid position #12.</t>
  </si>
  <si>
    <t>Discovered at grid #12 from Tagged page grid in sequential order.</t>
  </si>
  <si>
    <t>Win more clients and scale with confidence</t>
  </si>
  <si>
    <t>Partner with Semrush, the industry’s most advanced visibility platform. Power client outcomes backed by market-leading data and automations.</t>
  </si>
  <si>
    <t>The Voice of Germany? 🎤  Nope – eher „The Voice of Top Voices“, wenn es um #AIVisibility geht! 🚀  Ich freue mich riesig, als Ambassador für @otterlyai meine Insights zu teilen, wie Brands das neue KI-Game gewinnen. 💡  Meine Mission: #retrieval , das Herzstück von #aisearch , verständlich machen!  Optimiert euren Content so, dass der Retriever euren Snack direkt an die KI apportiert. 🐕🦴   Wer heute</t>
  </si>
  <si>
    <t>#AIVisibility, #retrieval, #aisearch, #GenerativeEngineOptimization, #KI</t>
  </si>
  <si>
    <t>Ran from Nov 11, 2025 to Nov 18, 2025</t>
  </si>
  <si>
    <t>Discovered at visual grid position #563. Verified Ad Details URL. Format: Single Image Ad.</t>
  </si>
  <si>
    <t>https://adstransparency.google.com/advertiser/AR05016556376214732801/creative/CR10033190121970335745?region=anywhere</t>
  </si>
  <si>
    <t>Your customers aren’t just googling anymore-they’re asking AI assistants what to wear. If your brand isn’t part of the answer, you’re invisible.  Welcome to the era where Answer Engine Optimization (AEO) outpaces traditional Search Engine Optimization (SEO).  With AI, shoppers don’t just type keywords-they ask detailed questions, seek outfit ideas, and rely on personalized recommendations.  Your o</t>
  </si>
  <si>
    <t>#fashionaiimplementation, #answerengineoptimization, #fashiontech, #fashionai, #aiinfashion</t>
  </si>
  <si>
    <t>Ran from Nov 11, 2025 to Nov 11, 2025</t>
  </si>
  <si>
    <t>Discovered at visual grid position #564. Verified Ad Details URL. Format: Single Image Ad.</t>
  </si>
  <si>
    <t>Don’t limit your potential with just one tool! 🚀   These 5 powerful AI tools go beyond ChatGPT to supercharge your productivity and decision-making.   Toffu AI: https://bit.ly/4i1agoq Workleap: https://bit.ly/4nZhFpJ Mentio: https://bit.ly/4nR0eHD Otterly AI: https://bit.ly/47SlzKL Pionex: https://bit.ly/4o6IKY8  🔧 Try them out now and elevate your workflow!   Which AI tool are you most excited to</t>
  </si>
  <si>
    <t>#AI, #SaaSTrac, #Innovation, #Productivity</t>
  </si>
  <si>
    <t>https://adstransparency.google.com/advertiser/AR05016556376214732801/creative/CR11354127998417633281?region=anywhere</t>
  </si>
  <si>
    <t>👉🏻 #GEO - It's the hottest new discipline in #digitalmarketing.   As AI platforms like #ChatGPT, #Gemini, and Google's #AI Overviews take over search, the focus has shifted from ranking links to being the trusted source the AI cites.  The industry is exploding, and with it, the rapid rise of the specialized GEO Agency!  ➡️ Swipe to understand the change &amp; find out who to partner with! (Agency sugg</t>
  </si>
  <si>
    <t>#GEO, #digitalmarketing, #ChatGPT, #Gemini, #AI</t>
  </si>
  <si>
    <t>Discovered at visual grid position #565. Verified Ad Details URL. Format: Single Image Ad.</t>
  </si>
  <si>
    <t>Join the program that accelerates results</t>
  </si>
  <si>
    <t>Made for agencies that think big, the Semrush Partner Program gives you the complete tools to scale faster growth for hundreds of clients</t>
  </si>
  <si>
    <t>Enterprise &amp; GTM, Growth Marketing</t>
  </si>
  <si>
    <t>🚀 𝗦𝗘𝗢 𝘃𝗼𝗼𝗿 𝗔𝗜 𝗶𝘀 𝗹𝗶𝘃𝗲!   Vandaag hebben we met het hele team een nieuwe dienst gelanceerd: 𝗦𝗘𝗢 𝘃𝗼𝗼𝗿 𝗔𝗜. Online vindbaarheid verandert namelijk. Waar SEO vroeger vooral draaide om zoekmachines, gaat het nu óók om zichtbaarheid in AI-antwoorden van tools als ChatGPT.   🔍 Onze aanpak focust op het verbeteren van 𝗺𝗲𝗻𝘁𝗶𝗼𝗻𝘀 &amp; 𝗰𝗶𝘁𝗮𝘁𝗶𝗼𝗻𝘀: hoe vaak merken en domeinen terugkomen in AI-antwoorden.  ✨ SEO voo</t>
  </si>
  <si>
    <t>Tagged non-reel item (Photo Carousel) at grid position #17.</t>
  </si>
  <si>
    <t>Discovered at visual grid position #566. Verified Ad Details URL. Format: Single Image Ad.</t>
  </si>
  <si>
    <t>https://adstransparency.google.com/advertiser/AR05016556376214732801/creative/CR04213899487640289281?region=anywhere</t>
  </si>
  <si>
    <t>Discovered at visual grid position #567. Verified Ad Details URL. Format: Single Image Ad.</t>
  </si>
  <si>
    <t>https://adstransparency.google.com/advertiser/AR05016556376214732801/creative/CR11437523756361187329?region=anywhere</t>
  </si>
  <si>
    <t>Discovered at visual grid position #568. Verified Ad Details URL. Format: Single Image Ad.</t>
  </si>
  <si>
    <t>Discovered at visual grid position #569. Verified Ad Details URL. Format: Single Image Ad.</t>
  </si>
  <si>
    <t>https://adstransparency.google.com/advertiser/AR05016556376214732801/creative/CR17235742800100720641?region=anywhere</t>
  </si>
  <si>
    <t>Discovered at visual grid position #570. Verified Ad Details URL. Format: Single Image Ad.</t>
  </si>
  <si>
    <t>https://adstransparency.google.com/advertiser/AR05016556376214732801/creative/CR16053171864939266049?region=anywhere</t>
  </si>
  <si>
    <t>Discovered at visual grid position #571. Verified Ad Details URL. Format: Single Image Ad.</t>
  </si>
  <si>
    <t>https://adstransparency.google.com/advertiser/AR05016556376214732801/creative/CR07102246577380524033?region=anywhere</t>
  </si>
  <si>
    <t>Discovered at visual grid position #572. Verified Ad Details URL. Format: Single Image Ad.</t>
  </si>
  <si>
    <t>Discovered at visual grid position #573. Verified Ad Details URL. Format: Single Image Ad.</t>
  </si>
  <si>
    <t>https://adstransparency.google.com/advertiser/AR05016556376214732801/creative/CR18254742551493869569?region=anywhere</t>
  </si>
  <si>
    <t>Discovered at visual grid position #574. Verified Ad Details URL. Format: Single Image Ad.</t>
  </si>
  <si>
    <t>https://adstransparency.google.com/advertiser/AR05016556376214732801/creative/CR14808517692910206977?region=anywhere</t>
  </si>
  <si>
    <t>Discovered at visual grid position #575. Verified Ad Details URL. Format: Single Image Ad.</t>
  </si>
  <si>
    <t>Grow revenue for you and your clients</t>
  </si>
  <si>
    <t>The Semrush Partner Program equips agencies with every tool to drive your client’s success, scale your growth, and stand out from the competition.</t>
  </si>
  <si>
    <t>Discovered at visual grid position #576. Verified Ad Details URL. Format: Single Image Ad.</t>
  </si>
  <si>
    <t>https://adstransparency.google.com/advertiser/AR05016556376214732801/creative/CR04628538928931012609?region=anywhere</t>
  </si>
  <si>
    <t>Discovered at visual grid position #577. Verified Ad Details URL. Format: Single Image Ad.</t>
  </si>
  <si>
    <t>https://adstransparency.google.com/advertiser/AR05016556376214732801/creative/CR01650891841245020161?region=anywhere</t>
  </si>
  <si>
    <t>Discovered at visual grid position #578. Verified Ad Details URL. Format: Single Image Ad.</t>
  </si>
  <si>
    <t>Discovered at visual grid position #579. Verified Ad Details URL. Format: Single Image Ad.</t>
  </si>
  <si>
    <t>https://adstransparency.google.com/advertiser/AR05016556376214732801/creative/CR05789499787682250753?region=anywhere</t>
  </si>
  <si>
    <t>Discovered at visual grid position #580. Verified Ad Details URL. Format: Single Image Ad.</t>
  </si>
  <si>
    <t>https://adstransparency.google.com/advertiser/AR05016556376214732801/creative/CR04494943318353903617?region=anywhere</t>
  </si>
  <si>
    <t>Discovered at visual grid position #581. Verified Ad Details URL. Format: Single Image Ad.</t>
  </si>
  <si>
    <t>Discovered at visual grid position #582. Verified Ad Details URL. Format: Single Image Ad.</t>
  </si>
  <si>
    <t>https://adstransparency.google.com/advertiser/AR05016556376214732801/creative/CR02501960020632010753?region=anywhere</t>
  </si>
  <si>
    <t>Discovered at visual grid position #583. Verified Ad Details URL. Format: Single Image Ad.</t>
  </si>
  <si>
    <t>Discovered at visual grid position #584. Verified Ad Details URL. Format: Single Image Ad.</t>
  </si>
  <si>
    <t>https://adstransparency.google.com/advertiser/AR05016556376214732801/creative/CR11363958869320531969?region=anywhere</t>
  </si>
  <si>
    <t>Discovered at visual grid position #585. Verified Ad Details URL. Format: Single Image Ad.</t>
  </si>
  <si>
    <t>https://adstransparency.google.com/advertiser/AR05016556376214732801/creative/CR05631932074840555521?region=anywhere</t>
  </si>
  <si>
    <t>Discovered at visual grid position #586. Verified Ad Details URL. Format: Single Image Ad.</t>
  </si>
  <si>
    <t>Discovered at visual grid position #587. Verified Ad Details URL. Format: Single Image Ad.</t>
  </si>
  <si>
    <t>https://adstransparency.google.com/advertiser/AR05016556376214732801/creative/CR02721651239954677761?region=anywhere</t>
  </si>
  <si>
    <t>Discovered at visual grid position #588. Verified Ad Details URL. Format: Single Image Ad.</t>
  </si>
  <si>
    <t>https://adstransparency.google.com/advertiser/AR05016556376214732801/creative/CR15273014901279293441?region=anywhere</t>
  </si>
  <si>
    <t>Discovered at visual grid position #589. Verified Ad Details URL. Format: Single Image Ad.</t>
  </si>
  <si>
    <t>Discovered at visual grid position #590. Verified Ad Details URL. Format: Single Image Ad.</t>
  </si>
  <si>
    <t>https://adstransparency.google.com/advertiser/AR05016556376214732801/creative/CR02062002262527442945?region=anywhere</t>
  </si>
  <si>
    <t>Discovered at visual grid position #591. Verified Ad Details URL. Format: Single Image Ad.</t>
  </si>
  <si>
    <t>https://adstransparency.google.com/advertiser/AR05016556376214732801/creative/CR03229560465923244033?region=anywhere</t>
  </si>
  <si>
    <t>Discovered at visual grid position #592. Verified Ad Details URL. Format: Single Image Ad.</t>
  </si>
  <si>
    <t>Discovered at visual grid position #593. Verified Ad Details URL. Format: Single Image Ad.</t>
  </si>
  <si>
    <t>https://adstransparency.google.com/advertiser/AR05016556376214732801/creative/CR17284113039615852545?region=anywhere</t>
  </si>
  <si>
    <t>Discovered at visual grid position #594. Verified Ad Details URL. Format: Single Image Ad.</t>
  </si>
  <si>
    <t>Discovered at visual grid position #595. Verified Ad Details URL. Format: Single Image Ad.</t>
  </si>
  <si>
    <t>https://adstransparency.google.com/advertiser/AR05016556376214732801/creative/CR08393350167880794113?region=anywhere</t>
  </si>
  <si>
    <t>Discovered at visual grid position #596. Verified Ad Details URL. Format: Single Image Ad.</t>
  </si>
  <si>
    <t>https://adstransparency.google.com/advertiser/AR05016556376214732801/creative/CR16158149661746528257?region=anywhere</t>
  </si>
  <si>
    <t>Discovered at visual grid position #597. Verified Ad Details URL. Format: Single Image Ad.</t>
  </si>
  <si>
    <t>Discovered at visual grid position #598. Verified Ad Details URL. Format: Single Image Ad.</t>
  </si>
  <si>
    <t>https://adstransparency.google.com/advertiser/AR05016556376214732801/creative/CR10839020269822017537?region=anywhere</t>
  </si>
  <si>
    <t>Discovered at visual grid position #599. Verified Ad Details URL. Format: Single Image Ad.</t>
  </si>
  <si>
    <t>Discovered at visual grid position #600. Verified Ad Details URL. Format: Single Image Ad.</t>
  </si>
  <si>
    <t>https://adstransparency.google.com/advertiser/AR05016556376214732801/creative/CR10935706924322127873?region=anywhere</t>
  </si>
  <si>
    <t>Discovered at visual grid position #601. Verified Ad Details URL. Format: Single Image Ad.</t>
  </si>
  <si>
    <t>https://adstransparency.google.com/advertiser/AR05016556376214732801/creative/CR07256421884533669889?region=anywhere</t>
  </si>
  <si>
    <t>Discovered at visual grid position #602. Verified Ad Details URL. Format: Single Image Ad.</t>
  </si>
  <si>
    <t>Discovered at visual grid position #603. Verified Ad Details URL. Format: Single Image Ad.</t>
  </si>
  <si>
    <t>https://adstransparency.google.com/advertiser/AR05016556376214732801/creative/CR01469010490339360769?region=anywhere</t>
  </si>
  <si>
    <t>Discovered at visual grid position #604. Verified Ad Details URL. Format: Single Image Ad.</t>
  </si>
  <si>
    <t>https://adstransparency.google.com/advertiser/AR05016556376214732801/creative/CR01898027326063509505?region=anywhere</t>
  </si>
  <si>
    <t>Discovered at visual grid position #605. Verified Ad Details URL. Format: Single Image Ad.</t>
  </si>
  <si>
    <t>https://adstransparency.google.com/advertiser/AR05016556376214732801/creative/CR12117501441065615361?region=anywhere</t>
  </si>
  <si>
    <t>Discovered at visual grid position #606. Verified Ad Details URL. Format: Single Image Ad.</t>
  </si>
  <si>
    <t>Discovered at visual grid position #607. Verified Ad Details URL. Format: Single Image Ad.</t>
  </si>
  <si>
    <t>https://adstransparency.google.com/advertiser/AR05016556376214732801/creative/CR13924622537314009089?region=anywhere</t>
  </si>
  <si>
    <t>Discovered at visual grid position #608. Verified Ad Details URL. Format: Single Image Ad.</t>
  </si>
  <si>
    <t>https://adstransparency.google.com/advertiser/AR05016556376214732801/creative/CR10089395343906045953?region=anywhere</t>
  </si>
  <si>
    <t>Discovered at visual grid position #609. Verified Ad Details URL. Format: Single Image Ad.</t>
  </si>
  <si>
    <t>Discovered at visual grid position #610. Verified Ad Details URL. Format: Single Image Ad.</t>
  </si>
  <si>
    <t>https://adstransparency.google.com/advertiser/AR05016556376214732801/creative/CR00088017675329994753?region=anywhere</t>
  </si>
  <si>
    <t>Discovered at visual grid position #611. Verified Ad Details URL. Format: Single Image Ad.</t>
  </si>
  <si>
    <t>Discovered at visual grid position #612. Verified Ad Details URL. Format: Single Image Ad.</t>
  </si>
  <si>
    <t>https://adstransparency.google.com/advertiser/AR05016556376214732801/creative/CR01491003995659960321?region=anywhere</t>
  </si>
  <si>
    <t>Discovered at visual grid position #613. Verified Ad Details URL. Format: Single Image Ad.</t>
  </si>
  <si>
    <t>https://adstransparency.google.com/advertiser/AR05016556376214732801/creative/CR03776656810291757057?region=anywhere</t>
  </si>
  <si>
    <t>Discovered at visual grid position #614. Verified Ad Details URL. Format: Single Image Ad.</t>
  </si>
  <si>
    <t>Discovered at visual grid position #615. Verified Ad Details URL. Format: Single Image Ad.</t>
  </si>
  <si>
    <t>https://adstransparency.google.com/advertiser/AR05016556376214732801/creative/CR11479383306491920385?region=anywhere</t>
  </si>
  <si>
    <t>Discovered at visual grid position #616. Verified Ad Details URL. Format: Single Image Ad.</t>
  </si>
  <si>
    <t>https://adstransparency.google.com/advertiser/AR05016556376214732801/creative/CR06267852740936859649?region=anywhere</t>
  </si>
  <si>
    <t>Discovered at visual grid position #617. Verified Ad Details URL. Format: Single Image Ad.</t>
  </si>
  <si>
    <t>Discovered at visual grid position #618. Verified Ad Details URL. Format: Single Image Ad.</t>
  </si>
  <si>
    <t>https://adstransparency.google.com/advertiser/AR05016556376214732801/creative/CR15631845992792326145?region=anywhere</t>
  </si>
  <si>
    <t>You heard it here: SEO is not dead!   It’s evolving rapidly, per James McCormick from IDC on-stage at Spotlight by Semrush.   James talks about the combination of traditional SEO and AI Search, helping companies win Digital Brand Visibility now and into the future:</t>
  </si>
  <si>
    <t>SEO, AI Search &amp; GEO, Search Visibility, Industry Event</t>
  </si>
  <si>
    <t>Ran from Nov 7, 2025 to Dec 1, 2025</t>
  </si>
  <si>
    <t>Discovered at visual grid position #619. Verified Ad Details URL. Format: Video Ad.</t>
  </si>
  <si>
    <t>https://adstransparency.google.com/advertiser/AR05016556376214732801/creative/CR09030537059055435777?region=anywhere</t>
  </si>
  <si>
    <t>Discovered at visual grid position #620. Verified Ad Details URL. Format: Single Image Ad.</t>
  </si>
  <si>
    <t>Discovered at visual grid position #621. Verified Ad Details URL. Format: Single Image Ad.</t>
  </si>
  <si>
    <t>https://adstransparency.google.com/advertiser/AR05016556376214732801/creative/CR00425387150272364545?region=anywhere</t>
  </si>
  <si>
    <t>Discovered at visual grid position #622. Verified Ad Details URL. Format: Single Image Ad.</t>
  </si>
  <si>
    <t>Discovered at visual grid position #623. Verified Ad Details URL. Format: Single Image Ad.</t>
  </si>
  <si>
    <t>https://adstransparency.google.com/advertiser/AR05016556376214732801/creative/CR12295112151370039297?region=anywhere</t>
  </si>
  <si>
    <t>Discovered at visual grid position #624. Verified Ad Details URL. Format: Single Image Ad.</t>
  </si>
  <si>
    <t>https://adstransparency.google.com/advertiser/AR05016556376214732801/creative/CR13046507677553786881?region=anywhere</t>
  </si>
  <si>
    <t>Ran from Nov 6, 2025 to Nov 26, 2025</t>
  </si>
  <si>
    <t>Discovered at visual grid position #625. Verified Ad Details URL. Format: Single Image Ad.</t>
  </si>
  <si>
    <t>Discovered at visual grid position #626. Verified Ad Details URL. Format: Single Image Ad.</t>
  </si>
  <si>
    <t>https://adstransparency.google.com/advertiser/AR05016556376214732801/creative/CR15709499757418250241?region=anywhere</t>
  </si>
  <si>
    <t>Discovered at visual grid position #627. Verified Ad Details URL. Format: Single Image Ad.</t>
  </si>
  <si>
    <t>https://adstransparency.google.com/advertiser/AR05016556376214732801/creative/CR11140373703798292481?region=anywhere</t>
  </si>
  <si>
    <t>Discovered at visual grid position #628. Verified Ad Details URL. Format: Single Image Ad.</t>
  </si>
  <si>
    <t>Discovered at visual grid position #629. Verified Ad Details URL. Format: Single Image Ad.</t>
  </si>
  <si>
    <t>https://adstransparency.google.com/advertiser/AR05016556376214732801/creative/CR17998698290891194369?region=anywhere</t>
  </si>
  <si>
    <t>Discovered at visual grid position #630. Verified Ad Details URL. Format: Single Image Ad.</t>
  </si>
  <si>
    <t>Discovered at visual grid position #631. Verified Ad Details URL. Format: Single Image Ad.</t>
  </si>
  <si>
    <t>https://adstransparency.google.com/advertiser/AR05016556376214732801/creative/CR05905860665163120641?region=anywhere</t>
  </si>
  <si>
    <t>Discovered at visual grid position #632. Verified Ad Details URL. Format: Single Image Ad.</t>
  </si>
  <si>
    <t>https://adstransparency.google.com/advertiser/AR05016556376214732801/creative/CR14122936295655211009?region=anywhere</t>
  </si>
  <si>
    <t>Ran from Nov 8, 2025 to Nov 26, 2025</t>
  </si>
  <si>
    <t>Discovered at visual grid position #633. Verified Ad Details URL. Format: Single Image Ad.</t>
  </si>
  <si>
    <t>Discovered at visual grid position #634. Verified Ad Details URL. Format: Single Image Ad.</t>
  </si>
  <si>
    <t>https://adstransparency.google.com/advertiser/AR05016556376214732801/creative/CR15248765833753657345?region=anywhere</t>
  </si>
  <si>
    <t>Discovered at visual grid position #635. Verified Ad Details URL. Format: Single Image Ad.</t>
  </si>
  <si>
    <t>https://adstransparency.google.com/advertiser/AR05016556376214732801/creative/CR08346682608020619265?region=anywhere</t>
  </si>
  <si>
    <t>Discovered at visual grid position #636. Verified Ad Details URL. Format: Single Image Ad.</t>
  </si>
  <si>
    <t>https://adstransparency.google.com/advertiser/AR05016556376214732801/creative/CR02601624676606148609?region=anywhere</t>
  </si>
  <si>
    <t>Discovered at visual grid position #637. Verified Ad Details URL. Format: Single Image Ad.</t>
  </si>
  <si>
    <t>Discovered at visual grid position #638. Verified Ad Details URL. Format: Single Image Ad.</t>
  </si>
  <si>
    <t>https://adstransparency.google.com/advertiser/AR05016556376214732801/creative/CR13702542560260521985?region=anywhere</t>
  </si>
  <si>
    <t>Discovered at visual grid position #639. Verified Ad Details URL. Format: Single Image Ad.</t>
  </si>
  <si>
    <t>Discovered at visual grid position #640. Verified Ad Details URL. Format: Single Image Ad.</t>
  </si>
  <si>
    <t>https://adstransparency.google.com/advertiser/AR05016556376214732801/creative/CR14673917102935506945?region=anywhere</t>
  </si>
  <si>
    <t>Discovered at visual grid position #641. Verified Ad Details URL. Format: Single Image Ad.</t>
  </si>
  <si>
    <t>https://adstransparency.google.com/advertiser/AR05016556376214732801/creative/CR14859607986753503233?region=anywhere</t>
  </si>
  <si>
    <t>Discovered at visual grid position #642. Verified Ad Details URL. Format: Single Image Ad.</t>
  </si>
  <si>
    <t>Discovered at visual grid position #643. Verified Ad Details URL. Format: Single Image Ad.</t>
  </si>
  <si>
    <t>https://adstransparency.google.com/advertiser/AR05016556376214732801/creative/CR11181116794360299521?region=anywhere</t>
  </si>
  <si>
    <t>Ran from Nov 8, 2025 to Nov 23, 2025</t>
  </si>
  <si>
    <t>Discovered at visual grid position #644. Verified Ad Details URL. Format: Single Image Ad.</t>
  </si>
  <si>
    <t>Discovered at visual grid position #645. Verified Ad Details URL. Format: Single Image Ad.</t>
  </si>
  <si>
    <t>https://adstransparency.google.com/advertiser/AR05016556376214732801/creative/CR02659840381323051009?region=anywhere</t>
  </si>
  <si>
    <t>Discovered at visual grid position #646. Verified Ad Details URL. Format: Single Image Ad.</t>
  </si>
  <si>
    <t>https://adstransparency.google.com/advertiser/AR05016556376214732801/creative/CR08047641696105660417?region=anywhere</t>
  </si>
  <si>
    <t>Discovered at visual grid position #647. Verified Ad Details URL. Format: Single Image Ad.</t>
  </si>
  <si>
    <t>Ran from Nov 7, 2025 to Nov 26, 2025</t>
  </si>
  <si>
    <t>Discovered at visual grid position #648. Verified Ad Details URL. Format: Single Image Ad.</t>
  </si>
  <si>
    <t>https://adstransparency.google.com/advertiser/AR05016556376214732801/creative/CR10091070587309916161?region=anywhere</t>
  </si>
  <si>
    <t>Discovered at visual grid position #649. Verified Ad Details URL. Format: Single Image Ad.</t>
  </si>
  <si>
    <t>Discovered at visual grid position #650. Verified Ad Details URL. Format: Single Image Ad.</t>
  </si>
  <si>
    <t>https://adstransparency.google.com/advertiser/AR05016556376214732801/creative/CR13640440494256291841?region=anywhere</t>
  </si>
  <si>
    <t>Discovered at visual grid position #651. Verified Ad Details URL. Format: Single Image Ad.</t>
  </si>
  <si>
    <t>Discovered at visual grid position #652. Verified Ad Details URL. Format: Single Image Ad.</t>
  </si>
  <si>
    <t>https://adstransparency.google.com/advertiser/AR05016556376214732801/creative/CR08441738411898830849?region=anywhere</t>
  </si>
  <si>
    <t>Discovered at visual grid position #653. Verified Ad Details URL. Format: Single Image Ad.</t>
  </si>
  <si>
    <t>https://adstransparency.google.com/advertiser/AR05016556376214732801/creative/CR02220782367327387649?region=anywhere</t>
  </si>
  <si>
    <t>Discovered at visual grid position #654. Verified Ad Details URL. Format: Single Image Ad.</t>
  </si>
  <si>
    <t>Discovered at visual grid position #655. Verified Ad Details URL. Format: Single Image Ad.</t>
  </si>
  <si>
    <t>https://adstransparency.google.com/advertiser/AR05016556376214732801/creative/CR15944768239007956993?region=anywhere</t>
  </si>
  <si>
    <t>Discovered at visual grid position #656. Verified Ad Details URL. Format: Single Image Ad.</t>
  </si>
  <si>
    <t>Discovered at visual grid position #657. Verified Ad Details URL. Format: Single Image Ad.</t>
  </si>
  <si>
    <t>https://adstransparency.google.com/advertiser/AR05016556376214732801/creative/CR14888844619411357697?region=anywhere</t>
  </si>
  <si>
    <t>Discovered at visual grid position #658. Verified Ad Details URL. Format: Single Image Ad.</t>
  </si>
  <si>
    <t>Discovered at visual grid position #659. Verified Ad Details URL. Format: Single Image Ad.</t>
  </si>
  <si>
    <t>https://adstransparency.google.com/advertiser/AR05016556376214732801/creative/CR13311547841647214593?region=anywhere</t>
  </si>
  <si>
    <t>Discovered at visual grid position #660. Verified Ad Details URL. Format: Single Image Ad.</t>
  </si>
  <si>
    <t>https://adstransparency.google.com/advertiser/AR05016556376214732801/creative/CR10409330825039446017?region=anywhere</t>
  </si>
  <si>
    <t>Discovered at visual grid position #661. Verified Ad Details URL. Format: Single Image Ad.</t>
  </si>
  <si>
    <t>Discovered at visual grid position #662. Verified Ad Details URL. Format: Single Image Ad.</t>
  </si>
  <si>
    <t>https://adstransparency.google.com/advertiser/AR05016556376214732801/creative/CR03895038547194806273?region=anywhere</t>
  </si>
  <si>
    <t>Discovered at visual grid position #663. Verified Ad Details URL. Format: Single Image Ad.</t>
  </si>
  <si>
    <t>https://adstransparency.google.com/advertiser/AR05016556376214732801/creative/CR13172290845698686977?region=anywhere</t>
  </si>
  <si>
    <t>Discovered at visual grid position #664. Verified Ad Details URL. Format: Single Image Ad.</t>
  </si>
  <si>
    <t>Discovered at visual grid position #665. Verified Ad Details URL. Format: Single Image Ad.</t>
  </si>
  <si>
    <t>https://adstransparency.google.com/advertiser/AR05016556376214732801/creative/CR17085141017406996481?region=anywhere</t>
  </si>
  <si>
    <t>Discovered at visual grid position #666. Verified Ad Details URL. Format: Single Image Ad.</t>
  </si>
  <si>
    <t>Discovered at visual grid position #667. Verified Ad Details URL. Format: Single Image Ad.</t>
  </si>
  <si>
    <t>https://adstransparency.google.com/advertiser/AR05016556376214732801/creative/CR05056663579688697857?region=anywhere</t>
  </si>
  <si>
    <t>Discovered at visual grid position #668. Verified Ad Details URL. Format: Single Image Ad.</t>
  </si>
  <si>
    <t>Discovered at visual grid position #669. Verified Ad Details URL. Format: Single Image Ad.</t>
  </si>
  <si>
    <t>https://adstransparency.google.com/advertiser/AR05016556376214732801/creative/CR05174513634000240641?region=anywhere</t>
  </si>
  <si>
    <t>Discovered at visual grid position #670. Verified Ad Details URL. Format: Single Image Ad.</t>
  </si>
  <si>
    <t>https://adstransparency.google.com/advertiser/AR05016556376214732801/creative/CR15474043671657054209?region=anywhere</t>
  </si>
  <si>
    <t>Discovered at visual grid position #671. Verified Ad Details URL. Format: Single Image Ad.</t>
  </si>
  <si>
    <t>Discovered at visual grid position #672. Verified Ad Details URL. Format: Single Image Ad.</t>
  </si>
  <si>
    <t>https://adstransparency.google.com/advertiser/AR05016556376214732801/creative/CR03509118555780022273?region=anywhere</t>
  </si>
  <si>
    <t>Discovered at visual grid position #673. Verified Ad Details URL. Format: Single Image Ad.</t>
  </si>
  <si>
    <t>Discovered at visual grid position #674. Verified Ad Details URL. Format: Single Image Ad.</t>
  </si>
  <si>
    <t>https://adstransparency.google.com/advertiser/AR05016556376214732801/creative/CR06694124190615732225?region=anywhere</t>
  </si>
  <si>
    <t>Discovered at visual grid position #675. Verified Ad Details URL. Format: Single Image Ad.</t>
  </si>
  <si>
    <t>Display Banner: "Win Visibility in AI Search - Generative Engine Optimization for Modern Marketers"</t>
  </si>
  <si>
    <t>https://adstransparency.google.com/advertiser/AR05016556376214732801/creative/CR10600982573708476417?region=anywhere</t>
  </si>
  <si>
    <t>Discovered at visual grid position #676. Verified Ad Details URL. Format: Single Image Ad.</t>
  </si>
  <si>
    <t>Discovered at visual grid position #677. Verified Ad Details URL. Format: Single Image Ad.</t>
  </si>
  <si>
    <t>https://adstransparency.google.com/advertiser/AR05016556376214732801/creative/CR08203903189133557761?region=anywhere</t>
  </si>
  <si>
    <t>Discovered at visual grid position #678. Verified Ad Details URL. Format: Single Image Ad.</t>
  </si>
  <si>
    <t>Discovered at visual grid position #679. Verified Ad Details URL. Format: Single Image Ad.</t>
  </si>
  <si>
    <t>https://adstransparency.google.com/advertiser/AR05016556376214732801/creative/CR11804261710867464193?region=anywhere</t>
  </si>
  <si>
    <t>Discovered at visual grid position #680. Verified Ad Details URL. Format: Single Image Ad.</t>
  </si>
  <si>
    <t>Discovered at visual grid position #681. Verified Ad Details URL. Format: Single Image Ad.</t>
  </si>
  <si>
    <t>https://adstransparency.google.com/advertiser/AR05016556376214732801/creative/CR11274059611767832577?region=anywhere</t>
  </si>
  <si>
    <t>Discovered at visual grid position #682. Verified Ad Details URL. Format: Single Image Ad.</t>
  </si>
  <si>
    <t>Discovered at visual grid position #683. Verified Ad Details URL. Format: Single Image Ad.</t>
  </si>
  <si>
    <t>https://adstransparency.google.com/advertiser/AR05016556376214732801/creative/CR14478657719176790017?region=anywhere</t>
  </si>
  <si>
    <t>Discovered at visual grid position #684. Verified Ad Details URL. Format: Single Image Ad.</t>
  </si>
  <si>
    <t>https://adstransparency.google.com/advertiser/AR05016556376214732801/creative/CR16754462070719643649?region=anywhere</t>
  </si>
  <si>
    <t>Discovered at visual grid position #685. Verified Ad Details URL. Format: Single Image Ad.</t>
  </si>
  <si>
    <t>Discovered at visual grid position #686. Verified Ad Details URL. Format: Single Image Ad.</t>
  </si>
  <si>
    <t>https://adstransparency.google.com/advertiser/AR05016556376214732801/creative/CR03122711411994656769?region=anywhere</t>
  </si>
  <si>
    <t>Discovered at visual grid position #687. Verified Ad Details URL. Format: Single Image Ad.</t>
  </si>
  <si>
    <t>Discovered at visual grid position #688. Verified Ad Details URL. Format: Single Image Ad.</t>
  </si>
  <si>
    <t>https://adstransparency.google.com/advertiser/AR05016556376214732801/creative/CR05794697290815897601?region=anywhere</t>
  </si>
  <si>
    <t>Discovered at visual grid position #689. Verified Ad Details URL. Format: Single Image Ad.</t>
  </si>
  <si>
    <t>https://adstransparency.google.com/advertiser/AR05016556376214732801/creative/CR06512804827590819841?region=anywhere</t>
  </si>
  <si>
    <t>Discovered at visual grid position #690. Verified Ad Details URL. Format: Single Image Ad.</t>
  </si>
  <si>
    <t>https://adstransparency.google.com/advertiser/AR05016556376214732801/creative/CR08220575083945525249?region=anywhere</t>
  </si>
  <si>
    <t>Discovered at visual grid position #691. Verified Ad Details URL. Format: Single Image Ad.</t>
  </si>
  <si>
    <t>Discovered at visual grid position #692. Verified Ad Details URL. Format: Single Image Ad.</t>
  </si>
  <si>
    <t>https://adstransparency.google.com/advertiser/AR05016556376214732801/creative/CR01210474049193377793?region=anywhere</t>
  </si>
  <si>
    <t>Discovered at visual grid position #693. Verified Ad Details URL. Format: Single Image Ad.</t>
  </si>
  <si>
    <t>Discovered at visual grid position #694. Verified Ad Details URL. Format: Single Image Ad.</t>
  </si>
  <si>
    <t>https://adstransparency.google.com/advertiser/AR05016556376214732801/creative/CR17245047941236785153?region=anywhere</t>
  </si>
  <si>
    <t>Discovered at visual grid position #695. Verified Ad Details URL. Format: Single Image Ad.</t>
  </si>
  <si>
    <t>https://adstransparency.google.com/advertiser/AR05016556376214732801/creative/CR01627746133637857281?region=anywhere</t>
  </si>
  <si>
    <t>Discovered at visual grid position #696. Verified Ad Details URL. Format: Single Image Ad.</t>
  </si>
  <si>
    <t>Discovered at visual grid position #697. Verified Ad Details URL. Format: Single Image Ad.</t>
  </si>
  <si>
    <t>https://adstransparency.google.com/advertiser/AR05016556376214732801/creative/CR11124414155082170369?region=anywhere</t>
  </si>
  <si>
    <t>Discovered at visual grid position #698. Verified Ad Details URL. Format: Single Image Ad.</t>
  </si>
  <si>
    <t>Discovered at visual grid position #699. Verified Ad Details URL. Format: Single Image Ad.</t>
  </si>
  <si>
    <t>https://adstransparency.google.com/advertiser/AR05016556376214732801/creative/CR13871067593667772417?region=anywhere</t>
  </si>
  <si>
    <t>Discovered at visual grid position #700. Verified Ad Details URL. Format: Single Image Ad.</t>
  </si>
  <si>
    <t>Discovered at visual grid position #701. Verified Ad Details URL. Format: Single Image Ad.</t>
  </si>
  <si>
    <t>https://adstransparency.google.com/advertiser/AR05016556376214732801/creative/CR01235201790824153089?region=anywhere</t>
  </si>
  <si>
    <t>Discovered at visual grid position #702. Verified Ad Details URL. Format: Single Image Ad.</t>
  </si>
  <si>
    <t>https://adstransparency.google.com/advertiser/AR05016556376214732801/creative/CR18322534152085176321?region=anywhere</t>
  </si>
  <si>
    <t>Discovered at visual grid position #703. Verified Ad Details URL. Format: Single Image Ad.</t>
  </si>
  <si>
    <t>Discovered at visual grid position #704. Verified Ad Details URL. Format: Single Image Ad.</t>
  </si>
  <si>
    <t>https://adstransparency.google.com/advertiser/AR05016556376214732801/creative/CR08382349528275091457?region=anywhere</t>
  </si>
  <si>
    <t>Discovered at visual grid position #705. Verified Ad Details URL. Format: Single Image Ad.</t>
  </si>
  <si>
    <t>Discovered at visual grid position #706. Verified Ad Details URL. Format: Single Image Ad.</t>
  </si>
  <si>
    <t>https://adstransparency.google.com/advertiser/AR05016556376214732801/creative/CR01644336939467276289?region=anywhere</t>
  </si>
  <si>
    <t>Discovered at visual grid position #707. Verified Ad Details URL. Format: Single Image Ad.</t>
  </si>
  <si>
    <t>https://adstransparency.google.com/advertiser/AR05016556376214732801/creative/CR16078756375236182017?region=anywhere</t>
  </si>
  <si>
    <t>Discovered at visual grid position #708. Verified Ad Details URL. Format: Single Image Ad.</t>
  </si>
  <si>
    <t>Discovered at visual grid position #709. Verified Ad Details URL. Format: Single Image Ad.</t>
  </si>
  <si>
    <t>https://adstransparency.google.com/advertiser/AR05016556376214732801/creative/CR03495671253694414849?region=anywhere</t>
  </si>
  <si>
    <t>Discovered at visual grid position #710. Verified Ad Details URL. Format: Single Image Ad.</t>
  </si>
  <si>
    <t>Discovered at visual grid position #711. Verified Ad Details URL. Format: Single Image Ad.</t>
  </si>
  <si>
    <t>https://adstransparency.google.com/advertiser/AR05016556376214732801/creative/CR11383791971731505153?region=anywhere</t>
  </si>
  <si>
    <t>Discovered at visual grid position #712. Verified Ad Details URL. Format: Single Image Ad.</t>
  </si>
  <si>
    <t>https://adstransparency.google.com/advertiser/AR05016556376214732801/creative/CR02188495964291989505?region=anywhere</t>
  </si>
  <si>
    <t>Discovered at visual grid position #713. Verified Ad Details URL. Format: Single Image Ad.</t>
  </si>
  <si>
    <t>Discovered at visual grid position #714. Verified Ad Details URL. Format: Single Image Ad.</t>
  </si>
  <si>
    <t>https://adstransparency.google.com/advertiser/AR05016556376214732801/creative/CR05376424375912235009?region=anywhere</t>
  </si>
  <si>
    <t>Discovered at visual grid position #715. Verified Ad Details URL. Format: Single Image Ad.</t>
  </si>
  <si>
    <t>https://adstransparency.google.com/advertiser/AR05016556376214732801/creative/CR10615003545985875969?region=anywhere</t>
  </si>
  <si>
    <t>Discovered at visual grid position #716. Verified Ad Details URL. Format: Single Image Ad.</t>
  </si>
  <si>
    <t>Discovered at visual grid position #717. Verified Ad Details URL. Format: Single Image Ad.</t>
  </si>
  <si>
    <t>Display Banner: "Black Friday Sale - Up to 40% Off Annual Peec AI Plans"</t>
  </si>
  <si>
    <t>https://adstransparency.google.com/advertiser/AR05016556376214732801/creative/CR17030973027308797953?region=anywhere</t>
  </si>
  <si>
    <t>Discovered at visual grid position #718. Verified Ad Details URL. Format: Single Image Ad.</t>
  </si>
  <si>
    <t>Discovered at visual grid position #719. Verified Ad Details URL. Format: Single Image Ad.</t>
  </si>
  <si>
    <t>https://adstransparency.google.com/advertiser/AR05016556376214732801/creative/CR02867715149182009345?region=anywhere</t>
  </si>
  <si>
    <t>Discovered at visual grid position #720. Verified Ad Details URL. Format: Single Image Ad.</t>
  </si>
  <si>
    <t>Discovered at visual grid position #721. Verified Ad Details URL. Format: Single Image Ad.</t>
  </si>
  <si>
    <t>https://adstransparency.google.com/advertiser/AR05016556376214732801/creative/CR03853724191622692865?region=anywhere</t>
  </si>
  <si>
    <t>Discovered at visual grid position #722. Verified Ad Details URL. Format: Single Image Ad.</t>
  </si>
  <si>
    <t>https://adstransparency.google.com/advertiser/AR05016556376214732801/creative/CR03498663299711500289?region=anywhere</t>
  </si>
  <si>
    <t>Discovered at visual grid position #723. Verified Ad Details URL. Format: Single Image Ad.</t>
  </si>
  <si>
    <t>Discovered at visual grid position #724. Verified Ad Details URL. Format: Single Image Ad.</t>
  </si>
  <si>
    <t>https://adstransparency.google.com/advertiser/AR05016556376214732801/creative/CR12046895614693212161?region=anywhere</t>
  </si>
  <si>
    <t>Ran from Nov 6, 2025 to Nov 24, 2025</t>
  </si>
  <si>
    <t>Discovered at visual grid position #725. Verified Ad Details URL. Format: Single Image Ad.</t>
  </si>
  <si>
    <t>Discovered at visual grid position #726. Verified Ad Details URL. Format: Single Image Ad.</t>
  </si>
  <si>
    <t>https://adstransparency.google.com/advertiser/AR05016556376214732801/creative/CR02803259578538524673?region=anywhere</t>
  </si>
  <si>
    <t>Discovered at visual grid position #727. Verified Ad Details URL. Format: Single Image Ad.</t>
  </si>
  <si>
    <t>https://adstransparency.google.com/advertiser/AR05016556376214732801/creative/CR02232677640030912513?region=anywhere</t>
  </si>
  <si>
    <t>Discovered at visual grid position #728. Verified Ad Details URL. Format: Single Image Ad.</t>
  </si>
  <si>
    <t>Discovered at visual grid position #729. Verified Ad Details URL. Format: Single Image Ad.</t>
  </si>
  <si>
    <t>https://adstransparency.google.com/advertiser/AR05016556376214732801/creative/CR12036096211485196289?region=anywhere</t>
  </si>
  <si>
    <t>Discovered at visual grid position #730. Verified Ad Details URL. Format: Single Image Ad.</t>
  </si>
  <si>
    <t>Discovered at visual grid position #731. Verified Ad Details URL. Format: Single Image Ad.</t>
  </si>
  <si>
    <t>https://adstransparency.google.com/advertiser/AR05016556376214732801/creative/CR10405615025493377025?region=anywhere</t>
  </si>
  <si>
    <t>https://adstransparency.google.com/advertiser/AR05016556376214732801/creative/CR17748454941967515649?region=anywhere</t>
  </si>
  <si>
    <t>Discovered at visual grid position #732. Verified Ad Details URL. Format: Single Image Ad.</t>
  </si>
  <si>
    <t>Discovered at visual grid position #733. Verified Ad Details URL. Format: Single Image Ad.</t>
  </si>
  <si>
    <t>https://adstransparency.google.com/advertiser/AR05016556376214732801/creative/CR03555360716309397505?region=anywhere</t>
  </si>
  <si>
    <t>Discovered at visual grid position #734. Verified Ad Details URL. Format: Single Image Ad.</t>
  </si>
  <si>
    <t>Discovered at visual grid position #735. Verified Ad Details URL. Format: Single Image Ad.</t>
  </si>
  <si>
    <t>https://adstransparency.google.com/advertiser/AR05016556376214732801/creative/CR05095092610591096833?region=anywhere</t>
  </si>
  <si>
    <t>Discovered at visual grid position #736. Verified Ad Details URL. Format: Single Image Ad.</t>
  </si>
  <si>
    <t>https://adstransparency.google.com/advertiser/AR05016556376214732801/creative/CR18237095501537214465?region=anywhere</t>
  </si>
  <si>
    <t>Discovered at visual grid position #737. Verified Ad Details URL. Format: Single Image Ad.</t>
  </si>
  <si>
    <t>Discovered at visual grid position #738. Verified Ad Details URL. Format: Single Image Ad.</t>
  </si>
  <si>
    <t>https://adstransparency.google.com/advertiser/AR05016556376214732801/creative/CR05588452274067210241?region=anywhere</t>
  </si>
  <si>
    <t>Discovered at visual grid position #739. Verified Ad Details URL. Format: Single Image Ad.</t>
  </si>
  <si>
    <t>Discovered at visual grid position #740. Verified Ad Details URL. Format: Single Image Ad.</t>
  </si>
  <si>
    <t>https://adstransparency.google.com/advertiser/AR05016556376214732801/creative/CR01339871174619824129?region=anywhere</t>
  </si>
  <si>
    <t>Discovered at visual grid position #741. Verified Ad Details URL. Format: Single Image Ad.</t>
  </si>
  <si>
    <t>https://adstransparency.google.com/advertiser/AR05016556376214732801/creative/CR03411235357750984705?region=anywhere</t>
  </si>
  <si>
    <t>Discovered at visual grid position #742. Verified Ad Details URL. Format: Single Image Ad.</t>
  </si>
  <si>
    <t>Discovered at visual grid position #743. Verified Ad Details URL. Format: Single Image Ad.</t>
  </si>
  <si>
    <t>https://adstransparency.google.com/advertiser/AR05016556376214732801/creative/CR11878012827690074113?region=anywhere</t>
  </si>
  <si>
    <t>Discovered at visual grid position #744. Verified Ad Details URL. Format: Single Image Ad.</t>
  </si>
  <si>
    <t>https://adstransparency.google.com/advertiser/AR05016556376214732801/creative/CR13810543051971493889?region=anywhere</t>
  </si>
  <si>
    <t>Discovered at visual grid position #745. Verified Ad Details URL. Format: Single Image Ad.</t>
  </si>
  <si>
    <t>Discovered at visual grid position #746. Verified Ad Details URL. Format: Single Image Ad.</t>
  </si>
  <si>
    <t>https://adstransparency.google.com/advertiser/AR05016556376214732801/creative/CR14591851616622608385?region=anywhere</t>
  </si>
  <si>
    <t>Discovered at visual grid position #747. Verified Ad Details URL. Format: Single Image Ad.</t>
  </si>
  <si>
    <t>Discovered at visual grid position #748. Verified Ad Details URL. Format: Single Image Ad.</t>
  </si>
  <si>
    <t>https://adstransparency.google.com/advertiser/AR05016556376214732801/creative/CR04931351139959439361?region=anywhere</t>
  </si>
  <si>
    <t>Discovered at visual grid position #749. Verified Ad Details URL. Format: Single Image Ad.</t>
  </si>
  <si>
    <t>Discovered at visual grid position #750. Verified Ad Details URL. Format: Single Image Ad.</t>
  </si>
  <si>
    <t>https://adstransparency.google.com/advertiser/AR05016556376214732801/creative/CR15700107385496403969?region=anywhere</t>
  </si>
  <si>
    <t>Discovered at visual grid position #751. Verified Ad Details URL. Format: Single Image Ad.</t>
  </si>
  <si>
    <t>https://adstransparency.google.com/advertiser/AR05016556376214732801/creative/CR17721855556668358657?region=anywhere</t>
  </si>
  <si>
    <t>Discovered at visual grid position #752. Verified Ad Details URL. Format: Single Image Ad.</t>
  </si>
  <si>
    <t>https://adstransparency.google.com/advertiser/AR05016556376214732801/creative/CR09881806311631355905?region=anywhere</t>
  </si>
  <si>
    <t>Discovered at visual grid position #753. Verified Ad Details URL. Format: Single Image Ad.</t>
  </si>
  <si>
    <t>https://adstransparency.google.com/advertiser/AR05016556376214732801/creative/CR02500392503597858817?region=anywhere</t>
  </si>
  <si>
    <t>Discovered at visual grid position #754. Verified Ad Details URL. Format: Single Image Ad.</t>
  </si>
  <si>
    <t>Discovered at visual grid position #755. Verified Ad Details URL. Format: Single Image Ad.</t>
  </si>
  <si>
    <t>https://adstransparency.google.com/advertiser/AR05016556376214732801/creative/CR04742481430586589185?region=anywhere</t>
  </si>
  <si>
    <t>Ran from Nov 6, 2025 to Nov 25, 2025</t>
  </si>
  <si>
    <t>Discovered at visual grid position #756. Verified Ad Details URL. Format: Single Image Ad.</t>
  </si>
  <si>
    <t>https://adstransparency.google.com/advertiser/AR05016556376214732801/creative/CR06689866056959262721?region=anywhere</t>
  </si>
  <si>
    <t>Discovered at visual grid position #757. Verified Ad Details URL. Format: Single Image Ad.</t>
  </si>
  <si>
    <t>Discovered at visual grid position #758. Verified Ad Details URL. Format: Single Image Ad.</t>
  </si>
  <si>
    <t>https://adstransparency.google.com/advertiser/AR05016556376214732801/creative/CR00146912878232862721?region=anywhere</t>
  </si>
  <si>
    <t>Discovered at visual grid position #759. Verified Ad Details URL. Format: Single Image Ad.</t>
  </si>
  <si>
    <t>https://adstransparency.google.com/advertiser/AR05016556376214732801/creative/CR07352071124043169793?region=anywhere</t>
  </si>
  <si>
    <t>Discovered at visual grid position #760. Verified Ad Details URL. Format: Single Image Ad.</t>
  </si>
  <si>
    <t>Discovered at visual grid position #761. Verified Ad Details URL. Format: Single Image Ad.</t>
  </si>
  <si>
    <t>https://adstransparency.google.com/advertiser/AR05016556376214732801/creative/CR12137251281240588289?region=anywhere</t>
  </si>
  <si>
    <t>Discovered at visual grid position #762. Verified Ad Details URL. Format: Single Image Ad.</t>
  </si>
  <si>
    <t>https://adstransparency.google.com/advertiser/AR05016556376214732801/creative/CR08231437159316324353?region=anywhere</t>
  </si>
  <si>
    <t>Discovered at visual grid position #763. Verified Ad Details URL. Format: Single Image Ad.</t>
  </si>
  <si>
    <t>Discovered at visual grid position #764. Verified Ad Details URL. Format: Single Image Ad.</t>
  </si>
  <si>
    <t>https://adstransparency.google.com/advertiser/AR05016556376214732801/creative/CR16456203323888893953?region=anywhere</t>
  </si>
  <si>
    <t>Discovered at visual grid position #765. Verified Ad Details URL. Format: Single Image Ad.</t>
  </si>
  <si>
    <t>https://adstransparency.google.com/advertiser/AR05016556376214732801/creative/CR03574374296010620929?region=anywhere</t>
  </si>
  <si>
    <t>Discovered at visual grid position #766. Verified Ad Details URL. Format: Single Image Ad.</t>
  </si>
  <si>
    <t>Discovered at visual grid position #767. Verified Ad Details URL. Format: Single Image Ad.</t>
  </si>
  <si>
    <t>https://adstransparency.google.com/advertiser/AR05016556376214732801/creative/CR07016234093432012801?region=anywhere</t>
  </si>
  <si>
    <t>Discovered at visual grid position #768. Verified Ad Details URL. Format: Single Image Ad.</t>
  </si>
  <si>
    <t>https://adstransparency.google.com/advertiser/AR05016556376214732801/creative/CR14884022642448269313?region=anywhere</t>
  </si>
  <si>
    <t>Ran from Nov 3, 2025 to Dec 22, 2025</t>
  </si>
  <si>
    <t>Discovered at visual grid position #769. Verified Ad Details URL. Format: Single Image Ad.</t>
  </si>
  <si>
    <t>Discovered at visual grid position #770. Verified Ad Details URL. Format: Single Image Ad.</t>
  </si>
  <si>
    <t>https://adstransparency.google.com/advertiser/AR05016556376214732801/creative/CR11941063222473261057?region=anywhere</t>
  </si>
  <si>
    <t>Discovered at visual grid position #771. Verified Ad Details URL. Format: Single Image Ad.</t>
  </si>
  <si>
    <t>https://adstransparency.google.com/advertiser/AR05016556376214732801/creative/CR06039762214850658305?region=anywhere</t>
  </si>
  <si>
    <t>Get It Moving</t>
  </si>
  <si>
    <t>Need a push? Join us as an Enterprise Account Executive with 3+ years of experience and fluent in German and/or French.</t>
  </si>
  <si>
    <t>Ran from Nov 4, 2025 to Nov 18, 2025</t>
  </si>
  <si>
    <t>Discovered at visual grid position #772. Verified Ad Details URL. Format: Single Image Ad.</t>
  </si>
  <si>
    <t>https://adstransparency.google.com/advertiser/AR05016556376214732801/creative/CR08498483519813582849?region=anywhere</t>
  </si>
  <si>
    <t>Discovered at visual grid position #773. Verified Ad Details URL. Format: Single Image Ad.</t>
  </si>
  <si>
    <t>Become our new Enterprise Solutions Engineer with proven experience working with India-based customers.</t>
  </si>
  <si>
    <t>Discovered at visual grid position #774. Verified Ad Details URL. Format: Single Image Ad.</t>
  </si>
  <si>
    <t>https://adstransparency.google.com/advertiser/AR05016556376214732801/creative/CR10677519852995870721?region=anywhere</t>
  </si>
  <si>
    <t>Discovered at visual grid position #775. Verified Ad Details URL. Format: Carousel Ad.</t>
  </si>
  <si>
    <t>Future-proof your brand's visibility</t>
  </si>
  <si>
    <t>Meet the scalable and smart site health solution for AI-ready brands. Built to power growth for leading websites and marketers.</t>
  </si>
  <si>
    <t>Ran from Oct 21, 2025 to Dec 30, 2025</t>
  </si>
  <si>
    <t>Discovered at visual grid position #776. Verified Ad Details URL. Format: Single Image Ad.</t>
  </si>
  <si>
    <t>https://adstransparency.google.com/advertiser/AR05016556376214732801/creative/CR06325074487142252545?region=anywhere</t>
  </si>
  <si>
    <t>Discovered at visual grid position #777. Verified Ad Details URL. Format: Single Image Ad.</t>
  </si>
  <si>
    <t>https://adstransparency.google.com/advertiser/AR05016556376214732801/creative/CR15092143426033942529?region=anywhere</t>
  </si>
  <si>
    <t>Discovered at visual grid position #778. Verified Ad Details URL. Format: Single Image Ad.</t>
  </si>
  <si>
    <t>Discovered at visual grid position #779. Verified Ad Details URL. Format: Single Image Ad.</t>
  </si>
  <si>
    <t>https://adstransparency.google.com/advertiser/AR05016556376214732801/creative/CR00826740093053042689?region=anywhere</t>
  </si>
  <si>
    <t>Discovered at visual grid position #780. Verified Ad Details URL. Format: Single Image Ad.</t>
  </si>
  <si>
    <t>Wanna work somewhere meaningful? Join us as an Enterprise Account Executive with 5+ years of experience and fluent in Arabic.</t>
  </si>
  <si>
    <t>Discovered at visual grid position #781. Verified Ad Details URL. Format: Single Image Ad.</t>
  </si>
  <si>
    <t>https://adstransparency.google.com/advertiser/AR05016556376214732801/creative/CR17470636940930842625?region=anywhere</t>
  </si>
  <si>
    <t>Discovered at visual grid position #782. Verified Ad Details URL. Format: Single Image Ad.</t>
  </si>
  <si>
    <t>https://adstransparency.google.com/advertiser/AR05016556376214732801/creative/CR07582850643254050817?region=anywhere</t>
  </si>
  <si>
    <t>Discovered at visual grid position #783. Verified Ad Details URL. Format: Single Image Ad.</t>
  </si>
  <si>
    <t>Discovered at visual grid position #784. Verified Ad Details URL. Format: Single Image Ad.</t>
  </si>
  <si>
    <t>https://adstransparency.google.com/advertiser/AR05016556376214732801/creative/CR05763391171116138497?region=anywhere</t>
  </si>
  <si>
    <t>Discovered at visual grid position #785. Verified Ad Details URL. Format: Single Image Ad.</t>
  </si>
  <si>
    <t>Discovered at visual grid position #786. Verified Ad Details URL. Format: Single Image Ad.</t>
  </si>
  <si>
    <t>https://adstransparency.google.com/advertiser/AR05016556376214732801/creative/CR03164954923611717633?region=anywhere</t>
  </si>
  <si>
    <t>Discovered at visual grid position #787. Verified Ad Details URL. Format: Single Image Ad.</t>
  </si>
  <si>
    <t>https://adstransparency.google.com/advertiser/AR05016556376214732801/creative/CR16577519038851186689?region=anywhere</t>
  </si>
  <si>
    <t>Discovered at visual grid position #788. Verified Ad Details URL. Format: Single Image Ad.</t>
  </si>
  <si>
    <t>Discovered at visual grid position #789. Verified Ad Details URL. Format: Single Image Ad.</t>
  </si>
  <si>
    <t>https://adstransparency.google.com/advertiser/AR05016556376214732801/creative/CR11525043206894911489?region=anywhere</t>
  </si>
  <si>
    <t>Discovered at visual grid position #790. Verified Ad Details URL. Format: Single Image Ad.</t>
  </si>
  <si>
    <t>Discovered at visual grid position #791. Verified Ad Details URL. Format: Single Image Ad.</t>
  </si>
  <si>
    <t>https://adstransparency.google.com/advertiser/AR05016556376214732801/creative/CR00407046334248386561?region=anywhere</t>
  </si>
  <si>
    <t>Discovered at visual grid position #792. Verified Ad Details URL. Format: Carousel Ad.</t>
  </si>
  <si>
    <t>See what Google and ChatGPT see</t>
  </si>
  <si>
    <t>Crawl as Google or AI bots. Get total technical clarity, crawl depth, and search data in one view. Site Intelligence is made for SEO teams.</t>
  </si>
  <si>
    <t>https://adstransparency.google.com/advertiser/AR05016556376214732801/creative/CR09204629469589929985?region=anywhere</t>
  </si>
  <si>
    <t>Discovered at visual grid position #793. Verified Ad Details URL. Format: Single Image Ad.</t>
  </si>
  <si>
    <t>Explore your AI visibility now</t>
  </si>
  <si>
    <t>Our AI Visibility Index reveals how brands dominate AI results. See where your company or your competitors stand.</t>
  </si>
  <si>
    <t>Search Visibility, Competitive Intelligence</t>
  </si>
  <si>
    <t>Ran from Oct 11, 2025 to Dec 31, 2025</t>
  </si>
  <si>
    <t>Discovered at visual grid position #794. Verified Ad Details URL. Format: Single Image Ad.</t>
  </si>
  <si>
    <t>https://adstransparency.google.com/advertiser/AR05016556376214732801/creative/CR06538711795442384897?region=anywhere</t>
  </si>
  <si>
    <t>Discover the leaders in AI search visibility and learn the strategies that put them on top.</t>
  </si>
  <si>
    <t>Discovered at visual grid position #795. Verified Ad Details URL. Format: Single Image Ad.</t>
  </si>
  <si>
    <t>https://adstransparency.google.com/advertiser/AR05016556376214732801/creative/CR01341193612230131713?region=anywhere</t>
  </si>
  <si>
    <t>Discovered at visual grid position #796. Verified Ad Details URL. Format: Single Image Ad.</t>
  </si>
  <si>
    <t>Discovered at visual grid position #797. Verified Ad Details URL. Format: Single Image Ad.</t>
  </si>
  <si>
    <t>https://adstransparency.google.com/advertiser/AR05016556376214732801/creative/CR06723359380164575233?region=anywhere</t>
  </si>
  <si>
    <t>Ran from Oct 12, 2025 to Dec 30, 2025</t>
  </si>
  <si>
    <t>Discovered at visual grid position #798. Verified Ad Details URL. Format: Single Image Ad.</t>
  </si>
  <si>
    <t>https://adstransparency.google.com/advertiser/AR05016556376214732801/creative/CR17197694999085449217?region=anywhere</t>
  </si>
  <si>
    <t>Discovered at visual grid position #799. Verified Ad Details URL. Format: Single Image Ad.</t>
  </si>
  <si>
    <t>See your site the way AI does</t>
  </si>
  <si>
    <t>Site Intelligence uncovers what’s holding back growth. So you can move faster, protect visibility, and scale smarter in the AI search era.</t>
  </si>
  <si>
    <t>AI Search &amp; GEO, Search Visibility, Enterprise &amp; GTM, Growth Marketing</t>
  </si>
  <si>
    <t>Discovered at visual grid position #800. Verified Ad Details URL. Format: Single Image Ad.</t>
  </si>
  <si>
    <t>https://adstransparency.google.com/advertiser/AR05016556376214732801/creative/CR17825365780330446849?region=anywhere</t>
  </si>
  <si>
    <t>Discovered at visual grid position #801. Verified Ad Details URL. Format: Single Image Ad.</t>
  </si>
  <si>
    <t>Discovered at visual grid position #802. Verified Ad Details URL. Format: Single Image Ad.</t>
  </si>
  <si>
    <t>https://adstransparency.google.com/advertiser/AR05016556376214732801/creative/CR02429883021931839489?region=anywhere</t>
  </si>
  <si>
    <t>Discovered at visual grid position #803. Verified Ad Details URL. Format: Single Image Ad.</t>
  </si>
  <si>
    <t>https://adstransparency.google.com/advertiser/AR05016556376214732801/creative/CR07585411680713048065?region=anywhere</t>
  </si>
  <si>
    <t>Ran from Oct 12, 2025 to Dec 31, 2025</t>
  </si>
  <si>
    <t>Discovered at visual grid position #804. Verified Ad Details URL. Format: Single Image Ad.</t>
  </si>
  <si>
    <t>AI is changing how people shop and discover new products. The question is, how can your brand own the AI shelf?  With Semrush Enterprise AI Optimization, you can: -Filter real-time data to uncover trends -Compare your brand’s visibility against competitors and see the shifts live -Identify which products capture top positions -Trace product performance back to source pages for optimization  Here’s a quick look at how it works in ChatGPT Shopping  https://lnkd.in/dWjQRnZh</t>
  </si>
  <si>
    <t>AI Search &amp; GEO, Search Visibility, Enterprise &amp; GTM, Competitive Intelligence</t>
  </si>
  <si>
    <t>https://adstransparency.google.com/advertiser/AR05016556376214732801/creative/CR11957245834610868225?region=anywhere</t>
  </si>
  <si>
    <t>Ran from Oct 17, 2025 to Nov 4, 2025</t>
  </si>
  <si>
    <t>Discovered at visual grid position #805. Verified Ad Details URL. Format: Video Ad.</t>
  </si>
  <si>
    <t>Discovered at visual grid position #806. Verified Ad Details URL. Format: Single Image Ad.</t>
  </si>
  <si>
    <t>https://adstransparency.google.com/advertiser/AR05016556376214732801/creative/CR05210290642856443905?region=anywhere</t>
  </si>
  <si>
    <t>Discovered at visual grid position #807. Verified Ad Details URL. Format: Single Image Ad.</t>
  </si>
  <si>
    <t>The brands that show up in LLMs aren’t just gaining mentions, they’re gaining authority, visibility, and influence in the new search era.  Our AI Visibility Index reveals who’s winning and why:  -Which companies lead across industries -Why AI chooses to cite them -How you can apply these insights to boost your own AI search strategy  Click here to get the full AI Visibility Index study with the actionables for your brand 👉 https://lnkd.in/dtPZYWGz</t>
  </si>
  <si>
    <t>Discovered at visual grid position #808. Verified Ad Details URL. Format: Video Ad.</t>
  </si>
  <si>
    <t>https://adstransparency.google.com/advertiser/AR05016556376214732801/creative/CR01120039217808801793?region=anywhere</t>
  </si>
  <si>
    <t>Discovered at visual grid position #809. Verified Ad Details URL. Format: Single Image Ad.</t>
  </si>
  <si>
    <t>https://adstransparency.google.com/advertiser/AR05016556376214732801/creative/CR07042411266266103809?region=anywhere</t>
  </si>
  <si>
    <t>Discovered at visual grid position #810. Verified Ad Details URL. Format: Single Image Ad.</t>
  </si>
  <si>
    <t>Discovered at visual grid position #811. Verified Ad Details URL. Format: Single Image Ad.</t>
  </si>
  <si>
    <t>https://adstransparency.google.com/advertiser/AR05016556376214732801/creative/CR06496914960424108033?region=anywhere</t>
  </si>
  <si>
    <t>Discovered at visual grid position #812. Verified Ad Details URL. Format: Single Image Ad.</t>
  </si>
  <si>
    <t>https://adstransparency.google.com/advertiser/AR05016556376214732801/creative/CR14944260486487605249?region=anywhere</t>
  </si>
  <si>
    <t>Discovered at visual grid position #813. Verified Ad Details URL. Format: Single Image Ad.</t>
  </si>
  <si>
    <t>Ran from Oct 11, 2025 to Dec 30, 2025</t>
  </si>
  <si>
    <t>Discovered at visual grid position #814. Verified Ad Details URL. Format: Single Image Ad.</t>
  </si>
  <si>
    <t>https://adstransparency.google.com/advertiser/AR05016556376214732801/creative/CR12005802467116711937?region=anywhere</t>
  </si>
  <si>
    <t>Discovered at visual grid position #815. Verified Ad Details URL. Format: Single Image Ad.</t>
  </si>
  <si>
    <t>Discovered at visual grid position #816. Verified Ad Details URL. Format: Single Image Ad.</t>
  </si>
  <si>
    <t>https://adstransparency.google.com/advertiser/AR05016556376214732801/creative/CR11594987539584253953?region=anywhere</t>
  </si>
  <si>
    <t>Discovered at visual grid position #817. Verified Ad Details URL. Format: Single Image Ad.</t>
  </si>
  <si>
    <t>https://adstransparency.google.com/advertiser/AR05016556376214732801/creative/CR07506143489420165121?region=anywhere</t>
  </si>
  <si>
    <t>Discovered at visual grid position #818. Verified Ad Details URL. Format: Single Image Ad.</t>
  </si>
  <si>
    <t>Discovered at visual grid position #819. Verified Ad Details URL. Format: Single Image Ad.</t>
  </si>
  <si>
    <t>https://adstransparency.google.com/advertiser/AR05016556376214732801/creative/CR11502289226074947585?region=anywhere</t>
  </si>
  <si>
    <t>Discovered at visual grid position #820. Verified Ad Details URL. Format: Single Image Ad.</t>
  </si>
  <si>
    <t>https://adstransparency.google.com/advertiser/AR05016556376214732801/creative/CR17370574785733459969?region=anywhere</t>
  </si>
  <si>
    <t>Discovered at visual grid position #821. Verified Ad Details URL. Format: Single Image Ad.</t>
  </si>
  <si>
    <t>Discovered at visual grid position #822. Verified Ad Details URL. Format: Single Image Ad.</t>
  </si>
  <si>
    <t>https://adstransparency.google.com/advertiser/AR05016556376214732801/creative/CR08247546379052777473?region=anywhere</t>
  </si>
  <si>
    <t>Discovered at visual grid position #823. Verified Ad Details URL. Format: Single Image Ad.</t>
  </si>
  <si>
    <t>Discovered at visual grid position #824. Verified Ad Details URL. Format: Single Image Ad.</t>
  </si>
  <si>
    <t>https://adstransparency.google.com/advertiser/AR05016556376214732801/creative/CR07517576211325779969?region=anywhere</t>
  </si>
  <si>
    <t>Discovered at visual grid position #825. Verified Ad Details URL. Format: Single Image Ad.</t>
  </si>
  <si>
    <t>Discovered at visual grid position #826. Verified Ad Details URL. Format: Single Image Ad.</t>
  </si>
  <si>
    <t>https://adstransparency.google.com/advertiser/AR05016556376214732801/creative/CR04036658737228808193?region=anywhere</t>
  </si>
  <si>
    <t>Discovered at visual grid position #827. Verified Ad Details URL. Format: Single Image Ad.</t>
  </si>
  <si>
    <t>https://adstransparency.google.com/advertiser/AR05016556376214732801/creative/CR07978548660294123521?region=anywhere</t>
  </si>
  <si>
    <t>Discovered at visual grid position #828. Verified Ad Details URL. Format: Single Image Ad.</t>
  </si>
  <si>
    <t>Discovered at visual grid position #829. Verified Ad Details URL. Format: Single Image Ad.</t>
  </si>
  <si>
    <t>https://adstransparency.google.com/advertiser/AR05016556376214732801/creative/CR12448701143947673601?region=anywhere</t>
  </si>
  <si>
    <t>Discovered at visual grid position #830. Verified Ad Details URL. Format: Single Image Ad.</t>
  </si>
  <si>
    <t>https://adstransparency.google.com/advertiser/AR05016556376214732801/creative/CR14195253374437294081?region=anywhere</t>
  </si>
  <si>
    <t>Discovered at visual grid position #831. Verified Ad Details URL. Format: Single Image Ad.</t>
  </si>
  <si>
    <t>Discovered at visual grid position #832. Verified Ad Details URL. Format: Single Image Ad.</t>
  </si>
  <si>
    <t>https://adstransparency.google.com/advertiser/AR05016556376214732801/creative/CR13382635116673630209?region=anywhere</t>
  </si>
  <si>
    <t>Discovered at visual grid position #833. Verified Ad Details URL. Format: Single Image Ad.</t>
  </si>
  <si>
    <t>Discovered at visual grid position #834. Verified Ad Details URL. Format: Single Image Ad.</t>
  </si>
  <si>
    <t>https://adstransparency.google.com/advertiser/AR05016556376214732801/creative/CR16392308504175575041?region=anywhere</t>
  </si>
  <si>
    <t>Discovered at visual grid position #835. Verified Ad Details URL. Format: Single Image Ad.</t>
  </si>
  <si>
    <t>https://adstransparency.google.com/advertiser/AR05016556376214732801/creative/CR16415811664730914817?region=anywhere</t>
  </si>
  <si>
    <t>Discovered at visual grid position #836. Verified Ad Details URL. Format: Single Image Ad.</t>
  </si>
  <si>
    <t>Discovered at visual grid position #837. Verified Ad Details URL. Format: Single Image Ad.</t>
  </si>
  <si>
    <t>https://adstransparency.google.com/advertiser/AR05016556376214732801/creative/CR08817601376612777985?region=anywhere</t>
  </si>
  <si>
    <t>Discovered at visual grid position #838. Verified Ad Details URL. Format: Single Image Ad.</t>
  </si>
  <si>
    <t>https://adstransparency.google.com/advertiser/AR05016556376214732801/creative/CR13854527915129044993?region=anywhere</t>
  </si>
  <si>
    <t>Discovered at visual grid position #839. Verified Ad Details URL. Format: Single Image Ad.</t>
  </si>
  <si>
    <t>Discovered at visual grid position #840. Verified Ad Details URL. Format: Single Image Ad.</t>
  </si>
  <si>
    <t>Help LLMs rank your brand. Semrush Enterprise AI Optimization delivers enterprise-grade insights for AI visibility</t>
  </si>
  <si>
    <t>https://adstransparency.google.com/advertiser/AR05016556376214732801/creative/CR07347813815020421121?region=anywhere</t>
  </si>
  <si>
    <t>Discovered at visual grid position #841. Verified Ad Details URL. Format: Carousel Ad.</t>
  </si>
  <si>
    <t>Discovered at visual grid position #842. Verified Ad Details URL. Format: Carousel Ad.</t>
  </si>
  <si>
    <t>Improve your AI search visibility with Semrush Enterprise AI Optimization</t>
  </si>
  <si>
    <t>https://adstransparency.google.com/advertiser/AR05016556376214732801/creative/CR16986935387593113601?region=anywhere</t>
  </si>
  <si>
    <t>Discovered at visual grid position #843. Verified Ad Details URL. Format: Carousel Ad.</t>
  </si>
  <si>
    <t>https://adstransparency.google.com/advertiser/AR05016556376214732801/creative/CR06901511050189864961?region=anywhere</t>
  </si>
  <si>
    <t>The AI Visibility Index decodes the tactics that work. Turn insights into action and stay ahead of your competitors.</t>
  </si>
  <si>
    <t>Ran from Sep 25, 2025 to Nov 7, 2025</t>
  </si>
  <si>
    <t>Discovered at visual grid position #844. Verified Ad Details URL. Format: Carousel Ad.</t>
  </si>
  <si>
    <t>https://adstransparency.google.com/advertiser/AR05016556376214732801/creative/CR11218203321565184001?region=anywhere</t>
  </si>
  <si>
    <t>Discovered at visual grid position #845. Verified Ad Details URL. Format: Single Image Ad.</t>
  </si>
  <si>
    <t>Complete website health management combining crawling, monitoring and search data. Optimize for visibility in search engines and AI search.</t>
  </si>
  <si>
    <t>Semrush Enterprise launches Site Intelligence! What you get: Large-scale crawling, continuous monitoring, and accessibility audits to keep your sites technically sound, compliant, and AI-ready:  → Crawl millions of pages with full JS rendering → Daily site-health and performance checks → Advanced crawl analytics  → Integrated accessibility &amp; compliance audits → Cross-team collaboration &amp; customizable reporting  Uplift from the crawling features alone: → +93% more clicks from search results → +60% longer website sessions → +97% higher ROI from site improvements  Because visibility isn’t something you win once. It’s something you defend every day.</t>
  </si>
  <si>
    <t>Search Visibility, Enterprise &amp; GTM</t>
  </si>
  <si>
    <t>Ran from Oct 10, 2025 to Nov 4, 2025</t>
  </si>
  <si>
    <t>Discovered at visual grid position #846. Verified Ad Details URL. Format: Single Image Ad.</t>
  </si>
  <si>
    <t>https://adstransparency.google.com/advertiser/AR05016556376214732801/creative/CR17698724855676928001?region=anywhere</t>
  </si>
  <si>
    <t>If your site isn’t FAST, your competitors are about to take your spot in AI search.  AI platforms have new rules for deciding which brands to cite and earn visibility.  And if your site isn’t: 🔹 Fetchable 🔹 Accessible 🔹 Structured 🔹 Trim …then you’re invisible where it matters most.  If you’ve got a complex site with thousands (or even millions of pages) keep every page FAST and visible in AI search with Site Intelligence 👇   https://lnkd.in/d6GCDeYR</t>
  </si>
  <si>
    <t>Ran from Oct 8, 2025 to Nov 4, 2025</t>
  </si>
  <si>
    <t>Discovered at visual grid position #847. Verified Ad Details URL. Format: Single Image Ad.</t>
  </si>
  <si>
    <t>https://adstransparency.google.com/advertiser/AR05016556376214732801/creative/CR12389332738728001537?region=anywhere</t>
  </si>
  <si>
    <t>Discovered at visual grid position #848. Verified Ad Details URL. Format: Single Image Ad.</t>
  </si>
  <si>
    <t>Continue to be blown away by the speed of innovation from the Semrush Product and Engineering teams.  In just 15 months, our Enterprise Platform has evolved into a connected platform that enables global brands to track, measure, and execute their GTM strategies across SEO, AI Optimization, Big Data and now Site Intelligence(SI).  SI is purpose-built to safeguard visibility in the AI era, crawling millions of pages, monitoring continuously, and catching visibility, compliance, and accessibility issues before they cost revenue.  Early results:  ✅ +93% more clicks  ✅ +97% ROI  ✅ Fewer compliance penalties The world’s best brands are already using Semrush to protect and grow their visibility across the AI landscape.   SI Demo -&gt; https://lnkd.in/efHvk8sY AI Audit -&gt;  https://lnkd.in/d4KxShAP  Congrats to Vitalii Obishchenko, Marcus Tober and everyone who made this possible.</t>
  </si>
  <si>
    <t>SEO, Search Visibility, Enterprise &amp; GTM</t>
  </si>
  <si>
    <t>Discovered at visual grid position #849. Verified Ad Details URL. Format: Video Ad.</t>
  </si>
  <si>
    <t>https://adstransparency.google.com/advertiser/AR05016556376214732801/creative/CR04002011751448051713?region=anywhere</t>
  </si>
  <si>
    <t>Discovered at visual grid position #850. Verified Ad Details URL. Format: Carousel Ad.</t>
  </si>
  <si>
    <t>https://adstransparency.google.com/advertiser/AR05016556376214732801/creative/CR16418936476777054209?region=anywhere</t>
  </si>
  <si>
    <t>Discovered at visual grid position #851. Verified Ad Details URL. Format: Single Image Ad.</t>
  </si>
  <si>
    <t>Our AI Visibility Index reveals how brands dominate AI results.</t>
  </si>
  <si>
    <t>Discovered at visual grid position #852. Verified Ad Details URL. Format: Carousel Ad.</t>
  </si>
  <si>
    <t>https://adstransparency.google.com/advertiser/AR05016556376214732801/creative/CR02028070895607611393?region=anywhere</t>
  </si>
  <si>
    <t>Ran from Sep 25, 2025 to Dec 31, 2025</t>
  </si>
  <si>
    <t>Discovered at visual grid position #853. Verified Ad Details URL. Format: Carousel Ad.</t>
  </si>
  <si>
    <t>Ran from Sep 25, 2025 to Oct 9, 2025</t>
  </si>
  <si>
    <t>Discovered at visual grid position #854. Verified Ad Details URL. Format: Carousel Ad.</t>
  </si>
  <si>
    <t>https://adstransparency.google.com/advertiser/AR05016556376214732801/creative/CR06961984189717544961?region=anywhere</t>
  </si>
  <si>
    <t>Discovered at visual grid position #855. Verified Ad Details URL. Format: Single Image Ad.</t>
  </si>
  <si>
    <t>https://adstransparency.google.com/advertiser/AR05016556376214732801/creative/CR13571562000651124737?region=anywhere</t>
  </si>
  <si>
    <t>Discovered at visual grid position #856. Verified Ad Details URL. Format: Single Image Ad.</t>
  </si>
  <si>
    <t>Discovered at visual grid position #857. Verified Ad Details URL. Format: Single Image Ad.</t>
  </si>
  <si>
    <t>https://adstransparency.google.com/advertiser/AR05016556376214732801/creative/CR17705810108606316545?region=anywhere</t>
  </si>
  <si>
    <t>Discovered at visual grid position #858. Verified Ad Details URL. Format: Single Image Ad.</t>
  </si>
  <si>
    <t>AI trusts some brands more than others. Why does that matter?   Because when LLMs mention your brand, you don’t just show up: you build visibility, trust, and influence in the AI search era.  Want to see which companies are leading? Explore our AI Visibility Index 2025 and get insights you can use to grow your own brand and improve your AI search strategy 👉 https://lnkd.in/eUP8Ximk</t>
  </si>
  <si>
    <t>https://adstransparency.google.com/advertiser/AR05016556376214732801/creative/CR11678155423742951425?region=anywhere</t>
  </si>
  <si>
    <t>Discovered at visual grid position #859. Verified Ad Details URL. Format: Single Image Ad.</t>
  </si>
  <si>
    <t>Our data shows the proven strategies used by the brands winning AI search. Start growing your visibility now.</t>
  </si>
  <si>
    <t>Discovered at visual grid position #860. Verified Ad Details URL. Format: Carousel Ad.</t>
  </si>
  <si>
    <t>https://adstransparency.google.com/advertiser/AR05016556376214732801/creative/CR10060069307208957953?region=anywhere</t>
  </si>
  <si>
    <t>Discovered at visual grid position #861. Verified Ad Details URL. Format: Single Image Ad.</t>
  </si>
  <si>
    <t>Discovered at visual grid position #862. Verified Ad Details URL. Format: Single Image Ad.</t>
  </si>
  <si>
    <t>https://adstransparency.google.com/advertiser/AR05016556376214732801/creative/CR17537122210039201793?region=anywhere</t>
  </si>
  <si>
    <t>Discovered at visual grid position #863. Verified Ad Details URL. Format: Carousel Ad.</t>
  </si>
  <si>
    <t>https://adstransparency.google.com/advertiser/AR05016556376214732801/creative/CR10668899681834106881?region=anywhere</t>
  </si>
  <si>
    <t>Discovered at visual grid position #864. Verified Ad Details URL. Format: Carousel Ad.</t>
  </si>
  <si>
    <t>Discovered at visual grid position #865. Verified Ad Details URL. Format: Carousel Ad.</t>
  </si>
  <si>
    <t>https://adstransparency.google.com/advertiser/AR05016556376214732801/creative/CR15139272067813212161?region=anywhere</t>
  </si>
  <si>
    <t>Can’t see how AI shows your brand? Fix it with Semrush</t>
  </si>
  <si>
    <t>Semrush Enterprise AIO reveals AI coverage, surfaces gaps, and automates next steps—so your team moves faster. Recognized as a Leader in The Forrester Wave™: SEO Solutions.</t>
  </si>
  <si>
    <t>SEO, Enterprise &amp; GTM</t>
  </si>
  <si>
    <t>Ran from Sep 25, 2025 to Sep 30, 2025</t>
  </si>
  <si>
    <t>Discovered at visual grid position #866. Verified Ad Details URL. Format: Single Image Ad.</t>
  </si>
  <si>
    <t>Save hours each week with Semrush</t>
  </si>
  <si>
    <t>Automate AI search monitoring, map queries to pages, and get clear next steps. Fewer spreadsheets. Faster approvals. Ready-to-use reports your leaders will value.</t>
  </si>
  <si>
    <t>https://adstransparency.google.com/advertiser/AR05016556376214732801/creative/CR14943128814144716801?region=anywhere</t>
  </si>
  <si>
    <t>Discovered at visual grid position #867. Verified Ad Details URL. Format: Single Image Ad.</t>
  </si>
  <si>
    <t>Discovered at visual grid position #868. Verified Ad Details URL. Format: Carousel Ad.</t>
  </si>
  <si>
    <t>https://adstransparency.google.com/advertiser/AR05016556376214732801/creative/CR02755301904991911937?region=anywhere</t>
  </si>
  <si>
    <t>Ran from Sep 25, 2025 to Sep 29, 2025</t>
  </si>
  <si>
    <t>Discovered at visual grid position #869. Verified Ad Details URL. Format: Single Image Ad.</t>
  </si>
  <si>
    <t>What if your SEO platform isn’t a Leader?</t>
  </si>
  <si>
    <t>Forrester-recognized. Semrush tracks AI search, exposes how your brand appears across engines, and turns market data into actions that cut time to impact—so competitors chase you.</t>
  </si>
  <si>
    <t>AI Search &amp; GEO, Competitive Intelligence</t>
  </si>
  <si>
    <t>Discovered at visual grid position #870. Verified Ad Details URL. Format: Single Image Ad.</t>
  </si>
  <si>
    <t>https://adstransparency.google.com/advertiser/AR05016556376214732801/creative/CR01399543869682483201?region=anywhere</t>
  </si>
  <si>
    <t>Discovered at visual grid position #871. Verified Ad Details URL. Format: Single Image Ad.</t>
  </si>
  <si>
    <t>Discovered at visual grid position #872. Verified Ad Details URL. Format: Carousel Ad.</t>
  </si>
  <si>
    <t>https://adstransparency.google.com/advertiser/AR05016556376214732801/creative/CR11336312035987161089?region=anywhere</t>
  </si>
  <si>
    <t>Discovered at visual grid position #873. Verified Ad Details URL. Format: Single Image Ad.</t>
  </si>
  <si>
    <t>Discovered at visual grid position #874. Verified Ad Details URL. Format: Single Image Ad.</t>
  </si>
  <si>
    <t>https://adstransparency.google.com/advertiser/AR05016556376214732801/creative/CR08943495457993129985?region=anywhere</t>
  </si>
  <si>
    <t>Discovered at visual grid position #875. Verified Ad Details URL. Format: Single Image Ad.</t>
  </si>
  <si>
    <t>https://adstransparency.google.com/advertiser/AR05016556376214732801/creative/CR01201383287054925825?region=anywhere</t>
  </si>
  <si>
    <t>Discovered at visual grid position #876. Verified Ad Details URL. Format: Single Image Ad.</t>
  </si>
  <si>
    <t>Discovered at visual grid position #877. Verified Ad Details URL. Format: Carousel Ad.</t>
  </si>
  <si>
    <t>https://adstransparency.google.com/advertiser/AR05016556376214732801/creative/CR03114711640268865537?region=anywhere</t>
  </si>
  <si>
    <t>Discovered at visual grid position #878. Verified Ad Details URL. Format: Single Image Ad.</t>
  </si>
  <si>
    <t>https://adstransparency.google.com/advertiser/AR05016556376214732801/creative/CR16822822282031267841?region=anywhere</t>
  </si>
  <si>
    <t>Discovered at visual grid position #879. Verified Ad Details URL. Format: Single Image Ad.</t>
  </si>
  <si>
    <t>Discovered at visual grid position #880. Verified Ad Details URL. Format: Single Image Ad.</t>
  </si>
  <si>
    <t>https://adstransparency.google.com/advertiser/AR05016556376214732801/creative/CR01482174367533105153?region=anywhere</t>
  </si>
  <si>
    <t>Discovered at visual grid position #881. Verified Ad Details URL. Format: Single Image Ad.</t>
  </si>
  <si>
    <t>Discovered at visual grid position #882. Verified Ad Details URL. Format: Single Image Ad.</t>
  </si>
  <si>
    <t>https://adstransparency.google.com/advertiser/AR05016556376214732801/creative/CR02898694576489365505?region=anywhere</t>
  </si>
  <si>
    <t>Discovered at visual grid position #883. Verified Ad Details URL. Format: Single Image Ad.</t>
  </si>
  <si>
    <t>https://adstransparency.google.com/advertiser/AR05016556376214732801/creative/CR03799716249185812481?region=anywhere</t>
  </si>
  <si>
    <t>Discovered at visual grid position #884. Verified Ad Details URL. Format: Single Image Ad.</t>
  </si>
  <si>
    <t>https://adstransparency.google.com/advertiser/AR05016556376214732801/creative/CR07288710529541996545?region=anywhere</t>
  </si>
  <si>
    <t>Discovered at visual grid position #886. Verified Ad Details URL. Format: Carousel Ad.</t>
  </si>
  <si>
    <t>Discovered at visual grid position #887. Verified Ad Details URL. Format: Carousel Ad.</t>
  </si>
  <si>
    <t>https://adstransparency.google.com/advertiser/AR05016556376214732801/creative/CR13652901328253353985?region=anywhere</t>
  </si>
  <si>
    <t>https://adstransparency.google.com/advertiser/AR05016556376214732801/creative/CR07319587839706923009?region=anywhere</t>
  </si>
  <si>
    <t>https://adstransparency.google.com/advertiser/AR05016556376214732801/creative/CR03544807191389143041?region=anywhere</t>
  </si>
  <si>
    <t>https://adstransparency.google.com/advertiser/AR05016556376214732801/creative/CR07197475940887166977?region=anywhere</t>
  </si>
  <si>
    <t>https://adstransparency.google.com/advertiser/AR05016556376214732801/creative/CR15106750575447900161?region=anywhere</t>
  </si>
  <si>
    <t>https://adstransparency.google.com/advertiser/AR05016556376214732801/creative/CR06459199100251275265?region=anywhere</t>
  </si>
  <si>
    <t>https://adstransparency.google.com/advertiser/AR05016556376214732801/creative/CR05642047556046290945?region=anywhere</t>
  </si>
  <si>
    <t>https://adstransparency.google.com/advertiser/AR05016556376214732801/creative/CR06116940303258615809?region=anywhere</t>
  </si>
  <si>
    <t>https://adstransparency.google.com/advertiser/AR05016556376214732801/creative/CR12053172589137231873?region=anywhere</t>
  </si>
  <si>
    <t>https://adstransparency.google.com/advertiser/AR05016556376214732801/creative/CR05653859609463488513?region=anywhere</t>
  </si>
  <si>
    <t>https://adstransparency.google.com/advertiser/AR05016556376214732801/creative/CR11767973222945914881?region=anywhere</t>
  </si>
  <si>
    <t>https://adstransparency.google.com/advertiser/AR05016556376214732801/creative/CR04126241584540811265?region=anywhere</t>
  </si>
  <si>
    <t>https://adstransparency.google.com/advertiser/AR05016556376214732801/creative/CR11349843038395432961?region=anywhere</t>
  </si>
  <si>
    <t>https://adstransparency.google.com/advertiser/AR05016556376214732801/creative/CR17349893109453946881?region=anywhere</t>
  </si>
  <si>
    <t>https://adstransparency.google.com/advertiser/AR05016556376214732801/creative/CR11386588373398323201?region=anywhere</t>
  </si>
  <si>
    <t>https://adstransparency.google.com/advertiser/AR05016556376214732801/creative/CR00091082014236606465?region=anywhere</t>
  </si>
  <si>
    <t>Your customers are asking AI for recommendations daily. Are you visible? - Monitor your brand across ChatGPT, Claude, Gemini &amp; more - Identify competitive opportunities  - Automate optimization at scale  Get your exclusive 14-day trial offer now</t>
  </si>
  <si>
    <t>https://adstransparency.google.com/advertiser/AR05016556376214732801/creative/CR12290415106415656961?region=anywhere</t>
  </si>
  <si>
    <t>https://adstransparency.google.com/advertiser/AR05016556376214732801/creative/CR11172818917544427521?region=anywhere</t>
  </si>
  <si>
    <t>Your competitors are reaching your customers with AI search. Are you doing enough? - See how you show up in all leading LLMs - Build share of voice - Grow your AI visibility at scale  Get your exclusive free trial today</t>
  </si>
  <si>
    <t>https://adstransparency.google.com/advertiser/AR05016556376214732801/creative/CR03161098455296770049?region=anywhere</t>
  </si>
  <si>
    <t>https://adstransparency.google.com/advertiser/AR05016556376214732801/creative/CR06065437460626669569?region=anywhere</t>
  </si>
  <si>
    <t>Millions search, discover and purchase with AI every day.   AI Optimization enables in-depth visibility tracking via mentions, sentiment and topics. Get tailored recommendations to outperform competitors and reach new customers.</t>
  </si>
  <si>
    <t>https://adstransparency.google.com/advertiser/AR05016556376214732801/creative/CR12653729825958133761?region=anywhere</t>
  </si>
  <si>
    <t>https://adstransparency.google.com/advertiser/AR05016556376214732801/creative/CR00769293359280816129?region=anywhere</t>
  </si>
  <si>
    <t>https://adstransparency.google.com/advertiser/AR05016556376214732801/creative/CR15753878726774882305?region=anywhere</t>
  </si>
  <si>
    <t>https://adstransparency.google.com/advertiser/AR05016556376214732801/creative/CR13278380661078491137?region=anywhere</t>
  </si>
  <si>
    <t>https://adstransparency.google.com/advertiser/AR05016556376214732801/creative/CR00064537879396745217?region=anywhere</t>
  </si>
  <si>
    <t>https://adstransparency.google.com/advertiser/AR05016556376214732801/creative/CR02417977647465234433?region=anywhere</t>
  </si>
  <si>
    <t>https://adstransparency.google.com/advertiser/AR05016556376214732801/creative/CR16678617002721411073?region=anywhere</t>
  </si>
  <si>
    <t>https://adstransparency.google.com/advertiser/AR05016556376214732801/creative/CR01618030092980584449?region=anywhere</t>
  </si>
  <si>
    <t>https://adstransparency.google.com/advertiser/AR05016556376214732801/creative/CR14165985611856478209?region=anywhere</t>
  </si>
  <si>
    <t>https://adstransparency.google.com/advertiser/AR05016556376214732801/creative/CR09045392835536224257?region=anywhere</t>
  </si>
  <si>
    <t>https://adstransparency.google.com/advertiser/AR05016556376214732801/creative/CR06895708446293753857?region=anywhere</t>
  </si>
  <si>
    <t>https://adstransparency.google.com/advertiser/AR05016556376214732801/creative/CR14314962221875068929?region=anywhere</t>
  </si>
  <si>
    <t>https://adstransparency.google.com/advertiser/AR05016556376214732801/creative/CR12056615160043798529?region=anywhere</t>
  </si>
  <si>
    <t>https://adstransparency.google.com/advertiser/AR05016556376214732801/creative/CR14001897520184164353?region=anywhere</t>
  </si>
  <si>
    <t>https://mangools.com/serpwatcher/</t>
  </si>
  <si>
    <t>CodeCat, s.r.o.</t>
  </si>
  <si>
    <t>Search Text Ad: "Your Website SERP Performance - Track Rankings Anywhere"</t>
  </si>
  <si>
    <t>https://adstransparency.google.com/advertiser/AR05538899415307124737/creative/CR06206837284478648321?region=anywhere</t>
  </si>
  <si>
    <t>https://mangools.com/</t>
  </si>
  <si>
    <t>Search Text Ad: "Juicy SEO Tools You Will Love - Package of 5 User Friendly Tools"</t>
  </si>
  <si>
    <t>https://adstransparency.google.com/advertiser/AR05538899415307124737/creative/CR03305588044261752833?region=anywhere</t>
  </si>
  <si>
    <t>Li Qingfeng</t>
  </si>
  <si>
    <t>Search Text Ad: "Rank Tracking Software - Backlink Checker &amp; SERP Previews"</t>
  </si>
  <si>
    <t>https://adstransparency.google.com/advertiser/AR07491212980508426241/creative/CR08610461864205221889?region=anywhere</t>
  </si>
  <si>
    <t>Search Text Ad: "Find Long-Tail Keywords with Low SEO Difficulty - KWFinder"</t>
  </si>
  <si>
    <t>https://adstransparency.google.com/advertiser/AR05538899415307124737/creative/CR13023370877708795905?region=anywhere</t>
  </si>
  <si>
    <t>https://mangools.com/seo/tools</t>
  </si>
  <si>
    <t>Search Text Ad: "Mangools SEO Suite - 5 Super User Friendly Tools with Proven Data"</t>
  </si>
  <si>
    <t>https://adstransparency.google.com/advertiser/AR05538899415307124737/creative/CR16401207161016811521?region=anywhere</t>
  </si>
  <si>
    <t>Search Text Ad: "Mangools - Juicy SEO Tools You Will Love - Find Keywords &amp; Backlinks"</t>
  </si>
  <si>
    <t>https://adstransparency.google.com/advertiser/AR05538899415307124737/creative/CR01617934452648837121?region=anywhere</t>
  </si>
  <si>
    <t>Search Text Ad: "Free SEO Tools - Keyword Ideas, Content Checks &amp; Location Insights"</t>
  </si>
  <si>
    <t>https://adstransparency.google.com/advertiser/AR07491212980508426241/creative/CR08723590615587094529?region=anywhere</t>
  </si>
  <si>
    <t>AFFI TECH 40</t>
  </si>
  <si>
    <t>Search Text Ad: "Welcome to Mangools - All-in-one SEO Suite with Simple Interface"</t>
  </si>
  <si>
    <t>https://adstransparency.google.com/advertiser/AR03264499243192156161/creative/CR02847621187637346305?region=anywhere</t>
  </si>
  <si>
    <t>Search Text Ad: "Accurate Keyword Data &amp; Rank Tracking - Great UI for Any Location"</t>
  </si>
  <si>
    <t>https://adstransparency.google.com/advertiser/AR05538899415307124737/creative/CR04476897652482506753?region=anywhere</t>
  </si>
  <si>
    <t>Search Text Ad: "Best Keyword Research Tool - Simple &amp; Super User-Friendly"</t>
  </si>
  <si>
    <t>https://adstransparency.google.com/advertiser/AR05538899415307124737/creative/CR18261034025747480577?region=anywhere</t>
  </si>
  <si>
    <t>https://mangools.com/linkminer/</t>
  </si>
  <si>
    <t>NGUYỄN HẢI NAM</t>
  </si>
  <si>
    <t>Search Text Ad: "Competitors' Backlinks &amp; SEO Insights - LinkMiner Backlink Analysis"</t>
  </si>
  <si>
    <t>https://adstransparency.google.com/advertiser/AR08188980299493801985/creative/CR14483344619418419201?region=anywhere</t>
  </si>
  <si>
    <t>https://mangools.com/siteprofiler/</t>
  </si>
  <si>
    <t>Hamed Farhadian</t>
  </si>
  <si>
    <t>Search Text Ad: "Check Competitor Website Authority &amp; Top Content - SiteProfiler"</t>
  </si>
  <si>
    <t>https://adstransparency.google.com/advertiser/AR06046219148424380417/creative/CR15876814846998609921?region=anywhere</t>
  </si>
  <si>
    <t>https://mangools.com/serpchecker/</t>
  </si>
  <si>
    <t>HOÀNG VĂN DUY</t>
  </si>
  <si>
    <t>Search Text Ad: "Analyze Google SERPs with Localized Results - SERPChecker"</t>
  </si>
  <si>
    <t>https://adstransparency.google.com/advertiser/AR11083541597025992705/creative/CR14197332439256268801?region=anywhere</t>
  </si>
  <si>
    <t>https://mangools.com/pricing</t>
  </si>
  <si>
    <t>the JAR group</t>
  </si>
  <si>
    <t>Search Text Ad: "Mangools Pricing - Affordable All-in-One SEO Plans for Individuals &amp; Teams"</t>
  </si>
  <si>
    <t>https://adstransparency.google.com/advertiser/AR17788391970247278593/creative/CR09727762293038514177?region=anywhere</t>
  </si>
  <si>
    <t>ABDUL VAHID</t>
  </si>
  <si>
    <t>Search Text Ad: "Start 10-Day Free Trial - No Credit Card Required - Mangools SEO"</t>
  </si>
  <si>
    <t>https://adstransparency.google.com/advertiser/AR11494914002723536897/creative/CR16980757601123827713?region=anywhere</t>
  </si>
  <si>
    <t>Search Text Ad: "Juicy SEO Tools - Boost Website Traffic &amp; Organic Search Rankings"</t>
  </si>
  <si>
    <t>https://adstransparency.google.com/advertiser/AR05538899415307124737/creative/CR06694026883836674049?region=anywhere</t>
  </si>
  <si>
    <t>Search Text Ad: "Find Profitable Keywords - Real Search Volumes &amp; Difficulty Scores"</t>
  </si>
  <si>
    <t>https://adstransparency.google.com/advertiser/AR05538899415307124737/creative/CR15740018197295792129?region=anywhere</t>
  </si>
  <si>
    <t>Search Text Ad: "Daily Rank Tracking - Instant Alerts on Ranking Changes"</t>
  </si>
  <si>
    <t>https://adstransparency.google.com/advertiser/AR05538899415307124737/creative/CR06290233162681286657?region=anywhere</t>
  </si>
  <si>
    <t>Search Text Ad: "Replicate Competitor Backlinks - Find Powerful Link Opportunities"</t>
  </si>
  <si>
    <t>https://adstransparency.google.com/advertiser/AR05538899415307124737/creative/CR00906987055853076481?region=anywhere</t>
  </si>
  <si>
    <t>Search Text Ad: "Complete SEO Audit &amp; Domain Overview in One Click"</t>
  </si>
  <si>
    <t>https://adstransparency.google.com/advertiser/AR05538899415307124737/creative/CR13254440856967970817?region=anywhere</t>
  </si>
  <si>
    <t>Search Text Ad: "Local SEO Analysis - Compare Mobile &amp; Desktop SERP Previews"</t>
  </si>
  <si>
    <t>https://adstransparency.google.com/advertiser/AR05538899415307124737/creative/CR04781040478738972673?region=anywhere</t>
  </si>
  <si>
    <t>Search Text Ad: "Affordable Alternative to Ahrefs &amp; Semrush - Mangools Suite"</t>
  </si>
  <si>
    <t>https://adstransparency.google.com/advertiser/AR05538899415307124737/creative/CR08860926532793663489?region=anywhere</t>
  </si>
  <si>
    <t>Search Text Ad: "SEO Tools Loved by 2,500,000+ Marketers Worldwide"</t>
  </si>
  <si>
    <t>https://adstransparency.google.com/advertiser/AR05538899415307124737/creative/CR00543063069429858305?region=anywhere</t>
  </si>
  <si>
    <t>https://mangools.com/seo-extension</t>
  </si>
  <si>
    <t>Search Text Ad: "Mangools SEO Extension - Instant SEO Metrics in Your Browser"</t>
  </si>
  <si>
    <t>https://adstransparency.google.com/advertiser/AR05538899415307124737/creative/CR12803935208940240897?region=anywhere</t>
  </si>
  <si>
    <t>Search Text Ad: "Special Mangools Subscription Offer - Save on Annual Plans"</t>
  </si>
  <si>
    <t>https://adstransparency.google.com/advertiser/AR05538899415307124737/creative/CR13043656781341917185?region=anywhere</t>
  </si>
  <si>
    <t>Semrush Inc.</t>
  </si>
  <si>
    <t>Video Ad: "Semrush All-in-One Marketing Platform - Boost Organic Traffic &amp; Outrank Competitors"</t>
  </si>
  <si>
    <t>https://adstransparency.google.com/advertiser/AR11070511645502472193/creative/CR02468285664555171841?region=anywhere</t>
  </si>
  <si>
    <t>https://www.semrush.com/analytics/keywordoverview/</t>
  </si>
  <si>
    <t>Video Ad: "Semrush Keyword Magic Tool - Discover Millions of Low-Competition Keywords"</t>
  </si>
  <si>
    <t>https://adstransparency.google.com/advertiser/AR11070511645502472193/creative/CR01377189449670066177?region=anywhere</t>
  </si>
  <si>
    <t>Video Ad: "Competitor Analysis &amp; Market Explorer - Uncover Competitors' Traffic &amp; SEO Strategy"</t>
  </si>
  <si>
    <t>https://adstransparency.google.com/advertiser/AR11070511645502472193/creative/CR02328484960106708993?region=anywhere</t>
  </si>
  <si>
    <t>Video Ad: "Start Your Semrush 7-Day Free Trial - Access 55+ SEO &amp; Marketing Tools"</t>
  </si>
  <si>
    <t>https://adstransparency.google.com/advertiser/AR11070511645502472193/creative/CR15928882795657560065?region=anywhere</t>
  </si>
  <si>
    <t>https://www.semrush.com/analytics/backlinks/overview/</t>
  </si>
  <si>
    <t>Video Ad: "Semrush Backlink Analytics - Discover High-Quality Link Building Opportunities"</t>
  </si>
  <si>
    <t>https://adstransparency.google.com/advertiser/AR11070511645502472193/creative/CR12102059762326175745?region=anywhere</t>
  </si>
  <si>
    <t>https://www.semrush.com/features/</t>
  </si>
  <si>
    <t>Video Ad: "Semrush On-Page SEO Checker - Get Actionable Recommendations to Rank Higher"</t>
  </si>
  <si>
    <t>https://adstransparency.google.com/advertiser/AR11070511645502472193/creative/CR00926089515607523329?region=anywhere</t>
  </si>
  <si>
    <t>https://www.semrush.com/agencies/</t>
  </si>
  <si>
    <t>Video Ad: "Semrush for Agencies - Agency Growth Kit, Client Portals &amp; White-Label Reporting"</t>
  </si>
  <si>
    <t>https://adstransparency.google.com/advertiser/AR11070511645502472193/creative/CR03584006842503659521?region=anywhere</t>
  </si>
  <si>
    <t>https://www.semrush.com/pricing/</t>
  </si>
  <si>
    <t>Video Ad: "Semrush Pricing &amp; Plans - Compare Pro, Guru &amp; Business Subscriptions"</t>
  </si>
  <si>
    <t>https://adstransparency.google.com/advertiser/AR11070511645502472193/creative/CR06451990014824808449?region=anywhere</t>
  </si>
  <si>
    <t>Video Ad: "PPC Keyword Tool &amp; Google Ads Research - Optimize Ad Spend &amp; Find Winning Copies"</t>
  </si>
  <si>
    <t>https://adstransparency.google.com/advertiser/AR11070511645502472193/creative/CR12945459947621056513?region=anywhere</t>
  </si>
  <si>
    <t>Video Ad: "AI Content Writing Assistant - Write SEO-Optimized Content That Ranks"</t>
  </si>
  <si>
    <t>https://adstransparency.google.com/advertiser/AR11070511645502472193/creative/CR11271468088630968321?region=anywhere</t>
  </si>
  <si>
    <t>Video Ad: "Daily SERP Rank Tracking - Monitor Search Engine Volatility &amp; Rankings Across Devices"</t>
  </si>
  <si>
    <t>https://adstransparency.google.com/advertiser/AR11070511645502472193/creative/CR13276926720159514625?region=anywhere</t>
  </si>
  <si>
    <t>Video Ad: "Semrush vs. Alternatives - The Industry Standard Digital Marketing Suite"</t>
  </si>
  <si>
    <t>https://adstransparency.google.com/advertiser/AR11070511645502472193/creative/CR16223738828878249985?region=anywhere</t>
  </si>
  <si>
    <t>Video Ad: "Site Audit Tool - Fix 140+ Technical &amp; On-Page SEO Issues in Minutes"</t>
  </si>
  <si>
    <t>https://adstransparency.google.com/advertiser/AR11070511645502472193/creative/CR04957702886034243585?region=anywhere</t>
  </si>
  <si>
    <t>https://www.semrush.com/kb/demo/</t>
  </si>
  <si>
    <t>Video Ad: "Request a Live Demo - Personalized Walkthrough of Enterprise Semrush Features"</t>
  </si>
  <si>
    <t>https://adstransparency.google.com/advertiser/AR11070511645502472193/creative/CR16118561745588453377?region=anywhere</t>
  </si>
  <si>
    <t>https://adstransparency.google.com/advertiser/AR11070511645502472193/creative/CR16820278862528118785?region=anywhere</t>
  </si>
  <si>
    <t>https://adstransparency.google.com/advertiser/AR11070511645502472193/creative/CR14223296169395617793?region=anywhere</t>
  </si>
  <si>
    <t>https://adstransparency.google.com/advertiser/AR11070511645502472193/creative/CR10555220075126718465?region=anywhere</t>
  </si>
  <si>
    <t>https://adstransparency.google.com/advertiser/AR11070511645502472193/creative/CR13261777648952016897?region=anywhere</t>
  </si>
  <si>
    <t>https://adstransparency.google.com/advertiser/AR11070511645502472193/creative/CR03641438251832573953?region=anywhere</t>
  </si>
  <si>
    <t>https://adstransparency.google.com/advertiser/AR11070511645502472193/creative/CR04874667767904600065?region=anywhere</t>
  </si>
  <si>
    <t>https://adstransparency.google.com/advertiser/AR11070511645502472193/creative/CR03590007427212247041?region=anywhere</t>
  </si>
  <si>
    <t>https://adstransparency.google.com/advertiser/AR11070511645502472193/creative/CR11247542715610562561?region=anywhere</t>
  </si>
  <si>
    <t>https://adstransparency.google.com/advertiser/AR11070511645502472193/creative/CR01122947975820083201?region=anywhere</t>
  </si>
  <si>
    <t>https://adstransparency.google.com/advertiser/AR11070511645502472193/creative/CR11831271239773585409?region=anywhere</t>
  </si>
  <si>
    <t>https://adstransparency.google.com/advertiser/AR11070511645502472193/creative/CR03716774271716950017?region=anywhere</t>
  </si>
  <si>
    <t>https://adstransparency.google.com/advertiser/AR11070511645502472193/creative/CR02123310043049754625?region=anywhere</t>
  </si>
  <si>
    <t>https://adstransparency.google.com/advertiser/AR11070511645502472193/creative/CR04906517020578676737?region=anywhere</t>
  </si>
  <si>
    <t>https://adstransparency.google.com/advertiser/AR11070511645502472193/creative/CR00058861813827108865?region=anywhere</t>
  </si>
  <si>
    <t>https://adstransparency.google.com/advertiser/AR11070511645502472193/creative/CR07194262068399177729?region=anywhere</t>
  </si>
  <si>
    <t>https://adstransparency.google.com/advertiser/AR11070511645502472193/creative/CR03634547818619731969?region=anywhere</t>
  </si>
  <si>
    <t>https://adstransparency.google.com/advertiser/AR11070511645502472193/creative/CR17645418358708895745?region=anywhere</t>
  </si>
  <si>
    <t>https://adstransparency.google.com/advertiser/AR11070511645502472193/creative/CR06312954321361174529?region=anywhere</t>
  </si>
  <si>
    <t>https://adstransparency.google.com/advertiser/AR11070511645502472193/creative/CR06382271932422684673?region=anywhere</t>
  </si>
  <si>
    <t>https://adstransparency.google.com/advertiser/AR11070511645502472193/creative/CR10611820485593268225?region=anywhere</t>
  </si>
  <si>
    <t>https://adstransparency.google.com/advertiser/AR11070511645502472193/creative/CR09940973257115041793?region=anywhere</t>
  </si>
  <si>
    <t>https://adstransparency.google.com/advertiser/AR11070511645502472193/creative/CR04061229274466615297?region=anywhere</t>
  </si>
  <si>
    <t>https://adstransparency.google.com/advertiser/AR11070511645502472193/creative/CR15505035056153362433?region=anywhere</t>
  </si>
  <si>
    <t>https://adstransparency.google.com/advertiser/AR11070511645502472193/creative/CR14823119344766025729?region=anywhere</t>
  </si>
  <si>
    <t>https://adstransparency.google.com/advertiser/AR11070511645502472193/creative/CR05335817238245015553?region=anywhere</t>
  </si>
  <si>
    <t>https://adstransparency.google.com/advertiser/AR11070511645502472193/creative/CR14133740947313262593?region=anywhere</t>
  </si>
  <si>
    <t>https://adstransparency.google.com/advertiser/AR11070511645502472193/creative/CR08220543472986226689?region=anywhere</t>
  </si>
  <si>
    <t>https://adstransparency.google.com/advertiser/AR11070511645502472193/creative/CR17592219588110581761?region=anywhere</t>
  </si>
  <si>
    <t>https://adstransparency.google.com/advertiser/AR11070511645502472193/creative/CR17225545654386819073?region=anywhere</t>
  </si>
  <si>
    <t>https://adstransparency.google.com/advertiser/AR11070511645502472193/creative/CR11961088146713608193?region=anywhere</t>
  </si>
  <si>
    <t>https://adstransparency.google.com/advertiser/AR11070511645502472193/creative/CR01828016335481733121?region=anywhere</t>
  </si>
  <si>
    <t>https://adstransparency.google.com/advertiser/AR11070511645502472193/creative/CR05107982185403514881?region=anywhere</t>
  </si>
  <si>
    <t>https://adstransparency.google.com/advertiser/AR11070511645502472193/creative/CR17978489267172671489?region=anywhere</t>
  </si>
  <si>
    <t>https://adstransparency.google.com/advertiser/AR11070511645502472193/creative/CR15550450684586360833?region=anywhere</t>
  </si>
  <si>
    <t>https://adstransparency.google.com/advertiser/AR11070511645502472193/creative/CR03343945589728477185?region=anywhere</t>
  </si>
  <si>
    <t>https://adstransparency.google.com/advertiser/AR11070511645502472193/creative/CR17496943607028908033?region=anywhere</t>
  </si>
  <si>
    <t>https://adstransparency.google.com/advertiser/AR11070511645502472193/creative/CR13723064558245904385?region=anywhere</t>
  </si>
  <si>
    <t>Ran from Sep 22, 2025 to Oct 11, 2025</t>
  </si>
  <si>
    <t>Discovered at visual grid position #1084. Verified Ad Details URL. Format: Single Image Ad.</t>
  </si>
  <si>
    <t>https://adstransparency.google.com/advertiser/AR11070511645502472193/creative/CR03348136859334082561?region=anywhere</t>
  </si>
  <si>
    <t>https://adstransparency.google.com/advertiser/AR11070511645502472193/creative/CR12259327609141198849?region=anywhere</t>
  </si>
  <si>
    <t>https://adstransparency.google.com/advertiser/AR11070511645502472193/creative/CR09051142894802436097?region=anywhere</t>
  </si>
  <si>
    <t>https://adstransparency.google.com/advertiser/AR11070511645502472193/creative/CR00068120019560562689?region=anywhere</t>
  </si>
  <si>
    <t>https://adstransparency.google.com/advertiser/AR11070511645502472193/creative/CR09732953053073506305?region=anywhere</t>
  </si>
  <si>
    <t>https://adstransparency.google.com/advertiser/AR11070511645502472193/creative/CR03697722183338950657?region=anywhere</t>
  </si>
  <si>
    <t>https://adstransparency.google.com/advertiser/AR11070511645502472193/creative/CR11316539518384865281?region=anywhere</t>
  </si>
  <si>
    <t>https://adstransparency.google.com/advertiser/AR11070511645502472193/creative/CR11374153927680327681?region=anywhere</t>
  </si>
  <si>
    <t>https://adstransparency.google.com/advertiser/AR11070511645502472193/creative/CR11097998456944328705?region=anywhere</t>
  </si>
  <si>
    <t>https://adstransparency.google.com/advertiser/AR11070511645502472193/creative/CR16292544522787749889?region=anywhere</t>
  </si>
  <si>
    <t>https://adstransparency.google.com/advertiser/AR11070511645502472193/creative/CR14828450026245586945?region=anywhere</t>
  </si>
  <si>
    <t>https://adstransparency.google.com/advertiser/AR11070511645502472193/creative/CR01176395236046274561?region=anywhere</t>
  </si>
  <si>
    <t>https://adstransparency.google.com/advertiser/AR11070511645502472193/creative/CR12404139380782923777?region=anywhere</t>
  </si>
  <si>
    <t>https://adstransparency.google.com/advertiser/AR11070511645502472193/creative/CR15384980781675839489?region=anywhere</t>
  </si>
  <si>
    <t>https://adstransparency.google.com/advertiser/AR11070511645502472193/creative/CR12209864678406356993?region=anywhere</t>
  </si>
  <si>
    <t>https://adstransparency.google.com/advertiser/AR11070511645502472193/creative/CR02338767592849670145?region=anywhere</t>
  </si>
  <si>
    <t>https://adstransparency.google.com/advertiser/AR11070511645502472193/creative/CR00480775976234516481?region=anywhere</t>
  </si>
  <si>
    <t>https://adstransparency.google.com/advertiser/AR11070511645502472193/creative/CR05216080121332498433?region=anywhere</t>
  </si>
  <si>
    <t>https://adstransparency.google.com/advertiser/AR11070511645502472193/creative/CR09031798886087262209?region=anywhere</t>
  </si>
  <si>
    <t>https://adstransparency.google.com/advertiser/AR11070511645502472193/creative/CR13867899213473382401?region=anywhere</t>
  </si>
  <si>
    <t>https://adstransparency.google.com/advertiser/AR11070511645502472193/creative/CR17773707975278460929?region=anywhere</t>
  </si>
  <si>
    <t>https://adstransparency.google.com/advertiser/AR11070511645502472193/creative/CR13549732915268550657?region=anywhere</t>
  </si>
  <si>
    <t>https://adstransparency.google.com/advertiser/AR11070511645502472193/creative/CR16990077542717194241?region=anywhere</t>
  </si>
  <si>
    <t>https://adstransparency.google.com/advertiser/AR11070511645502472193/creative/CR08508780222869405697?region=anywhere</t>
  </si>
  <si>
    <t>https://adstransparency.google.com/advertiser/AR11070511645502472193/creative/CR17801437177494634497?region=anywhere</t>
  </si>
  <si>
    <t>https://adstransparency.google.com/advertiser/AR11070511645502472193/creative/CR10170083691905155073?region=anywhere</t>
  </si>
  <si>
    <t>https://adstransparency.google.com/advertiser/AR11070511645502472193/creative/CR07166745690402455553?region=anywhere</t>
  </si>
  <si>
    <t>https://adstransparency.google.com/advertiser/AR11070511645502472193/creative/CR02016879516504293377?region=anywhere</t>
  </si>
  <si>
    <t>https://adstransparency.google.com/advertiser/AR11070511645502472193/creative/CR18342594810453426177?region=anywhere</t>
  </si>
  <si>
    <t>https://adstransparency.google.com/advertiser/AR11070511645502472193/creative/CR18227401657270927361?region=anywhere</t>
  </si>
  <si>
    <t>https://adstransparency.google.com/advertiser/AR11070511645502472193/creative/CR10419661286538215425?region=anywhere</t>
  </si>
  <si>
    <t>https://adstransparency.google.com/advertiser/AR11070511645502472193/creative/CR13068042231259070465?region=anywhere</t>
  </si>
  <si>
    <t>https://adstransparency.google.com/advertiser/AR11070511645502472193/creative/CR00000596493648003073?region=anywhere</t>
  </si>
  <si>
    <t>https://adstransparency.google.com/advertiser/AR11070511645502472193/creative/CR13604034427310047233?region=anywhere</t>
  </si>
  <si>
    <t>https://adstransparency.google.com/advertiser/AR11070511645502472193/creative/CR12472796185356140545?region=anywhere</t>
  </si>
  <si>
    <t>https://adstransparency.google.com/advertiser/AR11070511645502472193/creative/CR06408935338504355841?region=anywhere</t>
  </si>
  <si>
    <t>https://adstransparency.google.com/advertiser/AR11070511645502472193/creative/CR11350969831655473153?region=anywhere</t>
  </si>
  <si>
    <t>https://adstransparency.google.com/advertiser/AR11070511645502472193/creative/CR03868508706006106113?region=anywhere</t>
  </si>
  <si>
    <t>https://adstransparency.google.com/advertiser/AR11070511645502472193/creative/CR11381250519323377665?region=anywhere</t>
  </si>
  <si>
    <t>https://adstransparency.google.com/advertiser/AR11070511645502472193/creative/CR04189299289358336001?region=anywhere</t>
  </si>
  <si>
    <t>https://adstransparency.google.com/advertiser/AR11070511645502472193/creative/CR06259451441308499969?region=anywhere</t>
  </si>
  <si>
    <t>https://adstransparency.google.com/advertiser/AR11070511645502472193/creative/CR15646979808275988481?region=anywhere</t>
  </si>
  <si>
    <t>https://adstransparency.google.com/advertiser/AR11070511645502472193/creative/CR01036490971346370561?region=anywhere</t>
  </si>
  <si>
    <t>https://adstransparency.google.com/advertiser/AR11070511645502472193/creative/CR05444840043841585153?region=anywhere</t>
  </si>
  <si>
    <t>https://adstransparency.google.com/advertiser/AR11070511645502472193/creative/CR09759734184208760833?region=anywhere</t>
  </si>
  <si>
    <t>https://adstransparency.google.com/advertiser/AR11070511645502472193/creative/CR07496503821871349761?region=anywhere</t>
  </si>
  <si>
    <t>https://adstransparency.google.com/advertiser/AR11070511645502472193/creative/CR00879982088202223617?region=anywhere</t>
  </si>
  <si>
    <t>https://adstransparency.google.com/advertiser/AR11070511645502472193/creative/CR10660413101335117825?region=anywhere</t>
  </si>
  <si>
    <t>https://adstransparency.google.com/advertiser/AR11070511645502472193/creative/CR15792720005818220545?region=anywhere</t>
  </si>
  <si>
    <t>https://adstransparency.google.com/advertiser/AR11070511645502472193/creative/CR16699343896416616449?region=anywhere</t>
  </si>
  <si>
    <t>https://adstransparency.google.com/advertiser/AR11070511645502472193/creative/CR10045301835255775233?region=anywhere</t>
  </si>
  <si>
    <t>https://adstransparency.google.com/advertiser/AR11070511645502472193/creative/CR09606440247294427137?region=anywhere</t>
  </si>
  <si>
    <t>https://adstransparency.google.com/advertiser/AR11070511645502472193/creative/CR16905966767208136705?region=anywhere</t>
  </si>
  <si>
    <t>Shape your brand presence and grow AI search visibility before your competitors do</t>
  </si>
  <si>
    <t>https://adstransparency.google.com/advertiser/AR11070511645502472193/creative/CR11506438439360790529?region=anywhere</t>
  </si>
  <si>
    <t>AI search has drawn a hard line between who gets talked about and who gets trusted to shape the answers.  Semrush’s AI Visibility Index shows the divide in ChatGPT:  In business services, just 12 of the top 100 mentioned brands also rank as top sources. In fashion, the overlap is even smaller. Only 3 brands make both lists. In finance, the strongest vertical, 22 brands achieve both mention and source authority.  The reality is simple: ↳ If AI cites you but doesn’t mention your brand by name, you’re invisible in the conversation. ↳ If AI mentions you but doesn’t cite you, you lack authority.  Almost no one is winning on both sides. That’s the opportunity.  CMOs: audit your AI visibility today. Are you mentioned and cited…or are you letting LLMs control your story?  The AI Visibility Index breaks down exactly where mentions and sources diverge across industries and how brands can capture both → https://lnkd.in/gXxmKrGE</t>
  </si>
  <si>
    <t>https://adstransparency.google.com/advertiser/AR11070511645502472193/creative/CR01375834207099551745?region=anywhere</t>
  </si>
  <si>
    <t>Get a complete view of your AI visibility and steps to improve with AI Optimization</t>
  </si>
  <si>
    <t>https://adstransparency.google.com/advertiser/AR11070511645502472193/creative/CR12317922413441449985?region=anywhere</t>
  </si>
  <si>
    <t>https://adstransparency.google.com/advertiser/AR11070511645502472193/creative/CR09988987048704344065?region=anywhere</t>
  </si>
  <si>
    <t>https://adstransparency.google.com/advertiser/AR11070511645502472193/creative/CR12580076359511965697?region=anywhere</t>
  </si>
  <si>
    <t>https://adstransparency.google.com/advertiser/AR11070511645502472193/creative/CR01273957926435815425?region=anywhere</t>
  </si>
  <si>
    <t>Run granular analysis to boost brand visibility and get the competitive edge</t>
  </si>
  <si>
    <t>https://adstransparency.google.com/advertiser/AR11070511645502472193/creative/CR08374339611836547073?region=anywhere</t>
  </si>
  <si>
    <t>https://adstransparency.google.com/advertiser/AR11070511645502472193/creative/CR15781005877655371777?region=anywhere</t>
  </si>
  <si>
    <t>Semrush’s AI Visibility Index is out 🔥  2,500 prompts analyzed.  Five industry verticals.  Two platforms: ChatGPT + Google AI Mode.  One key question: What does it take to be an AI search leader?    Check out the full AI Visibility Index for industry winners, key sources, and a playbook to win both lanes → https://lnkd.in/e-iDKBxK</t>
  </si>
  <si>
    <t>https://adstransparency.google.com/advertiser/AR11070511645502472193/creative/CR16557498512657350657?region=anywhere</t>
  </si>
  <si>
    <t>https://adstransparency.google.com/advertiser/AR11070511645502472193/creative/CR03279864265355296769?region=anywhere</t>
  </si>
  <si>
    <t>https://adstransparency.google.com/advertiser/AR11070511645502472193/creative/CR07476823293878599681?region=anywhere</t>
  </si>
  <si>
    <t>Ran from Sep 15, 2025 to Sep 21, 2025</t>
  </si>
  <si>
    <t>Discovered at visual grid position #1194. Verified Ad Details URL. Format: Single Image Ad.</t>
  </si>
  <si>
    <t>https://adstransparency.google.com/advertiser/AR11070511645502472193/creative/CR07867510561552990209?region=anywhere</t>
  </si>
  <si>
    <t>https://adstransparency.google.com/advertiser/AR11070511645502472193/creative/CR01874178231662280705?region=anywhere</t>
  </si>
  <si>
    <t>https://adstransparency.google.com/advertiser/AR11070511645502472193/creative/CR09348088317943480321?region=anywhere</t>
  </si>
  <si>
    <t>https://adstransparency.google.com/advertiser/AR11070511645502472193/creative/CR08717831073033093121?region=anywhere</t>
  </si>
  <si>
    <t>https://adstransparency.google.com/advertiser/AR11070511645502472193/creative/CR04740053090437169153?region=anywhere</t>
  </si>
  <si>
    <t>https://adstransparency.google.com/advertiser/AR11070511645502472193/creative/CR15044625797656608769?region=anywhere</t>
  </si>
  <si>
    <t>https://adstransparency.google.com/advertiser/AR11070511645502472193/creative/CR05106927203996663809?region=anywhere</t>
  </si>
  <si>
    <t>Discover the AI Visibility Index, unlock the tactics shaping AI search, and build your winning strategy.</t>
  </si>
  <si>
    <t>https://adstransparency.google.com/advertiser/AR11070511645502472193/creative/CR01523172407353802753?region=anywhere</t>
  </si>
  <si>
    <t>https://adstransparency.google.com/advertiser/AR11070511645502472193/creative/CR09825406587806679041?region=anywhere</t>
  </si>
  <si>
    <t>https://adstransparency.google.com/advertiser/AR11070511645502472193/creative/CR11636449023556059137?region=anywhere</t>
  </si>
  <si>
    <t>https://adstransparency.google.com/advertiser/AR11070511645502472193/creative/CR00138574937962053633?region=anywhere</t>
  </si>
  <si>
    <t>https://adstransparency.google.com/advertiser/AR11070511645502472193/creative/CR12997972073207824385?region=anywhere</t>
  </si>
  <si>
    <t>https://adstransparency.google.com/advertiser/AR11070511645502472193/creative/CR14047885040692494337?region=anywhere</t>
  </si>
  <si>
    <t>https://adstransparency.google.com/advertiser/AR11070511645502472193/creative/CR02214677019776516097?region=anywhere</t>
  </si>
  <si>
    <t>https://adstransparency.google.com/advertiser/AR11070511645502472193/creative/CR08292686966370074625?region=anywhere</t>
  </si>
  <si>
    <t>https://adstransparency.google.com/advertiser/AR11070511645502472193/creative/CR06561864417946894337?region=anywhere</t>
  </si>
  <si>
    <t>https://adstransparency.google.com/advertiser/AR11070511645502472193/creative/CR08246905913529597953?region=anywhere</t>
  </si>
  <si>
    <t>https://adstransparency.google.com/advertiser/AR11070511645502472193/creative/CR13404081640729214977?region=anywhere</t>
  </si>
  <si>
    <t>https://adstransparency.google.com/advertiser/AR11070511645502472193/creative/CR06550728907778162689?region=anywhere</t>
  </si>
  <si>
    <t>https://adstransparency.google.com/advertiser/AR11070511645502472193/creative/CR07587471375229517825?region=anywhere</t>
  </si>
  <si>
    <t>https://adstransparency.google.com/advertiser/AR11070511645502472193/creative/CR06083629980019851265?region=anywhere</t>
  </si>
  <si>
    <t>https://adstransparency.google.com/advertiser/AR11070511645502472193/creative/CR03122372487535394817?region=anywhere</t>
  </si>
  <si>
    <t>https://adstransparency.google.com/advertiser/AR11070511645502472193/creative/CR12192622137059573761?region=anywhere</t>
  </si>
  <si>
    <t>https://adstransparency.google.com/advertiser/AR11070511645502472193/creative/CR11540640466529681409?region=anywhere</t>
  </si>
  <si>
    <t>https://adstransparency.google.com/advertiser/AR11070511645502472193/creative/CR01852378833093656577?region=anywhere</t>
  </si>
  <si>
    <t>https://adstransparency.google.com/advertiser/AR11070511645502472193/creative/CR11657819681309327361?region=anywhere</t>
  </si>
  <si>
    <t>https://adstransparency.google.com/advertiser/AR11070511645502472193/creative/CR14677397606993231873?region=anywhere</t>
  </si>
  <si>
    <t>https://adstransparency.google.com/advertiser/AR11070511645502472193/creative/CR10678286762356244481?region=anywhere</t>
  </si>
  <si>
    <t>https://adstransparency.google.com/advertiser/AR11070511645502472193/creative/CR07552498349891387393?region=anywhere</t>
  </si>
  <si>
    <t>https://adstransparency.google.com/advertiser/AR11070511645502472193/creative/CR11407298155943821313?region=anywhere</t>
  </si>
  <si>
    <t>https://adstransparency.google.com/advertiser/AR11070511645502472193/creative/CR12056275479670292481?region=anywhere</t>
  </si>
  <si>
    <t>https://adstransparency.google.com/advertiser/AR11070511645502472193/creative/CR09034936479956074497?region=anywhere</t>
  </si>
  <si>
    <t>https://adstransparency.google.com/advertiser/AR11070511645502472193/creative/CR02241529533268230145?region=anywhere</t>
  </si>
  <si>
    <t>https://adstransparency.google.com/advertiser/AR11070511645502472193/creative/CR12249957407840534529?region=anywhere</t>
  </si>
  <si>
    <t>https://adstransparency.google.com/advertiser/AR11070511645502472193/creative/CR01415444594526519297?region=anywhere</t>
  </si>
  <si>
    <t>https://adstransparency.google.com/advertiser/AR11070511645502472193/creative/CR13925669959578419201?region=anywhere</t>
  </si>
  <si>
    <t>https://adstransparency.google.com/advertiser/AR11070511645502472193/creative/CR12264927877127995393?region=anywhere</t>
  </si>
  <si>
    <t>https://adstransparency.google.com/advertiser/AR11070511645502472193/creative/CR15195219686200442881?region=anywhere</t>
  </si>
  <si>
    <t>https://adstransparency.google.com/advertiser/AR11070511645502472193/creative/CR01872272365694484481?region=anywhere</t>
  </si>
  <si>
    <t>https://adstransparency.google.com/advertiser/AR11070511645502472193/creative/CR16781140827014430721?region=anywhere</t>
  </si>
  <si>
    <t>https://adstransparency.google.com/advertiser/AR11070511645502472193/creative/CR09229180602165493761?region=anywhere</t>
  </si>
  <si>
    <t>https://adstransparency.google.com/advertiser/AR11070511645502472193/creative/CR05349338869034647553?region=anywhere</t>
  </si>
  <si>
    <t>https://adstransparency.google.com/advertiser/AR11070511645502472193/creative/CR11093066872415846401?region=anywhere</t>
  </si>
  <si>
    <t>https://adstransparency.google.com/advertiser/AR11070511645502472193/creative/CR11519692570997293057?region=anywhere</t>
  </si>
  <si>
    <t>https://adstransparency.google.com/advertiser/AR11070511645502472193/creative/CR16288576247884152833?region=anywhere</t>
  </si>
  <si>
    <t>https://adstransparency.google.com/advertiser/AR11070511645502472193/creative/CR17600897732740907009?region=anywhere</t>
  </si>
  <si>
    <t>https://adstransparency.google.com/advertiser/AR11070511645502472193/creative/CR00554209574714867713?region=anywhere</t>
  </si>
  <si>
    <t>https://adstransparency.google.com/advertiser/AR11070511645502472193/creative/CR02575581575471169537?region=anywhere</t>
  </si>
  <si>
    <t>https://adstransparency.google.com/advertiser/AR11070511645502472193/creative/CR14430363595072077825?region=anywhere</t>
  </si>
  <si>
    <t>https://adstransparency.google.com/advertiser/AR11070511645502472193/creative/CR08038620821675048961?region=anywhere</t>
  </si>
  <si>
    <t>https://adstransparency.google.com/advertiser/AR11070511645502472193/creative/CR01149822582623567873?region=anywhere</t>
  </si>
  <si>
    <t>https://adstransparency.google.com/advertiser/AR11070511645502472193/creative/CR01005355825704730625?region=anywhere</t>
  </si>
  <si>
    <t>https://adstransparency.google.com/advertiser/AR11070511645502472193/creative/CR01976846435575922689?region=anywhere</t>
  </si>
  <si>
    <t>https://adstransparency.google.com/advertiser/AR11070511645502472193/creative/CR13688346834353782785?region=anywhere</t>
  </si>
  <si>
    <t>https://adstransparency.google.com/advertiser/AR11070511645502472193/creative/CR04610598446808694785?region=anywhere</t>
  </si>
  <si>
    <t>https://adstransparency.google.com/advertiser/AR11070511645502472193/creative/CR09969093584822992897?region=anywhere</t>
  </si>
  <si>
    <t>https://adstransparency.google.com/advertiser/AR11070511645502472193/creative/CR12685358858479075329?region=anywhere</t>
  </si>
  <si>
    <t>https://adstransparency.google.com/advertiser/AR11070511645502472193/creative/CR15303701420406996993?region=anywhere</t>
  </si>
  <si>
    <t>https://adstransparency.google.com/advertiser/AR11070511645502472193/creative/CR13218089834322591745?region=anywhere</t>
  </si>
  <si>
    <t>https://adstransparency.google.com/advertiser/AR11070511645502472193/creative/CR10821645830029574145?region=anywhere</t>
  </si>
  <si>
    <t>https://adstransparency.google.com/advertiser/AR11070511645502472193/creative/CR01121562728608038913?region=anywhere</t>
  </si>
  <si>
    <t>https://adstransparency.google.com/advertiser/AR11070511645502472193/creative/CR04494251356172845057?region=anywhere</t>
  </si>
  <si>
    <t>https://adstransparency.google.com/advertiser/AR11070511645502472193/creative/CR11158419438389166081?region=anywhere</t>
  </si>
  <si>
    <t>https://adstransparency.google.com/advertiser/AR11070511645502472193/creative/CR14069146056520630273?region=anywhere</t>
  </si>
  <si>
    <t>https://adstransparency.google.com/advertiser/AR11070511645502472193/creative/CR05807966403298328577?region=anywhere</t>
  </si>
  <si>
    <t>https://adstransparency.google.com/advertiser/AR11070511645502472193/creative/CR11098183793373085697?region=anywhere</t>
  </si>
  <si>
    <t>https://adstransparency.google.com/advertiser/AR11070511645502472193/creative/CR12840069696514424833?region=anywhere</t>
  </si>
  <si>
    <t>https://adstransparency.google.com/advertiser/AR11070511645502472193/creative/CR11928512228522721281?region=anywhere</t>
  </si>
  <si>
    <t>https://adstransparency.google.com/advertiser/AR11070511645502472193/creative/CR05310894788566843393?region=anywhere</t>
  </si>
  <si>
    <t>https://adstransparency.google.com/advertiser/AR11070511645502472193/creative/CR15287853540840570881?region=anywhere</t>
  </si>
  <si>
    <t>https://adstransparency.google.com/advertiser/AR11070511645502472193/creative/CR01287569674229252097?region=anywhere</t>
  </si>
  <si>
    <t>https://adstransparency.google.com/advertiser/AR11070511645502472193/creative/CR13488815023287435265?region=anywhere</t>
  </si>
  <si>
    <t>https://adstransparency.google.com/advertiser/AR11070511645502472193/creative/CR13087203008079462401?region=anywhere</t>
  </si>
  <si>
    <t>https://adstransparency.google.com/advertiser/AR11070511645502472193/creative/CR11516468046990409729?region=anywhere</t>
  </si>
  <si>
    <t>https://adstransparency.google.com/advertiser/AR11070511645502472193/creative/CR13544201340988686337?region=anywhere</t>
  </si>
  <si>
    <t>https://adstransparency.google.com/advertiser/AR11070511645502472193/creative/CR08571447180152274945?region=anywhere</t>
  </si>
  <si>
    <t>https://adstransparency.google.com/advertiser/AR11070511645502472193/creative/CR08818517956993482753?region=anywhere</t>
  </si>
  <si>
    <t>https://adstransparency.google.com/advertiser/AR11070511645502472193/creative/CR10197809595586445313?region=anywhere</t>
  </si>
  <si>
    <t>https://adstransparency.google.com/advertiser/AR11070511645502472193/creative/CR16322412000242040833?region=anywhere</t>
  </si>
  <si>
    <t>https://adstransparency.google.com/advertiser/AR11070511645502472193/creative/CR07008123545909723137?region=anywhere</t>
  </si>
  <si>
    <t>https://adstransparency.google.com/advertiser/AR11070511645502472193/creative/CR15528795846026985473?region=anywhere</t>
  </si>
  <si>
    <t>https://adstransparency.google.com/advertiser/AR11070511645502472193/creative/CR02022941880022466561?region=anywhere</t>
  </si>
  <si>
    <t>https://adstransparency.google.com/advertiser/AR11070511645502472193/creative/CR17407242948763975681?region=anywhere</t>
  </si>
  <si>
    <t>https://adstransparency.google.com/advertiser/AR11070511645502472193/creative/CR06219010991322038273?region=anywhere</t>
  </si>
  <si>
    <t>https://adstransparency.google.com/advertiser/AR11070511645502472193/creative/CR14175110115258007553?region=anywhere</t>
  </si>
  <si>
    <t>https://adstransparency.google.com/advertiser/AR11070511645502472193/creative/CR17892646546101501953?region=anywhere</t>
  </si>
  <si>
    <t>https://adstransparency.google.com/advertiser/AR11070511645502472193/creative/CR08489605100858245121?region=anywhere</t>
  </si>
  <si>
    <t>https://adstransparency.google.com/advertiser/AR11070511645502472193/creative/CR09749971294048223233?region=anywhere</t>
  </si>
  <si>
    <t>https://adstransparency.google.com/advertiser/AR11070511645502472193/creative/CR11516411422141579265?region=anywhere</t>
  </si>
  <si>
    <t>https://adstransparency.google.com/advertiser/AR11070511645502472193/creative/CR13975473644428591105?region=anywhere</t>
  </si>
  <si>
    <t>https://adstransparency.google.com/advertiser/AR11070511645502472193/creative/CR03291240224973127681?region=anywhere</t>
  </si>
  <si>
    <t>https://adstransparency.google.com/advertiser/AR11070511645502472193/creative/CR17124782809634832385?region=anywhere</t>
  </si>
  <si>
    <t>https://adstransparency.google.com/advertiser/AR11070511645502472193/creative/CR00556206287830908929?region=anywhere</t>
  </si>
  <si>
    <t>https://adstransparency.google.com/advertiser/AR11070511645502472193/creative/CR01448711280897556481?region=anywhere</t>
  </si>
  <si>
    <t>https://adstransparency.google.com/advertiser/AR11070511645502472193/creative/CR01586370480292495361?region=anywhere</t>
  </si>
  <si>
    <t>https://adstransparency.google.com/advertiser/AR11070511645502472193/creative/CR15962260300774768641?region=anywhere</t>
  </si>
  <si>
    <t>https://adstransparency.google.com/advertiser/AR11070511645502472193/creative/CR08085015402003824641?region=anywhere</t>
  </si>
  <si>
    <t>https://adstransparency.google.com/advertiser/AR11070511645502472193/creative/CR06507813388398100481?region=anywhere</t>
  </si>
  <si>
    <t>https://adstransparency.google.com/advertiser/AR11070511645502472193/creative/CR01766514465387315201?region=anywhere</t>
  </si>
  <si>
    <t>https://adstransparency.google.com/advertiser/AR11070511645502472193/creative/CR15686149428979171329?region=anywhere</t>
  </si>
  <si>
    <t>https://adstransparency.google.com/advertiser/AR11070511645502472193/creative/CR10167260489642409985?region=anywhere</t>
  </si>
  <si>
    <t>https://adstransparency.google.com/advertiser/AR11070511645502472193/creative/CR13675043018535600129?region=anywhere</t>
  </si>
  <si>
    <t>https://adstransparency.google.com/advertiser/AR11070511645502472193/creative/CR00490951509672984577?region=anywhere</t>
  </si>
  <si>
    <t>https://adstransparency.google.com/advertiser/AR11070511645502472193/creative/CR03052479350856220673?region=anywhere</t>
  </si>
  <si>
    <t>https://adstransparency.google.com/advertiser/AR11070511645502472193/creative/CR14528768786246402049?region=anywhere</t>
  </si>
  <si>
    <t>https://adstransparency.google.com/advertiser/AR11070511645502472193/creative/CR15096139875923001345?region=anywhere</t>
  </si>
  <si>
    <t>https://adstransparency.google.com/advertiser/AR11070511645502472193/creative/CR00482851544950112257?region=anywhere</t>
  </si>
  <si>
    <t>https://adstransparency.google.com/advertiser/AR11070511645502472193/creative/CR12175326819154657281?region=anywhere</t>
  </si>
  <si>
    <t>https://adstransparency.google.com/advertiser/AR11070511645502472193/creative/CR10351125496963530753?region=anywhere</t>
  </si>
  <si>
    <t>https://adstransparency.google.com/advertiser/AR11070511645502472193/creative/CR13847948506267910145?region=anywhere</t>
  </si>
  <si>
    <t>https://adstransparency.google.com/advertiser/AR11070511645502472193/creative/CR14238591518599282689?region=anywhere</t>
  </si>
  <si>
    <t>Semrush’s competitive intelligence, superior keyword research, and thoughtful AI automations lead the market.  Request a demo to see why enterprises trust us.</t>
  </si>
  <si>
    <t>https://adstransparency.google.com/advertiser/AR11070511645502472193/creative/CR04452656144099311617?region=anywhere</t>
  </si>
  <si>
    <t>https://adstransparency.google.com/advertiser/AR11070511645502472193/creative/CR13190474500279369729?region=anywhere</t>
  </si>
  <si>
    <t>https://adstransparency.google.com/advertiser/AR11070511645502472193/creative/CR05748327930535084033?region=anywhere</t>
  </si>
  <si>
    <t>Forrester recognized Semrush for its market-best data and ability to cut time-to-impact. If your platform can’t track AI search or deliver real-time analysis, you’re stuck in the past.</t>
  </si>
  <si>
    <t>https://adstransparency.google.com/advertiser/AR11070511645502472193/creative/CR04659705419243978753?region=anywhere</t>
  </si>
  <si>
    <t>https://adstransparency.google.com/advertiser/AR11070511645502472193/creative/CR08811944870324207617?region=anywhere</t>
  </si>
  <si>
    <t>https://adstransparency.google.com/advertiser/AR11070511645502472193/creative/CR04160584486637010945?region=anywhere</t>
  </si>
  <si>
    <t>https://adstransparency.google.com/advertiser/AR11070511645502472193/creative/CR09153069727231246337?region=anywhere</t>
  </si>
  <si>
    <t>https://adstransparency.google.com/advertiser/AR11070511645502472193/creative/CR08862062397024632833?region=anywhere</t>
  </si>
  <si>
    <t>https://adstransparency.google.com/advertiser/AR11070511645502472193/creative/CR16741994364774907905?region=anywhere</t>
  </si>
  <si>
    <t>https://adstransparency.google.com/advertiser/AR11070511645502472193/creative/CR08405867188640022529?region=anywhere</t>
  </si>
  <si>
    <t>https://adstransparency.google.com/advertiser/AR11070511645502472193/creative/CR15164717034622681089?region=anywhere</t>
  </si>
  <si>
    <t>https://adstransparency.google.com/advertiser/AR11070511645502472193/creative/CR17952055289654018049?region=anywhere</t>
  </si>
  <si>
    <t>Still guessing in SEO? Leaders aren’t.</t>
  </si>
  <si>
    <t>Ran from Sep 4, 2025 to Sep 17, 2025</t>
  </si>
  <si>
    <t>Discovered at visual grid position #1413. Verified Ad Details URL. Format: Single Image Ad.</t>
  </si>
  <si>
    <t>https://adstransparency.google.com/advertiser/AR11070511645502472193/creative/CR03717443504931078145?region=anywhere</t>
  </si>
  <si>
    <t>https://adstransparency.google.com/advertiser/AR11070511645502472193/creative/CR11793623179954487297?region=anywhere</t>
  </si>
  <si>
    <t>https://adstransparency.google.com/advertiser/AR11070511645502472193/creative/CR09579191196652142593?region=anywhere</t>
  </si>
  <si>
    <t>https://adstransparency.google.com/advertiser/AR11070511645502472193/creative/CR03724687912168587265?region=anywhere</t>
  </si>
  <si>
    <t>https://adstransparency.google.com/advertiser/AR11070511645502472193/creative/CR00867107631674687489?region=anywhere</t>
  </si>
  <si>
    <t>https://adstransparency.google.com/advertiser/AR11070511645502472193/creative/CR17019398949439537153?region=anywhere</t>
  </si>
  <si>
    <t>https://adstransparency.google.com/advertiser/AR11070511645502472193/creative/CR18359057798056116225?region=anywhere</t>
  </si>
  <si>
    <t>https://adstransparency.google.com/advertiser/AR11070511645502472193/creative/CR16046155305716809729?region=anywhere</t>
  </si>
  <si>
    <t>https://adstransparency.google.com/advertiser/AR11070511645502472193/creative/CR00888286046691786753?region=anywhere</t>
  </si>
  <si>
    <t>https://adstransparency.google.com/advertiser/AR11070511645502472193/creative/CR17672290603280367617?region=anywhere</t>
  </si>
  <si>
    <t>https://adstransparency.google.com/advertiser/AR11070511645502472193/creative/CR09102622759359348737?region=anywhere</t>
  </si>
  <si>
    <t>https://adstransparency.google.com/advertiser/AR11070511645502472193/creative/CR11774416773401542657?region=anywhere</t>
  </si>
  <si>
    <t>https://adstransparency.google.com/advertiser/AR11070511645502472193/creative/CR08967887092663189505?region=anywhere</t>
  </si>
  <si>
    <t>https://adstransparency.google.com/advertiser/AR11070511645502472193/creative/CR08805915217276960769?region=anywhere</t>
  </si>
  <si>
    <t>https://adstransparency.google.com/advertiser/AR11070511645502472193/creative/CR05255583993570525185?region=anywhere</t>
  </si>
  <si>
    <t>https://adstransparency.google.com/advertiser/AR11070511645502472193/creative/CR10880862365205659649?region=anywhere</t>
  </si>
  <si>
    <t>https://adstransparency.google.com/advertiser/AR11070511645502472193/creative/CR14254493274235469825?region=anywhere</t>
  </si>
  <si>
    <t>Millions search, discover and purchase with AI every day.  AI Optimization enables in-depth visibility tracking via mentions, sentiment and topics. Get tailored recommendations to outperform competitors and reach new customers.</t>
  </si>
  <si>
    <t>https://adstransparency.google.com/advertiser/AR11070511645502472193/creative/CR06263281968020979713?region=anywhere</t>
  </si>
  <si>
    <t>Need a more granular view of AI search visibility? Meet AI Optimization:  - Performance data for markets, segments, or products - Targeted competitor analysis  - Customizable prompt tracking - Recommendations &amp; automations for growing visibility</t>
  </si>
  <si>
    <t>https://adstransparency.google.com/advertiser/AR11070511645502472193/creative/CR07261511979125178369?region=anywhere</t>
  </si>
  <si>
    <t>https://adstransparency.google.com/advertiser/AR11070511645502472193/creative/CR02991633064569864193?region=anywhere</t>
  </si>
  <si>
    <t>Marketers say Spotlight is unmissable—and tickets are almost gone. Don’t let it sell out on you.</t>
  </si>
  <si>
    <t>https://adstransparency.google.com/advertiser/AR11070511645502472193/creative/CR09935987289710657537?region=anywhere</t>
  </si>
  <si>
    <t>Dive into actionable tactics while networking with experts in Spotlight’s Mastermind sessions. Sessions selling out!</t>
  </si>
  <si>
    <t>https://adstransparency.google.com/advertiser/AR11070511645502472193/creative/CR04939800818099421185?region=anywhere</t>
  </si>
  <si>
    <t>Digital marketers should have always had a seat at the table to help drive company growth.  Instead, many of us were told to “just execute SOPs” or check boxes for SEO best practices, basically relegating us to the kids’ table while leadership made the real decisions.  But in today’s AI + LLM world, brand perception and business fundamentals matter more than ever.  That’s why I’ve been partnering with Semrush Enterprise, using their Enterprise AIO tool to map brand strengths and weaknesses.   For companies in tune with their brand, the data isn’t surprising. But here’s the kicker: this is your AI/LLM strategy roadmap.  The Nike example below is step one. I’ve been sharing similar reports with my clients’ PR teams to highlight brand perception (both the good and the bad) pulled directly from the context of the interwebz.  This isn’t just an SEO exercise. It’s giving companies the ability to:  ✅ Spot real business issues backed by data ✅ Improve customer experience ✅ Strengthen visibility in both answer engines and search engines  This is where SEO and AI intersect. Not checklists, not algorithm hacks, but brand-level strategy that shapes your future discoverability.  Is anyone else doing this?   Would this be an interesting #SEOForLunch topic for the future? Or is this painfully obvious, and everyone is doing it already?</t>
  </si>
  <si>
    <t>https://adstransparency.google.com/advertiser/AR11070511645502472193/creative/CR17603070780034252801?region=anywhere</t>
  </si>
  <si>
    <t>https://adstransparency.google.com/advertiser/AR11070511645502472193/creative/CR18279129212591800321?region=anywhere</t>
  </si>
  <si>
    <t>https://adstransparency.google.com/advertiser/AR11070511645502472193/creative/CR10549028106675421185?region=anywhere</t>
  </si>
  <si>
    <t>https://adstransparency.google.com/advertiser/AR11070511645502472193/creative/CR15886129737710436353?region=anywhere</t>
  </si>
  <si>
    <t>Forrester just named Semrush a Leader in The Forrester Wave™: SEO Solutions, Q3 2025.  We were recognized for:  In a shifting search landscape, SEO is now the engine of digital discoverability.  Let’s discuss how enterprise leaders are staying visible and driving ROI with Semrush Enterprise.</t>
  </si>
  <si>
    <t>https://adstransparency.google.com/advertiser/AR11070511645502472193/creative/CR12952119002355728385?region=anywhere</t>
  </si>
  <si>
    <t>SEO has never been more strategic — or more complex. Forrester just confirmed it: Semrush leads the market.  The message is clear: staying ahead requires speed, scale, and smarter data. Let’s explore how your team can get there.</t>
  </si>
  <si>
    <t>https://adstransparency.google.com/advertiser/AR11070511645502472193/creative/CR13707303514328268801?region=anywhere</t>
  </si>
  <si>
    <t>https://adstransparency.google.com/advertiser/AR11070511645502472193/creative/CR12609064983578279937?region=anywhere</t>
  </si>
  <si>
    <t>https://adstransparency.google.com/advertiser/AR11070511645502472193/creative/CR13233433209850560513?region=anywhere</t>
  </si>
  <si>
    <t>https://adstransparency.google.com/advertiser/AR11070511645502472193/creative/CR11924136172244172801?region=anywhere</t>
  </si>
  <si>
    <t>https://adstransparency.google.com/advertiser/AR11070511645502472193/creative/CR17238703690425040897?region=anywhere</t>
  </si>
  <si>
    <t>https://adstransparency.google.com/advertiser/AR11070511645502472193/creative/CR17538415304432943105?region=anywhere</t>
  </si>
  <si>
    <t>https://adstransparency.google.com/advertiser/AR11070511645502472193/creative/CR03257052285296967681?region=anywhere</t>
  </si>
  <si>
    <t>https://adstransparency.google.com/advertiser/AR11070511645502472193/creative/CR15535898519343726593?region=anywhere</t>
  </si>
  <si>
    <t>https://adstransparency.google.com/advertiser/AR11070511645502472193/creative/CR11064578045103833089?region=anywhere</t>
  </si>
  <si>
    <t>https://adstransparency.google.com/advertiser/AR11070511645502472193/creative/CR18195837049259425793?region=anywhere</t>
  </si>
  <si>
    <t>https://adstransparency.google.com/advertiser/AR11070511645502472193/creative/CR16988014145938915329?region=anywhere</t>
  </si>
  <si>
    <t>https://adstransparency.google.com/advertiser/AR11070511645502472193/creative/CR11670224234054942721?region=anywhere</t>
  </si>
  <si>
    <t>https://adstransparency.google.com/advertiser/AR11070511645502472193/creative/CR00127174582929981441?region=anywhere</t>
  </si>
  <si>
    <t>https://adstransparency.google.com/advertiser/AR11070511645502472193/creative/CR06978082002020859905?region=anywhere</t>
  </si>
  <si>
    <t>https://adstransparency.google.com/advertiser/AR11070511645502472193/creative/CR13311727955395739649?region=anywhere</t>
  </si>
  <si>
    <t>https://adstransparency.google.com/advertiser/AR11070511645502472193/creative/CR15620748621933182977?region=anywhere</t>
  </si>
  <si>
    <t>https://adstransparency.google.com/advertiser/AR11070511645502472193/creative/CR11173781539974545409?region=anywhere</t>
  </si>
  <si>
    <t>https://adstransparency.google.com/advertiser/AR11070511645502472193/creative/CR09858967943293960193?region=anywhere</t>
  </si>
  <si>
    <t>https://adstransparency.google.com/advertiser/AR11070511645502472193/creative/CR14126618972413493249?region=anywhere</t>
  </si>
  <si>
    <t>https://adstransparency.google.com/advertiser/AR11070511645502472193/creative/CR02238272092631990273?region=anywhere</t>
  </si>
  <si>
    <t>https://adstransparency.google.com/advertiser/AR11070511645502472193/creative/CR06876193729808433153?region=anywhere</t>
  </si>
  <si>
    <t>https://adstransparency.google.com/advertiser/AR11070511645502472193/creative/CR03941883446254632961?region=anywhere</t>
  </si>
  <si>
    <t>https://adstransparency.google.com/advertiser/AR11070511645502472193/creative/CR01548517662202527745?region=anywhere</t>
  </si>
  <si>
    <t>https://adstransparency.google.com/advertiser/AR11070511645502472193/creative/CR08922770076126412801?region=anywhere</t>
  </si>
  <si>
    <t>https://adstransparency.google.com/advertiser/AR11070511645502472193/creative/CR00315903554814476289?region=anywhere</t>
  </si>
  <si>
    <t>https://adstransparency.google.com/advertiser/AR11070511645502472193/creative/CR00647542650030784513?region=anywhere</t>
  </si>
  <si>
    <t>https://adstransparency.google.com/advertiser/AR11070511645502472193/creative/CR17083150763921768449?region=anywhere</t>
  </si>
  <si>
    <t>https://adstransparency.google.com/advertiser/AR11070511645502472193/creative/CR00003712621270269953?region=anywhere</t>
  </si>
  <si>
    <t>https://adstransparency.google.com/advertiser/AR11070511645502472193/creative/CR17580820512978763777?region=anywhere</t>
  </si>
  <si>
    <t>https://adstransparency.google.com/advertiser/AR11070511645502472193/creative/CR01033117738391830529?region=anywhere</t>
  </si>
  <si>
    <t>https://adstransparency.google.com/advertiser/AR11070511645502472193/creative/CR12464725048453758977?region=anywhere</t>
  </si>
  <si>
    <t>https://adstransparency.google.com/advertiser/AR11070511645502472193/creative/CR07268240406171615233?region=anywhere</t>
  </si>
  <si>
    <t>https://adstransparency.google.com/advertiser/AR11070511645502472193/creative/CR16616743119739682817?region=anywhere</t>
  </si>
  <si>
    <t>https://adstransparency.google.com/advertiser/AR11070511645502472193/creative/CR17946319893406154753?region=anywhere</t>
  </si>
  <si>
    <t>https://adstransparency.google.com/advertiser/AR11070511645502472193/creative/CR08798130915470475265?region=anywhere</t>
  </si>
  <si>
    <t>https://adstransparency.google.com/advertiser/AR11070511645502472193/creative/CR09790502762981621761?region=anywhere</t>
  </si>
  <si>
    <t>https://adstransparency.google.com/advertiser/AR11070511645502472193/creative/CR04556417296930701313?region=anywhere</t>
  </si>
  <si>
    <t>https://adstransparency.google.com/advertiser/AR11070511645502472193/creative/CR12456044026195345409?region=anywhere</t>
  </si>
  <si>
    <t>https://adstransparency.google.com/advertiser/AR11070511645502472193/creative/CR05242640096011747329?region=anywhere</t>
  </si>
  <si>
    <t>https://adstransparency.google.com/advertiser/AR11070511645502472193/creative/CR00322130948156030977?region=anywhere</t>
  </si>
  <si>
    <t>https://adstransparency.google.com/advertiser/AR11070511645502472193/creative/CR17897473573946130433?region=anywhere</t>
  </si>
  <si>
    <t>https://adstransparency.google.com/advertiser/AR11070511645502472193/creative/CR04496419627462557697?region=anywhere</t>
  </si>
  <si>
    <t>https://adstransparency.google.com/advertiser/AR11070511645502472193/creative/CR15286433521573298177?region=anywhere</t>
  </si>
  <si>
    <t>https://adstransparency.google.com/advertiser/AR11070511645502472193/creative/CR17853858559012372481?region=anywhere</t>
  </si>
  <si>
    <t>https://adstransparency.google.com/advertiser/AR11070511645502472193/creative/CR02377492529818894337?region=anywhere</t>
  </si>
  <si>
    <t>When customers ask AI, be the answer with AI Optimization</t>
  </si>
  <si>
    <t>Ran from Aug 29, 2025 to Sep 11, 2025</t>
  </si>
  <si>
    <t>Discovered at visual grid position #1536. Verified Ad Details URL. Format: Single Image Ad.</t>
  </si>
  <si>
    <t>https://adstransparency.google.com/advertiser/AR11070511645502472193/creative/CR16901542985252995073?region=anywhere</t>
  </si>
  <si>
    <t>AI Optimization: Semrush’s market-leading data meets AI search</t>
  </si>
  <si>
    <t>Discovered at visual grid position #1537. Verified Ad Details URL. Format: Single Image Ad.</t>
  </si>
  <si>
    <t>https://adstransparency.google.com/advertiser/AR11070511645502472193/creative/CR05458267279839985665?region=anywhere</t>
  </si>
  <si>
    <t>Discovered at visual grid position #1538. Verified Ad Details URL. Format: Single Image Ad.</t>
  </si>
  <si>
    <t>Discovered at visual grid position #1539. Verified Ad Details URL. Format: Single Image Ad.</t>
  </si>
  <si>
    <t>https://adstransparency.google.com/advertiser/AR11070511645502472193/creative/CR13516962898915622913?region=anywhere</t>
  </si>
  <si>
    <t>Discovered at visual grid position #1540. Verified Ad Details URL. Format: Single Image Ad.</t>
  </si>
  <si>
    <t>https://adstransparency.google.com/advertiser/AR11070511645502472193/creative/CR17421217913351700481?region=anywhere</t>
  </si>
  <si>
    <t>Discovered at visual grid position #1541. Verified Ad Details URL. Format: Single Image Ad.</t>
  </si>
  <si>
    <t>https://adstransparency.google.com/advertiser/AR11070511645502472193/creative/CR16750526884244094977?region=anywhere</t>
  </si>
  <si>
    <t>Discovered at visual grid position #1542. Verified Ad Details URL. Format: Single Image Ad.</t>
  </si>
  <si>
    <t>Discovered at visual grid position #1543. Verified Ad Details URL. Format: Single Image Ad.</t>
  </si>
  <si>
    <t>https://adstransparency.google.com/advertiser/AR11070511645502472193/creative/CR05978175716720640001?region=anywhere</t>
  </si>
  <si>
    <t>Discovered at visual grid position #1544. Verified Ad Details URL. Format: Single Image Ad.</t>
  </si>
  <si>
    <t>https://adstransparency.google.com/advertiser/AR11070511645502472193/creative/CR18225740948036386817?region=anywhere</t>
  </si>
  <si>
    <t>Discovered at visual grid position #1545. Verified Ad Details URL. Format: Single Image Ad.</t>
  </si>
  <si>
    <t>Discovered at visual grid position #1546. Verified Ad Details URL. Format: Single Image Ad.</t>
  </si>
  <si>
    <t>https://adstransparency.google.com/advertiser/AR11070511645502472193/creative/CR15841171738042826753?region=anywhere</t>
  </si>
  <si>
    <t>https://adstransparency.google.com/advertiser/AR11070511645502472193/creative/CR04883337288240594945?region=anywhere</t>
  </si>
  <si>
    <t>https://adstransparency.google.com/advertiser/AR11070511645502472193/creative/CR15186659541501607937?region=anywhere</t>
  </si>
  <si>
    <t>https://adstransparency.google.com/advertiser/AR11070511645502472193/creative/CR16140497732707024897?region=anywhere</t>
  </si>
  <si>
    <t>https://adstransparency.google.com/advertiser/AR11070511645502472193/creative/CR17007776767936561153?region=anywhere</t>
  </si>
  <si>
    <t>https://adstransparency.google.com/advertiser/AR11070511645502472193/creative/CR04299303065485312001?region=anywhere</t>
  </si>
  <si>
    <t>https://adstransparency.google.com/advertiser/AR11070511645502472193/creative/CR10083838343419789313?region=anywhere</t>
  </si>
  <si>
    <t>https://adstransparency.google.com/advertiser/AR11070511645502472193/creative/CR04940425753020858369?region=anywhere</t>
  </si>
  <si>
    <t>https://adstransparency.google.com/advertiser/AR11070511645502472193/creative/CR17631200170123198465?region=anywhere</t>
  </si>
  <si>
    <t>https://adstransparency.google.com/advertiser/AR11070511645502472193/creative/CR16274488858232487937?region=anywhere</t>
  </si>
  <si>
    <t>https://adstransparency.google.com/advertiser/AR11070511645502472193/creative/CR08296851641538183169?region=anywhere</t>
  </si>
  <si>
    <t>https://adstransparency.google.com/advertiser/AR11070511645502472193/creative/CR16615073580052381697?region=anywhere</t>
  </si>
  <si>
    <t>https://adstransparency.google.com/advertiser/AR11070511645502472193/creative/CR09375463992811585537?region=anywhere</t>
  </si>
  <si>
    <t>https://adstransparency.google.com/advertiser/AR11070511645502472193/creative/CR14992088864338739201?region=anywhere</t>
  </si>
  <si>
    <t>https://adstransparency.google.com/advertiser/AR11070511645502472193/creative/CR14257887294831722497?region=anywhere</t>
  </si>
  <si>
    <t>https://adstransparency.google.com/advertiser/AR11070511645502472193/creative/CR10853731675272118273?region=anywhere</t>
  </si>
  <si>
    <t>https://adstransparency.google.com/advertiser/AR11070511645502472193/creative/CR05904275684791943169?region=anywhere</t>
  </si>
  <si>
    <t>https://adstransparency.google.com/advertiser/AR11070511645502472193/creative/CR17778617947531509761?region=anywhere</t>
  </si>
  <si>
    <t>https://adstransparency.google.com/advertiser/AR11070511645502472193/creative/CR07053370545336745985?region=anywhere</t>
  </si>
  <si>
    <t>https://adstransparency.google.com/advertiser/AR11070511645502472193/creative/CR00111334399944949761?region=anywhere</t>
  </si>
  <si>
    <t>https://adstransparency.google.com/advertiser/AR11070511645502472193/creative/CR16752996318640603137?region=anywhere</t>
  </si>
  <si>
    <t>https://adstransparency.google.com/advertiser/AR11070511645502472193/creative/CR02748416900617732097?region=anywhere</t>
  </si>
  <si>
    <t>https://adstransparency.google.com/advertiser/AR11070511645502472193/creative/CR03078670370664873985?region=anywhere</t>
  </si>
  <si>
    <t>https://adstransparency.google.com/advertiser/AR11070511645502472193/creative/CR12249444829263560705?region=anywhere</t>
  </si>
  <si>
    <t>https://adstransparency.google.com/advertiser/AR11070511645502472193/creative/CR02223775890813222913?region=anywhere</t>
  </si>
  <si>
    <t>https://adstransparency.google.com/advertiser/AR11070511645502472193/creative/CR08376417319445856257?region=anywhere</t>
  </si>
  <si>
    <t>https://adstransparency.google.com/advertiser/AR11070511645502472193/creative/CR05259401463582425089?region=anywhere</t>
  </si>
  <si>
    <t>https://adstransparency.google.com/advertiser/AR11070511645502472193/creative/CR12125193005938245633?region=anywhere</t>
  </si>
  <si>
    <t>https://adstransparency.google.com/advertiser/AR11070511645502472193/creative/CR02879096640717717505?region=anywhere</t>
  </si>
  <si>
    <t>https://adstransparency.google.com/advertiser/AR11070511645502472193/creative/CR16565052157540171777?region=anywhere</t>
  </si>
  <si>
    <t>https://adstransparency.google.com/advertiser/AR11070511645502472193/creative/CR07022860918732095489?region=anywhere</t>
  </si>
  <si>
    <t>https://adstransparency.google.com/advertiser/AR11070511645502472193/creative/CR11406254204012986369?region=anywhere</t>
  </si>
  <si>
    <t>https://adstransparency.google.com/advertiser/AR11070511645502472193/creative/CR18294139333017337857?region=anywhere</t>
  </si>
  <si>
    <t>https://adstransparency.google.com/advertiser/AR11070511645502472193/creative/CR08748060633410306049?region=anywhere</t>
  </si>
  <si>
    <t>https://adstransparency.google.com/advertiser/AR11070511645502472193/creative/CR08323665191086587905?region=anywhere</t>
  </si>
  <si>
    <t>https://adstransparency.google.com/advertiser/AR11070511645502472193/creative/CR15004638449540005889?region=anywhere</t>
  </si>
  <si>
    <t>https://adstransparency.google.com/advertiser/AR11070511645502472193/creative/CR11841954824893497345?region=anywhere</t>
  </si>
  <si>
    <t>https://adstransparency.google.com/advertiser/AR11070511645502472193/creative/CR11855760980086620161?region=anywhere</t>
  </si>
  <si>
    <t>Profound</t>
  </si>
  <si>
    <t>Incredibly excited to announce the Zero Click by Profound World Tour: bringing our AI marketing summit to London, Sydney, and Singapore this October.  Over 1,000 marketing leaders joined us in San Francisco and New York earlier this year. Now we're bringing together marketing leaders in three more cities.  Zero Click 2026 World Tour 📍London: October 22 📍Sydney: October 27 📍Singapore: October 29  Speaker lineup coming soon.   Space is limited. Request your spot → tryprofound.com/zeroclick</t>
  </si>
  <si>
    <t>Zero Click World Tour</t>
  </si>
  <si>
    <t>https://adstransparency.google.com/advertiser/AR11070511645502472193/creative/CR18382262441204514817?region=anywhere</t>
  </si>
  <si>
    <t>Ran from Sep 2, 2026 to Sep 8, 2026</t>
  </si>
  <si>
    <t>Message Ad</t>
  </si>
  <si>
    <t>Sophie Piacentini  Hey %FIRSTNAME%,  Over 100 million people now search using AI every day. If your brand isn't showing up in those answers, you're invisible to a big chunk of your buyers.  Let's fix that. Get on a call and we'll walk through where %COMPANYNAME% ranks on the Profound Index today, then build you a full AEO strategy to close the gap and turn that visibility into traffic and pipeline.</t>
  </si>
  <si>
    <t>AI Visibility &amp; Growth</t>
  </si>
  <si>
    <t>Direct Sponsored InMail</t>
  </si>
  <si>
    <t>https://adstransparency.google.com/advertiser/AR11070511645502472193/creative/CR01425920191560155137?region=anywhere</t>
  </si>
  <si>
    <t>We're taking Zero Click by Profound global.  - October 22: London - October 27: Sydney - October 29: Singapore  1,000+ marketers joined us in San Francisco and New York this year. Now we're doing it across three more cities.  Speakers to be announced and spots are limited.   Request your spot: https://lnkd.in/gurBV9cJ</t>
  </si>
  <si>
    <t>https://adstransparency.google.com/advertiser/AR11070511645502472193/creative/CR13723421186560360449?region=anywhere</t>
  </si>
  <si>
    <t>Discovered at grid position #5. Verified Ad Details URL. Format: Video Ad.</t>
  </si>
  <si>
    <t>https://adstransparency.google.com/advertiser/AR11070511645502472193/creative/CR04697841361578098689?region=anywhere</t>
  </si>
  <si>
    <t>Discovered at grid position #6. Verified Ad Details URL. Format: Video Ad.</t>
  </si>
  <si>
    <t>Sophie Piacentini  Hey %FIRSTNAME%,  Buyers are picking brands in %COMPANYNAME%'s category based on what AI tells them, and most teams are stuck just watching it happen.  Profound is the platform that acts on it: real prompt data, visibility, accuracy, and agents that build and fix content to move your position. Not a leaderboard, an AI marketer.  Get a free Profound Index report for your industry to see where you stand, then we'll show you the agents that change it.</t>
  </si>
  <si>
    <t>https://adstransparency.google.com/advertiser/AR11070511645502472193/creative/CR16737864221143859201?region=anywhere</t>
  </si>
  <si>
    <t>Discovered at grid position #9. Verified Ad Details URL. Format: Video Ad.</t>
  </si>
  <si>
    <t>https://adstransparency.google.com/advertiser/AR11070511645502472193/creative/CR01317989415758331905?region=anywhere</t>
  </si>
  <si>
    <t>Sophie Piacentini  Hey %FIRSTNAME%,  Over 100 million people search with AI every single day now. If %COMPANYNAME% isn't showing up in those answers, someone else is getting the traffic and the leads instead.  Get on a call with us and we'll build you a complete AEO strategy: what to fix, what to build, and how to actually grow your visibility across ChatGPT, Gemini, Claude, and the rest.</t>
  </si>
  <si>
    <t>https://adstransparency.google.com/advertiser/AR11070511645502472193/creative/CR13475189909555773441?region=anywhere</t>
  </si>
  <si>
    <t>Discovered at grid position #13. Verified Ad Details URL. Format: Video Ad.</t>
  </si>
  <si>
    <t>https://adstransparency.google.com/advertiser/AR11070511645502472193/creative/CR13343771400721137665?region=anywhere</t>
  </si>
  <si>
    <t>https://adstransparency.google.com/advertiser/AR11070511645502472193/creative/CR13996012762153615361?region=anywhere</t>
  </si>
  <si>
    <t>Discovered at grid position #17. Verified Ad Details URL. Format: Video Ad.</t>
  </si>
  <si>
    <t>Discovered at grid position #18. Verified Ad Details URL. Format: Video Ad.</t>
  </si>
  <si>
    <t>https://adstransparency.google.com/advertiser/AR11070511645502472193/creative/CR06956907091697074177?region=anywhere</t>
  </si>
  <si>
    <t>Discovered at grid position #20. Verified Ad Details URL. Format: Video Ad.</t>
  </si>
  <si>
    <t>https://adstransparency.google.com/advertiser/AR11070511645502472193/creative/CR13955985419301552129?region=anywhere</t>
  </si>
  <si>
    <t>Profound Logic</t>
  </si>
  <si>
    <t>AI FOUNDATIONS TRAINING</t>
  </si>
  <si>
    <t>Your senior RPG developer has 20 years of business logic in her head that nobody ever wrote down. Now leadership wants AI in the mix. Who decides how that goes? Most AI training hands your team a tool and a login. We built something else. 👇   Our AI Foundations is hands-on AI training for IBM i and RPG developers. Three live 90-minute sessions over two weeks with an expert Profound Logic instructor, working through real RPGLE, SQL, and Node.js examples instead of generic demos.  No product to buy. No prior AI experience required. Just a team that wants to tell the difference between AI that works and AI that hallucinates something that looks like it works.  Your IBM i developers already understand this business better than any tool will. AI Foundations makes sure they're the ones deciding how AI gets used on it, not the last ones to find out.  Schedule your kickoff call: https://lnkd.in/ek8gTJ9W/?utm_campaign=Boost_Post_WebsiteVisits_Sep3,2026&amp;utm_source=linkedin&amp;utm_medium=paid&amp;utm_id=1195616836&amp;hsa_acc=508839812&amp;hsa_cam=1195616836&amp;hsa_grp=873928706&amp;hsa_ad=1589598116&amp;hsa_net=linkedin&amp;hsa_ver=3  #IBMi #AIFoundations #RPG #AgenticCoding #Futurization</t>
  </si>
  <si>
    <t>#IBMi, #AIFoundations, #RPG, #AgenticCoding, #Futurization</t>
  </si>
  <si>
    <t>AI Marketer &amp; Agents</t>
  </si>
  <si>
    <t>Discovered at grid position #22. Verified Ad Details URL. Format: Single Image Ad.</t>
  </si>
  <si>
    <t>Sophie Piacentini  Hey %FIRSTNAME%,  As a %JOBTITLE%, you know content output rarely scales without adding headcount. Profound’s AI Marketer changes that. It runs research, writing, and publishing in one cycle, so %COMPANYNAME% can produce more without growing the team.  Book a call and we'll first show you where you stand in AI Search today, then walk through how AI Marketer closes the gaps we find.</t>
  </si>
  <si>
    <t>AI Marketer &amp; Agents, B2B Marketing</t>
  </si>
  <si>
    <t>https://adstransparency.google.com/advertiser/AR11070511645502472193/creative/CR10804507467409522689?region=anywhere</t>
  </si>
  <si>
    <t>https://adstransparency.google.com/advertiser/AR11070511645502472193/creative/CR09880940377505005569?region=anywhere</t>
  </si>
  <si>
    <t>Sophie Piacentini  Hey %FIRSTNAME%,  %COMPANYNAME% is one of thousands of brands trying to figure out AI Search right now, most without a real plan.  Book a call and we'll show you exactly where %COMPANYNAME% stands, then show you how Profound’s AI Marketer builds the plan: research, writing, and publishing in one cycle, no added headcount needed.</t>
  </si>
  <si>
    <t>Answer Engine Optimization (AEO)</t>
  </si>
  <si>
    <t>https://adstransparency.google.com/advertiser/AR11070511645502472193/creative/CR10547103549009952769?region=anywhere</t>
  </si>
  <si>
    <t>https://adstransparency.google.com/advertiser/AR11070511645502472193/creative/CR09809118250754113537?region=anywhere</t>
  </si>
  <si>
    <t>https://adstransparency.google.com/advertiser/AR11070511645502472193/creative/CR03731511069013704705?region=anywhere</t>
  </si>
  <si>
    <t>https://adstransparency.google.com/advertiser/AR11070511645502472193/creative/CR07016545461381103617?region=anywhere</t>
  </si>
  <si>
    <t>Ran from Sep 2, 2026 to Sep 3, 2026</t>
  </si>
  <si>
    <t>https://adstransparency.google.com/advertiser/AR11070511645502472193/creative/CR17915550369740488705?region=anywhere</t>
  </si>
  <si>
    <t>https://adstransparency.google.com/advertiser/AR11070511645502472193/creative/CR06056337558797811713?region=anywhere</t>
  </si>
  <si>
    <t>You shouldn't have to become an expert to find one.  When Karias Health came to us, we took the time to understand their business first, then matched them with proven, vetted experts uniquely suited to their specific needs.  “Profoundly made addressing our HubSpot needs incredibly easy. The team took the time to understand our business, thoughtfully matched us with experts based on our unique requirements, and guided us through the entire process. I'm thrilled and would absolutely recommend Profoundly to anyone looking for help with HubSpot.”  — Britt Prim, Chief Experience Officer, Karias Health  Thank you for your kind words, Britt Prim, and for giving us the chance to help!  Have a HubSpot project you're trying to tackle? Let's talk!  https://profound.ly/</t>
  </si>
  <si>
    <t>https://adstransparency.google.com/advertiser/AR11070511645502472193/creative/CR04784680308903510017?region=anywhere</t>
  </si>
  <si>
    <t>Sophie Piacentini  Hey %FIRSTNAME%,  %COMPANYNAME%'s team is probably tracking AI Search by hand right now. Ramp handed that work to Profound's agents and grew AI visibility 7x.  Profound finds the gaps, writes and publishes the content to close them, and learns from what gets cited. One platform doing the work, not another dashboard.  Book a call and we'll run an agent on one of %COMPANYNAME%'s priority topics and show you what it ships.</t>
  </si>
  <si>
    <t>https://adstransparency.google.com/advertiser/AR11070511645502472193/creative/CR12238469229317193729?region=anywhere</t>
  </si>
  <si>
    <t>Trying to accomplish something complex with HubSpot?  The National Head Start Association came to us with a pretty unique HubSpot request.  They needed to manage state-level regulatory requirements across all 50 states + DC – including approvals, recurring obligations, deadlines and reporting – and wanted to build the entire system inside HubSpot.  That meant finding someone with real experience in HubSpot custom objects, data architecture, pipelines and workflow automation – but also someone who could work effectively with a largely non-technical team and be mindful of a nonprofit budget.  That's exactly where matching on more than just 'HubSpot experience' matters.  A few weeks later, we received this:  “Profoundly made it easy to find the right partner for our HubSpot project. We are off and running – they’re doing amazing work and have been incredibly responsive. They really understand our organization and what we’re trying to accomplish, which isn’t typical. I would absolutely recommend Profoundly for anyone looking for help with HubSpot.”  — Dr. Deborah Bergeron, National Head Start Association  If you’re trying to make HubSpot do something complex, unique, or highly specific, there’s a good chance someone in the ecosystem has solved a problem just like it before.   𝗪𝗲 𝗸𝗻𝗼𝘄 𝘄𝗵𝗼 𝘁𝗵𝗲𝘆 𝗮𝗿𝗲.  https://lnkd.in/eBH4YDw5</t>
  </si>
  <si>
    <t>https://adstransparency.google.com/advertiser/AR11070511645502472193/creative/CR13312965696250970113?region=anywhere</t>
  </si>
  <si>
    <t>https://adstransparency.google.com/advertiser/AR11070511645502472193/creative/CR05051256250222772225?region=anywhere</t>
  </si>
  <si>
    <t>https://adstransparency.google.com/advertiser/AR11070511645502472193/creative/CR11677419816104230913?region=anywhere</t>
  </si>
  <si>
    <t>https://adstransparency.google.com/advertiser/AR11070511645502472193/creative/CR11780459380070154241?region=anywhere</t>
  </si>
  <si>
    <t>https://adstransparency.google.com/advertiser/AR11070511645502472193/creative/CR07778814023692189697?region=anywhere</t>
  </si>
  <si>
    <t>https://adstransparency.google.com/advertiser/AR11070511645502472193/creative/CR06435452707108028417?region=anywhere</t>
  </si>
  <si>
    <t>https://adstransparency.google.com/advertiser/AR11070511645502472193/creative/CR17806000150749904897?region=anywhere</t>
  </si>
  <si>
    <t>https://adstransparency.google.com/advertiser/AR11070511645502472193/creative/CR09021166127610331137?region=anywhere</t>
  </si>
  <si>
    <t>https://adstransparency.google.com/advertiser/AR11070511645502472193/creative/CR00107832833367605249?region=anywhere</t>
  </si>
  <si>
    <t>https://adstransparency.google.com/advertiser/AR11070511645502472193/creative/CR13411109238017622017?region=anywhere</t>
  </si>
  <si>
    <t>Sophie Piacentini  Hey %FIRSTNAME%,  I've been following %COMPANYNAME% for a while, so I wanted to reach out. Profound shows brands like yours exactly how they appear across ChatGPT, Claude, and Gemini.  Get a free walkthrough of your Profound Index results for %COMPANYNAME%. We'll cover your Mention Position Analysis, Topic Clusters, and LLM Comparison live on the call.</t>
  </si>
  <si>
    <t>47% of CMOs have moved past one off prompts into structured AI workflows and agents. See what the other 53% are missing.</t>
  </si>
  <si>
    <t>https://adstransparency.google.com/advertiser/AR11070511645502472193/creative/CR09611199251447021569?region=anywhere</t>
  </si>
  <si>
    <t>We started working with Fiona Erickson and the team at MongoDB back in 2025, when most marketing teams didn't even have AEO on their roadmap. I've been constantly impressed by how they've treated AI Search not as a side project, but as mission-critical to their business.   Their team noticed early on that AI was surfacing inaccurate information about MongoDB. They wanted to make sure developers continued to get correct answers to their questions, even as where they were asking changed. So they dug in with our team and made accuracy a priority.  We got a chance to work closely with them as one of our key design partners building FactCheck, the first accuracy analysis tool for AI Search.   Now they're seeing 90%+ accuracy in AI responses, visibility has increased by over 50%, and they are saving time with Profound Agents.   You can read more here: https://lnkd.in/gsPmNFtS</t>
  </si>
  <si>
    <t>https://adstransparency.google.com/advertiser/AR11070511645502472193/creative/CR17213456154672234497?region=anywhere</t>
  </si>
  <si>
    <t>Scale output without adding headcount. See how the Marketing Engineer builds the systems and agents that multiply what your team ships. Get the free guide.</t>
  </si>
  <si>
    <t>Your marketing team has outgrown every existing job title. Meet the role built to scale AI agents: the Marketing Engineer. Get the free guide.</t>
  </si>
  <si>
    <t>https://adstransparency.google.com/advertiser/AR11070511645502472193/creative/CR17439792822273179649?region=anywhere</t>
  </si>
  <si>
    <t>22% of CMOs now start vendor research in an LLM, ahead of Google. See what's driving the shift inside 100 marketing orgs.</t>
  </si>
  <si>
    <t>The first Marketing Engineers will set the bar. Leaders who build this capability now define how Marketing runs next. Get the free guide.</t>
  </si>
  <si>
    <t>https://adstransparency.google.com/advertiser/AR11070511645502472193/creative/CR10724569398657417217?region=anywhere</t>
  </si>
  <si>
    <t>https://adstransparency.google.com/advertiser/AR11070511645502472193/creative/CR11776635038110580737?region=anywhere</t>
  </si>
  <si>
    <t>https://adstransparency.google.com/advertiser/AR11070511645502472193/creative/CR14828721708696862721?region=anywhere</t>
  </si>
  <si>
    <t>https://adstransparency.google.com/advertiser/AR11070511645502472193/creative/CR01433030630177767425?region=anywhere</t>
  </si>
  <si>
    <t>https://adstransparency.google.com/advertiser/AR11070511645502472193/creative/CR01571331669485420545?region=anywhere</t>
  </si>
  <si>
    <t>https://adstransparency.google.com/advertiser/AR11070511645502472193/creative/CR08625619293419077633?region=anywhere</t>
  </si>
  <si>
    <t>Lucy Hoyle helped roll out Claude to 1,800 people at Carta then built the system her entire marketing team runs on. Here's what we talked about:  🔹 Her CEO's rule for using AI efficiently 🔹 Why giving Claude more context made the output worse 🔹 The marketing brain she's building 🔹 How Carta refuses to put token usage on a leaderboard, and what they do instead 🔹 How she pitched technical work to her CMO to get exec buy-in 🔹 Her advice for breaking into marketing engineering  This was super fun to record, not only because Lucy is brilliant and on the bleeding edge here, but she's also a good friend. Much of this podcast was planned over brunch in Park Slope (shoutout Little Purity).  Watch the full episode here, or wherever you get your podcasts: https://lnkd.in/eudKye-9</t>
  </si>
  <si>
    <t>https://adstransparency.google.com/advertiser/AR11070511645502472193/creative/CR16024363981686702081?region=anywhere</t>
  </si>
  <si>
    <t>Great social media content is designed to stop the scroll and capture attention, but now in the age of AI, it’s also being summarized and cited by LLMs.  On one hand, this is great news!  It means social media teams who have become used to imperfect analytics and spotty attribution models can finally track performance in a new channel. On the other, most companies have no formal social strategy that intersects with their AEO efforts. And that’s a major, missed opportunity.  What are your execs posting that can contribute to your citation share? How can your Employee Advocacy Program amplify your sentiment score? In 2026, these are questions you should have answers to.  If you lead social at your company I want to put Profound on your radar (and see more social teams incorporating AEO into their overall strategy!) because they have important features that benefit marketers pumping out tons of content.  The most crucial one is Aim, a marketing agent that’s always on in the background, identifying and alerting you to ✨opportunities✨. These are things like rising prompt volumes you don’t own yet, or inaccurate claims on Chat GPT that might be wreaking havoc in your AI summaries. In both scenarios Aim can surface the issue, and then with your approval, create and execute projects.  For me personally, it’s these kinds of agentic, non-performative use cases that are exactly the ways in which I’m trying to leverage AI. And if there’s one hope (and prediction!) I have about the future of social media roles, it’s that they’ll soon encompass AEO efforts AND algorithmic feeds because content is moving the needle on both.  Try it out here: https://lnkd.in/g_kZ8VWy #ProfoundPartner #ad</t>
  </si>
  <si>
    <t>Skills. In Profound. Today ⚒️   Build your brand voice, content rules, and AEO playbook once. Apply them anywhere you're generating content.  If you love Claude Skills you already get it. Same magic, built for the workflows marketers actually run at scale.  Team cooked 👏  Read more here: https://lnkd.in/e6-kDWer</t>
  </si>
  <si>
    <t>https://adstransparency.google.com/advertiser/AR11070511645502472193/creative/CR16331909753481461761?region=anywhere</t>
  </si>
  <si>
    <t>Dashboards are dead.  For years, marketing tools have told you what's happening. More clicks, more visitors, more mentions. But none of them ever told you what to actually do next...  Today, we're launching Aim: the first AI teammate built to THINK like a marketer.  Aim works in the background, all the time. It looks at how your brand shows up across AI Search, what your competitors are doing, and everything you already know about your business. Then it finds the moments that actually matter and tells you what to do about them.  Sarah Shaffer, Organic Growth Manager at Plaid says, 'The projects Aim surfaces are literally gold. They are perfectly aligned to what we're trying to accomplish.'  Every opportunity Aim shows you comes with a plan already built out: what to do, why it matters, and the steps to get there. From there, you can:  • Talk it through with Aim and adjust the plan • Put it to work with one click • Watch the results roll in automatically  Think of Aim as the newest member of your team, one that never sleeps and is always looking for what's next.  Want to see it in action? Josh Blyskal is walking through Aim live on July 15th.  Sign up → https://lnkd.in/gazyWsrT</t>
  </si>
  <si>
    <t>https://adstransparency.google.com/advertiser/AR11070511645502472193/creative/CR11443361656298536961?region=anywhere</t>
  </si>
  <si>
    <t>https://adstransparency.google.com/advertiser/AR11070511645502472193/creative/CR03998802173927358465?region=anywhere</t>
  </si>
  <si>
    <t>Profound FactCheck is the market's first tool for finding what AI Search gets wrong about your brand and fixing it.  Customers like MongoDB and WHOOP are, for the first time, seeing the false claims AI has been making about them at scale, and can now action with Profound.  Their reactions said more than any launch post could, so we pulled a few together.  To help brands learn more about FactCheck we're running a session in partnership with Ross Simmonds.  Tune in on Thursday, August 6 @ 12 PM ET → https://lnkd.in/gDNAQj_i</t>
  </si>
  <si>
    <t>https://adstransparency.google.com/advertiser/AR11070511645502472193/creative/CR07990005262217904129?region=anywhere</t>
  </si>
  <si>
    <t>https://adstransparency.google.com/advertiser/AR11070511645502472193/creative/CR13325210854170296321?region=anywhere</t>
  </si>
  <si>
    <t>When we started building Profound FactCheck, we knew we were onto something special.  Any marketer we showed it to had the same reaction. One that let us know our product was on the right track.  So we thought we'd pull a few of their reactions together into a video below.  If you'd like to learn more about FactCheck, join our webinar in partnership with Ross Simmonds on Thursday, August 6: https://lnkd.in/gvx4G7R9</t>
  </si>
  <si>
    <t>https://adstransparency.google.com/advertiser/AR11070511645502472193/creative/CR05641650907226570753?region=anywhere</t>
  </si>
  <si>
    <t>https://adstransparency.google.com/advertiser/AR11070511645502472193/creative/CR01335320364711936001?region=anywhere</t>
  </si>
  <si>
    <t>https://adstransparency.google.com/advertiser/AR11070511645502472193/creative/CR12072792893098557441?region=anywhere</t>
  </si>
  <si>
    <t>🚢 New ship from Profound: Citation Coverage  Citation Share tells you how much AI citation volume you own. Citation Coverage tells you how consistently AI answers cite your page or domain across different responses. It's a more accurate barometer for breadth.  Well done on this one Sherman Grewal.</t>
  </si>
  <si>
    <t>https://adstransparency.google.com/advertiser/AR11070511645502472193/creative/CR02924431326197055489?region=anywhere</t>
  </si>
  <si>
    <t>https://adstransparency.google.com/advertiser/AR11070511645502472193/creative/CR05296652986250952705?region=anywhere</t>
  </si>
  <si>
    <t>https://adstransparency.google.com/advertiser/AR11070511645502472193/creative/CR10995233702165872641?region=anywhere</t>
  </si>
  <si>
    <t>https://adstransparency.google.com/advertiser/AR11070511645502472193/creative/CR09062578133558886401?region=anywhere</t>
  </si>
  <si>
    <t>🚢 This morning, Ravish Agrawal at Gamma said he wished Profound could show the 'lifetime' of a citation and its half-life. So we shipped it.  Introducing Citation Decay. See the full lifetime of a citation: first cited date, rise, peak, and half-life. Sort your citations by half-life, start with the pages decaying fastest, and let a Profound Agent draft the updates and stage them in your CMS.  If you'd like to see Citation Decay, let your Profound team know.  Read more here: https://lnkd.in/ghDb-k5g</t>
  </si>
  <si>
    <t>https://adstransparency.google.com/advertiser/AR11070511645502472193/creative/CR17136723059235880961?region=anywhere</t>
  </si>
  <si>
    <t>https://adstransparency.google.com/advertiser/AR11070511645502472193/creative/CR07249351552320667649?region=anywhere</t>
  </si>
  <si>
    <t>The Profound MCP is now available as an official Anthropic connector.   You could already ask Claude to analyze your AI Search data via the Profound MCP. In celebration of today's launch you can now also:   1/ Ask Claude to add new prompts to what you're tracking in Profound, just by describing them 2/ Ask Claude to build and run a Profound Agent for you, without leaving the conversation 3/ Brainstorm with Claude what marketing workflows you should automate next   Think of it this way:  • Claude is the generalist, good at reasoning across anything you bring it • A Profound Agent is the specialist, built to do one marketing job well using your brand's data • Now they work together: You ask, Claude figures out which specialist to call, and brings the answer back to you.  Enterprise customers can set up their connector today in just a couple of clicks → https://lnkd.in/gqwUhXjS</t>
  </si>
  <si>
    <t>https://adstransparency.google.com/advertiser/AR11070511645502472193/creative/CR13712553922869067777?region=anywhere</t>
  </si>
  <si>
    <t>Profound 🤝  Snap Inc.   We’re excited to welcome Snap as a partner.  Snap has redefined how hundreds of millions of people communicate, discover, and engage with the world around them.  Now, they’re moving early to adopt marketing Agents and building with Profound as this next wave of technology takes shape.  We are proud to support their team.</t>
  </si>
  <si>
    <t>https://adstransparency.google.com/advertiser/AR11070511645502472193/creative/CR17667677911483678721?region=anywhere</t>
  </si>
  <si>
    <t>https://adstransparency.google.com/advertiser/AR11070511645502472193/creative/CR15557928403037323265?region=anywhere</t>
  </si>
  <si>
    <t>80% of industries have a different AI Search leader in Europe than they do in the U.S.  Great work from Brandon P., Data Scientist, on the Profound Summer 2026 Index Report, our deepest look yet at how AI Search visibility splits by region.  The Profound Index is the definitive leaderboard for AI Search, powered by 1.9B+ real user conversations covering 50+ industries and every major LLM.   This edition uncovers: 1/ If a brand's position in the U.S. carries over to Europe 2/ How recent model updates changed the sources Answer Engines pull from 3/ Which companies saw the biggest movements this quarter.  Check out the whole report → https://lnkd.in/g_Yyyq7s</t>
  </si>
  <si>
    <t>https://adstransparency.google.com/advertiser/AR11070511645502472193/creative/CR09957132032184156161?region=anywhere</t>
  </si>
  <si>
    <t>🤯 Hey marketers: 69% of B2B software buyers chose a different vendor than they originally planned based on guidance from an AI chatbot. A third bought from a vendor they'd never even heard of. (G2, 2026)  AI search doesn't bury you on page 2 -- it just doesn't mention you at all.  SEO got you a spot in a wall of blue links. Ask ChatGPT or Perplexity a question and the answer gets built from the sources the *model* trusts enough to cite. Not one of them? You're straight up invisible.  I'm testing Profound on my own site because I think more and more search is going to happen inside AI tools. I asked Profound Aim tool, an always-on agent, how to boost my newsletter's visibility in AI search, and it had some great tips that I can’t believe I didn’t think of!  → Apparently my hero text is warm but too vague for a model to quote. It reads well to a human and says nothing a model could lift as an answer.  → Whoops -- my subscriber count and audience proof only live inside logos and images, so none of it exists as crawlable text anywhere on the page.  → My homepage says 'monthly,' but the archive has gaps. That mismatch gives a model a reason to doubt which source is right.  → And there's no section anywhere that plainly says who writes this newsletter and what gives it the authority to speak on the topic.  Time to get to work. 😅  None of these are magical AEO hacks, btw. They're just good website practices. But they're easy to miss when you're too close to your own site to see what's missing.  Which is why I've got Profound's agent running in the background now -- it keeps checking my site the way a model would and flags these gaps as they show up, instead of me remembering to re-audit pages I'm too close to see clearly. I'm not going to catch this stuff by hand, but something watching for it will.  Have you been playing with AEO yet? How are you tracking where your brand shows up across Claude, ChatGPT, Perplexity, Gemini, and everything else out there?  Learn more about AEO and Profound's Aim tool here: https://lnkd.in/gSJrjpT5  Partnering with Profound on this one -- they're a new sponsor of my work at Sara McNamara LLC / The Marketing Operations Strategist! 😍 More learnings to come as I go deeper on AEO.  #ProfoundPartner #marketing #sales #ai</t>
  </si>
  <si>
    <t>https://adstransparency.google.com/advertiser/AR11070511645502472193/creative/CR10522292622452588545?region=anywhere</t>
  </si>
  <si>
    <t>Marketers could finally see how AI talks about their brand, but not whether any of it was true.  So we built Profound FactCheck. Live today.  It's genuinely hard to build, which is why nobody had.  When AI answers a question about your brand, it produces a wall of prose: claims, opinions, hedges, filler. To measure accuracy, you first have to find the sentences that can even be true or false.  So we trained our own ML model to do exactly that: read AI responses at the sentence level, extract the verifiable claims, ignore the rest.  Every claim gets matched against a brand's ground truth in their Knowledge Base and is marked accurate or inaccurate, with the source that proves it.   FactCheck runs this process continuously and suggests Agents to correct the inaccurate claims.  None of this existed off the shelf. So we built it. Proud of what the team shipped.   FactCheck is live today and included in every configuration.  Read how WHOOP has been using FactCheck: https://lnkd.in/gA8EyKpM</t>
  </si>
  <si>
    <t>https://adstransparency.google.com/advertiser/AR11070511645502472193/creative/CR00675722205337747457?region=anywhere</t>
  </si>
  <si>
    <t>Optro saw a 70% increase in citation share across their most competitive prompts, all while rebranding from AuditBoard and growing equity for a completely new name.  The best part: they did it with a team powered by Profound Agents, turning AI visibility signals into content optimizations at 10x their previous output.   'Once the Agent is built, you can run it across dozens or hundreds of articles in minutes. That's the kind of scale and speed we needed,' said Ron Samson Jr, Senior Growth Marketing Manager at Optro.  Full story here → https://lnkd.in/gSKMYCAS</t>
  </si>
  <si>
    <t>https://adstransparency.google.com/advertiser/AR11070511645502472193/creative/CR10582093273180930049?region=anywhere</t>
  </si>
  <si>
    <t>🚢 New ship in Profound: YouTube Citation Breakdown  YouTube's a top-cited domain in AI Search, but raw URLs are hard to act on. Now, for all cited YouTube videos, you can see the channel, video title, and video category, ranked by citation share.  With this data: 1/ Content teams focus on top-cited categories 2/ Creator marketers find partners with high AI influence 3/ Brands sees the videos/channels shaping AI perception  Nice work, Joseph Adelman!  Read more here: https://lnkd.in/eFW2MzyV</t>
  </si>
  <si>
    <t>https://adstransparency.google.com/advertiser/AR11070511645502472193/creative/CR03681106707217383425?region=anywhere</t>
  </si>
  <si>
    <t>https://adstransparency.google.com/advertiser/AR11070511645502472193/creative/CR13757083216081059841?region=anywhere</t>
  </si>
  <si>
    <t>https://adstransparency.google.com/advertiser/AR11070511645502472193/creative/CR01612546141298098177?region=anywhere</t>
  </si>
  <si>
    <t>Fractal speed from the Profound eng team. Less than 24hrs ago, Ravish Agrawal at Gamma said in a podcast that he wished Profound  could show the 'lifetime' of a citation and its half-life. So, we built it the same day.  Citation Decay gives you the full lifetime of a citation: first cited date, rise, peak, and half-life. Marketers can sort their citations by half-life, start with the pages decaying fastest, and let Profound Agents draft the updates and stage them in your CMS.  Nice work Joseph Adelman!  If you want to start tracking Citation Decay, just let your Profound team know.  Read more here: https://lnkd.in/eiywct7r</t>
  </si>
  <si>
    <t>https://adstransparency.google.com/advertiser/AR11070511645502472193/creative/CR08546944185570164737?region=anywhere</t>
  </si>
  <si>
    <t>In under 30 days, Kiteworks went from building their AI Search strategy to outranking Microsoft, Box, and Dropbox in citations across their most competitive prompts. And, they hit ~50% aggregate AI visibility for their most important topics.   The best part is they did this with a lean team, powered by Profound Agents, turning AI visibility signals into on-brand content at 8x their previous output.  'Profound gives us a complete loop from AI visibility insights to content production to performance measurement,' said Rob Dougherty, Senior Director of Search Content at Kiteworks.  Full story here → https://lnkd.in/gtrQTE-k</t>
  </si>
  <si>
    <t>https://adstransparency.google.com/advertiser/AR11070511645502472193/creative/CR07836812506143129601?region=anywhere</t>
  </si>
  <si>
    <t>https://adstransparency.google.com/advertiser/AR11070511645502472193/creative/CR02999281714129272833?region=anywhere</t>
  </si>
  <si>
    <t>https://adstransparency.google.com/advertiser/AR11070511645502472193/creative/CR00664750213163909121?region=anywhere</t>
  </si>
  <si>
    <t>https://adstransparency.google.com/advertiser/AR11070511645502472193/creative/CR14402127208757854209?region=anywhere</t>
  </si>
  <si>
    <t>https://adstransparency.google.com/advertiser/AR11070511645502472193/creative/CR01984303529593929729?region=anywhere</t>
  </si>
  <si>
    <t>https://adstransparency.google.com/advertiser/AR11070511645502472193/creative/CR05138274624101941249?region=anywhere</t>
  </si>
  <si>
    <t>https://adstransparency.google.com/advertiser/AR11070511645502472193/creative/CR08936720988897280001?region=anywhere</t>
  </si>
  <si>
    <t>https://adstransparency.google.com/advertiser/AR11070511645502472193/creative/CR07448454347693752321?region=anywhere</t>
  </si>
  <si>
    <t>https://adstransparency.google.com/advertiser/AR11070511645502472193/creative/CR02037043322807123969?region=anywhere</t>
  </si>
  <si>
    <t>https://adstransparency.google.com/advertiser/AR11070511645502472193/creative/CR13814129693261037569?region=anywhere</t>
  </si>
  <si>
    <t>https://adstransparency.google.com/advertiser/AR11070511645502472193/creative/CR01079746927014182913?region=anywhere</t>
  </si>
  <si>
    <t>https://adstransparency.google.com/advertiser/AR11070511645502472193/creative/CR16298024351301632001?region=anywhere</t>
  </si>
  <si>
    <t>https://adstransparency.google.com/advertiser/AR11070511645502472193/creative/CR11894578482191007745?region=anywhere</t>
  </si>
  <si>
    <t>https://adstransparency.google.com/advertiser/AR11070511645502472193/creative/CR02294644259946496001?region=anywhere</t>
  </si>
  <si>
    <t>https://adstransparency.google.com/advertiser/AR11070511645502472193/creative/CR08570924774690127873?region=anywhere</t>
  </si>
  <si>
    <t>https://adstransparency.google.com/advertiser/AR11070511645502472193/creative/CR01737218252943130625?region=anywhere</t>
  </si>
  <si>
    <t>https://adstransparency.google.com/advertiser/AR11070511645502472193/creative/CR10968757462169026561?region=anywhere</t>
  </si>
  <si>
    <t>https://adstransparency.google.com/advertiser/AR11070511645502472193/creative/CR13533984060468101121?region=anywhere</t>
  </si>
  <si>
    <t>https://adstransparency.google.com/advertiser/AR11070511645502472193/creative/CR00202335204939923457?region=anywhere</t>
  </si>
  <si>
    <t>https://adstransparency.google.com/advertiser/AR11070511645502472193/creative/CR17059132688327245825?region=anywhere</t>
  </si>
  <si>
    <t>https://adstransparency.google.com/advertiser/AR11070511645502472193/creative/CR01310044791412621313?region=anywhere</t>
  </si>
  <si>
    <t>https://adstransparency.google.com/advertiser/AR11070511645502472193/creative/CR13714471230629740545?region=anywhere</t>
  </si>
  <si>
    <t>https://adstransparency.google.com/advertiser/AR11070511645502472193/creative/CR12028709005175029761?region=anywhere</t>
  </si>
  <si>
    <t>https://adstransparency.google.com/advertiser/AR11070511645502472193/creative/CR06112763808340508673?region=anywhere</t>
  </si>
  <si>
    <t>https://adstransparency.google.com/advertiser/AR11070511645502472193/creative/CR18172691676659712001?region=anywhere</t>
  </si>
  <si>
    <t>https://adstransparency.google.com/advertiser/AR11070511645502472193/creative/CR13744804419977871361?region=anywhere</t>
  </si>
  <si>
    <t>https://adstransparency.google.com/advertiser/AR11070511645502472193/creative/CR16577862155198529537?region=anywhere</t>
  </si>
  <si>
    <t>Rankscale.ai</t>
  </si>
  <si>
    <t>Profound helps SEO leaders and professionals improve AI visibility, which translates into more traffic, leads, and customers. Book a free AEO audit and we'll show you exactly where you rank in AI search, what's costing you visibility, and how to fix it.</t>
  </si>
  <si>
    <t>Sophie Piacentini  Hey %FIRSTNAME%,  Does %COMPANYNAME% get mentioned by ChatGPT, Gemini, Claude, and other leading answer engines?  Top brands like US Bank, Chime, and Indeed trust Profound to improve their AI visibility so they can get more traffic, leads, and customers.  Book a free AEO audit for %COMPANYNAME% and we'll show you exactly where you rank in AI search, what's costing you visibility, and how to fix it.</t>
  </si>
  <si>
    <t>https://rankscale.ai/</t>
  </si>
  <si>
    <t>Rankscale GmbH</t>
  </si>
  <si>
    <t>Search Text Ad: "Go From Visibility to Insight - Modern Platform for Clarity and Control"</t>
  </si>
  <si>
    <t>https://adstransparency.google.com/advertiser/AR00739524288117211137/creative/CR02154636529484431361?region=anywhere</t>
  </si>
  <si>
    <t>Search Text Ad: "Better Rankings with AI - AI Visibility Tracker for AI Search"</t>
  </si>
  <si>
    <t>https://adstransparency.google.com/advertiser/AR00739524288117211137/creative/CR12006826069492498433?region=anywhere</t>
  </si>
  <si>
    <t>Search Text Ad: "AI Search Visibility Tool - Trusted Insights for SEO Teams &amp; Digital Brands"</t>
  </si>
  <si>
    <t>https://adstransparency.google.com/advertiser/AR00739524288117211137/creative/CR13827474182419513345?region=anywhere</t>
  </si>
  <si>
    <t>Digital Funda</t>
  </si>
  <si>
    <t>Search Text Ad: "Rankscale - AI Visibility Tracker for ChatGPT &amp; AI Overviews"</t>
  </si>
  <si>
    <t>https://adstransparency.google.com/advertiser/AR09953131201428455425/creative/CR03180908519503167489?region=anywhere</t>
  </si>
  <si>
    <t>“To ensure all vulnerable children and families have access to high-quality early childhood education, health, and family support services.”  Profoundly recently had the chance to support the National Head Start Association.  Anyone who knows me knows I’ve always believed businesses can be (and should be) places to do 'good' – places where you can help others and do work that truly matters.   So, the opportunity to support such an important organization doing such meaningful work for so many is absolutely an all-time personal and professional highlight.  I’m incredibly proud of the team and grateful for the opportunity to help.  “Profoundly made it easy to find the right partner for our HubSpot project. We are off and running – they’re doing amazing work and have been incredibly responsive. They really understand our organization and what we’re trying to accomplish, which isn’t typical.  I would absolutely recommend Profoundly for anyone looking for help with HubSpot.”  – Dr. Deborah Bergeron, Deputy Director  We’re grateful for the chance to support such an incredible organization. 💜</t>
  </si>
  <si>
    <t>Search Text Ad: "Rankscale AI - Check Your AI Visibility Score - Optimize for GEO"</t>
  </si>
  <si>
    <t>https://adstransparency.google.com/advertiser/AR00739524288117211137/creative/CR18166801206322659329?region=anywhere</t>
  </si>
  <si>
    <t>Search Text Ad: "AI Rank Tracker - AI Search Engines Tracker - Monitor ChatGPT, Claude &amp; Perplexity"</t>
  </si>
  <si>
    <t>https://adstransparency.google.com/advertiser/AR00739524288117211137/creative/CR04111750296164630529?region=anywhere</t>
  </si>
  <si>
    <t>Search Text Ad: "Monitor And Rank On AI - Brand Visibility on ChatGPT, Perplexity &amp; Claude"</t>
  </si>
  <si>
    <t>https://adstransparency.google.com/advertiser/AR00739524288117211137/creative/CR00604732984414699521?region=anywhere</t>
  </si>
  <si>
    <t>Search Text Ad: "Monitor And Rank On AI - Track AI Citations and Search Overviews"</t>
  </si>
  <si>
    <t>https://adstransparency.google.com/advertiser/AR00739524288117211137/creative/CR04271243485794795521?region=anywhere</t>
  </si>
  <si>
    <t>INBOUND changed my life.  I was sitting in the back of the keynote auditorium in 2017 – it was my first INBOUND event. Everyone was listening quietly when Brian announced some updates to the product.  All of a sudden, people all around me 𝗹𝗲𝗮𝗽𝘁 𝗼𝘂𝘁 𝗼𝗳 𝘁𝗵𝗲𝗶𝗿 𝘀𝗲𝗮𝘁𝘀 – cheering, high-fiving... two people in front of me literally chest-bumped (not a joke)! I think there may even have been breakdancing.  I was leading strategy at Amazon Web Services at the time, and I remember thinking how rare and how special it was to see customers react to a software product like that. I joined HubSpot pretty much the very next day.  Fast forward and I’m so excited to be heading back for my 𝟭𝟬𝘁𝗵 (!) 𝗜𝗡𝗕𝗢𝗨𝗡𝗗/𝗨𝗡𝗕𝗢𝗨𝗡𝗗 in just a few short weeks.  I’ve experienced it from almost every angle now: customer, HubSpotter, speaker, sponsor... I can say with confidence it's a very special event. Dreams come true at INBOUND. I've seen it. Heck, I've experienced it!  The chance to meet with HubSpot customers, partners, and pros – to hear what they’re working on, what they’re wrestling with, to help them connect and grow better together. There’s nothing quite like it.  If you’re attending this year, Profoundly will be at 𝗕𝗢𝗢𝗧𝗛 𝟱𝟮. Come say hi. I’d love to connect.  https://profound.ly/</t>
  </si>
  <si>
    <t>ĐÀO QUANG VŨ</t>
  </si>
  <si>
    <t>Search Text Ad: "Rankscale AI Visibility - Track Brand Mentions &amp; Citations across Gemini &amp; AI Overviews"</t>
  </si>
  <si>
    <t>https://adstransparency.google.com/advertiser/AR14002065152757727233/creative/CR08576620133252857857?region=anywhere</t>
  </si>
  <si>
    <t>HERA SEO SRL</t>
  </si>
  <si>
    <t>Search Text Ad: "Rankscale - Monitor AI Visibility with 94+ Technical Checkpoints"</t>
  </si>
  <si>
    <t>https://adstransparency.google.com/advertiser/AR13497936107894996993/creative/CR08725855334662406145?region=anywhere</t>
  </si>
  <si>
    <t>Display Banner: "AI Search Engines Analytics - Track and Deeply Analyze Visibility in AI Search"</t>
  </si>
  <si>
    <t>https://adstransparency.google.com/advertiser/AR00739524288117211137/creative/CR03064711718362939393?region=anywhere</t>
  </si>
  <si>
    <t>Video Ad: "Stay ahead with Rankscale today"</t>
  </si>
  <si>
    <t>https://adstransparency.google.com/advertiser/AR00739524288117211137/creative/CR03082580981337554945?region=anywhere</t>
  </si>
  <si>
    <t>Shelea Kirksey</t>
  </si>
  <si>
    <t>Search Text Ad: "Rankscale.ai - Track Visibility, Citations, and Sentiment Across Major AI Engines"</t>
  </si>
  <si>
    <t>https://adstransparency.google.com/advertiser/AR16480343677202333697/creative/CR06832660276303626241?region=anywhere</t>
  </si>
  <si>
    <t>Search Text Ad: "Track your AI Visibility - Google AI Mode Rank Tracker | AI Overviews"</t>
  </si>
  <si>
    <t>https://adstransparency.google.com/advertiser/AR00739524288117211137/creative/CR16115500567777771521?region=anywhere</t>
  </si>
  <si>
    <t>ZENTRAVYX MEIDA LLC</t>
  </si>
  <si>
    <t>Search Text Ad: "AI SEO Tool for Websites - Benchmark Competitors and Optimize for AI"</t>
  </si>
  <si>
    <t>https://adstransparency.google.com/advertiser/AR00492563599877734401/creative/CR06318832722840125441?region=anywhere</t>
  </si>
  <si>
    <t>https://rankscale.ai/rankscale_ai</t>
  </si>
  <si>
    <t>HYPERFAVOR COMPANY LIMITED</t>
  </si>
  <si>
    <t>Search Text Ad: "AI Rank Tracker - Rankscale Brand Visibility - Analyze AI-Generated Results"</t>
  </si>
  <si>
    <t>https://adstransparency.google.com/advertiser/AR09760715412437204993/creative/CR02011469670187532289?region=anywhere</t>
  </si>
  <si>
    <t>Search Text Ad: "AI Rank Tracker - AI Search Engines Tracker - Monitor Brand Visibility"</t>
  </si>
  <si>
    <t>https://adstransparency.google.com/advertiser/AR00739524288117211137/creative/CR06185217364003389441?region=anywhere</t>
  </si>
  <si>
    <t>Accuranker</t>
  </si>
  <si>
    <t>https://www.accuranker.com/</t>
  </si>
  <si>
    <t>eTarg Media ApS</t>
  </si>
  <si>
    <t>Search Text Ad: "Accuranker - Experience the world's fastest, most accurate rank tracking with AccuRanker."</t>
  </si>
  <si>
    <t>https://adstransparency.google.com/advertiser/AR01866760943401172993/creative/CR17962702857178185729?region=anywhere</t>
  </si>
  <si>
    <t>Search Text Ad: "Accuranker - World's Fastest Rank Tracker - Sign up for a free trial! Superior rank tracking and SERP analysis."</t>
  </si>
  <si>
    <t>https://adstransparency.google.com/advertiser/AR01866760943401172993/creative/CR13817981832248950785?region=anywhere</t>
  </si>
  <si>
    <t>https://www.accuranker.com/pricing</t>
  </si>
  <si>
    <t>Search Text Ad: "Affordable AccuRanker Price - Get the best value in SERP tracking with AccuRanker's transparent pricing plans."</t>
  </si>
  <si>
    <t>https://adstransparency.google.com/advertiser/AR01866760943401172993/creative/CR09302985698137079809?region=anywhere</t>
  </si>
  <si>
    <t>Athena HQ</t>
  </si>
  <si>
    <t>https://athenahq.ai/</t>
  </si>
  <si>
    <t>NuvoTech, Inc</t>
  </si>
  <si>
    <t>Search Text Ad: "Agentic SEO Platform - AI agents that find and fix your AI search visibility gaps — automatically."</t>
  </si>
  <si>
    <t>https://adstransparency.google.com/advertiser/AR17913883853710163969/creative/CR09040885482107437057?region=anywhere</t>
  </si>
  <si>
    <t>Search Text Ad: "AthenaHQ: Action on AI Search - Become The Brand AI Trusts - End-to-end AEO &amp; GEO platform."</t>
  </si>
  <si>
    <t>https://adstransparency.google.com/advertiser/AR17913883853710163969/creative/CR10575763900135899137?region=anywhere</t>
  </si>
  <si>
    <t>https://athenahq.ai/aeo/platform</t>
  </si>
  <si>
    <t>Search Text Ad: "Generative Engine Optimization - Leading AEO &amp; GEO platform - Free 10-minute AI visibility audit."</t>
  </si>
  <si>
    <t>https://adstransparency.google.com/advertiser/AR17913883853710163969/creative/CR12852410984391770113?region=anywhere</t>
  </si>
  <si>
    <t>Video Ad: "Athena HQ Overview"</t>
  </si>
  <si>
    <t>https://adstransparency.google.com/advertiser/AR17913883853710163969/creative/CR18280905636835229697?region=anywhere</t>
  </si>
  <si>
    <t>https://athenahq.ai/report/2026</t>
  </si>
  <si>
    <t>Search Text Ad: "State of AI Search 2026 - Free 2026 AI Search Report - Download the free report."</t>
  </si>
  <si>
    <t>https://adstransparency.google.com/advertiser/AR17913883853710163969/creative/CR04924011856894361601?region=anywhere</t>
  </si>
  <si>
    <t>Search Text Ad: "10x Your AI Citations - AthenaHQ: AI-powered platform for AI search optimization."</t>
  </si>
  <si>
    <t>https://adstransparency.google.com/advertiser/AR17913883853710163969/creative/CR02845759508293091329?region=anywhere</t>
  </si>
  <si>
    <t>Comparison / Alternative</t>
  </si>
  <si>
    <t>https://athenahq.ai/seoclarity/alternative</t>
  </si>
  <si>
    <t>Search Text Ad: "seoClarity Alternative for AEO - Dedicated AEO tools for teams looking to implement AEO."</t>
  </si>
  <si>
    <t>https://adstransparency.google.com/advertiser/AR17913883853710163969/creative/CR16681113332203126785?region=anywhere</t>
  </si>
  <si>
    <t>https://athenahq.ai/scrunch/alternative</t>
  </si>
  <si>
    <t>Search Text Ad: "AthenaHQ - Get a Free AI Search Audit - Best AI Search Insights."</t>
  </si>
  <si>
    <t>https://adstransparency.google.com/advertiser/AR17913883853710163969/creative/CR14799257399822647297?region=anywhere</t>
  </si>
  <si>
    <t>https://athenahq.ai/search-report</t>
  </si>
  <si>
    <t>Search Text Ad: "State of AI Search 2026 - +8 Million AI Results Analyzed - Visibility &amp; Trust Report."</t>
  </si>
  <si>
    <t>https://adstransparency.google.com/advertiser/AR17913883853710163969/creative/CR07462500050392842241?region=anywhere</t>
  </si>
  <si>
    <t>https://athenahq.ai/AISearch/Content</t>
  </si>
  <si>
    <t>Search Text Ad: "AI SEO Content - Improve Your Brand In AI - Draft &amp; update on-brand SEO content."</t>
  </si>
  <si>
    <t>https://adstransparency.google.com/advertiser/AR17913883853710163969/creative/CR00089787571223134209?region=anywhere</t>
  </si>
  <si>
    <t>Search Text Ad: "Dominate AI Search Results - AthenaHQ: End to End Platform - Unlock AI Search insights."</t>
  </si>
  <si>
    <t>https://adstransparency.google.com/advertiser/AR17913883853710163969/creative/CR01253671412917338113?region=anywhere</t>
  </si>
  <si>
    <t>https://athenahq.ai/AISearch/Monitoring</t>
  </si>
  <si>
    <t>Search Text Ad: "Monitor AI Search Performance - Competitor Monitoring - Track AI traffic &amp; visibility."</t>
  </si>
  <si>
    <t>https://adstransparency.google.com/advertiser/AR17913883853710163969/creative/CR09859460206675623937?region=anywhere</t>
  </si>
  <si>
    <t>Display Banner: "AthenaHQ: Dominate AI Search - End to End AI Search Platform Built for You"</t>
  </si>
  <si>
    <t>https://adstransparency.google.com/advertiser/AR17913883853710163969/creative/CR16529671617115062273?region=anywhere</t>
  </si>
  <si>
    <t>Video Ad: "AthenaHQ - Athena HQ - AI Search Platform"</t>
  </si>
  <si>
    <t>https://adstransparency.google.com/advertiser/AR17913883853710163969/creative/CR16686007988602798081?region=anywhere</t>
  </si>
  <si>
    <t>Display Banner: "End to End AEO / GEO Platform - AthenaHQ: Action on AI Search"</t>
  </si>
  <si>
    <t>https://adstransparency.google.com/advertiser/AR17913883853710163969/creative/CR10443754635729567745?region=anywhere</t>
  </si>
  <si>
    <t>Display Banner: "Athena: Action AI Search - AI-powered search optimization for a competitive edge."</t>
  </si>
  <si>
    <t>https://adstransparency.google.com/advertiser/AR17913883853710163969/creative/CR13206724251345747969?region=anywhere</t>
  </si>
  <si>
    <t>Display Banner: "Dominate AI Search Results For Your Business - AthenaHQ"</t>
  </si>
  <si>
    <t>https://adstransparency.google.com/advertiser/AR17913883853710163969/creative/CR02313798233538691073?region=anywhere</t>
  </si>
  <si>
    <t>Display Banner: "AthenaHQ - AI Search Optimization"</t>
  </si>
  <si>
    <t>https://adstransparency.google.com/advertiser/AR17913883853710163969/creative/CR06264284275948912641?region=anywhere</t>
  </si>
  <si>
    <t>https://www.scrunch.com/ai-search/visibility</t>
  </si>
  <si>
    <t>Excelsa Labs</t>
  </si>
  <si>
    <t>Search Text Ad: "AI Visibility Platform - Monitor Your AI Visibility - Make Your Site AI-Friendly"</t>
  </si>
  <si>
    <t>https://adstransparency.google.com/advertiser/AR01685939160927436801/creative/CR16928783617759379457?region=anywhere</t>
  </si>
  <si>
    <t>https://www.scrunch.com/aeo</t>
  </si>
  <si>
    <t>Search Text Ad: "Start Your Free 7-day Trial - Increase visibility in answer-driven search"</t>
  </si>
  <si>
    <t>https://adstransparency.google.com/advertiser/AR01685939160927436801/creative/CR01752131642115227649?region=anywhere</t>
  </si>
  <si>
    <t>https://scrunch.com/</t>
  </si>
  <si>
    <t>48.6% of AI travel prompts ask an answer engine to plan the whole trip. Only 8% are ready to book. See where brands are missing out.</t>
  </si>
  <si>
    <t>Search Text Ad: "Track Your Brand in Claude - See exactly how and when Claude cites your brand in its answers"</t>
  </si>
  <si>
    <t>https://adstransparency.google.com/advertiser/AR01685939160927436801/creative/CR06070463835083374593?region=anywhere</t>
  </si>
  <si>
    <t>https://www.scrunch.com/ai-search</t>
  </si>
  <si>
    <t>Search Text Ad: "Scrunch AI - Free 7-Day Trial, No Card Req - Monitor brand's AI visibility and fix inaccuracies"</t>
  </si>
  <si>
    <t>https://adstransparency.google.com/advertiser/AR01685939160927436801/creative/CR02272827363681107969?region=anywhere</t>
  </si>
  <si>
    <t>https://www.scrunch.com/chatgpt/visibility</t>
  </si>
  <si>
    <t>We found how travelers really talk to AI about trips. Most brands are optimizing for the wrong moment.</t>
  </si>
  <si>
    <t>Search Text Ad: "Track Your Brand in ChatGPT - Get Cited in ChatGPT - Turn ChatGPT into a measurable channel"</t>
  </si>
  <si>
    <t>https://adstransparency.google.com/advertiser/AR01685939160927436801/creative/CR12423139104919650305?region=anywhere</t>
  </si>
  <si>
    <t>https://www.scrunch.com/ai-search/monitoring</t>
  </si>
  <si>
    <t>Search Text Ad: "Make Your Site AI-Friendly - Rank Higher in AI Answers - Track ChatGPT and AI Overviews"</t>
  </si>
  <si>
    <t>https://adstransparency.google.com/advertiser/AR01685939160927436801/creative/CR13454074261190737921?region=anywhere</t>
  </si>
  <si>
    <t>Search Text Ad: "Rank in Google AI Overviews - Show Up in Google AI Answers &amp; Gemini Search"</t>
  </si>
  <si>
    <t>https://adstransparency.google.com/advertiser/AR01685939160927436801/creative/CR13414692984499208193?region=anywhere</t>
  </si>
  <si>
    <t>Google, Okta, Ramp, and American Express are already hiring Marketing Engineers. See how the role is taking shape in the free Profound guide.</t>
  </si>
  <si>
    <t>https://www.scrunch.com/aeo/platform</t>
  </si>
  <si>
    <t>Search Text Ad: "Start a Free Trial - Make Your Brand the Answer - Dashboards, LLM audits, &amp; AI insights"</t>
  </si>
  <si>
    <t>https://adstransparency.google.com/advertiser/AR01685939160927436801/creative/CR08987697981503307777?region=anywhere</t>
  </si>
  <si>
    <t>Search Text Ad: "Scrunch AEO Platform - End-to-end AEO workflows, LLM tracking, and reporting"</t>
  </si>
  <si>
    <t>https://adstransparency.google.com/advertiser/AR01685939160927436801/creative/CR03072615763857637377?region=anywhere</t>
  </si>
  <si>
    <t>https://adstransparency.google.com/advertiser/AR01685939160927436801/creative/CR18097747615490768897?region=anywhere</t>
  </si>
  <si>
    <t>https://adstransparency.google.com/advertiser/AR01685939160927436801/creative/CR17017660853484257281?region=anywhere</t>
  </si>
  <si>
    <t>https://adstransparency.google.com/advertiser/AR01685939160927436801/creative/CR05076430599732854785?region=anywhere</t>
  </si>
  <si>
    <t>The product pages AI recommends most share five specific traits. Most retailers are missing at least half of them.</t>
  </si>
  <si>
    <t>https://adstransparency.google.com/advertiser/AR01685939160927436801/creative/CR01141904956442279937?region=anywhere</t>
  </si>
  <si>
    <t>https://adstransparency.google.com/advertiser/AR01685939160927436801/creative/CR12315301066051682305?region=anywhere</t>
  </si>
  <si>
    <t>200,000 real AI shopping prompts from Christmas 2025, decoded. See exactly how retailers can win the AI shelf in 2026. Download free.</t>
  </si>
  <si>
    <t>Video Ad: "Scrunch: There's a better way to win AI search"</t>
  </si>
  <si>
    <t>https://adstransparency.google.com/advertiser/AR01685939160927436801/creative/CR09991094838264594433?region=anywhere</t>
  </si>
  <si>
    <t>https://adstransparency.google.com/advertiser/AR01685939160927436801/creative/CR09509618696461484033?region=anywhere</t>
  </si>
  <si>
    <t>https://adstransparency.google.com/advertiser/AR01685939160927436801/creative/CR14453840667996061697?region=anywhere</t>
  </si>
  <si>
    <t>https://adstransparency.google.com/advertiser/AR01685939160927436801/creative/CR08189238478567899137?region=anywhere</t>
  </si>
  <si>
    <t>Markdown isn't the AI visibility silver bullet GEO circles claim. Our experiment shows where to focus instead. Download the full findings.</t>
  </si>
  <si>
    <t>https://adstransparency.google.com/advertiser/AR01685939160927436801/creative/CR07122813629572841473?region=anywhere</t>
  </si>
  <si>
    <t>https://adstransparency.google.com/advertiser/AR01685939160927436801/creative/CR12154151419204599809?region=anywhere</t>
  </si>
  <si>
    <t>https://adstransparency.google.com/advertiser/AR01685939160927436801/creative/CR02411251617010548737?region=anywhere</t>
  </si>
  <si>
    <t>https://adstransparency.google.com/advertiser/AR01685939160927436801/creative/CR13069671595822284801?region=anywhere</t>
  </si>
  <si>
    <t>https://adstransparency.google.com/advertiser/AR01685939160927436801/creative/CR03146520125113368577?region=anywhere</t>
  </si>
  <si>
    <t>https://adstransparency.google.com/advertiser/AR01685939160927436801/creative/CR10930872371694796801?region=anywhere</t>
  </si>
  <si>
    <t>Sophie Piacentini  Hey %FIRSTNAME%,  I've been following %COMPANYNAME% for a while, so I wanted to reach out.  The Profound Index analyzes over 400 million real AI conversations and more than 6 million prompts a day. %COMPANYNAME% shows up in some of them.  Book a call and we'll show you exactly where: how often you're mentioned, which AI models surface you, and which topics drive your visibility.  Want a look at the data?</t>
  </si>
  <si>
    <t>Sophie Piacentini  Hey %FIRSTNAME%,  Saw you're at %COMPANYNAME%, so I wanted to reach out. Profound helps SEO leaders and professionals improve AI visibility, which translates into more traffic, leads, and customers.  Top brands like US Bank, Wayfair, Chime, and Zapier trust us to help them grow.  Book a free AEO audit for %COMPANYNAME% and we'll show you exactly where you rank in AI search, what's costing you visibility, and how to fix it.</t>
  </si>
  <si>
    <t>https://adstransparency.google.com/advertiser/AR01685939160927436801/creative/CR11344427282203672577?region=anywhere</t>
  </si>
  <si>
    <t>AI Search has a leaderboard. Your brand is on it. Most teams have no idea where they rank or who's beating them. See where you stand.</t>
  </si>
  <si>
    <t>https://adstransparency.google.com/advertiser/AR01685939160927436801/creative/CR18019542445783515137?region=anywhere</t>
  </si>
  <si>
    <t>https://adstransparency.google.com/advertiser/AR01685939160927436801/creative/CR01601899089170006017?region=anywhere</t>
  </si>
  <si>
    <t>https://adstransparency.google.com/advertiser/AR01685939160927436801/creative/CR08062308519795228673?region=anywhere</t>
  </si>
  <si>
    <t>“Profoundly was a huge help.   Trying to identify the right people to talk to on my own would have taken a lot of time and felt pretty random.   Profoundly connected me with three excellent HubSpot experts, all of whom were strong fits, and made the process simple and efficient.   I’d absolutely use Profoundly again.”  – Dan Zauderer, Founder &amp; CEO, Grassroots Grocery  Profoundly has helped over 900 HubSpot customers get help with everything from messy data, outdated workflows, and broken reports to complex implementations, integrations, and AI -- and everything in between.    You don’t need to know exactly what’s broken to get the help you need. Just tell us what’s not right -- we’ll take care of the rest.   Let's get you the help you need --&gt; https://profound.ly/</t>
  </si>
  <si>
    <t>https://adstransparency.google.com/advertiser/AR01685939160927436801/creative/CR13060001391055994881?region=anywhere</t>
  </si>
  <si>
    <t>https://adstransparency.google.com/advertiser/AR01685939160927436801/creative/CR08938556614969917441?region=anywhere</t>
  </si>
  <si>
    <t>https://adstransparency.google.com/advertiser/AR01685939160927436801/creative/CR09285988545451786241?region=anywhere</t>
  </si>
  <si>
    <t>Sophie Piacentini  Hey %FIRSTNAME%,  I've been following %COMPANYNAME% for a while, so I wanted to reach out.  The Profound Index covers three things for any brand we track: Mention Position Analysis, Topic Clusters, and LLM Comparison.  Book a free call and we'll pull the numbers for %COMPANYNAME% and walk through all three live. You'll see exactly where you appear in real AI conversations and what to do about it.</t>
  </si>
  <si>
    <t>https://adstransparency.google.com/advertiser/AR01685939160927436801/creative/CR05192562005701033985?region=anywhere</t>
  </si>
  <si>
    <t>Sophie Piacentini  Hey %FIRSTNAME%,  Saw you're at %COMPANYNAME%, so I wanted to reach out. Profound helps SEO and marketing leaders and professionals improve AI visibility, which translates into more traffic, leads, and customers.  Top brands like US Bank, Wayfair, Chime, and Zapier trust us to help them grow.  Book a free AEO audit for %COMPANYNAME% and we'll show you exactly where you rank in AI search, what's costing you visibility, and how to fix it.</t>
  </si>
  <si>
    <t>https://adstransparency.google.com/advertiser/AR01685939160927436801/creative/CR16418315965671931905?region=anywhere</t>
  </si>
  <si>
    <t>We knew HubSpot could do a lot more for us than it was, but we didn’t have the time or expertise to figure it out ourselves. We had built a solid foundation – 20,000+ contacts, email campaigns, some automation – but everything was linear, manual, and starting to limit what our sales team could do.   We tried going the traditional route – Upwork, job posts, interviews – but it was frustrating. On paper, a lot of candidates looked great. In reality, most didn’t understand our business, hadn’t done this kind of work before, or couldn’t clearly explain how they’d solve our problem. We’ve never had this issue before when sourcing website development, design, or video editing talent – there were always at least one or two candidates we could move forward with. However, with our HubSpot search, we went 0 for 5 over the course of six weeks. It was costing us time and money, and frustrating our sales team, who were wondering when this upgrade would actually happen.   Then we connected with Profoundly, and the difference was immediate.   Instead of sorting through dozens of unqualified options, we were introduced to a small number of vetted experts who actually knew what they were doing – and more importantly, understood what we were trying to accomplish. The conversations were completely different – practical, specific, and focused on outcomes.   Within days, we went from feeling stuck to having real clarity and confidence in our next steps. We had meaningful conversations with experts who came prepared, understood our business, and could clearly articulate how they would approach the work. We shortlisted two of the applicants and were pleased that Profoundly’s handpicked options offered us the choice between a larger agency and a smaller, more boutique firm.   It’s been a night-and-day difference compared to trying to do it on our own.   If you’re using HubSpot and know you’re not getting everything out of it – but don’t want to waste time searching for the right help – Profoundly makes it easy to connect with people who actually know what they’re doing.'   – Alex N, B2B Industrial Communication Systems Manufacturing Company</t>
  </si>
  <si>
    <t>https://adstransparency.google.com/advertiser/AR01685939160927436801/creative/CR15472178625058439169?region=anywhere</t>
  </si>
  <si>
    <t>I was scouring my network for a trusted HubSpot expert and didn't want to use an unvetted resource from Fiverr.  That's when I found Profoundly and got instant access to vetted HubSpot talent.  Profoundly instantly solved my problem and provided immediate value.'  – Mike Theodore, CEO, Raised Consulting  Profoundly has helped over 900 HubSpot customers get help with everything from messy data, outdated workflows, and broken reports to complex implementations, integrations, and AI -- and everything in between.    You don’t need to know exactly what’s broken to get the help you need. Just tell us what’s not right -- we’ll take care of the rest.   Let's get you the help you need --&gt; https://lnkd.in/ekQsHpw4</t>
  </si>
  <si>
    <t>https://adstransparency.google.com/advertiser/AR01685939160927436801/creative/CR16614962907335098369?region=anywhere</t>
  </si>
  <si>
    <t>The teams winning with AI aren't just buying more tools. They're hiring differently. See who, live Aug 25 with Forrester and Profound.</t>
  </si>
  <si>
    <t>Most marketing teams are guessing at their AI rollout. Get Forrester and Profound's playbook. Register for Aug 25.</t>
  </si>
  <si>
    <t>https://adstransparency.google.com/advertiser/AR01685939160927436801/creative/CR06921803250245042177?region=anywhere</t>
  </si>
  <si>
    <t>We'd been working with a top-tier HubSpot partner for a while and they were great, but after an acquisition they shifted to a high-minimum retainer model that just didn't fit how we operate. I needed to find someone fast.  Someone mentioned Profoundly, so I booked a call. I honestly wasn't sure what to expect. Within 24 hours of that call I had an intro to a Platinum HubSpot partner, we aligned on scope, I signed the proposal, and we were off.   No agency pitch decks, no drawn-out sales process. Just a straight line from 'I have a problem' to 'I have the right person on it.'  The whole thing was free, which still kind of surprises me. If you need a HubSpot expert and you need one now, Profoundly is the fastest path I've found.'  Blair Feldman, DMD President, Retainer Club  Profoundly has helped over 900 HubSpot customers get help with everything from messy data, outdated workflows, and broken reports to complex implementations, integrations, and AI -- and everything in between.    You don’t need to know exactly what’s broken to get the help you need. Just tell us what’s not right -- we’ll take care of the rest.   Let's get you the help you need --&gt; https://profound.ly/</t>
  </si>
  <si>
    <t>https://adstransparency.google.com/advertiser/AR01685939160927436801/creative/CR15368473126413271041?region=anywhere</t>
  </si>
  <si>
    <t>https://adstransparency.google.com/advertiser/AR01685939160927436801/creative/CR10473084357508595713?region=anywhere</t>
  </si>
  <si>
    <t>We analyzed over 200,000 AI prompts from last year's holiday season to see how consumers are using answer engines for Christmas shopping.  Check out our recent research report from Allen Wu (Research) and Katherine Underwood (Experience) to see our findings → https://lnkd.in/gVhrStam</t>
  </si>
  <si>
    <t>https://adstransparency.google.com/advertiser/AR01685939160927436801/creative/CR17581008005481103361?region=anywhere</t>
  </si>
  <si>
    <t>https://adstransparency.google.com/advertiser/AR01685939160927436801/creative/CR00934014932859486209?region=anywhere</t>
  </si>
  <si>
    <t>https://adstransparency.google.com/advertiser/AR01685939160927436801/creative/CR05816130234184892417?region=anywhere</t>
  </si>
  <si>
    <t>Profoundly has been a game-changer. Every expert on the platform is pre-screened and truly knows their stuff. It is a dream platform for anyone who needs HubSpot help without the guesswork.'  -- Matt Lee, Managing Director &amp; Co-Founder, Strategy Collective  Profoundly has helped over 900 HubSpot customers get help with everything from messy data, outdated workflows, and broken reports to complex implementations, integrations, and AI -- and everything in between.    You don’t need to know exactly what’s broken to get the help you need. Just tell us what’s not right -- we’ll take care of the rest.   Let's get you the HubSpot help you need --&gt; https://profound.ly/</t>
  </si>
  <si>
    <t>https://adstransparency.google.com/advertiser/AR01685939160927436801/creative/CR12854880143910371329?region=anywhere</t>
  </si>
  <si>
    <t>https://adstransparency.google.com/advertiser/AR01685939160927436801/creative/CR02958719415920623617?region=anywhere</t>
  </si>
  <si>
    <t>Is running the same AI prompt once a day actually enough?' This is one of the biggest questions in AEO measurement, Jennifer Zou looked at ~1 mil AI responses and 6.6 mil citations to see what’s going on:  The concern makes sense: ask ChatGPT the same thing twice and you can get two different answers, so it feels intuitive that brands should be running every prompt 10 or 100 times a day if they want a trustworthy number  We tested this directly across the same 753-prompt portfolio, spanning ChatGPT, Gemini, Perplexity, Copilot, DeepSeek, Google AI Mode, and Google AI Overviews over 14 days.  One version ran each prompt once per day, the other version ran each prompt 10x per day  The results were much closer than I expected: 1.) 1x/day citation share: 10.24%  2.) 10x/day citation share: 9.99%  3.) Difference after 10x the runs: 0.25 percentage points  So the answer is that repetition does help minorly:  The 10x/day version reduced citation-share movement from ~0.36 pts/day to ~0.21 pts/day, which is about a 40% reduction  The important piece here is that this is a 40% reduction on an already small amount of movement: 0.21 pts/day  That’s where I think people get tripped up: if you are looking at one prompt in isolation, AI answers feel wildly unstable  But if you are tracking a real portfolio of prompts, the portfolio itself is already doing a lot of averaging for you  Let me illustrate: an SEO rank tracker does not become more representative of a market because you refresh the wrong keyword set more often  The same thing is true for prompt tracking  My perspective is that the main measurement question in AEO is “what market did we define by choosing this prompt set?” rather than “how many times did we run the prompt?”  I believe this because we resampled 2,000 synthetic prompt portfolios and found that prompt selection can move citation share more than day-to-day platform drift  If your prompt portfolio is too narrow, too branded, too top-of-funnel, too bottom-of-funnel, or just not representative of how buyers actually ask questions, running it 10x/day will give you highly precise but wholly inaccurate data  AEO teams need to treat prompt selection with the same seriousness that search teams treat keyword research, gotta remember that the prompt portfolio decides what “visibility” actually means  I wonder how many AI visibility debates are actually prompt selection debates 👀</t>
  </si>
  <si>
    <t>https://adstransparency.google.com/advertiser/AR01685939160927436801/creative/CR00646324528586162177?region=anywhere</t>
  </si>
  <si>
    <t>https://adstransparency.google.com/advertiser/AR01685939160927436801/creative/CR03049339789892386817?region=anywhere</t>
  </si>
  <si>
    <t>https://adstransparency.google.com/advertiser/AR01685939160927436801/creative/CR06843287262344511489?region=anywhere</t>
  </si>
  <si>
    <t>https://adstransparency.google.com/advertiser/AR01685939160927436801/creative/CR08755261017233031169?region=anywhere</t>
  </si>
  <si>
    <t>Otterly</t>
  </si>
  <si>
    <t>OtterlyAI GmbH</t>
  </si>
  <si>
    <t>Search Text Ad: "AI SEO Made for Answer Engines - Unlock Your AI Visibility Now - Optimize ChatGPT, Claude &amp; Perplexity"</t>
  </si>
  <si>
    <t>https://adstransparency.google.com/advertiser/AR13288297259528617985/creative/CR13585705181927964673?region=anywhere</t>
  </si>
  <si>
    <t>Display Banner: "AI Replaced Your Ranking. Are You Still Visible? - #1 Ranking on ChatGPT &amp; Perplexity - Try for Free"</t>
  </si>
  <si>
    <t>https://adstransparency.google.com/advertiser/AR13288297259528617985/creative/CR01953369663299649537?region=anywhere</t>
  </si>
  <si>
    <t>Search Text Ad: "Best AI Search Analytics - Track Brand Mentions across ChatGPT, Perplexity &amp; Overviews in One Dashboard"</t>
  </si>
  <si>
    <t>https://adstransparency.google.com/advertiser/AR13288297259528617985/creative/CR16505806511075753985?region=anywhere</t>
  </si>
  <si>
    <t>Video Ad: "OtterlyAI - AI Search Visibility &amp; Generative Engine Optimization Platform"</t>
  </si>
  <si>
    <t>https://adstransparency.google.com/advertiser/AR13288297259528617985/creative/CR10778135844226072577?region=anywhere</t>
  </si>
  <si>
    <t>Search Text Ad: "Optimize for ChatGPT &amp; Co - Rank #1 on ChatGPT &amp; AI Search - Free Trial &amp; Free GEO Guide"</t>
  </si>
  <si>
    <t>https://adstransparency.google.com/advertiser/AR13288297259528617985/creative/CR02101498481133748225?region=anywhere</t>
  </si>
  <si>
    <t>Search Text Ad: "OtterlyAI - Start Free Trial - Track Brand Mentions across ChatGPT, Perplexity &amp; Overviews"</t>
  </si>
  <si>
    <t>https://adstransparency.google.com/advertiser/AR13288297259528617985/creative/CR10313232959016009729?region=anywhere</t>
  </si>
  <si>
    <t>https://adstransparency.google.com/advertiser/AR13288297259528617985/creative/CR10031143312355753985?region=anywhere</t>
  </si>
  <si>
    <t>Display Banner: "Otterly.AI - Monitor Your Brand's AI Visibility Across Major LLMs - Start Today"</t>
  </si>
  <si>
    <t>https://adstransparency.google.com/advertiser/AR13288297259528617985/creative/CR06892088398748581889?region=anywhere</t>
  </si>
  <si>
    <t>https://adstransparency.google.com/advertiser/AR13288297259528617985/creative/CR03870825059178250241?region=anywhere</t>
  </si>
  <si>
    <t>Thanks Asa Hiken for including us in your Ad Age's Emerging Tech roundup this week covering OpenAI's next hardware move and Google's redesign of Images into a shopping-style discovery feed.   You flagged a problem we built Profound FactCheck to solve: LLMs don't just cite brands, they editorialize, and a lot of what they say ends up wrong.  FactCheck checks what AI is saying about a brand, flags what's wrong, and then helps marketing teams fix it at scale using Agents.  Read the full roundup here: https://lnkd.in/g54TVZRb</t>
  </si>
  <si>
    <t>https://adstransparency.google.com/advertiser/AR13288297259528617985/creative/CR06706657343272124417?region=anywhere</t>
  </si>
  <si>
    <t>https://adstransparency.google.com/advertiser/AR13288297259528617985/creative/CR10874498142795988993?region=anywhere</t>
  </si>
  <si>
    <t>Search Text Ad: "Win Visibility in AI Results - Otterly.AI - Start Free Trial - AI-Driven Visibility across all LLMs"</t>
  </si>
  <si>
    <t>https://adstransparency.google.com/advertiser/AR13288297259528617985/creative/CR00072050704910385153?region=anywhere</t>
  </si>
  <si>
    <t>https://adstransparency.google.com/advertiser/AR13288297259528617985/creative/CR06938318464650051585?region=anywhere</t>
  </si>
  <si>
    <t>Where do AI citations come from by industry? Profound’s latest research analyzed 11.8 billion citations across 29 industries and 8 AI models to find the answer. The spread is vast across industries.  Here’s an example. Pharmaceutical companies get 62% of their citations from earned media, while marketing agencies only see 12% of citations come from earned media.  This makes sense once you look at the restrictions placed on pharmaceutical companies creating their own content. Each blog post is scrutinized by legal, compliance, comms, and editorial, limiting the supply of brand media available for Answer Engines to ingest and create responses. Answer Engines then use third-party publishers to fill the information gap.  Marketing agencies operate on the other side of the conversation. Fewer restrictions for each blog post mean a higher quantity of information is produced by brands which Answer Engines can call on. Third-party publishers become a slightly smaller part of the equation.  For AEO teams, if your brand’s citation-mix doesn’t match that of your broader industry, your opportunity is to refocus your content strategy so it reflects how AI actually cites your industry. Within a single industry, the earned-media share gap between a 25th percentile company and a 75th percentile company can run 43 percentage points.  Before you greenlight another quarter of blog content, check which bucket drives citations in your industry on the models your buyers use.   A marketing agency can justify a serious owned content push; brand media already carries 72% of the industry’s citations. For a pharmaceutical company, an earned-media-based AEO strategy makes more sense.  I’m curious what you all make of this. Does this change how you think about your AEO strategy?  One caveat that’s important is that this is a snapshot from the last 3 months of citation data. Every model update has the potential to reshuffle citation preferences, and it’s very likely that the mix in this chart will look different in six months. Profound can help your brand figure out how to get started.  See the full report in the comments:</t>
  </si>
  <si>
    <t>https://adstransparency.google.com/advertiser/AR13288297259528617985/creative/CR05811052483329392641?region=anywhere</t>
  </si>
  <si>
    <t>The New York Times covered Cannes this week with one question at the center: how do brands show up to AI models?  That question was in every room we were in. We had nearly 300 meetings last week with F500 CMOs, agency leaders, and the biggest marketing organizations in the world, all grappling with the same reality: AI is now the most important referrer of brand perception, and most brands still have no idea how they show up.  Two things we believe deeply, and heard validated ALL week: 1/ Every company on the planet will care about how AI talks about their brand, their products, and their services. 2/ Every marketer will use AI every day, not just to work faster, but to do a kind of marketing that wasn't possible before.  Profound sits at the center of both. AI visibility analytics as the foundation. Agents that do the work. The modern workbench for marketing in the era of AI.  We launched less than two years ago. We've grown to 250 people. We work with 15% of the Fortune 500. Last week marked our first time on Cannes' stage, and we left more convinced than ever that the category we're establishing is where the whole industry is heading.  Thank you Marty Swant and the NYTimes for capturing the disruption  https://lnkd.in/g6r5M5my</t>
  </si>
  <si>
    <t>Search Text Ad: "OtterlyAI - AI-Driven SEO &amp; Brand Presence Tracker for Generative Engine Optimization (GEO)"</t>
  </si>
  <si>
    <t>https://adstransparency.google.com/advertiser/AR13288297259528617985/creative/CR14521479711349014529?region=anywhere</t>
  </si>
  <si>
    <t>This is the next gen of growth marketing.   I took this video at a private briefing at Profound's office in NYC.   It was the first time I could actually SEE what AI is doing in the background… and why it is the next big platform for marketers to master.   Tell me:   Have you started building your org for AI Search yet?   #ProfoundPartner #Ad</t>
  </si>
  <si>
    <t>https://adstransparency.google.com/advertiser/AR13288297259528617985/creative/CR15177782050259206145?region=anywhere</t>
  </si>
  <si>
    <t>https://adstransparency.google.com/advertiser/AR13288297259528617985/creative/CR07693143298881355777?region=anywhere</t>
  </si>
  <si>
    <t>https://adstransparency.google.com/advertiser/AR13288297259528617985/creative/CR14890108576746962945?region=anywhere</t>
  </si>
  <si>
    <t>https://adstransparency.google.com/advertiser/AR13288297259528617985/creative/CR09325426378272669697?region=anywhere</t>
  </si>
  <si>
    <t>https://adstransparency.google.com/advertiser/AR13288297259528617985/creative/CR11347744302626242561?region=anywhere</t>
  </si>
  <si>
    <t>https://adstransparency.google.com/advertiser/AR13288297259528617985/creative/CR01350943119272574977?region=anywhere</t>
  </si>
  <si>
    <t>https://adstransparency.google.com/advertiser/AR13288297259528617985/creative/CR14302112530128961537?region=anywhere</t>
  </si>
  <si>
    <t>https://adstransparency.google.com/advertiser/AR13288297259528617985/creative/CR02542878895615508481?region=anywhere</t>
  </si>
  <si>
    <t>https://adstransparency.google.com/advertiser/AR13288297259528617985/creative/CR03779732006875693057?region=anywhere</t>
  </si>
  <si>
    <t>https://adstransparency.google.com/advertiser/AR13288297259528617985/creative/CR04802831244423331841?region=anywhere</t>
  </si>
  <si>
    <t>https://adstransparency.google.com/advertiser/AR13288297259528617985/creative/CR00426208485458313217?region=anywhere</t>
  </si>
  <si>
    <t>https://adstransparency.google.com/advertiser/AR13288297259528617985/creative/CR10409984484702158849?region=anywhere</t>
  </si>
  <si>
    <t>https://adstransparency.google.com/advertiser/AR13288297259528617985/creative/CR17650077264353689601?region=anywhere</t>
  </si>
  <si>
    <t>https://adstransparency.google.com/advertiser/AR13288297259528617985/creative/CR01167316663025008641?region=anywhere</t>
  </si>
  <si>
    <t>https://adstransparency.google.com/advertiser/AR13288297259528617985/creative/CR02189641749897412609?region=anywhere</t>
  </si>
  <si>
    <t>https://adstransparency.google.com/advertiser/AR13288297259528617985/creative/CR17483589969590091777?region=anywhere</t>
  </si>
  <si>
    <t>https://adstransparency.google.com/advertiser/AR13288297259528617985/creative/CR11724449218369159169?region=anywhere</t>
  </si>
  <si>
    <t>https://adstransparency.google.com/advertiser/AR13288297259528617985/creative/CR17207978963268272129?region=anywhere</t>
  </si>
  <si>
    <t>https://adstransparency.google.com/advertiser/AR13288297259528617985/creative/CR12415117617839210497?region=anywhere</t>
  </si>
  <si>
    <t>https://adstransparency.google.com/advertiser/AR13288297259528617985/creative/CR17589437754972831745?region=anywhere</t>
  </si>
  <si>
    <t>https://adstransparency.google.com/advertiser/AR13288297259528617985/creative/CR15397169898861887489?region=anywhere</t>
  </si>
  <si>
    <t>https://adstransparency.google.com/advertiser/AR13288297259528617985/creative/CR15799337442319794177?region=anywhere</t>
  </si>
  <si>
    <t>https://adstransparency.google.com/advertiser/AR13288297259528617985/creative/CR03772874997098348545?region=anywhere</t>
  </si>
  <si>
    <t>https://adstransparency.google.com/advertiser/AR13288297259528617985/creative/CR14275034032638001153?region=anywhere</t>
  </si>
  <si>
    <t>https://adstransparency.google.com/advertiser/AR13288297259528617985/creative/CR16277523295576784897?region=anywhere</t>
  </si>
  <si>
    <t>https://adstransparency.google.com/advertiser/AR13288297259528617985/creative/CR09687367945231007745?region=anywhere</t>
  </si>
  <si>
    <t>https://adstransparency.google.com/advertiser/AR13288297259528617985/creative/CR06019398254481899521?region=anywhere</t>
  </si>
  <si>
    <t>DIGITAL FUNDA</t>
  </si>
  <si>
    <t>https://adstransparency.google.com/advertiser/AR12720725560519557121/creative/CR12216991326230544385?region=anywhere</t>
  </si>
  <si>
    <t>TRỊNH LAN PHƯƠNG</t>
  </si>
  <si>
    <t>https://adstransparency.google.com/advertiser/AR06026558866907463681/creative/CR10651535945100165121?region=anywhere</t>
  </si>
  <si>
    <t>https://adstransparency.google.com/advertiser/AR13852934980478435329/creative/CR02992695562169483265?region=anywhere</t>
  </si>
  <si>
    <t>https://adstransparency.google.com/advertiser/AR12720725560519557121/creative/CR08825465358652538881?region=anywhere</t>
  </si>
  <si>
    <t>https://adstransparency.google.com/advertiser/AR13288297259528617985/creative/CR03469681616312336385?region=anywhere</t>
  </si>
  <si>
    <t>https://adstransparency.google.com/advertiser/AR13288297259528617985/creative/CR13651654825664839681?region=anywhere</t>
  </si>
  <si>
    <t>I'm hosting a marketing engineer meetup in San Francisco with OpenAI on August 13th and you should come. Details below.   I've been using Codex a *ton* in my daily work. Last week I had it take every video in Profound University and upload it to our Youtube channel with correct titles and descriptions. I gave it a Google drive folder and a link to Profound University and it did the rest.  Come see what other marketers are building at the first Codex for Marketers community event - 6pm on Thursday, Aug 13 at the Profound office in SF.  Speakers: - Pranav Deshpande (OpenAI) - Me (Profound) - Dan Beksha (Ramp) - 1 more to be announced soon  Food, drinks, surprise swag, and $100 in Codex credits for everyone in the room.  Only 150 spots and they will go fast. Tag a marketer who should be there: https://luma.com/fw8aheuk  ----- Photo from a morning run in Mykonos a few weeks ago :)</t>
  </si>
  <si>
    <t>https://adstransparency.google.com/advertiser/AR13288297259528617985/creative/CR08493621754273464321?region=anywhere</t>
  </si>
  <si>
    <t>https://adstransparency.google.com/advertiser/AR13288297259528617985/creative/CR02328642602586341377?region=anywhere</t>
  </si>
  <si>
    <t>https://adstransparency.google.com/advertiser/AR13288297259528617985/creative/CR05490352472247500801?region=anywhere</t>
  </si>
  <si>
    <t>https://adstransparency.google.com/advertiser/AR13288297259528617985/creative/CR07346852223382454273?region=anywhere</t>
  </si>
  <si>
    <t>https://adstransparency.google.com/advertiser/AR13288297259528617985/creative/CR13519526169757614081?region=anywhere</t>
  </si>
  <si>
    <t>I'm excited to share the next layer of our partnership between Profound and Noble: FactCheck x Mention Refresh.   FactCheck is the first accuracy analysis tool for AI Search and pinpoints the exact sources behind false claims. But knowing a source is wrong is just the beginning.  We have teamed up with Noble to let you fix inaccurate claims in third-party sources without leaving Profound.   Noble has built the largest publisher network in the space, and with it you can automate the whole correction: outreach, draft the new copy, and work with the publisher to update it on your behalf.  Today, Profound customers can use FactCheck to flag the sources getting details wrong and have Profound Agents hand those directly to Noble which goes to work fixing them.   Huge thanks to Rahul Jain and Joshua Budman at Noble, plus Jack Traina, Nitish Natarajan, and Eliott Lee for shipping this.  Learn more about how to use this Noble integration here: https://lnkd.in/gGZbXeYa</t>
  </si>
  <si>
    <t>https://adstransparency.google.com/advertiser/AR13288297259528617985/creative/CR03916512009285271553?region=anywhere</t>
  </si>
  <si>
    <t>https://adstransparency.google.com/advertiser/AR13288297259528617985/creative/CR00405919815866253313?region=anywhere</t>
  </si>
  <si>
    <t>New episode of The Marketing Engineer podcast with Holly Chen, VP of Growth Marketing at Samsara ($2B ARR).  They have a 230-person marketing team running 90+ AI Agents. Personal productivity agents, team agents for specific workflows, and functional super agents shared across the whole org.   It's refreshing to hear her share exactly how this transformation happens at scale through internal hackathons, AI power hours where people demo live, and their focus on building strong judgement (over taste alone) as a skill for the whole marketing department.   These episodes are getting better and better. Listen here: https://lnkd.in/g6Fc8MBX</t>
  </si>
  <si>
    <t>https://adstransparency.google.com/advertiser/AR13288297259528617985/creative/CR09595648171300618241?region=anywhere</t>
  </si>
  <si>
    <t>Harvey is now hiring for a Marketing Engineer.  Apply now or submit your own JD for hiring at marketingengineer.jobs to be listed alongside Okta, Databricks, and Figma.  Get certified in Marketing Engineering at Profound University.</t>
  </si>
  <si>
    <t>Ran from Jul 22, 2026 to Jul 29, 2026</t>
  </si>
  <si>
    <t>Discovered at grid position #514. Verified Ad Details URL. Format: Single Image Ad.</t>
  </si>
  <si>
    <t>TULSA-PRO is an MRI-guided, incision-free prostate therapy that offers you real-time control, treatment versatility, and a focus on preservation.</t>
  </si>
  <si>
    <t>TULSA-PRO is expanding what's possible in prostate treatment, allowing you to deliver both durable outcomes and quality-of-life preservation.</t>
  </si>
  <si>
    <t>Great to see AdExchanger cover how WHOOP has been using our newest product, FactCheck.  Profound FactCheck is the market's first tool that shows brands how AI is misrepresenting them, why it's happening, and which sources are feeding the errors. Then it routes the fix to an Agent.  WHOOP has been running FactCheck since the beta. Early on, 7.9% of AI responses were flagged for accuracy issues, then routed for correction in minutes.  As of today, FactCheck is now available for all Profound customers.  Thank you Joanna Gerber and AdExchanger for featuring the team's work.  See how WHOOP has been using FactCheck: https://lnkd.in/gVrzBAtP</t>
  </si>
  <si>
    <t>Bringing together 1,000+ marketers to Zero Click by Profound NY was a surreal experience.   Grateful to our incredible line-up speakers who took the stage:  • Katie Conrad, General Manager of Marketing Data and Analytics at Delta Air Lines, Allegra Pedretti, Executive Director, Customer Experience Measurement at CVS Health, and Kerry Janisch, Vice President, Head of SEO at U.S. Bank who spoke about how they’re navigating the disruption of AI Search in highly regulated industries and how to stay in the winner’s position.   • Robin Kendric Triplett, VP, Integrated Marketing Experiences at The Coca Cola Company and Mandi Ciocca, VP, Performance Content at Publicis Media Exchange showcased how AI Search is impacting brand relevance and reach at a global enterprise scale.  • George Bonaci, Vice President, Growth &amp; Demand at Ramp spoke to an experiment that shows how marketers need to start thinking about agents as an audience, and what that actually looks like in practice.  • Michael King, Founder &amp; CEO at iPullRank, spoke to the growing adoption of the Marketing Engineer, how it marks a structural shift in how modern marketing gets built, and how there's no turning back.  • Paolo Provinciali, Vice President, Marketing at LinkedIn, shared how one of the most sophisticated B2B marketing operations in the world needs to adapt as the game changes. Paolo shared what LinkedIn has learned, what broke, and how they're moving forward.  • Rob Gaige, Global Head of Insights at Reddit, shared a practical playbook, that shows the value of investing in and building human communities.  • Tim Sanders, Chief Innovation Officer at G2, dug into how models assign weight to different signals, and what that means for content in the era of AI.  If you want a look into the future marketing for the era of AI, these are the leaders building it from the ground up.   Sessions are now live on Unlocked → https://lnkd.in/g_tQexuh</t>
  </si>
  <si>
    <t>Today we introduce a new role to the marketing org: The Marketing Engineer.  We believe every business on the planet will eventually need one. Their job is to build the Agents, automations, and systems that create a new kind of marketing -- part-builder, part-strategist.  They build Agents that monitor media coverage, flag sentiment shifts, and draft journalist outreach before your PR team even knows there's a story.  They build Agents that track every competitor move, grade its severity, and rewrite your battlecards and talk tracks before your next sales call.  They build Agents that turn every webinar into a brand-voice article, refreshed weekly and queued for your team to review before posting.  Our first marketing hire Nick Lafferty has already become Profound's Founding Marketing Engineer -- the first person to hold this title at a company fully behind it.  Every marketing team on the planet will use AI to do their jobs better. But to build truly impactful systems, you need an owner and an orchestrator. That's the Marketing Engineer.  Because we believe this role is the future of marketing, we're offering a free course through Profound University -- high-quality lessons on exactly how we're doing this job internally.  Read the manifesto and start the course → https://lnkd.in/eBMfBn3U</t>
  </si>
  <si>
    <t>Excited to launch Pages today.  Pages brings your Answer Engine Insights and Agent Analytics data together, giving you a command center for your content's performance.   Two things I'm especially excited about, both live for every page on your site:  Content Optimizer: powered by our own machine learning model, trained on millions of pages, it tells you how a page is likely to perform in AI-generated results. Get a score, then run a Profound Agent in one click to act on it.  Bot View: see exactly what an AI bot sees when it crawls your page. Bots miss things all the time: client-side rendered content, content injected after load, stuff that only shows up after a user interacts. Bot View shows you what's missing.  Shoutout to Ian Armstrong, Kritika Parthasarathy, Elīza Marija Kraule, Erin Rairdan, and Gary Fishkin for their work here. This is the next step in making Profound your content command center. More on that soon 👀   Read more here: https://lnkd.in/gCxEvKTt</t>
  </si>
  <si>
    <t>Everyone in AEO/GEO should know how to do this: looking at ChatGPT's network logs.  This is how I catch changes before they hit the news. It's not complicated, and you should be doing it too.  Here's how:  1. Go to ChatGPT, write your query and press enter.  2. Copy the ID of the chat from your URL bar, it will look something like this: '6925bce2-6858-832f-aff1-a972d36142bf'  3. Open the 'Inspect' tool by right clicking anywhere in the window  4. In the inspect tool, navigate to the network tab from the elements tab  5. Paste the ChatGPT chat id into the search bar  6. Refresh the page  7. Look for the ChatGPT chat ID in the search results in the network tab, there will be two entries that look the same, click the one with the ORANGE icon.  That's it. You're in.  Some of my favorite Cmd+f searches I do (things I look for):  - search_queries: These are the query fanouts ChatGPT is generating from your prompt. This is gold. You can see exactly how the model is interpreting your question and what it's actually searching for. If you're doing prompt research, this is where you validate your assumptions.  - snippets: This is a selection of the content ChatGPT is pulling from each page, not the full page, just part of what it's extracting or using to decide to explore further. This tells you what content formats are actually getting lifted into responses.  - URL level data: You can see the title tags, the URLs, and meta-descriptions that ChatGPT actually sees before making a citation decision.  - Shopping backend (bonus): When the shopping carousel appears, search for 'p0', 'p1', or 'p2'. Each code maps to a different product database: Shopify, Etsy, or OpenAI's internal index. This is how you figure out where your products need to live.  When ChatGPT makes a change, this is where I go first. Anyone can do this, and you should too. 👀</t>
  </si>
  <si>
    <t>AI Marketer &amp; Agents, AI Visibility &amp; Growth</t>
  </si>
  <si>
    <t>Ran from Jul 16, 2026 to Jul 20, 2026</t>
  </si>
  <si>
    <t>Discovered at grid position #568. Verified Ad Details URL. Format: Single Image Ad.</t>
  </si>
  <si>
    <t>When OpenAI launched self-serve ads, ChatGPT Ads nodes were live in Profound Agents just a few hours later. Since then, customers have identified some great use cases.  Profound Agent Engineer Harrison MacLean shows how teams are: 1/ Surfacing topics with low organic visibility in AI Search in Profound 2/ Running ChatGPT ads against those topics to close the gap 3/ Tracking the lift in human traffic with Profound Agent Analytics  Read about our OpenAI nodes: https://lnkd.in/e_n9BVdX</t>
  </si>
  <si>
    <t>Answer Engine Optimization (AEO), AI Marketer &amp; Agents, AI Visibility &amp; Growth</t>
  </si>
  <si>
    <t>Ran from Jul 13, 2026 to Aug 20, 2026</t>
  </si>
  <si>
    <t>Discovered at grid position #630. Verified Ad Details URL. Format: Single Image Ad.</t>
  </si>
  <si>
    <t>Claude and ChatGPT only cite the same domains 8% of the time, I pulled from 600+ queries in the leadup to ZeroClick NYC to see what’s going on:  ChatGPT and Claude are answering the same prompts with almost entirely different source sets. At a domain level, the average overlap was just 8%, meaning the websites that shape an answer in ChatGPT are usually completely different from the websites shaping that same answer in Claude  That’s already surprising, but the Claude side is where it gets really interesting:   79.2% of Claude’s citations came from domains ranking in Brave’s top 10  Could Brave be the key to understanding Claude visibility?   It looks like yes  To be clear, I’m very much saying “understanding” here, because being sure ab out causation is always harder than pointing at a correlation.   But productively, as far as public signals go, Brave is by far the closest 1:1 analog I've ever seen between a browser and an answer engine. It very closely predicts Claude performance.  And yes, I know this was public news, BUT the *extent* of the overlap between Claude and Brave certainly wasn't clear before now  Here’s what I think: AEO is becoming engine-specific: doing well in one answer engine increasingly tells you less about how you’re doing in another.   You can have great ChatGPT visibility and weak Claude visibility, or vice versa, because the underlying citation systems are just behaving differently  And that matters because most teams are still asking “how visible are we in AI search?” when the better question is probably “which AI systems are our customers using, and which ones are we actually visible in?”  Secondly, Brave matters way more than people realize. If nearly 80% of Claude citations are coming from Brave’s top 10, then tracking ChatGPT and assuming you can apply the same insights to Claude will lead many teams wrong!  I’m going deeper on this in Profound’s State of AEO in 2026 webinar, where we’re sharing the Claude research, what ChatGPT’s ad ecosystem is starting to look like, and how Google AI Mode actually works.  Link here: https://lnkd.in/gqkK8jxN  I wonder how many brands think they’re “winning in AI search” while being completely invisible in the answer engines their customers actually use 👀</t>
  </si>
  <si>
    <t>Answer Engine Optimization (AEO), AI Visibility &amp; Growth</t>
  </si>
  <si>
    <t>Discovered at grid position #717. Verified Ad Details URL. Format: Single Image Ad.</t>
  </si>
  <si>
    <t>Okta is now hiring for a Marketing Engineer.  Apply now or submit your own JD for hiring at marketingengineer.jobs to be listed alongside Legora, Plaid, and Figma.   Get certified in Marketing Engineering at Profound University.</t>
  </si>
  <si>
    <t>Learn how to build an AEO practice with Emily Kramer and Nick Lafferty as they break down 3 workflows you can run in Claude today.</t>
  </si>
  <si>
    <t>Plaid is now hiring for a Marketing Engineer.  Apply now or submit your own JD for hiring at marketingengineer.jobs to be listed alongside Stripe, Figma, and Databricks.   Get certified in Marketing Engineering at Profound University.</t>
  </si>
  <si>
    <t>Emily Kramer and Nick Lafferty break down how to build an AEO practice, live in Claude. Walk away with 3 workflows you can run today.</t>
  </si>
  <si>
    <t>Databricks is now hiring for a Marketing Engineer.  Apply now or submit your own JD for hiring at marketingengineer.jobs to be listed alongside Stripe, Figma, and Databricks.   Get certified in Marketing Engineering at Profound University.</t>
  </si>
  <si>
    <t>Figma is hiring a Marketing Engineer.  Apply now via marketingengineer.jobs  Or, learn how to become a Marketing Engineer at Profound University</t>
  </si>
  <si>
    <t>Get a custom review of your brand's AI visibility: where you rank, who you're mentioned alongside, and how every topic in your industry breaks down by LLM. Grab a 15-min slot.</t>
  </si>
  <si>
    <t>More and more buyers are turning to AI tools like ChatGPT, Claude, and Perplexity for recommendations instead of Googling.  When they do, does your company show up?  If you’re not sure, the answer is probably “no.”  Which means your brand is essentially invisible to potential customers.  To help, we’re offering a free AI Visibility Audit that explains, in plain language:  ✓ Whether AI tools currently mention you ✓ What's keeping you out of the results ✓ The simple, prioritized steps to improve visibility  No commitment. No sales pitch. Just a clear audit report from certified experts.  Find out where you stand → https://lnkd.in/ebhXxBv6  #AISearch #ChatGPT #MarketingTips #SmallBusiness #DigitalMarketing</t>
  </si>
  <si>
    <t>Sophie Piacentini  Hey %FIRSTNAME%,  Top brands like Chime, Indeed, and Zapier already use Profound to track how AI talks about them. We can show you the same picture for %COMPANYNAME%.  Book a call and we'll walk you through your Mention Position Analysis, Topic Clusters, and LLM Comparison together.</t>
  </si>
  <si>
    <t>Sophie Piacentini  Hey %FIRSTNAME%,  I've been following %COMPANYNAME% for a while, so I wanted to reach out.  Three answers, one call. Mention Position Analysis, Topic Clusters, and LLM Comparison for %COMPANYNAME%, walked through live by the Profound team.  No prep, no homework. Just a clear picture of how AI sees your brand today and what to do next.  Want to book it?</t>
  </si>
  <si>
    <t>The Profound Agent Template Marketplace is now live.  Marketers can now use 50+ production ready agents built by our community across content optimization, research, and more.  Thank you to every contributor, and a special shoutout to our partners: iPullRank, Spotlight, Foundation Marketing, and Jordan Digital Marketing.  See what workflows you can automate today: https://lnkd.in/g6vBWWj6</t>
  </si>
  <si>
    <t>Great to take LinkedIn’s stage at Cannes alongside leaders at HubSpot, Adobe and Duolingo to discuss the future of work in the AI era.  AI is changing how we build trust in marketing, hiring, and growth, so it's a privilege to be able to discuss where we think it's heading.  LinkedIn’s Connected App integration with Profound is live.</t>
  </si>
  <si>
    <t>Arizona College of Nursing operates across 24 hyper-local markets, and needs to reach aspiring nurses who are researching BSN programs in tools like ChatGPT, Gemini, and Claude before they ever fill out an admissions form.  Francis Dayton, their former Web Product Manager, saw this shift early. When AI Overviews launched, he didn't wait. He started asking: Where does AZCN need to show up, in which markets, and for which questions?  90 days after getting deploying Profound Agents, Arizona College of Nursing saw:  • 51% increase in AI-referred enrollment inquiries, driven by surfacing the right content. • 26% increase in AI-driven website visits, consistent across markets.  And they became the #1 most cited domain ahead of competitors across their priority BSN prompts.  Read the full story: https://lnkd.in/gvp8KZHY</t>
  </si>
  <si>
    <t>Answer Engine Optimization (AEO), AI Marketer &amp; Agents</t>
  </si>
  <si>
    <t>Discovered at grid position #808. Verified Ad Details URL. Format: Single Image Ad.</t>
  </si>
  <si>
    <t>They say never meet your heroes, but couldn't resist grabbing Profound's in-house Wizard Josh Blyskal at Zero Click. My biggest takeaways from the day - not about 'where things are going,' but about 'what you can do tomorrow':  1) optimizing for Claude - only 36% of Claude's searches actually go search the internet, and therefore only 36% of Claude searches actually have a chance of citing you because of the work you are doing in GEO. Go and play with Claude and see what searches do and do not search the internet for live data/information.   2) optimizing for Claude #2 - add years to your content titles, when appropriate. Claude adds '2025/2026' to 94% of its fan-out queries (as opposed to 17% on ChatGPT). This basically means if you search 'best steakhouses,' it will automatically assume (and search for) 'best steakhouses in 2025.' So you can game the system by adding the year to your content titles, making it more likely to be a match and drive an answer.  It seems Josh and Jasman are the first to actually do this type of research on Claude.  3) What drives GEO on LinkedIn: LinkedIn's head of AI came on stage and showed data on what types of content most likely to get cited in LLMs. Most important qualifiers were: * Accounts that have at least 3,000 followers  * Longer posts with at least 300 to 500 words  * Articles with closer to 1000 words   In a race with lots of players, what really stuck out was about how much more than “GEO Analytics” this company has become. Their Profound University for Marketing Engineers is a 10/10 example of “how to create a category, and add value for people whether they are your customers or not,” and I cant wait to see more of this.  Really an incredible event. Production value was 10 of 10. Networking was 10 of 10, and very cool to see the bigger vision of what Profound is building.  #ProfoundPartner, but wouldn’t post this if I didn’t believe it / learn something new.</t>
  </si>
  <si>
    <t>I just found out about a $280K role most marketers haven't heard of.  Last week I went to Zero Click by Profound to understand how AI search is changing the way brands get discovered and the roles available to marketers in the AI era of marketing.  Here's what stood out: The Marketing Engineer is the new high-paying role in marketing.  Companies like Figma are already paying up to $280K a year for it. It's also one of the fastest-growing roles in marketing right now. AI agents are becoming the new marketing team multiplier.  I saw live demos of marketers building AI agents to automate research, content workflows, and optimization. No engineering background required. The gap between teams using this and teams that aren't is growing fast. Most brands have no idea how they show up in AI search.  When someone asks ChatGPT, Claude, or Gemini a question in your category… are you the answer? Or are your competitors? And what’s being said about you?  Most brands don't actually know. And that's a problem.  Profound built a tool called FactCheck that shows marketers not only how their brand appears, but how accurate the answers are across AI search engines. It’s not enough to show up. The results also have to be correct. Watching people see their results in real time was one of the most eye-opening moments of the event.  The brands winning in AI search aren't waiting. They're already adapting how they build visibility, content, and discoverability for AI-driven search. This event made me rethink how I'm approaching content strategy for Miss EmpowHer . If AI is becoming the new front door for discovery, we need to know what's on the other side.  Question for marketers: Can you answer 'what does ChatGPT say about my brand?' If not, that's your sign.  ♻️ Repost if someone in your network needs to see this  #Marketing #AI #ProfoundPartner</t>
  </si>
  <si>
    <t>Friday Profound ship 💅  This one's for our power users. You can now organize Agents and Sheets into folders, sub-folders, and favorites. Keep all your assets nice and organized.  Learn more: https://lnkd.in/gExRTNQS</t>
  </si>
  <si>
    <t>There's a window for marketers to leapfrog competition and achieve immortality in their jobs if they harness AI for automation. But it's a wild west, and if you aren't technical, it's a black box. Fortunately, there is a new course from Profound that combines my 2 favorite marketing trends:  1) make free content that adds value, even if someone's not a customer 2) help people show up in AI Search  Just got turned on to this full on curriculum for marketers to become 'Marketing Engineers,' aka how to build the systems to automate marketing to do the things it's never been capable of, aka become the most valuable person on your team.   If you are an AI-curious marketer and haven’t seen “Profound University,” see here: https://lnkd.in/gJucbcQU  Completely free, and covers topics like: *Frameworks for what to automate and what to do with humans *Writing chatbot prompts that work while you’re not working *Creating a roadmap, so this all seems less intimidating  Best part is... you don't need to be a Profound customer, and it's made to make you better whether or not you're a Profound customer.   To that end, they even published a Marketing Engineer Job Board, that is jobs NOT at Profound, highlighting who is hiring for this role: https://lnkd.in/gdUdiXQb  Check it out above, #ProfoundPartner</t>
  </si>
  <si>
    <t>Marketing conversations happen in Slack, so we brought Profound there too.  Tag Profound in any channel or thread and get answers in real time. It reads your thread context, so its answer actually reflects the conversation.   If that conversation turns into something worth acting on, you can spin up a Profound Project without ever leaving the chat.   Read more here: https://lnkd.in/gYkDNHsb</t>
  </si>
  <si>
    <t>I'm excited to announce The Marketing Engineer podcast: a show highlighting marketers building at the bleeding edge of AI.   My first guest is Matt Swulinski, Head of Growth at Wispr Flow. And we honestly couldn't have had a more brilliant first guest. Matt is building some incredible systems: he runs 100 newsletter sponsorships a month through a single AI agent.   And he did it all as the sole marketer until very recently.   I sat down with him to learn exactly how he built it:  1) He drops a contract in. Before anything else, it checks whether the CPM makes sense and researches whether the audience is a real fit, then pushes back on price like a thought partner.  2) On a signed insertion order, it writes the copy in the voice that works for newsletters, trained on every placement they've ever run.  3) It builds the Dub . co tracking link with the right UTMs and promo code already baked in.  4) Every placement gets a folder. Ask what ran in the TLDR newsletter two months ago and what it cost, and the answer is one place away.  In his words: 'I just drop the PDF. I don't say anything, and it's like, oh, this is an insertion order. Time to start our sponsorship skill.'  Full episode in the comments. And tag anyone below who you think I should chat with next :)</t>
  </si>
  <si>
    <t>Your competitors are already optimizing for ChatGPT and Perplexity. Get the complete playbook with checklists and actionable steps to outcompete them.</t>
  </si>
  <si>
    <t>Nearly 1 in 4 Americans prefer ChatGPT over Google. Is your brand showing up in AI answers? Get our AEO playbook.</t>
  </si>
  <si>
    <t>🚢 New ship: External MCP connectors.   Context is everything. Now, you can connect Profound to the tools in your stack to read, take action, or both, without leaving the platform.  Ask Profound to post in Slack or update Notion. Have it pull market intelligence from G2 or push new content to Sanity. Or, have it perform its own research via Exa or Parallel Web Systems.  More context means better work.   Nice work Rohan J. and Breno Lasserre!  Learn more: https://lnkd.in/grdBxdzN</t>
  </si>
  <si>
    <t>External MCP connectors are now live in Profound.   You can now connect Profound to the tools in your stack to read, write, and take action without leaving the platform.  Ask Profound to post in Slack or update Notion. Have it pull market intelligence from G2 or push new content to Sanity. Or, have it perform its own research via Exa or Parallel Web Systems.  Profound is the marketing platform where you do the work.  Check it out: https://lnkd.in/gfmzSZq5</t>
  </si>
  <si>
    <t>79.2% of Claude's citations come from Brave's top 10  I pulled ~35k URLs across 400 queries, matched them against Claude's actual fan-outs, and the answer is Brave! Brave is running the search layer for what I think is the single most important model in B2B right now.  Quick detour on that 'most important' claim: Ramp tracks 50,000+ businesses by real corporate card spending. Anthropic (34% of businesses pay for it) just passed OpenAI (32% of businesses pay for it), meaning more businesses are using Claude than ChatGPT. Claude is arguably the most important answer engine in the world right now, especially so for B2B.  Here's the data: - 79.2% of Claude's cited URLs come from Brave's top 10 for the corresponding fan-out query  We also tested Claude and ChatGPT against Google to see how much overlap there is: - Against Google's top 10: Claude is 34% aligned, ChatGPT is 21% - Against Google's top 50: Claude gets to 64%, ChatGPT to ~37%  So even when you give Google 50 results to work with, Brave's top 10 still has more influence on Claude's citations.  I presented this at Zero Click NY last week and I'm putting the numbers here bc I keep seeing the talk referenced and I wanted to send out the actual data  Here's what I think (and let me know your thoughts below): - This is the most directly trackable and optimizable element of AEO and it's tbh it is kind of stupid how simple it is: the most consequential B2B model in the world is using a public search engine as its backbone. - At Profound, I’m always trying to understand ChatGPT's citation behavior and it is genuinely a black box: ChatGPT is building its own index, it's moving away from Bing, the overlap with Google keeps shifting etc. etc. Claude is beautifully *just Brave*.  - I implore you to check your Brave rank: if you're in Brave's top 10 for the right fan-out queries, you have a very strong chance at getting cited and if you're not, now you know why  So go and check your Brave rankings, Brave also has an API you can hit at scale. (And none of this is sponsored by Brave or Claude or anyone else).  IMO the next question is whether Anthropic keeps this or starts building their own index the way OpenAI has. If they do, this window closes, right now it's wide open. 👀</t>
  </si>
  <si>
    <t>Profound takeover of the MTA this week</t>
  </si>
  <si>
    <t>AI Search &amp; Marketing</t>
  </si>
  <si>
    <t>Discovered at grid position #881. Verified Ad Details URL. Format: Single Image Ad.</t>
  </si>
  <si>
    <t>Discovered at grid position #882. Verified Ad Details URL. Format: Single Image Ad.</t>
  </si>
  <si>
    <t>ProFoundry Inc</t>
  </si>
  <si>
    <t>Twenty-seven years ago, I watched enterprise organizations struggle with SEO adoption. The technology wasn't the problem. The challenge was getting teams across the business to understand how their work influenced search visibility and why it mattered to the organization as a whole.  Today, I'm seeing the exact same thing happen with GEO.  I recently began working with a large ecommerce brand that fully understands AI search is changing how consumers discover, research, and evaluate products. The challenge isn't convincing leadership that GEO matters. The challenge is figuring out how to transform GEO from a marketing initiative into an enterprise program that can scale across departments, gain executive support, and drive measurable business outcomes.  In my latest article, I share what many enterprise organizations are experiencing right now as they begin their GEO journey, the challenges they're encountering, and why organizational alignment may be more important than any optimization tactic.  In this article you'll learn:  • Why most GEO challenges are organizational, not technical  • How successful enterprise GEO programs move beyond marketing  • The role governance, ownership, and executive sponsorship play in adoption  • Why socializing GEO across the enterprise is critical for long-term success  • Lessons learned from the early days of enterprise SEO that apply directly to GEO today  If you're responsible for marketing, ecommerce, SEO, AI visibility, or digital growth, I'd love to hear whether you're seeing similar challenges inside your organization.  #JesseFarley #ProFoundry #GEO #GenerativeEngineOptimization #AIVisibility #AISearch #EnterpriseSEO #SEO #AEO #AnswerEngineOptimization #EntitySEO #DigitalMarketing #MarketingLeadership #GrowthStrategy #RevenueGrowth #BusinessStrategy #DigitalTransformation #EnterpriseMarketing #MarketingOperations #SearchMarketing #SearchStrategy #AI #ArtificialIntelligence #ChatGPT #Gemini #ClaudeAI #GoogleAI #FutureOfSearch #ContentStrategy #BrandAuthority #ThoughtLeadership #CMO #CEO #RevenueFirst #BusinessGrowth #CustomerAcquisition #DigitalGrowth #EnterpriseGrowth #SearchInnovation</t>
  </si>
  <si>
    <t>#JesseFarley, #ProFoundry, #GEO, #GenerativeEngineOptimization, #AIVisibility, #AISearch, #EnterpriseSEO, #SEO, #AEO, #AnswerEngineOptimization, #EntitySEO, #DigitalMarketing, #MarketingLeadership, #GrowthStrategy, #RevenueGrowth, #BusinessStrategy, #DigitalTransformation, #EnterpriseMarketing, #MarketingOperations, #SearchMarketing, #SearchStrategy, #AI, #ArtificialIntelligence, #ChatGPT, #Gemini, #ClaudeAI, #GoogleAI, #FutureOfSearch, #ContentStrategy, #BrandAuthority, #ThoughtLeadership, #CMO, #CEO, #RevenueFirst, #BusinessGrowth, #CustomerAcquisition, #DigitalGrowth, #EnterpriseGrowth, #SearchInnovation</t>
  </si>
  <si>
    <t>Answer Engine Optimization (AEO), AI Visibility &amp; Growth, B2B Marketing</t>
  </si>
  <si>
    <t>ProFoundry</t>
  </si>
  <si>
    <t>Discovered at grid position #883. Verified Ad Details URL. Format: Single Image Ad.</t>
  </si>
  <si>
    <t>Discovered at grid position #884. Verified Ad Details URL. Format: Single Image Ad.</t>
  </si>
  <si>
    <t>Discovered at grid position #885. Verified Ad Details URL. Format: Single Image Ad.</t>
  </si>
  <si>
    <t>Discovered at grid position #886. Verified Ad Details URL. Format: Single Image Ad.</t>
  </si>
  <si>
    <t>Ran from Jun 18, 2026 to Jun 22, 2026</t>
  </si>
  <si>
    <t>Discovered at grid position #887. Verified Ad Details URL. Format: Single Image Ad.</t>
  </si>
  <si>
    <t>Ran from Jun 19, 2026 to Jun 28, 2026</t>
  </si>
  <si>
    <t>Discovered at grid position #888. Verified Ad Details URL. Format: Single Image Ad.</t>
  </si>
  <si>
    <t>Book your Profound Index review</t>
  </si>
  <si>
    <t>Discovered at grid position #889. Verified Ad Details URL. Format: Single Image Ad.</t>
  </si>
  <si>
    <t>Discovered at grid position #891. Verified Ad Details URL. Format: Single Image Ad.</t>
  </si>
  <si>
    <t>Find out where your brand ranks in AI Search</t>
  </si>
  <si>
    <t>Answer Engine Optimization (AEO), Profound AI Index</t>
  </si>
  <si>
    <t>Discovered at grid position #892. Verified Ad Details URL. Format: Single Image Ad.</t>
  </si>
  <si>
    <t>Discovered at grid position #893. Verified Ad Details URL. Format: Single Image Ad.</t>
  </si>
  <si>
    <t>Ran from Jun 16, 2026 to Jun 21, 2026</t>
  </si>
  <si>
    <t>Discovered at grid position #904. Verified Ad Details URL. Format: Single Image Ad.</t>
  </si>
  <si>
    <t>The first Marketing Engineer job board is now live: marketingengineer.jobs   'Marketing Engineer jobs' became a breakout Google Search term after we introduced this new role.  Google already hired their first Marketing Engineer, and companies like Cloudflare, Ramp, Serval, and DistroKid are hiring for the same or similar role.  Interested in posting an opening to our job board? There's a link at the top of the page to submit your role or dm Matthew Huo.  This Saturday, some of the world's best builders compete at the first Marketing Engineering Hackathon at Profound's HQ in NYC.</t>
  </si>
  <si>
    <t>Anthropic released Claude Fable 5 (aka Mythos) earlier today.  Already available for immediate use within Profound Agents.  Read more: https://lnkd.in/e2wWnkVn</t>
  </si>
  <si>
    <t>New in Profound: We've officially shipped Documents.  Real-time collaborative docs, native to the platform, with AI Agents as active collaborators inside them.  Documents are first-class objects in Agent workflows, which means an edited doc can feed straight back into the next Agent, or push to your CMS without a copy-paste step in between.  Huge credit to William Kashdan and Andrew Han for shipping this. Will joined Profound about a month ago and led the build from day 1. Watching them go from prototype to live customer launch in a few weeks has been one of the most exciting things I've seen this year.  The team has a lot more coming on this front. Check out the full blog → https://lnkd.in/eVxjmxfr</t>
  </si>
  <si>
    <t>We hosted our first Marketing Engineering Hackathon on Saturday.  Hundreds applied. We accepted 50. 8 hours, $40,000 in prizes, and judges from 𝗔𝗻𝘁𝗵𝗿𝗼𝗽𝗶𝗰, 𝗦𝘁𝗿𝗶𝗽𝗲, 𝗥𝗮𝗺𝗽, 𝗚𝗼𝗼𝗴𝗹𝗲, and 𝗠𝗼𝗻𝗴𝗼𝗗𝗕.  The brief was simple: Ship a system or an Agent that runs a marketing process inhuman in scope or scale, and here's what our two winners built:  • Aaron Lu (AI Product Lead, Growth Marketing at Notion) built an always-on competitive intelligence agent that monitors real competitor pages and ads, infers what they're testing, and ships GitHub PRs against your own site. His framing: paid, organic, and Answer Engines aren't three workstreams, they're one surface.  • Brianna P. (Founder at Studio Ascend) built Gambit, a predictive marketing agent that surfaces new verticals before they're obvious. She ran it live on Ramp, flagged construction and hospitality as untapped segments, then auto-generated content for each.  Builders flew in from France, Colombia, Dallas, and Chicago. The most common thing we heard: 'I finally have a way to describe what I do.'  That's why we created the 𝗠𝗮𝗿𝗸𝗲𝘁𝗶𝗻𝗴 𝗘𝗻𝗴𝗶𝗻𝗲𝗲𝗿.  More to come at Zero Click by Profound this Thursday June 11 • Check out our Manifesto → https://lnkd.in/gvFeqwpr • Become a certified Marketing Engineer →https://lnkd.in/eww2HKum  Great work Eleanor Hooker Matthew Huo Katherine Underwood Josh Blyskal and team for bringing our first hackathon to life.</t>
  </si>
  <si>
    <t>What if understanding your organization's strengths and weaknesses could unlock untapped potential?   With Profound Hope Industries' Impact Audit, you'll gain essential insights into how well you're prepared for transformative outcomes—and discover exactly what steps will bring you closer to lasting success.</t>
  </si>
  <si>
    <t>We analyzed 50,000 prompts and found that nearly half of every AI response contains unsolicited editorial: comparisons, opinions, and recommendations the user never even asked for.  AI isn't just answering questions. It's making judgment calls about your brand on your behalf.  On June 3, Trevor Pyle and Jasman Singh are breaking down what this actually means for your strategy, and what you can do about it.  Join our webinar on Wednesday → ordnl.link/7D0KlN9</t>
  </si>
  <si>
    <t>You already know. When initiatives lack resources, clear goals, or structure, they underperform.   Find out where your gaps are.  Access Profound Hope Industries' Impact Audit.    Assess where your organization stands against the five critical elements every impact initiative needs to succeed.   You'll discover exactly where you're strong and what is holding you back from the impact - and growth - you desire.</t>
  </si>
  <si>
    <t>Profound is taking over NYC again… find us all over Manhattan citibike docking stations this month.   w/ the crew who makes the product the best in class: Siddharth Chandrappa, Praneeth A., and Jacob Goldstein</t>
  </si>
  <si>
    <t>You already know. When initiatives lack resources, clear goals, or structure, they underperform.   Find out where your community engagement gaps are.  Access Profound Hope Industries' Impact Audit.    Assess where your organization stands against the five critical elements every thriving initiative needs to succeed.   Find out what to do next - before you spend more time or money.</t>
  </si>
  <si>
    <t>Purpose drives every high performing organization. Every impact objective begins with clarity.   Without a clear map, even the best intentions can falter. Profound Hope Industries offers an Impact Audit to identify where you shine and where adjustments are needed.   Let’s uncover what’s holding you back from achieving the change you envision.</t>
  </si>
  <si>
    <t>Strong initiatives don’t happen by chance—they’re built on solid foundations of strategy and insight.   The Impact Audit from Profound Hope Industries provides a precise evaluation of your organization against five critical success factors for impactful projects.   Equip yourself with the data to make informed decisions that lead to meaningful growth.</t>
  </si>
  <si>
    <t>Discovered at grid position #933. Verified Ad Details URL. Format: Single Image Ad.</t>
  </si>
  <si>
    <t>There are some roles in a company which are hard, traditionally “lower status”/junior roles, but insanely valuable. Our Go To Market Associates are the team who drives new business. They wake up and crank every single day, it’s often thankless work - but it really is the lifeblood of our GTM motion.  This team are future rock stars and it’s a true privilege to have them working at Profound.   Last month I told them that if they hit a (big) number, we’d all go for a steak dinner.  Ofc they hit it!   Was a pleasure to dine with you tonight; James Hughes Asa Wold George Rafey Iago Zavala John Henry Slonieski Scott Cullinane Ryan Enger Jesse Ssengonzi Joe Long Aislinn Sullivan Juan Diego Campuzano Nick Phillips</t>
  </si>
  <si>
    <t>🚢 Shipping a complete rebuild of Sentiment in Profound.  Real sentiment analysis in AI Search is harder than it looks. Asking an LLM 'is this positive or negative' gets you a label. It doesn't get you anywhere useful.   We built our own ML model and host it on our own GPU infrastructure. Every tracked response runs through a pipeline of vector embedding and re-ranking to pull out claims line by line.   Themes are grouped semantically, so duplicates collapse and the real patterns surface. Every claim links to the citations driving it. For negative claims, we surface the exact pages doing the most damage and pair each one with a recommended action and an Agent that drafts the response.  Huge credit to Siddharth Chandrappa, Bekzat Amirbay, and the data science team for the work behind this one.  Excited to see what people build on top of this. Available today for all Profound users.   Check out the full blog: https://lnkd.in/eZJR_DPn</t>
  </si>
  <si>
    <t>Google and Microsoft both doubt LLMs need separate Markdown pages. Our randomized experiment tested the claim directly. Here's what we found.</t>
  </si>
  <si>
    <t>I built an AI agent that finds the questions people ask Claude or ChatGPT, deep-researches each one, and writes a YouTube script designed to be the answer AI cites back.  I put one seed topic in and I get a batch of shoot-ready scripts out.  What it does on its own:  → Expands my topic into the queries people search in AI, then scores them by volume so I skip the topics nobody's searching  → Runs deep research on each query, pulling real sources and data  → Pulls the YouTube videos already ranking and reads their transcripts to see what's working  → Writes the script in my brand voice  → Strips the AI tells so it doesn't read like a bot  → Checks whether the script would get cited in AI answers  → Hands my video editor a shot list and a thumbnail brief  Everything's saved to one doc and the whole thing runs as one agent inside Profound. Built this today during their Marketing Engineer Hackathon in NYC!  Comment 'video script agent' and I'll DM you the json agent file so you can try it! (send me a connection request first)</t>
  </si>
  <si>
    <t>We just launched the first Marketing Engineer job board: marketingengineer.jobs   'Marketing Engineer jobs' became a breakout Google Search term after we introduced this new role. To the brands seeking their first one and the marketers wanting to do this full-time, this is for you.  Google already hired their first Marketing Engineer, and companies like Cloudflare, Ramp, Serval, and DistroKid are hiring for the same or similar role.  If you want to post an opening to our job board, there's a link at the top of the page to submit your role or dm Matthew Huo.  In just a few days, we'll see some of the world's best builders compete at the first Marketing Engineering Hackathon in Profound's HQ in NYC.</t>
  </si>
  <si>
    <t>Reddit citation share grew at least 73% across every industry from October to January. Is your content showing up where AI looks?</t>
  </si>
  <si>
    <t>I'm in NYC today at the Profound office building alongside the contestants at the Marketing Engineer Hackathon!</t>
  </si>
  <si>
    <t>At ShopTalk Europe? Come find us at Stand K20.  When a shopper asks ChatGPT or Perplexity 'what's the best [product],' your brand needs to show up. Profound helps retailers measure and improve their visibility across AI answer engines.</t>
  </si>
  <si>
    <t>7% of ChatGPT citations come from social media. Just 3% on Gemini. Where AI looks for sources is changing fast. See the trends.</t>
  </si>
  <si>
    <t>Does Markdown actually increase LLM bot traffic? We ran a randomized controlled experiment to settle it. Full study inside.</t>
  </si>
  <si>
    <t>9 categories. 7 AI platforms. One systematic look at how citations are trending. Tinuiti and Profound mapped where AI sources answers.</t>
  </si>
  <si>
    <t>Shipped today: A full rebuild of Sentiment in Profound.   AI sentiment tools are one of the biggest gaps for marketers in my opinion. Most are objectively useless. They give you a number. Maybe a chart. That's it.  That's not sentiment analysis. That's a vanity metric.  We rebuilt Sentiment in Profound from scratch to fix this.  Our own ML model. Our own GPU infrastructure. Vector embeddings and re-ranking on every tracked response to extract the actual claims AI is making about your brand. Themes grouped semantically. Citations and text chunks tied to every claim. For the negative ones, the exact pages doing the damage and an Agent that actually DOES the work to fix the problem.  There is a difference between knowing your sentiment score and knowing how to shape it. Profound Sentiment gives you the latter.   Available today for all Profound customers. Check out the full blog post to learn more: https://lnkd.in/eWt3za8y  Really proud of the team for this one.</t>
  </si>
  <si>
    <t>ChatGPT is explicitly searching for Reddit 24x more often in its query fanouts, and Reddit is back at 1st place with 8.5% of all ChatGPT citations  Brandon and I pulled fanout data from Jan through late May + ~7 million recent citations to figure out what changed, here's what's going on:  - ChatGPT fanouts w/ 'reddit' went from ~0.15% to 3.68% of all responses - A ~24x increase in the model asking for Reddit by name before it answers - Reddit is once again the number 1 cited domain in ChatGPT - Reddit is now almost one out of every ten ChatGPT citations (8.5%) - The spike in Reddit fanouts and the spike in Reddit citations move together  Last year the Reddit story was about citations. This time we can see the layer underneath: ChatGPT is writing 'reddit' into its own QFO's before it picks anyone to cite.  Here's what I think (and let me know your thoughts below):  Reddit is an information class in its own right: it represents real human buying signal  - People saying 'we tried this and hated it'  - People saying 'this worked until we hit 100 seats'  - People saying 'support was great until renewal'   It’s messy, specific, (and sometimes wrong), but it’s full of the buyer language that answer engines clearly want  So the takeaway is not 'go spam Reddit'  That is probably the worst possible read  The takeaway is that ChatGPT is starting to show us its source preference before it answers  - When it adds 'reddit,' it wants lived experience - When it adds 'G2' or 'Capterra,' it wants third-party review data - When it adds 'GitHub' or 'docs,' it wants implementation proof - When it adds 'pricing,' 'alternatives,' or 'vs,' it wants buying-context pages, not your generic category explainer  This is how I would use this as a marketer:  1. Pull the query fanouts for your highest-intent prompts before you look at citations  2. Bucket the source words ChatGPT adds on its own  3. Then ask the uncomfortable question: are we actually present in the places ChatGPT is choosing to search?  Bc if ChatGPT has already decided a query needs Reddit, you are not solving that with another 1,500-word SEO page that says the same thing as everyone else  You need to know what buyers are saying on these channels, you need to answer those objections on your site. You need customers talking about you in the places models trust for that category. And if Reddit is full of bad or missing information about you, that's no longer some marketing team sidequest, it'll need to be part of your AEO strat.  IMO we are seeing the birth of a new AEO signal, something along the lines of 'fanout injections' or 'fanout features'  What are the most prevalent fanout features in your category?  Citations tell you who won the answer, but fan-outs will tell you where the answer was allowed to come from 👀</t>
  </si>
  <si>
    <t>CoderFlow is writing CoderFlow.' That's not a thought experiment. That's what's happening right now. 40 to 50 commits a week, generated by the platform itself, moving fast enough that the team built an automated weekly commit report just to keep up.  Here's why that's possible when other AI tools struggle with IBM i 🔽   Frontier models like Claude and Gemini don't know IBM i. Not really.  So instead of pointing a generic LLM at your RPG codebase and hoping, CoderFlow ships with IBM i Bob, an AI trained specifically on IBM i, RPG, and COBOL, plus a Skills system that encodes exactly how your environment compiles, resolves dependencies, and builds objects.  The result? Claude handles logic. Gemini handles UX (it's exceptional at Open Access and embedded JavaScript work). IBM i Bob handles the IBM i layer. Each model doing what it does best, inside a governed pipeline that knows your environment.  That's not a retrofitted AI tool. That's purpose-built agentic infrastructure for IBM i.  Watch the full breakdown of how CoderFlow differs from just using an LLM: https://hubs.la/Q04jmSKd0  Learn more at https://lnkd.in/eG4F3FAA or reach out to our team to see CoderFlow in your environment at Futurization@ProfoundLogic.com  #IBMi #AgenticCoding #CoderFlow #Futurization #EnterpriseAI</t>
  </si>
  <si>
    <t>We launched ChatGPT Ads nodes in Profound just hours after OpenAI launched self-serve ads on May 5.   17 days in, the use cases are already impressive. Check out this video from our Agent Engineer Harrison MacLean showing how teams are:  1/ Surfacing topics with low organic visibility in AI Search in Profound 2/ Running ChatGPT ads against those topics to close the gap 3/ Tracking the lift in human traffic with Profound Agent Analytics  Read more our OpenAI nodes and reach out for a demo today → https://lnkd.in/esANVggx</t>
  </si>
  <si>
    <t>I’m excited to share our partnership between Profound and Noble to automate one of the highest-leverage motions in AI Search: getting your brand mentioned in third-party citations.  Noble's built the largest publisher network, they automate the entire process from outreach to negotiation to payment, and have improved AI visibility for some of the largest B2B brands by up to 300%.  Now, you can build an Agent that:  1/ Knows the prompts that matter most to your brand 2/ Finds the third-party sources AI platforms are citing for those prompts 3/ Filters to the citations where your brand is not mentioned 4/ And exports those citation domains directly to your Noble workspace 5/ Then, Noble reaches out to publishers, negotiates placement, drafts content, and handles payment. You review the offers and accept with a click.  Huge thanks to Rahul Jain, Joshua Budman, and Nick Talone at Noble, plus Jack Traina, Nitish Natarajan, and Eliott Lee on Profound's side for shipping this.  Learn more here: https://lnkd.in/eEB8P9JR</t>
  </si>
  <si>
    <t>Launching Benchmarking in Agent Analytics. This is the first peer level benchmark for AI Search, built on real citation bot traffic from 800,000+ pages in the Profound Network.  Most heads of search can tell me their Google rank for any keyword off the top of their head.  For AI Search, that kind of ranking has never existed. And without it, neither has a definition of what 'good' looks like for how often your site is getting cited. Until today.  Customers who opt in can now unlock: 1/ Page by page breakdowns of citation performance  2/ Drill downs by industry and company size 3/ Weekly rankings to measure progress over time   Josh Blyskal explains what we've built. Learn more → https://lnkd.in/ehkS3aYu</t>
  </si>
  <si>
    <t>Sophie Piacentini  Hey %FIRSTNAME%,  Does %COMPANYNAME% get mentioned by ChatGPT, Gemini, Claude, and other leading answer engines?  Top brands like US Bank, Chime, Indeed, and Zapier trust Profound to improve their AI visibility so they can get more traffic, leads, and customers.  Book a free AEO audit for %COMPANYNAME% and we'll show you exactly where you rank in AI search, what's costing you visibility, and how to fix it.</t>
  </si>
  <si>
    <t>ChatGPT referral traffic to brand websites increased ~60% starting May 7, I pulled 8+ million referral visits across thousands of sites to figure out what's going on:  ChatGPT has fully pivoted to hyperlinking brand homepages directly inline in its answers instead of primarily using citation chips to link. It’s the same brands being mentioned, but now every mention routes to the brand's site.  1.) OpenAI referral traffic to monitored brand sites: ~1.6x overnight (and held there) 2.) Share of logged-out ChatGPT answers containing a clickable brand URL: ~4-5% to ~22% (~5x increase) 3.) Homepage share of all OpenAI referrals: 3.5% → 24.2% (~7x) 4.) Hitting logged-out users the hardest  As far as I can tell, this is the largest single-day change in AI-driven brand traffic we've measured all year.  So, here's what I think (and let me know your thoughts below):  The fact that this happened the same day OpenAI rolled out self-serve ads is def not a coincidence. I’d bet embedding brand URLs in answers and watching which ones get clicked creates great CTR signal for an ad ranking model. I think OpenAI are building their down-funnel infrastructure and brands are the direct beneficiaries (for now).  If you've been using ChatGPT regularly you've probably seen these brand hyperlinks show up every so often, but the jump from ~4-5% to ~22% tells me OAI is committing to this as the default way to link brands in answers.  This is a massive challenge to the idea that CTR from ChatGPT will always be low, CTR was low because there was nowhere to click.  There are differences by industry: B2B SaaS referrals are up ~3x, but E-commerce is basically flat. My take here is that this update rewards being recommended as a brand, not having product pages, if ChatGPT recommends your company, you get linked. If it recommends a product, it routes through their shopping surface instead.  Everyone should be tracking chatgpt.com and openai.com as named referral sources. Your homepage also matters way more than it did two weeks ago because ~1 in 4 ChatGPT referral clicks now lands on /, often from people who only know you because ChatGPT just recommended you.  Are we still living in a zero-click world? 👀   Credit to Brandon P. for the data and analysis behind the update, read his rigorous breakdown in the comments.</t>
  </si>
  <si>
    <t>Two numbers from our recent customer story with Alchemy:   - 3x increase in AI’s share of Alchemy signups in one year - 7x higher signup rate from AI-referred visitors vs. other sources  The first shows what's possible when you shape how Answer Engines talk about your brand. The second shows the kind of buyers AI Search brings to your site, already educated and ready to buy.  Read how Max Crawford and the Alchemy team are measuring and acting on their AEO playbook: https://lnkd.in/e48BXMw4</t>
  </si>
  <si>
    <t>We shipped the Profound MCP last October... but October is basically 7 years ago in Profound time.  Since then, we've been studying how the best Marketing Engineers in the world use Profound, and designing our MCP roadmap around how they work with agents.  Today is the first ship: a new knowledge graph + 15 new capabilities, so your agents can start working hard from the moment you hook up your MCP.  You can read more about this ship and what to expect next in Part 1 of our blog series.  Read it here: https://lnkd.in/egZgtG-u</t>
  </si>
  <si>
    <t>Discovered at grid position #1060. Verified Ad Details URL. Format: Single Image Ad.</t>
  </si>
  <si>
    <t>Very proud of the team for shipping this one.  Most AI Search prompt lists are built from SEO keywords, social listening data, or 1st party audience research. Useful starting points, but proxies for what buyers are asking.  Our new Prompt Research Reports take the keywords that matter most to your brand and run them through  Profound's dataset of 1.5B+ real user prompts from ChatGPT, Gemini, Perplexity, and Claude.   Through semantic search, filtering, and clustering, we build a data-backed prompt list organized by topic, with an intent layer on top so you can see exactly where your buyers are in their journey.  You can remove the guesswork and start tracking in one click.   Read more → https://lnkd.in/eZgKDnaK</t>
  </si>
  <si>
    <t>This is hard to admit, but I didn't want the Head of Marketing job at Profound.  I'm not the right fit for it. And I told that to Trevor Pyle when he started as the second marketer here.   But that left me with a question: what do I actually want?   Throughout my career, I've learned the hard lesson that you have to be honest with yourself in order to get to where you want to go. Sometimes that means saying no. I was honest with myself, and I was honest with Trevor, too.  I told him what I didn't want: a bigger title following the same path. What I wanted was something different. Something that didn't exist yet.  I thrive when I can make a direct impact: rapidly experimenting with new tools and ways of unblocking my team, creating authentic relationships online and in-person, and building the brand in public across conferences, webinars, and podcasts.   Today, Profound is announcing a first-of-its-kind role: The Marketing Engineer. And I'm becoming Profound's Founding Marketing Engineer.  A Marketing Engineer isn't an ops person. They're part builder, part marketer. They sit inside your marketing team and build the AI agents, automations, and data infrastructure that let everyone else do their highest-leverage work. And that’s exactly the kind of work I love doing.  The Marketing Engineer serves the marketing function. Sales got RevOps. Go-to-market got the GTM Engineer. It’s long overdue for marketing to have its own role.   Every marketing team I talk to tells me some version of the same story: brilliant people buried under operational weight. 80% of the week is eaten by work that could be systematized. The remaining 20% is supposed to be where the magic happens.  The Marketing Engineer changes that, giving the rest of the team something rare: permission to focus. On taste. On creativity. On the slow, deliberate, deeply human work of building a brand people remember.  I didn't want a Head of Marketing job. I wanted this one. And I'm grateful to Trevor and James Cadwallader for believing in me to help bring this new role to the world.  My role is unique. Not only will I be doing the work, but I will be talking about the entire process. What I’m building, what I’m learning, and what it’s like to travel around the world talking about how AI is changing marketing right now.   The era of the Marketing Engineer starts now. Take our free course on Marketing Engineering: https://lnkd.in/gzEe6Ncr</t>
  </si>
  <si>
    <t>New ship from Profound: Agent Assistant 🚢  You can now create Profound Agents using just your voice. Describe the marketing process you want to automate, and Agent Assistant builds it in minutes.  If you can articulate the workflow, you can build it.  Spin up a Reddit Agent that pings your brand team when a competitor gets cited in a thread you care about. Create a Demand Gen Agent that builds landing pages based on real user queries to AI platforms.  More importantly, there is no black box.  As the orchestrator, you keep full control and visibility into the Agent you're building. Rather than re-prompting to try and nail the final details, every node is exposed and directly editable. You can also ask Agent Assistant to make surgical changes to any step.  Try it today inside Profound.</t>
  </si>
  <si>
    <t>How long does it take to get cited in ChatGPT or Claude?' This is one of the biggest open questions in AEO. I dug through billions of logs and pulled ~900 newly published marketing pages to track time-to-citation, here's what's up:  - Median time from publishing to citation: 6.81 days - 75th percentile (75% of pages are cited within): 18.68 days - 90th percentile (90% of pages are cited within): 37.10 days  As far as I can tell, this is the first number on time-to-citation for either engine, especially Claude.  Here's what I think (and let me know what your thoughts below):  AEO finally has a clock: up until now, a huge question every marketer has been quietly sitting with is 'will my content get picked up by answer engines, and how long should it take?' I hear it constantly: 'how long until I start seeing results?' and we've all kind of had to take a guess at it. 'Usually we see citations in the first two weeks' or something similar.  But now we have an answer: by 37 days, 90% of pages have gotten their first citation. If you're beyond that point w/o citations, the issue is most likely going to be on your end (either the page is buried, your robots.txt is blocking it, or the crawler can't reach it, etc.)  If you're under 6 days to first citation, your performance is better than average (you're doing something right and should keep doing it!)  IMO the next question is, if your content is cited earlier and is theoretically more discoverable by ChatGPT and Claude, does that mean ChatGPT and Claude are going to cite it more often? 👀</t>
  </si>
  <si>
    <t>The Marketing Engineer.  Profound just broke LinkedIn yesterday. But the real story isn't the title.  They named something the best marketers could feel but nobody could articulate.  The best marketers didn't wait for permission to become this. They just started building. Started writing. Started shipping. And then they started standing out in ways that made the specialists look slow.  What's actually happening is the functional split inside marketing orgs is quietly breaking down. The domain lines between technical and creative, between strategist and operator, between analyst and storyteller are blurring. Not because leadership drew up a new org chart. Because the best people stopped honoring the old one.  That person exists at every high-performing team already. They just had no name for what they were.  Now they do.  Part builder. Part artist.   This is what I've been calling The Great Convergence. And it is not coming. It is here.  The Marketing Engineer owns the entire loop.  Research → Idea → Build → Distribute → Learn → Iterate.  No handoffs. No waiting. No fragmentation.  Real example.  Builds a Reddit scraping agent to surface competitor chatter. Identifies the pain points their customers are screaming about. Builds a displacement narrative. Activates across channels. Measures. Refines. Done in days not quarters.  That's not a team. That's one person with the right tools and the range to use them. End to end. Fast. With AI. One loop.  Earlier stage companies have run this way forever out of necessity. What's different now is it's moving upmarket fast. The orgs winning already have this person somewhere inside them. The ones that don't are starting to feel the gap.  Nick Lafferty being the first person on earth to hold this title officially is worth pausing on. James Cadwallader and the Profound team didn't just make a hire announcement.  They drew a line.  This is the evolution of marketing. The only question is which side of that line you're on.  🎥 Sharing their video below. Worth your time.</t>
  </si>
  <si>
    <t>Launches are great, but building in public is better.  The Profound platform is about to take a major leap, and the early feedback from customers is getting me fired up. So I wanted to give everyone a glimpse into what’s coming soon.  Where we're taking the product: https://lnkd.in/ekF8QFyq  Everyone at Profound is doing the best work of their careers. This is just the start.</t>
  </si>
  <si>
    <t>New launch 🚢   Starting today, you can talk to your AI Search data in Profound. And it talks back.  Ask 'Why did our sentiment drop last week?' and Ask Profound pulls from every relevant source at once (sentiment, citations, visibility, Prompt Volumes, and more) to surface the data that explains the shift.  This is just the beginning. Much more to come...  Learn more about Ask Profound. Available today for all customers. https://lnkd.in/eUkaepJc</t>
  </si>
  <si>
    <t>We're hosting a $40,000 Marketing Engineering Hackathon on June 6th, at Profound HQ in NYC. You can build with any tool. Anyone can apply.   We're gathering 50 of the world's top marketing engineers to push the limits of one of the most consequential new roles in tech.  The challenge: Take a marketing process that would be impossible to perform manually, and build a system or agent that runs it.  To help us define what 'great' looks like, we've invited three incredible judges, with more being announced soon: - Cindy Zhang, PM overseeing AI for Growth &amp; Marketing at Ramp - Fiona Erickson, AI Response at MongoDB - Abimbola Oladipo, AI Acceleration team for Marketing at Stripe   The applicant pool is even stronger than we'd anticipated. From directors at top startups to hungry college students, this will be an incredible event.  Apply now: https://lnkd.in/er6jMxiv</t>
  </si>
  <si>
    <t>On October 18th, ChatGPT rolled out what I'm calling 'The Entity Update' which structurally changed the way ChatGPT recommends and recognizes brands. We pulled millions of ChatGPT responses, here's what's going on:  1. The avg. number of brands mentioned per response dropped from 6 to 3.5  2. At the same time, average brand visibility fell 31%  3. The competitive gap between 1st and 10th compressed by 23%.  And of couse, this happened right as ChatGPT began explicitly tagging brands as structured entities using a new Entity['brand', ...] field. The share of responses containing brand entity references spiked dramatically on October 18th.  At the same time, citations continue to be concentrated at the top: Wikipedia and Reddit control a massive share of citations, with the long tail of sources stretching further than ever.  Here's what I think is actually happening (and tell me your thoughts below):  This is the infrastructure for ChatGPT Shopping. OpenAI just launched their shopping feature, and this entity recognition update (which surfaces fewer, more structured brand mentions) looks suspiciously like the foundation needed to power reliable product recommendations and transactions. You can't build a reliable shopping platform on messy, unstructured text. You need clean entities.  The brand entity tagging is likely pulling from multiple validation sources simultaneously: maybe Wikipedia for entity confirmation, Reddit for social proof and experience data, review sites for credibility signals. If you're missing from these verification layers, you might not pass the entity recognition threshold regardless of how good your website SEO is.   So yes, I 100% think this is bigger than OAI making GPT-5 'more opinionated/direct', I feel like this is ChatGPT building the data infrastructure to actually handle transactions, rather just recommending.  The compression creates opportunity for challengers too. There has been a 23% narrowing between 1st and 10th, as a result, the competitive moat just got smaller. A brand at 7th is now much closer to 1st than before. This is good news for aggressive challengers with tight positioning, and tougher news for legacy brands who aren't actively thinking about AEO.  The mandate is becoming: 'we need to be definitively recognizable as an entity across the validation ecosystem ChatGPT trusts.' this update is telling me the opportunity is existing comprehensively across Wikipedia, Wikidata, Reddit, major review platforms, and news sources (the gaps in that map are probably why your visibility dropped.)  Whether this particular configuration becomes permanent or not, the direction is clear: ChatGPT is moving from research assistant to opinionated advisor to transaction platform. The brands positioning themselves as validated entities now are setting themselves up for a future where ChatGPT is a major force in commerce.  I wonder what they'll test next 👀</t>
  </si>
  <si>
    <t>Tyler Jordan and Adam Tanguay saw the shift coming. Their clients like Baseten, Cursor, and Sentry needed to show up where buyers were searching. Traditional SEO platforms couldn't provide the granularity of insights they needed to make it happen.   Partnering with Profound, the JDM team built a differentiated AEO practice for their clients: → Pinpointing which content earns AI citations for every client → Using Prompt Volumes to surface real user queries and optimize against them → Restructuring client sites for LLM discoverability based on Agent Analytics  Adam Tanguay said it best: 'Everyone wants to know what topics people are searching in AI and how often specific questions come up. With Profound, we have the answers.'  Excited to announce our partnership with Jordan Digital Marketing today, who are among one of the first Profound Agency Partners.   Check out the full story: https://lnkd.in/eqDyCn6V</t>
  </si>
  <si>
    <t>Charlie Rhomberg knew that when customers searched for FP&amp;A tools in Answer Engines, Aleph needed to show up.  Charlie wanted to set Aleph up for success from the start. He enrolled in Profound Pods, a week-long intensive through Profound University, and left with a concrete AEO playbook:   • Mapped the AI-native buyer journey using real prompts prospects were asking LLMs • Built targeted content around high-volume prompt clusters tied to core Aleph capabilities • Used Profound Agents to automate tedious tasks like content briefs and internal linking  Aleph has since seen a 𝟮𝟱𝟯% 𝗶𝗻𝗰𝗿𝗲𝗮𝘀𝗲 𝗶𝗻 𝗰𝗶𝘁𝗮𝘁𝗶𝗼𝗻 𝘀𝗵𝗮𝗿𝗲 and an 𝟴𝟮% 𝗶𝗻𝗰𝗿𝗲𝗮𝘀𝗲 𝗶𝗻 𝗟𝗟𝗠-𝗮𝘁𝘁𝗿𝗶𝗯𝘂𝘁𝗲𝗱 𝘁𝗿𝗮𝗳𝗳𝗶𝗰. All in 2 months.  Charlie put it simply: 'Profound serves as our AEO command center. The platform provides us with real-time AI visibility intelligence, so we stay on the tip of that spear as the AEO space evolves.'  Learn more about Charlie's experience in Profound Pods and get started today → https://lnkd.in/exN35qze</t>
  </si>
  <si>
    <t>You can now talk to your AI Search data in Profound, and it talks back.  Run root cause analysis, build detailed reports, and generate insights, all within a single chat window.  This is just the start...  Read more here: https://lnkd.in/e_7br7ic</t>
  </si>
  <si>
    <t>NYC! Excited to announce we're bringing Profound's Zero Click to the biggest marketing hub in the world on June 11th with some killer speakers:  • Robin Kendric Triplett, VP, Integrated Marketing Experiences at The Coca Cola Company • Katie Conrad, General Manager, Marketing Data and Analytics at Delta Air Lines • Allegra Pedretti, Executive Director, Customer Experience Measurement at CVS Health • Kerry Janisch, Vice President, Head of SEO at U.S. Bank • George Bonaci, VP, Growth &amp; Demand at Ramp • Paolo Provinciali , VP, Marketing at LinkedIn • Rob Gaige, Global Head, Insights at Reddit • Tim Sanders, Chief Innovation Officer at G2 • Mandi Ciocca, VP, Performance Content at Publicis Media Exchange • Michael King, Founder &amp; CEO at iPullRank  NY is the most talent dense city for marketers I've ever seen, and we're curating the world's top AI Marketing experts into one room for Zero Click NY 2026.  There's no better place to learn cutting edge research on AI Search, hear how the biggest brands &amp; startups alike are adapting in real-time, and network with other marketing leaders.  If you're in NYC on June 11th, this is where the best marketers will be. Tickets are free, but we have limited spots. Apply here: https://lnkd.in/eraAsE3Y</t>
  </si>
  <si>
    <t>Thrilled to share we're bringing Zero Click back to our NYC home base on June 11, and we’ve got an insane line-up of speakers taking the stage:  • Robin Kendric Triplett, VP, Integrated Marketing Experiences at The Coca Cola Company • Katie Conrad, General Manager, Marketing Data and Analytics at Delta Air Lines • Allegra Pedretti, Executive Director, Customer Experience Measurement at CVS Health • Kerry Janisch, Vice President, Head of SEO at U.S. Bank • George Bonaci, VP, Growth &amp; Demand at Ramp • Paolo Provinciali, VP, Marketing at LinkedIn • Rob Gaige, Global Head, Insights at Reddit • Tim Sanders, Chief Innovation Officer at G2 • Mandi Ciocca, VP, Performance Content at Publicis Media Exchange • Michael King, Founder &amp; CEO at iPullRank  If you want a look into the future marketing for the era of AI, these are the leaders building it from the ground up.   Tickets are free, but we've got limited spots. Apply here to join us on June 11th → https://lnkd.in/eZbCVnhj</t>
  </si>
  <si>
    <t>How do you build a marketing system that runs without you? Well, on June 6th in NYC, Profound is putting $40,000 on the table to find out. Here's the deal:  - 50 builders in one day, in our Union Square HQ - 2x prizes of $10k cash + $10k Profound credits for the top two winners - Plus an interview offer at Profound for the winners - It's free to enter and build with whatever stack you want  This past April, we introduced Marketing Engineering to the world. Since then, companies like Google have already hired their first Marketing Engineers. The thesis is simple: one marketing engineer should be able to do the work of an entire marketing team. We're hosting this hackathon to push that idea as hard as we can  The theme is to find a marketing process that's inhuman in scope or scale (a human could NEVER do it - analyze thousands of pages, compare hundreds of competitors... you get the point), and ship a system or agent that runs it. You'll get like ~8.5 hours of build time, and the chance to do a 4-minute demo to a panel of judges who already've built with agents at massive scale  If you're one of the people reading my posts and already running citation tests, scraping logs, or vibe-coding scripts to track your brand across answer engines this is literally the room to be in  Applications close May 24, IMO if you've been waiting for a reason to build the thing you've been thinking about, this is it 👀   https://lnkd.in/eCNc4PMZ</t>
  </si>
  <si>
    <t>I used to hate vanity metrics.  I still do. I just used to, too.  (Shout out to the Mitch Hedberg fans that picked up on that)  I tear down vanity metrics for a living. Right now, AEO is full of them.  You're tracking prompts. That's not the problem.  The problem is the list is mixed. Real buyer prompts. SEO keywords rewritten as prompts. Sales team intuition. Competitor scraping. No tag, no weight, no way to tell them apart.  Every program I audit has at least two of three contamination sources on its list. Most have all three:  → SEO keywords rewritten as prompts (search intent, not prompt intent) → Sales team intuition (objection-handling only, 95% of buyer journey invisible) → Competitor scraping (copying their guesses, calling it strategy)  Your dashboard treats all of it the same. High-value prompts your buyers actually ask, low-value prompts they never will. Averaged together. Labeled visibility.  'Best CRM for B2B' is a keyword tool query.  'We just raised a Series A, have a 12-person sales team selling into mid-market manufacturers, what CRM should we evaluate first?'  That's a real buyer prompt.  Both are on your list. Your score doesn't know the difference.  The dashboard works. The math is correct. The prompt list is contaminated.  AEO equivalent of measuring conversion rate without separating buyer traffic from noise.  The CMO presenting the numbers to the board isn't lying.  The tool is lying to the CMO.  Here's the upstream move nobody is naming:  How you cluster your prompts is a positioning decision, not a technical one. Use case vs. buyer concern vs. journey stage produces completely different competitive surfaces. Accept the default clustering and you've outsourced your category framing to a generic algorithm.  The whole industry is arguing about citation rate and schema. The upstream decision is silently choosing what category you exist inside.  Profound shipped Prompt Research Reports last week. First product in the category that fixes the denominator instead of decorating it. 1.5 billion real user prompts, retrieved, ranked, clustered, scored (it's awesome...big props to that team).   I tore the methodology apart on Substack.  What's inside:  → Why coverage score replaces visibility as the metric that matters → The 4-stage methodology to run this yourself → Why the moat is half data, half math, and nobody else can copy either  If you're running an AEO program, this is the highest-leverage audit you can do before next quarter.  👇</t>
  </si>
  <si>
    <t>Proud to share Profound has been named to the CB Insights AI 100 -- the tenth annual list of the 100 most promising private AI companies in the world.  Check out the full announcement: https://lnkd.in/ebU_Ez28</t>
  </si>
  <si>
    <t>Context is everything, an Agent is only going to be as good as the context you give it.  That's why we're making it dramatically easier to get your source-of-truth content into your Profound Knowledge Base with two new integrations:  1/ Notion: connect your workspace, pick the pages and databases you want, and Profound pulls them straight into your Knowledge Base.  2/ Google Drive: browse your Drive in a familiar file picker and select the docs you want to bring in.  Both support sync schedules, so your Knowledge Base stays as current as your docs.  Once your content is in, every Profound Agent you build can reference it.   Learn more here: https://lnkd.in/e-TASbFK</t>
  </si>
  <si>
    <t>Sophie Piacentini  Hey %FIRSTNAME%,  Saw you're at %COMPANYNAME%, so I wanted to reach out. Profound helps SEO leaders and professionals improve AI visibility, which translates into more traffic, leads, and customers.  Top brands like US Bank, Wayfair, Chime, Zapier, G2, and Figma trust us to help them grow.  Book a free AEO audit for %COMPANYNAME% and we'll show you exactly where you rank in AI search, what's costing you visibility, and how to fix it.</t>
  </si>
  <si>
    <t>Hey %FIRSTNAME%,  Saw you're at %COMPANYNAME%, so I wanted to reach out. Profound helps SEO leaders and professionals improve AI visibility, which translates into more traffic, leads, and customers.  Top brands like US Bank, Wayfair, Chime, Zapier, G2, and Figma trust us to help them grow.  Book a free AEO audit for %COMPANYNAME% and we'll show you exactly where you rank in AI search, what's costing you visibility, and how to fix it.</t>
  </si>
  <si>
    <t>Discovered at grid position #1195. Verified Ad Details URL. Format: Single Image Ad.</t>
  </si>
  <si>
    <t>Your engineering backlog doesn't care that your team is stretched thin.  CoderFlow does.  Join us Tuesday, May 26th at 10 AM PST for a walkthrough of how CoderFlow autonomously executes the full engineering workflow, compile, test, fix, retest, deliver, without a developer in the loop at every step.  This isn't another AI that hands you a draft. It hands you a completed, verified, ready-to-commit outcome.  If you've been exploring AI coding tools and wondering if there's something more capable for complex, real-world systems, this session will answer that question directly.  The engineering backlog problem isn't a headcount problem anymore. See how CoderFlow changes the math, May 26th. 👉  https://hubs.la/Q04g5qkC0   #CoderFlow #AgenticCoding #DigitalLabor #IBMi #EnterpriseAI #Futurization</t>
  </si>
  <si>
    <t>OpenAI shipped self-serve ChatGPT Ads yesterday.  We shipped four OpenAI Ads nodes for Profound Agents the same day.  Pull performance data -- account, campaign, ad group, ad level -- directly into your workflows. Pair it with your organic AI visibility data. Build the dashboards, alerts, and reports your team actually needs.  ChatGPT Ads is a brand new performance channel. Benchmarks don't exist yet. The marketers who move first will be the ones who learn what works.  We're making sure our customers are first.  Learn more → https://lnkd.in/esANVggx</t>
  </si>
  <si>
    <t>Proud to share Profound has been named to the inaugural Prosumer AI 40 by Notable Capital.   The list recognizes 40 AI-native tools reshaping the modern tool stack, including Anthropic, Replit, Clay, Cursor, OpenAI, Vercel and more.  Grateful to our customers and partners who build with us every day. Full list here https://lnkd.in/gb94Zw9c.</t>
  </si>
  <si>
    <t>Discovered at grid position #1217. Verified Ad Details URL. Format: Single Image Ad.</t>
  </si>
  <si>
    <t>Three weeks ago, we hit publish on a manifesto for a role we believed should exist: the 𝗠𝗮𝗿𝗸𝗲𝘁𝗶𝗻𝗴 𝗘𝗻𝗴𝗶𝗻𝗲𝗲𝗿. Since then, some of the largest companies in the world have already started hiring for it.  Over 20,000 marketers came through Profound University to learn the fundamentals of the role, and marketing engineers are now getting hired weekly.   With such strong response to Marketing Engineering, we decided to upgrade the manifesto (and included a JD template if you want to hire one).  See it for yourself: https://lnkd.in/eSTMnaHm  To keep the momentum, we're launching a Marketing Engineering Hackathon on June 6th with $40,000 in prizes in NYC. More on this soon.</t>
  </si>
  <si>
    <t>In August of last year, I was introduced to Semal Khalil via my friend Vitoria Lima. She described Semal as an incredibly talented, passionate, and interdisciplinary designer. I knew immediately I had to meet her.  Fast forward 8 months, and we're so incredibly proud to have Semal as part of the Profound team. The most impressive part is that she's been able to spread her attention across both product and brand design. One of the reasons the Profound brand is in such a good state is because of the work Semal's done.   A truly special moment for us at Profound was our Union Square ad campaign. We lined it up with our Series C campaign so we could pair up our digital attention with some physical assets in the heart of the NYC transit system. This project was MASSIVE - more than 500 unique placements, and Semal absolutely crushed it in terms of creative direction and the execution.  Thank you for everything, Semal! I'm excited to continue building this company with you! Take a look at her awesome story in our first of many in the Profound Profiles series.</t>
  </si>
  <si>
    <t>When we launched Profound back in August 2024, we had two big ideas about where the future of Marketing was heading;  1/ In the future every company on the planet will care deeply about how AI talks about their brand, products and services  2/ In that same future, every marketing team will use AI to do a new, better kind of marketing - maybe even a new role of marketer will evolve?  It’s crazy to see the world start to reflect these two predictions. 3 weeks ago we launched the concept of the ‘Marketing Engineer’ - and it’s taken off like wildfire.  The world is recognizing that AI responses are way more than just “appearing in the answer”, it is a new question of HOW does AI talk about my business and what does it say?</t>
  </si>
  <si>
    <t>Our company is the people.   Excited to launch Profound Profiles - short stories about the humans behind the work.  First up: Semal Khalil who leads brand at Profound. She created every single visual asset in our recent Union Square takeover. Hundreds of placements. In record time.  This story goes past her current work and into her journey to design, which started before she even had access to the internet.  Excited to share Semal's story and humbled to work alongside her.</t>
  </si>
  <si>
    <t>The future of marketing is about to get very strange:</t>
  </si>
  <si>
    <t>We run a lean team at OptimalDX, and HubSpot is central to how we manage thousands of practitioners worldwide. When a platform update broke our lead scoring system and we decided it was time to stand up Service Hub properly, I didn’t want to go back to a large agency. I’d been down that road before. High turnover, lots of strategy talk, not enough execution.  A colleague pointed me to Profoundly. I was skeptical at first, but the experience was different. Within 24 hours of our initial conversation, I had introductions to two vetted HubSpot consultants who actually understood our world: functional medicine, a global practitioner base, lean automation-heavy operations. These weren’t generic CRM people. They got it.  The matching was specific to what we actually needed: someone who could come in and execute, not just advise. We selected our consultant, got started quickly, and the work has been exactly what we asked for.  If you’re a niche SaaS company with a real HubSpot problem and you need someone who can hit the ground running, Profound.ly is the fastest path to the right person. I wish I’d found them sooner.'  – Dicken Weatherby, Founder &amp; CEO, Optimal DX</t>
  </si>
  <si>
    <t>Profoundly</t>
  </si>
  <si>
    <t>Our HubSpot database was scaling from 200k to 2 million contacts and we didn't have anyone on the team to manage it. We needed help from a true HubSpot expert – fast.  We got on a call with Profoundly, they understood the problem immediately and came back with three highly vetted consultants within 24 hours.   The quality of talent was impressive – exactly what we were looking for.  If you need a great HubSpot consultant quickly, this is the fastest path I've found.'  – Chris Shapiro, Director of Sales, US &amp; Canada, AlphaTheta</t>
  </si>
  <si>
    <t>Profoundly, Inc.</t>
  </si>
  <si>
    <t>Discovered at grid position #1252. Verified Ad Details URL. Format: Single Image Ad.</t>
  </si>
  <si>
    <t>What if your IBM i team stopped writing code and started reviewing finished work?  That's not a hypothetical. That's CoderFlow.  This isn't just another AI coding assistant. This is fully autonomous development, built for enterprise complexity, with full governance baked in.  From the team that's been futurizing IBM i for over 25 years. Something big is coming to CoderFlow. June 1. 👀  #CoderFlow #IBMi #ProfoundLogic #Futurization</t>
  </si>
  <si>
    <t>Working with Profoundly has been a game changer.  We’ve grown really fast over the past year and hit a point where demand was outpacing our capacity. I knew we needed additional HubSpot expertise, but I wanted to find someone who could truly plug into our team and operate at a high level.  Through Profoundly, we were connected with an expert who has been incredible. He’s super smart, picks things up quickly, and has already helped us scale across clients. Honestly, I’d love more of his time.  What stood out most was how easy the process was. Instead of spending weeks searching, vetting, and interviewing, within 24 hours we were connected with someone who just gets it and we were off and running.  If you’re building on HubSpot and need high-quality, flexible support, Profoundly is a no-brainer.'    – Erin Martinez, CEO, FinHive Solutions</t>
  </si>
  <si>
    <t>Sophie Piacentini  Hey %FIRSTNAME%,  I’ve been following %COMPANYNAME% for a while, so I wanted to reach out.  Top brands like US Bank, Chime, Indeed, and Zapier trust Profound to improve their AI visibility so they can get more traffic, leads, and customers.  Get your free AI Search Report for %COMPANYNAME%. See where you stand and what to do about it.</t>
  </si>
  <si>
    <t>Profound 🤝 Checkout.com   Honored to partner with a global payments platform powering thousands of businesses.  We’re excited to help Checkout.com understand and shape how they show up when buyers explore payment solutions across AI Search.</t>
  </si>
  <si>
    <t>I spoke to a room full of CMOs this week and a lot of them feel behind on how their marketing teams are adopting AI into their workflows.   This is exactly why the Marketing Engineer role needs to exist on every marketing team right now.   Data teams have Data Engineers. GTM teams have GTM Engineers. And marketing teams now have Marketing Engineers.   Marketing Engineers sit inside your marketing team and build the systems, agents, and automations that make every function faster. They build at the system architecture level, with the goal of automating at the campaign level.  A question we get a lot is whether Marketing Engineering is just Marketing Ops with a new name.  It's not.  Marketing Ops is your foundation: clean data, working integrations, reliable processes. If nothing breaks, they've done their job.  Marketing Engineers build on that foundation, but the similarity ends there. They're building agents, automations, and entirely new capabilities, and they're measured on the same KPIs as any other marketer: conversion, traffic, pipeline influenced, cost per lead.  Ops keeps the infrastructure running. Marketing Engineering uses that infrastructure to invent new ways of marketing.  You need both: most companies already have Ops, the Marketing Engineer is what's missing.</t>
  </si>
  <si>
    <t>Profound Agents now integrate with Framer.  Framer is one of the most design-forward website builders out there, and they've been one of the few platforms treating AEO as a first-class concern from day one.   Now you can wire all of that directly into your Agents. Read your live CMS, write new content to it, and keep the whole loop inside Profound.  Available today for Enterprise customers. Blog and setup docs below.</t>
  </si>
  <si>
    <t>Profound already surfaces which publishers drive AI citations in your category, so you know exactly who to partner with next.  Now, Content Marketplace inside PartnerStack connects you directly with those publishers and creators. No cold outreach required. Just browse upfront pricing, send a request, align on details, and pay in one place.  Close the loop with Profound and PartnerStack.</t>
  </si>
  <si>
    <t>Honoured to be included in The Wall Street Journal's piece on how AI is rewriting the rules of search.   There's no universal playbook. Every platform weights its sources differently, by industry and by query. What works in fintech looks nothing like what works in e-commerce. Thats why every marketer will use Profound to do better marketing.  Worth reading in full -- Andrew Blackman did a great job capturing the industry's shift: https://lnkd.in/ednHBmVG</t>
  </si>
  <si>
    <t>Ran from Apr 22, 2026 to Apr 27, 2026</t>
  </si>
  <si>
    <t>Discovered at grid position #1301. Verified Ad Details URL. Format: Single Image Ad.</t>
  </si>
  <si>
    <t>We brought Zero Click by Profound San Francisco last week.  750+ marketers. Speakers from Stripe, Parallel, Figma, Expedia, Reddit, OpenAI, iPullRank, LinkedIn, G2, and Webflow. A surprise conversation with Brian Halligan. And the official launch of a new role we've been building toward: the Marketing Engineer.  We started Zero Click in New York in 2025. Then London. Each one better than the last. SF was our biggest yet, and the one that felt most like a movement.  What keeps striking me is how consistent the signal is. Every CMO I talk to — across industries, company sizes, geographies — is saying some version of the same thing. The platform is shifting. Buyers are using AI. The rules are being rewritten in real time.  Zero Click exists because this category moves fast and the people navigating it deserve a room to think, share, and figure it out together.  Grateful to everyone who showed up, spoke, and made it what it was.   And to the Profound Marketing team and many others who made it possible — you continue to raise the bar.  We're back in New York on June 11. Register here → https://lnkd.in/eZbCVnhj</t>
  </si>
  <si>
    <t>Profound 🤝  Checkout.com   Honored to partner with a global payments platform powering thousands of businesses.  We’re excited to help Checkout.com understand and shape how they show up when buyers explore payment solutions across AI Search.</t>
  </si>
  <si>
    <t>Answer Engine Optimization (AEO), Zero Click World Tour, AI Visibility &amp; Growth</t>
  </si>
  <si>
    <t>Discovered at grid position #1310. Verified Ad Details URL. Format: Video Ad.</t>
  </si>
  <si>
    <t>We are proud to announce the release of our latest documentary showcasing a massive production journey that tested our systems, endurance, and team coordination at scale.  Over the course of 2 months, our crew traveled across multiple provinces in Zimbabwe, delivering full event coverage for a big choral musical competition series proudly sponsored by Econet Wireless Zimbabwe.  The assignment required video filming, live streaming and real-time photography delivery for immediate social media updates, and consistent post-event content production, every single weekend, across different cities and venues.  This project was not only about capturing moments.   It was about executing under pressure, maintaining reliability across diverse environments, and meeting demanding turnaround expectations without compromise.  The documentary provides a behind-the-scenes look at the workflow, teamwork, and technical discipline required to sustain production at this level.  We extend our sincere appreciation to Econet Wireless Zimbabwe for the opportunity to support such a significant national initiative.  At Profound Photography Private Limited, we remain committed to partnering with organizations that require dependable production teams capable of delivering results in real time, wherever the assignment takes us.  We invite you to watch the documentary and connect with us for future collaborations.   #EventProduction   #LiveStreaming   #CorporateEvents   #ContentCreation   #Teamwork   #Zimbabwe   #Econet</t>
  </si>
  <si>
    <t>You know that person on your marketing team who builds something and everyone goes “wait, we can do that?”  Maybe they vibe coded a dashboard last week. Before that it was some automation that cut a manual process from a few hours to a few minutes. They’re always in Claude or ChatGPT, and they're not writing blog posts with it, they're wiring things together while the whole team watches in awe.  They’re not a developer. They’d never call themselves one. But they’re not doing what most marketers are doing either.  I was this person at HubSpot. I built automations that sent hundreds of thousands of deeply personalized emails using AI and pushed email conversion rate up 82%. And every time someone asked what my job was I gave a different answer because I didn’t have a word for it.  The word is Marketing Engineer.  Right now this person’s LinkedIn says “Growth Marketing Manager”, “Marketing Ops”, or “Martech”: something that sort of describes half of what they do.  I built Profound University’s Marketing Engineering course for them. You learn how to see your marketing work as a system. And from there you start inventing entirely new ways of doing marketing that are only possible now because of agents.  Here's the link to dive in: https://lnkd.in/eExTwsYJ  If this is you, drop your current title below. I really want to see how many ways we’re currently labeling the same job.  And if someone came to mind while you were reading this, they should probably see this!</t>
  </si>
  <si>
    <t>Over a dozen CMOs and VPs hit me up this past week. Texts, DMs, a couple of emails.  All asking a version of the same question: 'Where do I find a marketing engineer?'  Not 'what is one.' Where do I find one.  Pulled up Google Trends yesterday morning. Two breakouts in 90 days. 'Marketing engineer jobs' and 'what is a marketing engineer.' Google defines a breakout as 5000%+ growth. Yes, that can be off a low base. Which is when categories form.  Translation: the market is trying to hire this role faster than it can define it.  So let me clear something up.  Marketing engineer isn't a lofty tech title marketers invented to sneak into higher comp bands.  What's actually happening: the functional split inside marketing orgs is quietly breaking down. The lines between technical and creative, between strategist and operator, between analyst and storyteller are blurring. Not because leadership drew up a new org chart. Because the best people stopped honoring the old one.  The marketing engineer is that shift made official. Part builder, part artist. One role in place of three.  Modern pipeline means AI agents running outbound, AEO systems owning LLM visibility, PLG loops that need real engineering, and experiments that used to take a quarter shipping in days.   That work doesn't fit Marketing Ops. Growth PMs won't own it. Engineering won't prioritize it. Someone has to, so a new function gets carved out of all three.  Bolting AI onto marketing isn't a strategy. It's a structural shift. Structural shifts need new roles.   Earlier-stage companies have run this way forever out of necessity. What's different now: it's moving upmarket fast.  The orgs winning already have this person somewhere inside them. The ones that don't are starting to feel the gap.  HubSpot did this with inbound marketers. Gainsight did it with customer success managers. Profound is doing it right now with marketing engineers. Nick Lafferty being their first.   I dropped the full playbook on Substack this morning. Where they sit. What they actually do. Comp bands. JD template included.  The loudest dismissers today are posting this JD in 3 months.</t>
  </si>
  <si>
    <t>Mediums change. Marketers adapt.   The practice of marketing evolves.  The next evolution is happening now and it will birth an entirely new way of working.   Good news is... marketers are a resilient and creative bunch.   Marketing engineers are here https://lnkd.in/ej5Ji2iJ</t>
  </si>
  <si>
    <t>Every marketing leader I advise right now is asking the same question:  Do I need to hire a dedicated AI person? And what's that person's skillset?  Profound's take: You need a Marketing Engineer. They shared their take on this new role last week at Zero Click SF.   They define a Marketing Engineer as: • The person who builds the systems, agents, and automations that help marketing teams do better work, faster. Part builder, part marketer. • Not a marketing ops role. Sits within your marketing team and is measured on the same KPIs as every other marketer. • The job isn't automating one workflow. It's looking across your team's work, finding what's repeatable, and building systems for it. Then building things that weren't possible before agents.  If you follow content on future marketing org charts, you may be wondering: is this the same as a #GenMarketer?  Not exactly. But it addresses the same issue: how we do marketing is changing. We'll have teams of humans working alongside agents, and the old org chart won't hold.  A Gen Marketer is a marketing generalist who's an expert at using AI to execute across all of marketing. A Marketing Engineer owns the architecture. So, you could have both!  - If you want to gain the Marketing Engineer skillset, Profound just launched a free course to go deeper on this role: https://lnkd.in/gbPXZ2Wu</t>
  </si>
  <si>
    <t>Our third round of Zero Click by Profound.   The energy in San Francisco was electric. Valuable sessions, great conversations, and a beautiful venue.   Awesome meeting so many customers in person - they are the leaders defining the future of marketing.   See you all in June for Zero Click New York City!</t>
  </si>
  <si>
    <t>Apartment List doubled their AI Search citations with Profound.   Megann Sept and her team came in with a strong SEO foundation and a clear hypothesis: local, high-intent renter queries were going to dominate AI-driven discovery.  With Profound, the team built a full AEO strategy from scratch: • Identified which renter questions LLMs surface most • Tracked citation share against competitors • Used Agent Analytics to see exactly how AI indexes their site • Iterated content weekly based on what the data showed  Megann put it simply: 'LLMs are becoming a core discovery and decision-making surface for people making housing decisions. Showing up there with expert, human-centered guidance is critical to fulfilling our promise to renters.'  Check out the full partner story https://lnkd.in/eNmq9yFP</t>
  </si>
  <si>
    <t>Does your Tax bill keep you up at night ?  If your CPA only shows up in April, you’re probably missing out on $300K–$3M+ in tax savings.  Most accountants just file. At Profound Financial, we engineer your financials with advanced strategies to legally and significantly reduce your tax burden — while you focus on running your business.  We specialize in working with 7–9 figure entrepreneurs and business owners using strategies like: ✅ Multi-entity structuring &amp; profit optimization ✅ Cash balance plans &amp; retirement layering ✅ Captive insurance &amp; conservation easements ✅ Oil &amp; gas + solar tax credits ✅ Private foundations ✅ Augusta Rule, Accountable Plans, Hire Your Kids  Real results we’ve delivered:  - $4.5M saved for a $25M healthcare SaaS firm using multi-entity structuring, retirement layering, and advanced tax vehicles like captive insurance and conservation easements.  - $850K saved for a $5M electrical contractor through entity optimization, cash balance plans, and solar &amp; energy incentives.  - $350K saved for a $2M designer-turned-trader using trader elections, financed insurance, and family tax planning.  👉 Book a free strategy session to find out how much you’re overpaying — and what we’d do differently.</t>
  </si>
  <si>
    <t>Big update for Profound customers: we just up leveled our reporting capabilities.  Excited to announce Custom Dashboards: a fully configurable and shareable view of your Profound data. Build it once and come back to it anytime.  With Custom Dashboards you can: • Filter by date, platform, competitor, topic, region, and more  • Drag and drop charts to build the exact view you need • Export as a clean PDF in one click   Helen Martin, from our Product Marketing team, walks us through how to build a weekly report from scratch.  Available now for all Profound customers. Link in comments to learn more.</t>
  </si>
  <si>
    <t>Excited to announce Profound's partnership with Partnerize.  When a consumer clicks a link from an AI Search response and makes a purchase, that conversion can now be traced back to the AI answer and the partner whose content was cited.  Brands can see when AI Search influenced a sale and pay the partners who helped drive it. Partnerize handles the verification and payment infrastructure. Profound handles the AI discovery layer.  Read more in the comments 👇</t>
  </si>
  <si>
    <t>Huge shoutout to Kevin Miller, Angie Bergmann, and the entire GR0 team.  They've been one of our earliest and most ambitious Profound agency partners. While a lot of teams are still trying to figure out where AI Search fits, GR0 went all in. They built an entire AEO practice and are now helping dozens of clients navigate this shift.  What stands out about GR0 isn't just the results, it's how leaned in the team is. They get that this is a real marketing discipline, not a big red button you press for instant results. They're in the platform every day, doing the work, and their clients are seeing it pay off.  Kevin framed it in a way that really stuck with me: Profound's building a net-new sales channel for their clients.   Check out the full partner story https://lnkd.in/eDZWDX83</t>
  </si>
  <si>
    <t>Profound just raised $96M at a $1B valuation in a series C led by Lightspeed 👀🔥  In case you didnt know, it's an AEO tool for marketers, which is apparently like SEO but for AI tools like ChatGPT, Perplexity, etc., which is dope, but their Agents feature is pretty sick ngl  so Profound itself:  --&gt; tracks how AI tools like Gemini, etc. talk about your brand (how often you're mentioned, what they're saying, whether it's accurate, etc etc etc) --&gt; shows you what topics and questions people are asking AI in your space --&gt; creates and publishes content that the ai tools might surface, cite to, etc.  which is pretty cool, but that last part is where the Profound Agents come in, they are autonomous agents that can:  --&gt; monitor how your brand appears across AI platforms and get alerted when something changes --&gt; create content based off signals (e.g. someone asks chatgpt about something in your space that you dont have content on, this shit will pick it up and draft something around it and publish it once you review it so it'll show up next time someone asks lololol)  Agents can also be can do other stuff too (for demand , but i think this is sooo interesting how seo has evolved and how now we're here lol  I used to run a content marketing agency for 4 years in the 2010s and we wrote 100s of blog posts/mo, drove hundreds of thousands of search visitors/mo, and all that, and i cant imagine what we would've done had all this stuff existed back then lol  if you're responsible/involved in AEO/SEO at your company, id suggest giving this a shot for sure  you can learn more about Profound and how they plan to use the money (expanding Agents, etc.) by checking out their founder James Cadwallader's post on the announcement: https://lnkd.in/gtcC-tWj  LMK what you think if you try it!  -----  this post is a brand collab with Profound</t>
  </si>
  <si>
    <t>We've gotten a ton of interest since launching our Gamma integration nodes for Profound Agents, so we had one of our PMMs Garrett Gomez record a walkthrough showing exactly how it works.  If you've been curious about automating how you report on your AEO data, this is the fastest way to see it in action.  Full blog post below.</t>
  </si>
  <si>
    <t>Sophie Piacentini  Hey %FIRSTNAME%,  %COMPANYNAME% has been on my radar for a while, so I wanted to reach out. Profound helps SEO leaders and professionals improve AI visibility, which translates into more traffic, leads, and customers.  Top brands like US Bank, Chime, Indeed, and Zapier trust us to help them grow.  Get your free AI Search Report for %COMPANYNAME%. See where you stand and what to do about it.</t>
  </si>
  <si>
    <t>Latest in Profound Agents: Google Search Console.  Access GSC data directly in your marketing agents:  - Top Keywords for Site - Top Pages for Site - Top Keywords for Page - Top Pages for Keyword - Page-Keyword Breakdown - Keyword-Page Breakdown - Page Performance Summary - Check Indexing Status  Available today for all customers. Link in the bio to read more</t>
  </si>
  <si>
    <t>Profound 🤝 U.S. Bank   Honored to partner with a financial leader pioneering AI Search.   We're proud to support a brand focused on trust, performance, and clarity when customers turn to AI Agents for answers.  Thank you for your partnership Kerry Janisch, John Dotto and team.</t>
  </si>
  <si>
    <t>This is actually CRAZZZYY when you think about it.  A year ago… If you told me I’d open Google and not search, but click “Ask Gemini” instead…  I would’ve laughed. Now I do it daily.  Which is why I use Profound. (No gatekeeping)  I ask Gemini. I ask ChatGPT. I ask Perplexity. I don’t browse.  I don’t compare 10 links. (How pre-historic.)  I get one answer and move on. That shift is bigger than most marketing teams realise.  Your audience isn’t “searching” anymore. They’re asking. And if AI doesn’t mention you… you don’t exist in that moment.  That’s not dramatic. That’s reality.  So I started testing it, asking AI about categories I know well.  Seeing who gets recommended. Seeing who doesn’t.  And it’s wild. Some huge brands are invisible. Smaller players dominate. Not because they’re bigger. Because AI better understands them. That’s the unlock.  Profound gives you visibility there: How you appear across ChatGPT, Gemini, and Perplexity When competitors are recommended instead What signals shape AI responses How to optimise so you’re actually inside the answer In real time.  This isn’t SEO 2.0. It’s monitoring where attention’s going and evolving with it. The marketers who win won’t be the loudest. They’ll be the most adaptive.  Attention has shifted.  The question is: Have YOU?  Profound  Marketers are finally getting the tools they need for the era of superintelligence.   Read the full story behind their Series C and the rise of AEO in their founder’s fundraise announcement: https://lnkd.in/ePk-fKwD</t>
  </si>
  <si>
    <t>Agents are already deciding who wins AI search. Most companies are still doing it manually.  I'm still seeing teams screenshotting ChatGPT, dumping it into a spreadsheet, and talking about it weeks later.  By then it’s over. A competitor already owns the answer.  The teams pulling away aren’t doing more work...they’ve just stopped doing it manually.  Five layers. Five agents. One system.  Monitoring — tracks what AI models, Reddit, Inc., G2, and comparison pages are actually saying about you. Spots shifts in positioning and citations in days, not after deals are lost.  Consistency — creates one source of truth everywhere AI looks. Without it, models stitch together fragmented inputs and return those weird, averaged answers.  Reporting — tracks how often you actually show up in the answers that drive decisions. Answer Capture Rate by question cluster. Weekly. You see movement before pipeline feels it.  Distribution — takes a single answer and spreads it across the surfaces AI actually cites. Same POV, just multiplied coverage.  Brand — voice, tone, and guardrails baked in at the output layer. So quality doesn’t drift as this scales.  The manual version just can’t keep up. The agent version runs in the background.  Ramp did this with Profound.  They looked at what AI engines were actually citing, built targeted pages around those answers, and moved from 3.2% to 22.2% visibility in a month.  I wrote up the full Answer Ownership System if you want the full breakdown 👇</t>
  </si>
  <si>
    <t>For our customers... showing up in AI answers is one thing. Proving it drove revenue is a bit more complicated.  That's why we are partnering with Partnerize.   Profound tracks how brands appear across LLMs and AI search. Partnerize helps over 1,800 brands manage, track, and pay their affiliates and partners. With this partnership, Profound customers  can verify which AI citations led to conversions and pay partners for the outcomes they drove.  AI discovery meets affiliate economics. Excited to work with Maura Smith, Jeff Thompson, Katie M., Matt Gilbert and the whole team. Check out the full announcement below.</t>
  </si>
  <si>
    <t>What are people searching for in ChatGPT' was one of the biggest questions that Profound helped solve in 2025. We addressed this with Prompt Volumes, the world's ONLY dataset of what real people are searching for in ChatGPT, helping marketers understand intent and interest from real users.  As Profound expands from just AEO Analytics into building Agents to help marketers become 10x more effective in their workflows, we had to bring these two together.  Today, we're excited to announce Profound Prompt Volumes data can be programmatically accessed within our Agents and Sheets product. You are no longer constrained to viewing this data in our pre-built data viz tools. You can customize your queries and use the data however you want.  This release brings a huge unlock - we're excited to let marketers use this data as they please when it comes to building agents and automations.  Like always - shoutout to the super talented team I have the pleasure of working with. Manik Narang absolutely crushed this. How many people do you know can both do infra and product eng at the same time?  Link in the comments to learn more.</t>
  </si>
  <si>
    <t>We launched Profound Agents just a few weeks ago and the adoption has been astonishing. From enterprise, to Series A SaaS, we've seen marketers dive in and build.   10K is just the start.</t>
  </si>
  <si>
    <t>Profound has raised $96M at a $1B valuation from Lightspeed alongside Sequoia Capital, Kleiner Perkins, Evantic Capital, Saga Ventures and South Park Commons.   In exactly 18 months, Profound has gone from an idea to serving 10% of the Fortune 500 and becoming the #1 leader on the G2 Grid for our category, and now unicorn status.  We’re building technology around two fundamental beliefs about where marketing is heading:  1/ Every company will care deeply about how AI talks about their brand. 2/ Every marketing team will use AI to do their job better and faster.  And, today we’re announcing:  • Profound Agents: Customizable AI workers that take marketing teams from campaign concept to execution, without cutting corners.  • Profound University: Courses, certifications and cohort-based programs for marketers who want to lead in the AI era.  To every customer and partner who believed in this when it was just a thesis, thank you.  If you want to try Profound, comment “AGENT” below for free access to one of our most popular agents. No account required. No strings attached.</t>
  </si>
  <si>
    <t>Profound Agents now connect natively to Webflow.  Agents can optimize existing CMS items, generate net-new drafts, and route staged content to Slack for review and approval... all in a single Agent run. Your CMS becomes a self-iterating content engine that responds directly to your AEO data.  Dave Steer, CMO at Webflow, is taking the stage at Zero Click by Profound SF to showcase the integration and speak to his vision for the future of AEO.   Request your spot today https://lnkd.in/eDdj8WrE</t>
  </si>
  <si>
    <t>New in Profound Agents: access Semrush data  AEO + SEO ❤️</t>
  </si>
  <si>
    <t>Launching Google Search node for Profound Agents.  Traditional search data is some of the most impactful data in marketing. So we've introduced an integration to pull it directly into your Agents.  With the new Google Search node, you can: •⁠  ⁠Pull organic results and AI Overview information •⁠  ⁠Use People Also Ask questions to build better FAQs •⁠  ⁠Source related searches, and more  Now available for every Profound customer.  Link in comments to learn more 👇️</t>
  </si>
  <si>
    <t>I came back to Ramp to work with data like this.   We have a front row seat to the astronomical rise of AEO and how it’s changing the way people find and trust information. And in turn, how growth teams operate. It feels like the early days of Search all over again, except the potential is so much bigger.  Getting to see it play out in real time through Ramp Rate spend data is one of the most exciting parts of my job.  Check out our latest deep dive by Rebecca Moretti, featuring Profound the breakout leader in the space.   https://lnkd.in/ej_weyBk</t>
  </si>
  <si>
    <t>We officially kicked off Zero Click by Profound SF last night with Zero Click Eve.  Thank you to everyone who joined us in taking over North Beach, and to our incredible sponsors iPullRank, Edgar Allan, Webflow, and Spotlight.  See you later today at Profound's global conference dedicated to AI Marketing and the future of AI Search.</t>
  </si>
  <si>
    <t>If your CPA only shows up in April, you’re probably missing out on $300K–$3M+ in tax savings.  Most accountants just file. At Profound Financial, we engineer your financials with advanced strategies to legally and significantly reduce your tax burden — while you focus on running your business.  We specialize in working with 7–9 figure entrepreneurs and business owners using strategies like: ✅ Multi-entity structuring &amp; profit optimization ✅ Cash balance plans &amp; retirement layering ✅ Captive insurance &amp; conservation easements ✅ Oil &amp; gas + solar tax credits ✅ Private foundations ✅ Augusta Rule, Accountable Plans, Hire Your Kids  Real results we’ve delivered:  - $4.5M saved for a $25M healthcare SaaS firm using multi-entity structuring, retirement layering, and advanced tax vehicles like captive insurance and conservation easements.  - $850K saved for a $5M electrical contractor through entity optimization, cash balance plans, and solar &amp; energy incentives.  - $350K saved for a $2M designer-turned-trader using trader elections, financed insurance, and family tax planning.  👉 Book a free strategy session to find out how much you’re overpaying — and what we’d do differently.</t>
  </si>
  <si>
    <t>Stop hoping AI tools recommend your brand. Start making it happen with proven strategies for ChatGPT, Perplexity, and more.</t>
  </si>
  <si>
    <t>Ranking on Google isn't enough anymore. Your customers are asking ChatGPT and Perplexity for recommendations. Here's how to show up.</t>
  </si>
  <si>
    <t>Technology is no longer the barrier in marketing. Having smart, savvy people who understand how to build and drive revenue is the differentiator.  Spotlight sees Profound as one of the most powerful tools in the marketing stack, and we’ve spent the last several months becoming the team that knows how to fully leverage it to help marketing teams win in the AI era.   Spotlight has been working with Profound for a while, but recently went all in on AEO Foundation, AEO Analytics, and Agent Engineering certifications. We now have 100+ certifications and a robust agent library ready to be deployed across our clients (See one of mine below).  We believe AEO can’t be won by any single piece of content or source. It requires orchestrating the influencers AI actually trusts. Profound provides the roadmap and the tools. Spotlight wants to be your partner to build, optimize, and execute.  If you’re in the AEO space and haven’t taken the time to go through Profound University led by Josh Blyskal, you’re missing out.  We’re proud to be an official partner on Profound’s Partner Directory. See more about our partnership in the comments.</t>
  </si>
  <si>
    <t>Proud new owner of my Agent Engineering Certification from Profound! I had so much fun creating my first agent – it completely opened my eyes to the innovation and efficiency this has the potential to bring to our team. Huge thanks to Josh Blyskal and the rest of the Profound team for the partnership with Spotlight, and for always paving the way! 💪</t>
  </si>
  <si>
    <t>Headed back from Shoptalk Spring feeling incredibly energized about the future.   Nothing beats speaking with industry professionals face-to-face. Hearing their experiences live, their challenges, their questions.... especially as a product marketer there is nothing more impactful.  Couldn't be more excited to partner with the retail leaders we met there to ensure their products are chosen and recommended by AI.  A massive shoutout to Katherine Underwood for helping us show up with a powerful presence, the Profound team for crushing it on the ground at the booth, and a huge thank you to every partner, client, and retail leader who stopped by.</t>
  </si>
  <si>
    <t>I have just arrived back home from Shoptalk Spring!  It was a proud moment watching our CEO, James Cadwallader take the stage to unpack agentic commerce and the future of brand discovery. The energy in that room was incredible.  A massive shoutout to the Profound team for crushing it on the ground at the booth, and a huge thank you to every partner, client, and retail leader who stopped by. The conversations we had this week about driving real growth were unmatched.  Jessica KommorKatherine UnderwoodCharlie DemuthNikki LebedinNick PhillipsJuan Diego CampuzanoHana HajebianGarrett GomezConnor JoyceSophie Piacentini</t>
  </si>
  <si>
    <t>Excited to share that I’ve officially completed #AEO Foundations and am now #AEOcertified.  Last year, Spotlight launched a strategic partnership with Profound, a platform designed to help enterprises understand and improve their visibility in AI search. Through this partnership, Spotlight and Profound now offer clients enhanced capabilities, including: -Real-time visibility into brand mentions across AI platforms -Comprehensive AI visibility metrics -Strategic guidance to strengthen brand performance across AI channels  ➡️ This certification helps me to provide more strategic, data-driven recommendations to my clients, ensuring they show up effectively across two of AI’s most trusted sources: industry analysts and peer review platforms.  Curious to learn more? Feel free to DM me!  #AI #IndustryAnalyst #AnalystRelations</t>
  </si>
  <si>
    <t>A great experience proves you belong at the top. Described as the 'hottest company' at the event, we didn’t just turn up to Shoptalk hoping for footfall. We engineered it.  Our active outreach secured 80+ pre-booked meetings before doors even opened.   On the floor, we strategically anchored our booth next to the Marketing Stage to catch leaders primed for growth.   A glamorous booth drove the buzz (and a great party), while our custom VIP rooftop secured high-value conversations away from the chaos.   We didn't just exhibit; we educated the market, taking the stage twice with Garrett Gomez and our CEO, James Cadwallader.  The energy was electric. Seeing so many brands actively seeking us out to help them with thier visibility was the ultimate payoff.  #Shoptalk #EventStrategy #ExperientialMarketing #B2BMarketing Mark Ebert Charlie Demuth Hana Hajebian Jessica Kommor Nikki Lebedin Sophie Piacentini Connor Joyce Nick Phillips Juan Diego Campuzano Layla Baradaran Trevor Pyle Helen Martin</t>
  </si>
  <si>
    <t>Officially AEO certified through Profound University!   As AI reshapes how brands are discovered, the way influence is built and measured is fundamentally changing with it.   I’m so proud to earn this certification and deepen the partnership between Spotlight and Profound (the G2 recognized leader in AEO).   Together, we’re helping clients navigate the next generation of influence. We’re ensuring brands don’t just show up in traditional search, but are cited, recommended, and trusted across the AI engines shaping buyer decisions.   The future of visibility lives in AI-driven discovery, and Spotlight + Profound are leading the way.</t>
  </si>
  <si>
    <t>Excited to share I am one of the first people in the world to receive the AEO Foundations Certification from Profound!  Profound, a Spotlight partner, is the leading AEO platform for measuring brand visibility across AI models like ChatGPT, Perplexity, CoPilot, and more. Through our partnership, we equip our clients with the metrics, reasoning, and tools to optimize for AI-driven discovery.   Interested in our partnership? Check it all out here: https://lnkd.in/gheMpCSS</t>
  </si>
  <si>
    <t>That’s a wrap on Shoptalk Spring 2026.  Agentic commerce is fundamentally changing the way retailers operate. The energy and time on the ground showed that leading retailers are tackling it head on.   A massive shoutout to the Profound team for bringing the vision to life at our epic booth, and a huge thank you to everyone who stopped by to connect.   The future of retail is here and we're just getting started.</t>
  </si>
  <si>
    <t>I was super excited to see my AEO foundations certification results in my email this morning! I loved this training and how clearly Josh Blyskal broke everything down. It was refreshing to see the test relied on the practical application of what you learned vs. a simple multiple choice exam.   The engines might be different, what we’re looking for might be different, but the diagnostic and reasoning skills needed to do this work are so similar to good SEO work. SEOs truly are so well positioned to do this work!</t>
  </si>
  <si>
    <t>The moment you stop learning in this industry is the moment you fall behind. With the shift toward Answer Engine search, it was time to update the toolkit.  I recently earned the AEO Analytics Diploma from Profound University. It’s a brand-new frontier for search, and it’s pretty cool to be one of the first in the world to hold this certification.  Kudos to Josh Blyskal, James Cadwallader and Dylan Babbs for running such a slick learning and certification process.    #LifeLongLearning #AEO #Profound Profound Pearson</t>
  </si>
  <si>
    <t>Here’s why you should come to Zero Click SF on April 8th!   This will be the best event in the world for anyone who wants to learn from the best minds in AI marketing and AI search.   I’ve seen an early preview of the content and I promise you’re going to be blown away.   Request your spot here and drop a comment, I can make sure you get approved!   https://lnkd.in/e3-27NbF</t>
  </si>
  <si>
    <t>Profound has become the industry standard for AI visibility analytics. But the mission was never to just show what’s happening. It was to help marketers and brands own and control the narrative in AI search. To do that requires action.  That’s why we built Agents, and now our customers are harnessing an entire AEO flywheel in one platform to go from analytics and insights to marketing orchestration, execution, and measurement fast.  Agents just got a MAJOR upgrade with Profound Sheets.  Profound Sheets lets you run hundreds of agents in parallel, saving you hours of time. No need to bounce between multiple different tools.  Optimize blog posts, conduct competitive analysis, craft personalized ad copy - all at scale.  Available today for all enterprise customers... see link comments for more info.</t>
  </si>
  <si>
    <t>Profound Agents now connect natively to Webflow.  Agents can optimize existing CMS items, generate net-new drafts, and route staged content to Slack for review and approval... all in a single Agent run. Your CMS becomes a self-iterating content engine that responds directly to your AEO data.  Check out the integration https://lnkd.in/gZNpCFBU</t>
  </si>
  <si>
    <t>A mission without a business model won’t survive to build legacy; a business without a mission never inspired.   Ambitious leaders feel the tension between building the bottom line and living with purpose. But at Profound Hope Industries, we see these as two sides of the same coin.   Stop viewing these as competing interests and start building processes so they can fuel one another.   Profitability and purpose are not at odds; they are partners in progress.    Visit our website to learn more about how the H.O.P.E. framework makes this possible.   https://lnkd.in/gnE-YySq</t>
  </si>
  <si>
    <t>Zapier built one of the most sophisticated AEO programs I've seen.  A year ago, Zapier's attribution data started showing a pattern no one could explain.  Brand traffic was spiking. The source was invisible.  A causal analysis surfaced the answer: one in four signups was being influenced by LLM recommendations. People were researching in ChatGPT and Gemini, then arriving ready to convert.  The channel was real. They had zero visibility into it.  Zapier assembled a cross-functional team spanning content, SEO, PR, social, and reputation management, and onboarded Profound.  The results: • Zapier is now the #1 cited domain for their most competitive prompts. A 4x increase since launch. • 40% of surveyed homepage visitors say they found Zapier through an LLM. • LLM-referred visitors convert to free trials at 3x the rate of Google Organic.  The brands that understand how AI Search represents them today will have a structural advantage tomorrow.  See how they did it via the full customer story: https://lnkd.in/ePM3CBbu</t>
  </si>
  <si>
    <t>Do you have your ticket for Zero Click by Profound?  Leaders from OpenAI, Stripe, Figma, Expedia, Reddit, Parallel, G2 and more are taking the stage.  Due to demand, we've opened up a few more spaces.  Request your spot now → https://lnkd.in/eDdj8WrE</t>
  </si>
  <si>
    <t>Presenting at SXSW last weekend was a career highlight for me. Here's a cool recap video:  We had about 100 people in the room who asked great questions about AI search. Seriously, Q&amp;A lasted almost an hour and folks came up to me afterwards saying they took *pages* of notes.   Before the event started, we walked the line outside (yes, there was a line!!) and asked folks to submit their brand for a live AEO audit during the event. Many people bravely volunteered, and we had them come up on stage and talk about their results.  This was seriously one of the most fun events I've spoken at lately. And of course it came after I moved from Austin to NYC so I had to take some gnarly late night flights to make it work 😂  Thanks to our friends at Avenue Z for being great partners: Rachael Zahn - RZ, Tina Fleming, and Jonathan Snow, DMD. Massive thanks to Katherine Underwood for helping coordinate everything and thanks to my friend Stephen Bristol for grabbing lunch with me and ensuring I didn't fly back to NYC without some HEB tortillas in my backpack.</t>
  </si>
  <si>
    <t>Discovered at grid position #1484. Verified Ad Details URL. Format: Video Ad.</t>
  </si>
  <si>
    <t>Do you have your ticket for Zero Click San Francisco?   It's on April 8th in SF and features the most stacked lineup we've had yet:  OpenAI Stripe Figma Expedia Reddit Parallel G2  I can push the magic *approve* button so let me know if you want to go and drop a comment below 😉  Request your spot now → https://lnkd.in/ef2yzNir</t>
  </si>
  <si>
    <t>🚨Are you an agency/consultancy that wants to learn how to win in AEO? Join me and Nigel Stevens (CEO, Founder &amp; Growth Lead) at Organic Growth Marketing Wednesday, March 25th at 1 PM ET. It will be a good one!   Register here: https://lnkd.in/dpXyYdZB</t>
  </si>
  <si>
    <t>Hey %FIRSTNAME%,  I’ve been following %COMPANYNAME% for a while, so I wanted to reach out.  Ramp used Profound to increase AI brand visibility 7X for its Account Payable solution. Other top brands like US Bank, Chime, Indeed, and Zapier also trust Profound to improve their AI visibility so they can get more traffic, leads, and customers.  Get your free AI Search Report for %COMPANYNAME%. See where you stand and what to do about it.</t>
  </si>
  <si>
    <t>We're three weeks out.  Zero Click by Profound is our global conference dedicated to AI Marketing and the future of AI Search.  Headliners from Stripe, OpenAI, Reddit, Figma, Expedia, Parallel, Webflow, iPullRank, G2 and more.  Spots are limited, request yours today https://lnkd.in/eDdj8WrE  See you in SF 🌉</t>
  </si>
  <si>
    <t>Hey %FIRSTNAME%,  I’ve been following %COMPANYNAME% for a while, so I wanted to reach out. Profound helps SEO leaders and professionals improve AI visibility, which translates into more traffic, leads, and customers.  Top brands like US Bank, Chime, Indeed, and Zapier trust us to help them grow.  Get your free AI Search Report for %COMPANYNAME%. See where you stand and what to do about it.</t>
  </si>
  <si>
    <t>Hey %FIRSTNAME%,  Does %COMPANYNAME% get mentioned by ChatGPT, Gemini, Claude, and other leading answer engines?  Top brands like US Bank, Chime, Indeed, and Zapier trust Profound to improve their AI visibility so they can get more traffic, leads, and customers.  Book a free AEO audit for %COMPANYNAME% and we'll show you exactly where you rank in AI search, what's costing you visibility, and how to fix it.</t>
  </si>
  <si>
    <t>April 8, 2026 San Francisco</t>
  </si>
  <si>
    <t>Hey %FIRSTNAME%,  I’ve been following %COMPANYNAME% for a while, so I wanted to reach out.  Top agencies use Profound to improve their clients’ AI visibility so they can get more traffic, leads, and customers.  Capture more traffic for your clients through AI search with Profound.</t>
  </si>
  <si>
    <t>Are you a senior executive looking for leadership roles on a part-time or fractional basis?   oolu was built specifically for executive-level leaders who are looking for roles that are contract or part-time.   oolu becomes your sales and admin engine, as it handles everything from client introductions to contracts and billing.   It's free to join. There are roles waiting. Try oolu today.</t>
  </si>
  <si>
    <t>I'm honoured for Profound to be named G2's Best AI Software Products of 2026, putting up alongside ChatGPT, Gemini, ElevenLabs, Notion, and Lovable.  We still have a lot to built, but this is extra validation.</t>
  </si>
  <si>
    <t>If you're an executive leader looking for contract or part-time roles, you need to try oolu.  oolu helps seasoned executive leaders find fractional roles while also handling contracts and billing. All from one easy to use platform.   It's free to join. Try oolu today. You can onboard in just a few minutes.</t>
  </si>
  <si>
    <t>If you're leading search, content, or growth strategy in 2026, this is your event. Zero Click SF. April 8 in San Francisco. Free to attend. Request your spot.</t>
  </si>
  <si>
    <t>Proprietary AI Search research. Real practitioner playbooks. Speakers from OpenAI, Stripe, and Figma. Zero Click SF, April 8. Free to attend. Request your spot.</t>
  </si>
  <si>
    <t>If you’re already running a successful e-commerce brand, you’re perfectly positioned to capture a share of one of the highest repeat-purchase categories in e-commerce: Dietary Supplements.  Most supplement startups fail because they lack capital, experience, or distribution.  What you need is the right market-driven supplement formula that stands out.  With 16 years in the supplement industry — including time with AG1 and GNC — I help established founders develop differentiated, market-ready supplements designed to dominate their niche.  If this sounds like you - lets talk.</t>
  </si>
  <si>
    <t>Hey %FIRSTNAME%,  Profound is hosting an exclusive gathering for the world's top AI Search experts in SF on April 8th. We have a few spots left, would you or someone from your team like to go?  The event is free and features speakers from OpenAI, Stripe, Expedia, Reddit, Figma, and Webflow.  Let me know and I can put you on the list!</t>
  </si>
  <si>
    <t>OpenAI. Stripe. Figma. Reddit. Expedia. Webflow. One stage. Zero Click SF brings top AI Search minds to San Francisco on April 8. Plus, it's free. Request your spot now.</t>
  </si>
  <si>
    <t>I’m coming up on a year working at Profound. Here are the top ten things I’ve learned as the first marketer.  1. Ask yourself “what can I ship in the next hour?” Then, use AI to speed up your workflows and outputs. The social proof on our Contact Sales page was something I built in Cursor during my first week here.   2. Be an expert in your product and maintain your knowledge as the product evolves (Profound has SO many more features now than when I started)  3. Every marketer who sells to marketers should spend a few weeks as a seller. Take demo calls, talk to prospects, close deals. See where your messaging is landing or missing, you'll get no better feedback. (I did this for about 4 weeks)  4. Events are still one of the best ways to build real relationships with customers. Go bigger than you think! (Request your spot for Zero Click 2026 here https://lnkd.in/gfJ3jbaD)  5. Spend hours every week using your own product. You notice things immediately that you’d otherwise miss.  6. Being the first marketer at a rocketship like Profound requires INSANE confidence in yourself. Be ready for hard work, long hours, and the massive sense of relief when you get someone like Trevor Pyle to back you up.   7. Hiring is everyone’s job. Source your own candidates. Slide into everyone's DMs.   8. Output &gt;&gt;&gt;&gt; Title  9. The best companies are built by people who actually care about what they’re building. Everyone at Profound knows what a privilege it is to be here right now. We don't take any of this for granted.   10. This will be a generational business and I'm honored to be part of it.   ---- Photo from my first week at Profound in our old office when we were ~20 people.</t>
  </si>
  <si>
    <t>Aura should be a marketing KPI (hear me out on this).  I've spent most of my career in performance marketing. I am the measurement king.  But I also know that good brand marketing has an unmeasurable halo effect on everything else.   Good brand campaigns make my paid campaigns better.   Good brand campaigns help with recruiting and hiring (every candidate is mentioning our subway ads right now)  Good brand campaigns create an aura around the company, the culture, and the product.   If you're in New York, stop by Union Square station and walk around to see the incredible work that Semal Khalil designed and that Garrett Gomez, Karina Popovich, and Trevor Pyle helped bring to life.  They'll only be up for a few more weeks so snap a photo while you can :)</t>
  </si>
  <si>
    <t>Sophie Piacentini  Hey %FIRSTNAME%,  Does %COMPANYNAME% get mentioned by ChatGPT, Gemini, Claude, and other leading answer engines? Profound helps SEO leaders and professionals improve AI visibility, which translates into more traffic, leads, and customers.  Top brands like US Bank, Chime, Indeed, and Zapier trust us to help them grow.  Book a free AEO audit for %COMPANYNAME% and we'll show you exactly where you rank in AI search, what's costing you visibility, and how to fix it.</t>
  </si>
  <si>
    <t>It's finally here 🤩  The thing all of you have been waiting for in the past year (right, riiiight??)  No, for real. If you're doing LinkedIn ads in any shape or form, and/or you're in B2B, this is a must-have piece of content.  Dreamdata's Benchmark Report 2026.  Dreamdata sits with sooooo much gold and they're once again sharing it for free for you to benefit 👏  And I'm really excited and happy to be sharing a few of my own thoughts to LinkedIn ads in the report as well.  A few key highlights: * 81% of the B2B customer journey happens outside of the sales pipeline * LinkedIn now takes up 41% of digital ad budgets in B2B * The average number of channels, stakeholders and touchpoints involved in a B2B deal compared to the year before   This is one of those whitepapers where you'll actually sit back with truly relevant new knowledge after you've read it (so what are you waiting for?)  You can find and download the full report here 👉 https://lnkd.in/eQ5tJEz4  Let's get it! 💪</t>
  </si>
  <si>
    <t>Today, we announce the most incredible lineup for Zero Click SF 2026 on April 8th.  Zero Click by Profound is the global conference dedicated to AI Marketing and the future of AI Search.  • Jeff Titterton, Chief Marketing Officer at Stripe • Asad Awan, Monetization at OpenAI • Parag Agrawal, Founder at Parallel (Ex-Twitter CEO) • Dave Steer, Chief Marketing Officer at Webflow • Reema Batta, VP, Marketing at Figma • Michael King, Founder &amp; CEO at iPullRank • Daniel Shin Un Kang, Head, Organic &amp; Agentic Search at Expedia • Rob Gaige, Global Head, Insights at Reddit  A couple more guests being announced shortly too.  Tickets are free, but very limited. Apply for your spot → https://lnkd.in/ggTM5F5S</t>
  </si>
  <si>
    <t>As a certified LinkedIn Guy™️, it’s super validating to see how often LI posts are cited in answer engines.   I was at a networking event this morning in the city and multiple people said that LinkedIn is the only social media they regularly consume these days (myself included).    I’ve been posting here for years and if you scroll my post history back for years then you can get a surprisingly good understanding of me as a person and the evolution of my career.   Thanks to Axios  for covering our new research on how often LinkedIn is cited! Great job on this Layla Baradaran and Davis McCain  Brandon P.</t>
  </si>
  <si>
    <t>New in Profound Agents: Gamma integration.  Automatically create AI-generated presentations with Gamma directly with your marketing agents.  Link in comments for more info on the integration</t>
  </si>
  <si>
    <t>Sophie Piacentini  Hey %FIRSTNAME%,  I’ve been following %COMPANYNAME% for a while, so I wanted to reach out. Profound helps SEO leaders and professionals improve AI visibility, which translates into more traffic, leads, and customers.  Top brands like US Bank, Chime, Indeed, and Zapier trust us to help them grow.  Get your free AI Search Report for %COMPANYNAME%. See where you stand and what to do about it.</t>
  </si>
  <si>
    <t>marketing for the ai era.</t>
  </si>
  <si>
    <t>New research from Profound:  LinkedIn has gone from #11 to #5 on ChatGPT's most-cited domains in three months -- the largest shift in domain authority we've tracked this year.  Answer Engines are pulling more heavily from published content on the platform: posts, articles, and newsletters.   Read the full research about LinkedIn for Marketing - shoutout Davis McCain and Brandon P.: https://lnkd.in/e3Vm_yzZ</t>
  </si>
  <si>
    <t>If you told me just 7 months ago when I joined Profound that I'd be filming a video about how the most innovative marketers on the planet are using Agents in Profound to do their jobs 10x faster and better I'm not sure I would've believed it.   (James Cadwallader and Dylan Babbs definitely would have)  Our customers have pushed us in unbelievable ways.  I can't wait to share more on what our incredible product, engineering, data science, and design team is building and how marketers are elevating their brands in new ways with it.  If you're a marketer and want to learn more -&gt; please reach out / let me know what you think in the comments  If you're interested in joining the Profound team, please let me know as we're hiring across the board.</t>
  </si>
  <si>
    <t>You may have already heard some news... but super excited to announce that Profound raised $96M at a $1B valuation to build a marketing platform for the era of AI.   Incredibly proud of this team and the work that got us here.  Now back to work.   https://lnkd.in/eMuZPVaa</t>
  </si>
  <si>
    <t>I pulled 667k ChatGPT conversations from our database to figure out when the model actually searches versus just answering from training. Segmented by intent, here's what came back:  - Commercial queries: 53.5% web search rate - Informational queries: 18.7% web search rate - Generative queries: 8.9% web search rate  Overall: 17.4% web search rate  Most teams I talk to are already prioritizing commercial prompts, so this confirms that instinct. But now you have an actual ratio to work with: roughly 3:1 toward commercial makes sense given what's actually winnable.  Here's what I mean by winnable: I think of web search % as the size of the arena. It's the percentage of queries where your content can even step into the ring. Outside that percentage, the model answers from training data alone, with no chance to influence it in real time.  But I keep staring at that 18.7% informational web search % because I don't think it stays there.  Browsing is exponentially cheaper than inference: you can run hundreds of web searches for the compute cost of one GPT-5.2 response. At the same time, every major model provider is compute-bottlenecked and also bleeding money. The obvious move they can make is towards smaller models paired with more retrieval, let the web do the work (which will look something like Google AI Overviews imo).  OAI is not launching commerce and tool features because they're bored. They're building toward lean models that orchestrate retrieval rather than brute-forcing answers from 1.7 trillion parameters.  If we’re watching the lowest retrieval rates this industry will ever see, what does using an answer engine look like a year from now? 👀</t>
  </si>
  <si>
    <t>The way we use the internet is about to completely change  I've been watching this shift for months.  AI chatbots like ChatGPT and Perplexity now handle over 5% of all US desktop search traffic. A year ago, that number was 1.3% (384% YoY growth)  This is a complete platform shift  We're moving from just SEO (search engine optimization) to AEO (AI engine optimization), and most marketers are left wondering what to do  Engineers have Cursor Designers have Figma Marketers now have Profound  Profound just raised $96M (Series C)  They work with companies like Figma, US Bank, MongoDB, and Chime - helping them show up when people ask AI for recommendations  Consider this: When someone asks ChatGPT 'what's the best CRM for startups,' your brand either shows up or it doesn't…. There is no page 2 to rank on  Profound tracks how your brand appears across ChatGPT, Perplexity, Gemini, Grok, then helps you create content that these bots actually understand and cite  They provide an army of autonomous workers that collaborate with every function of your marketing team, from AEO/SEO and content teams to PR, Comms, and Demand Gen   For the first time ever, marketers are creating content for bots, not humans  WILD that this exists now.  Check it out: https://lnkd.in/eYVJ3Fu8  #ProfoundPartner</t>
  </si>
  <si>
    <t>🔎 The team at Profound just published new research on one of the biggest questions in AEO right now: - A popular theory has emerged across some SEO and GEO communities: if you want your content to show up more in ChatGPT, Perplexity, and other AI tools, serve Markdown instead of HTML to their crawlers.   - The logic seems sound, Markdown is cleaner, more structured, easier for LLMs to parse. Several high-profile sites reported gains after implementing the switch.  - But most of these stories have been anecdotal.  - So we decided to run a thorough, controlled test (link in comments below)  TL;DR: We A/B tested 381 pages across six sites. Markdown pages saw ~1 extra median bot visit over three weeks. Not nothing, but not the game-changer some have hypothesized. Huge shoutout to Brandon P. for this incredible work.</t>
  </si>
  <si>
    <t>Shopify powers a massive share of D2C e-commerce. And until now, every one of those brands has been locked out of understanding how AI Agents discover and recommend their products.  The reason is technical but simple: Agent Analytics requires server log access. Shopify doesn't expose server logs to merchants. Full stop.  We've been hearing this from brands for over a year. 'We see ChatGPT driving revenue. We can see it in our attribution. But we can't see what's actually happening on the AI side.'  Now they can.  With partners like Nostra AI, whose edge infrastructure sits in front of 300+ Shopify stores, we've unlocked full Agent Analytics for Shopify brands.  Omnilux, the world leader in medical-grade LED light therapy, was the first brand to go live. Their team had spent weeks trying to configure the integration manually through Cloudflare. With Profound and Nostra working together, it took 98 seconds. Zero engineering effort from the brand.  Since working with Profound, Omnilux has seen their LLM-attributed revenue grow from ~1% to 3% of total revenue, and climbing.  Shopify is rolling out agentic shopping. AI Agents are going to browse, compare, and buy on behalf of consumers. The brands that understand how those agents see them today will have a massive advantage tomorrow.  If you're a Shopify brand and you've been wondering what AI Search means for your business, you now have the answer.  Link to the full case study in comments.</t>
  </si>
  <si>
    <t>When we created Profound 18 months ago, we watched customers take our data and insights and then jump to separate tools to act on it. So we made the full suite in-house. Now you can do everything in one platform with Profound Agents.</t>
  </si>
  <si>
    <t>I put together a 2,600+ word AEO guide covering everything I've learned about making your brand visible to AI. Here's what's inside:   → How AI decides which brands to cite (based on 700K+ ChatGPT conversations analyzed by Profound)  → The 5-step AEO playbook: Analyze, Create, Distribute, Measure, Iterate  → A full technical checklist: llms.txt, schema markup, AI crawler access  → A 90-day adoption roadmap with week-by-week action items  → A copy-paste Claude prompt that scores any page's 'AI citability' on a 35-point scale   Want the full guide?   1. Comment 'AEO guide' below.  2. Send me a connection request  I'll DM it to you!</t>
  </si>
  <si>
    <t>I just tracked Reddit citations across 100M+ ChatGPT responses, I found that Reddit is massively competitive and it's not going away:  Reddit (currently in 2nd place) is sitting at 3.3% of all ChatGPT citations while Wikipedia (currently 1st) is at 3.9%. That’s only a 0.6% gap.   Six months ago, Wikipedia was at 11% and Reddit was barely visible at 1%.  The crossover happened in August when both sources hit 5.6%. Since then, both dropped (part of that broader citation adjustment everyone saw), but Reddit held up much better than Wikipedia did.  My big takeaway here:   Reddit will be permanent in AI search because it represents its own class of information. It's the human layer: what people actually think about products. Your site has the official specs and features. Reddit has the discussions, comparisons, and actual user experiences. ChatGPT needs both.  This is why there's no cannibalization risk between Reddit and brand websites. (And why spamming Reddit with promotional content is pointless: OpenAI uses Reddit specifically because it's where people share real experiences)  The citation mix can change overnight, we've watched it happen with Reddit 3 times this year. But Reddit's role is fundamentally locked in: how ChatGPT understands what humans actually think. Reddit changes when OAI under/overweights on the human side.  So, if Reddit overtakes Wikipedia before year-end, what does that mean for how we think about AI visibility strategy? 👀  Btw, this convergence is just one piece of what we discovered in our full research piece we created in collaboration with Reddit, Inc. (Link in the comments!)</t>
  </si>
  <si>
    <t>You heard it first on TBPN: Profound now supports more than 10% of the F500, helping thousands of marketers understand and control how AI talks about their brand.</t>
  </si>
  <si>
    <t>Incredibly excited to announce our annual conference, Zero Click by Profound 2026, kicks off in San Francisco on April 8, then returns to our home base in New York on June 11.  - The world’s leading conference on AI Marketing and AI Search. - Leaders from brands like Reddit, Inc., Figma, Gamma, Expedia, Ramp, PartnerStack, U.S. Bank and G2.  More headliners dropping soon.   You won't want to miss this one.   Zero Click 2026 📍San Francisco: April 8  📍New York: June 11  Request your spot → tryprofound.com/zeroclick  PS: We are giving away 5 guaranteed spots to people who comment below with “Zero Click”</t>
  </si>
  <si>
    <t>It's time for Zero Click Round 3 and 4!  Incredibly excited to announce our in-person conference, Zero Click by Profound 2026, is back for TWO more sessions: San Francisco on April 8th and New York on June 11th.  - The world’s leading conference on AI Marketing and AI Search. - Leaders from brands like Reddit, Inc., Figma, Gamma, Expedia Group, Ramp, PartnerStack, U.S. Bank and G2. More headliners dropping soon.   You won't want to miss these.  🌁 San Francisco: April 8 🗽 New York: June 11  Request your spot in the link in the comments</t>
  </si>
  <si>
    <t>We’ve raised $96M in Series C funding at a $1B valuation, led by Lightspeed.  Grateful to our team, customers, and investors for their trust and partnership over the past 18 months.  We're excited for the next chapter of our journey: building AI agents for marketers.</t>
  </si>
  <si>
    <t>LinkedIn ads have a reputation for being pricey.  But when you think about it, what does pricey even mean and do you have the right context?  Because, when you're only factoring in regular CPM, then yes, LinkedIn can come out more 'expensive' than the likes of Meta, X etc.  However, what most don't think about are the price per 1.000 qualified/ICP impressions, which in many cases are cheaper here compared to other platforms.  Additionally, when you're showing up on LinkedIn you know people are already in the right mindset. People come here for learning and inspiration on things related to their professional life and it's such a huge difference to anywhere else.  So yes, LinkedIn can be 'expensive' if you just use it to show ads to everyone, but cost-effective if you focus on who matters most.  And even if you were to show ads to a broad selection of people, they'd still be in the right mindset for you to influence them more easily.  Let's get it! 💪</t>
  </si>
  <si>
    <t>We’ve raised $96M in Series C funding at a $1B valuation, led by Lightspeed alongside Sequoia Capital, Kleiner Perkins, Evantic Capital, Saga Ventures and South Park Commons.   Grateful to our team, customers, and investors for their trust and partnership over the past 18 months.  We're excited for the next chapter of our journey: building AI Agents for marketers.</t>
  </si>
  <si>
    <t>Why is your organization running its community engagement program?   Is it because of:   - A new leader with a new vision?   - A regulatory requirement?  - A decision around brand positioning?   - A strategy to grow into a new market?   Or something else? The best community engagement programs start with the community in mind.   And the most effective programs have structure and core business integration.   Read on to learn how to break free from disconnected tactics and frustrating results:   https://lnkd.in/dZczuvu2</t>
  </si>
  <si>
    <t>100× increase in AI-driven revenue.  Watch how GR0 is using Profound to turn AI Search into a scalable, revenue-driving channel for their clients, from F500 to emerging DTC brands.  🎥 ft. Kevin Miller, Co-founder &amp; CEO, and Angela Bergmann, Director, SEO &amp; AI Search at Gr0.  Full case study coming soon.</t>
  </si>
  <si>
    <t>We have 91 open positions at Profound  https://lnkd.in/ekF4k6Wy</t>
  </si>
  <si>
    <t>Most manufacturing improvements increase activity—but not profitability.  In this live leadership session, learn how successful Indian manufacturers align sales, operations, inventory, and cash flow to scale profitably.  Led by Imran Shaikh (Ex-CXO, Business Consultant &amp; Board Advisor), this session focuses on what to fix first to regain control and predictability.  🗓 14th March | Zoom Live 💰 Entry fee: ₹199</t>
  </si>
  <si>
    <t>You're going to see Profound alot today. They just raised $96M at a $1B valuation. Your founder might even ask you about AEO (again) after they see the news. And rightfully so.  A lot of marketers have been crossing their fingers on AI visibility, delaying buying a product to help, or looking at analytics here but taking no action.  The reason investors are betting big on this space is that a lot of things are converging right now: → Discovery is moving beyond search engines, but many teams are still crossing their fingers on AI visibility  → Your website will matter less and less to humans and more and more to LLMs; they're the new front door to discovering and buying products → You need to move at AI speed now, especially on manual work. Agents are how you get there.  Profound sits at the center of all of this. And 10% of the Fortune 500 already use it, from Figma, to Walmart and U.S. Bank.  The raise also comes on the same day they launch agents (not a coincidence). This is the next chapter for AEO. You don't just need to be looking at this data. You need to be building for it.  Agents let you take action on what's next right from the tool. No more 'here's a bunch of stats, now what?'  I'm bullish on Profound.  I use it, I recommend it to my advisees, and I'm excited to start building out agents...more to come on what I build.  #profoundpartner, customer &amp; fan.  Register for their agents Webinar on Wed March 4 here: https://lnkd.in/gUGmy45Y</t>
  </si>
  <si>
    <t>Profound Agents continue to get more powerful with additional integrations being added everyday. Today we're pleased to announce our integration and with Contentful, one of the leading industry headless content management systems.  Available in Profound Agents for all Enterprise users: create, update, get, list all of your content.  Congrats to Rohan J. on this ship - he put this together at fractal speed. Stay tuned for what's coming next.  Link to learn more in the comments</t>
  </si>
  <si>
    <t>The technology exists. The ROI is proven. So why aren't more IBM i organizations adopting agentic coding? It's not a technology problem...it's an organizational one.  The most common barriers we see: 🚧 Leadership doesn't understand the difference between agentic AI and traditional automation 🚧 Teams fear AI will replace jobs instead of amplifying capabilities 🚧 Budget holders see 'AI' and assume massive infrastructure investments 🚧 IT is buried in maintenance work with no bandwidth for evaluation  The gap between IBM i organizations thriving with AI and those struggling isn't technical capability. It's organizational readiness.   Learn how to overcome organizational resistance to agentic coding → https://lnkd.in/e3GvdiFk   #AgenticCoding #ChangeManagement #ProfoundLogic #Futurization #AIAdoption #ITLeadership</t>
  </si>
  <si>
    <t>Profound 🤝 Calendly   Proud to partner with a company transforming how the world schedules.  'Helping our customers protect their time, monetize their expertise, and strengthen their relationships is core to how we're building Calendly. Profound helps us understand how people are researching these business solutions through AI, so we can show up with helpful content at the moment someone is looking for answers.' Krista Sohmer, Website Strategy Lead at Calendly.  Thank you for your partnership, Krista Sohmer and Calendly team.</t>
  </si>
  <si>
    <t>Excited to share our partnership with CRS Credit API, the all-in-one platform for credit data, fraud, and compliance, powering thousands of fintechs, lenders, and screening providers.  As inbound growth from paid advertising slowed, CRS saw demand shifting to Answer Engines like ChatGPT and Grok. With AEO being new territory, they needed a partner to provide prescriptive guidance and translate data into action.  CRS and Profound built a repeatable content system using Answer Engine Insights to surface high-impact opportunities. The result: 20× increase in AI search visibility and 15%+ pipeline lift from AI-driven traffic.  “Profound isn’t just giving us a dashboard to monitor: we’re getting strategic counsel on how to adapt as answer engines evolve and how to optimize our content for LLMs,” said Ronak Patel, Head of Marketing at CRS Credit API.  We’re proud to partner with the CRS team as they move quickly and push the boundaries of discoverability in a zero-click internet.</t>
  </si>
  <si>
    <t>Sophie Piacentini  Hey %FIRSTNAME%,  I’ve been following %COMPANYNAME% for a while, so I wanted to reach out.  Ramp used Profound to increase AI brand visibility 7X for its Account Payable solution. Other top brands like US Bank, Chime, Indeed, and Zapier also trust Profound to improve their AI visibility so they can get more traffic, leads, and customers.  Get your free AI Search Report for %COMPANYNAME%. See where you stand and what to do about it.</t>
  </si>
  <si>
    <t>Why is your organization running its community engagement program?   Is it:   - A new leader with a new vision?   - A regulatory requirement?  - Brand positioning?   - A growth strategy?   Or something else? The best community engagement programs start with the community in mind.   And the most effective programs have structure and integration - they aren't just delegated into a small team's role.   Read on to learn how to break free from disconnected tactics and frustrating results:   https://lnkd.in/gQ5cJ5rz</t>
  </si>
  <si>
    <t>🚢 Big ship today as part of Profound Agents: Knowledge Bases.  AI agents are powerful for marketing teams. But without the right context, they can confidently get your brand completely wrong.  A Knowledge Base gives your agents a single source of truth for your brand. Upload your style guides, product specs, blogs, compliance docs, webpages, or even your full sitemap. From that point on, every agent can reference the same accurate, up to date context before taking action.  Fortune 500 teams are using Profound Knowledge Bases to: 1. Protect brand voice and messaging 2. Monitor and correct misinformation in AI search results 3. Verify generative content before it hits their CMS 4. Automatically enforce compliance and required disclaimers  If you are building agentic workflows for marketing, context is not optional. It is the difference between scale and chaos.  Live for all enterprise customers starting today. Shoutout to the killer team for this launch: Joshua Prunty and Edgar Ambartsoumian.  More details in blog linked in comments.</t>
  </si>
  <si>
    <t>Thank you to Allison Smith at Modern Retail for including Profound in your coverage of how Amazon sellers are adapting SEO strategies for AI Search.  Josh Blyskal shares how Profound is helping our brand partners increase traffic and drive meaningful revenue growth in AI-powered shopping experiences.  Read the piece in the comments👇</t>
  </si>
  <si>
    <t>You're successful and growing. But you don't have a senior HR team to properly process executive leadership hiring. That's where we come in.   We've helped hundreds of mid-market companies in this exact situation, bringing best-practice methods, senior insights, and a robust network to the table to deliver exceptional candidates.  Let's find your next leader.   Connect with us at beprofound@profoundtalent.com</t>
  </si>
  <si>
    <t>I joined Riding Unicorns to talk about what I believe is the biggest shift since the birth of the internet.  Search is no longer about humans clicking links... It’s about AI agents deciding what gets surfaced.  In the episode, we cover: - Why AI visibility ≠ SEO - How user agents change discovery and competition - What advertising inside AI Search will look like - Why SEO teams will become the heroes of marketing  We also talk about building Profound from first principles and why this is the last company I’ll ever build.  Give it a listen and comment your biggest takeaway.</t>
  </si>
  <si>
    <t>At Profound, we’re honored to partner with Charlotte Tilbury Beauty, an iconic global beauty brand setting the standard for AI Search.  Great to see Cosmetics Business spotlight how Charlotte Tilbury is winning in this new era of discovery.  “At Charlotte Tilbury, our website is more than just a shop, it’s a destination for beauty expertise. Profound enables us to build authoritative content at scale, generating strategic briefs that ensure when someone asks AI for beauty advice, Charlotte Tilbury is the trusted answer,” said Kishan Pattni, Director, AI &amp; Data.  Proud to partner with a team that’s redefining how brands earn trust and visibility when consumers turn to AI for answers.  https://lnkd.in/eR-TpWJU</t>
  </si>
  <si>
    <t>Every social platform has a different citation pattern in ChatGPT. Profound analyzed 238,637 social media citations from ChatGPT and broke down the top cited content type per platform.  Outside of Reddit, the results are not what most people would expect: 👉 Reddit: Discussion threads (99.2%) 👉 YouTube: Channel pages (64.9%) 👉 LinkedIn: Personal profiles (46.9%) 👉 Instagram: Reels (36.5%)  YouTube is the one that surprised me most. ChatGPT cites channel pages 65% of the time. Individual videos? Just 2.3%. It's citing creators as authorities, not specific content.   LinkedIn citations go to people, not companies. Personal profiles get cited at more than double the rate of company pages. If your AI visibility strategy on LinkedIn is running through your brand page...sorry. It's probably not your decision anyway.    Instagram is the only platform with no dominant format. Reels edge out profiles and posts, but just barely. It's genuinely balanced, which actually makes it the most resilient across different AI models.  Here's what I think this means strategically:  You can't run one social playbook for AI visibility. Each platform has a completely different citation pattern:   Reddit = the thread.   YouTube = the creator.   LinkedIn = the person.   Instagram = the post.</t>
  </si>
  <si>
    <t>Want to pile on here because we've been seeing the exact same thing.  I presented this data at TechSEO Connect in early December: listicles were already sliding as a citation source in AI search.  Blogs/opinion: increased from 23% to 34.2% of AI citations Listicles: dropped from 35% to 27.3% of all AI citations  Blogs are now the top cited content category, listicles aren't.  What Lily Ray has been surfacing from the Google side lines up perfectly. Self-promotional listicles are getting repriced in traditional search AND AI search. Same direction and story.  This is a case of a single strategy carrying too much weight.</t>
  </si>
  <si>
    <t>Discovered at grid position #1695. Verified Ad Details URL. Format: Single Image Ad.</t>
  </si>
  <si>
    <t>Discovered at grid position #1696. Verified Ad Details URL. Format: Single Image Ad.</t>
  </si>
  <si>
    <t>Ran from Feb 12, 2026 to Apr 13, 2026</t>
  </si>
  <si>
    <t>Discovered at grid position #1697. Verified Ad Details URL. Format: Single Image Ad.</t>
  </si>
  <si>
    <t>Discovered at grid position #1698. Verified Ad Details URL. Format: Single Image Ad.</t>
  </si>
  <si>
    <t>Discovered at grid position #1699. Verified Ad Details URL. Format: Single Image Ad.</t>
  </si>
  <si>
    <t>Discovered at grid position #1700. Verified Ad Details URL. Format: Single Image Ad.</t>
  </si>
  <si>
    <t>You can now produce incredible marketing with Agents at Profound!  New Ship from the team 🚢 :  Below is a peak into Profound Data nodes, which the best teams are using to infuse AI visibility and citation data into content that increases visibility for their brands, products, and services.  If you'd like a personal demo please reach out in the comments or DMs and I’ll get it set up.</t>
  </si>
  <si>
    <t>Only 2.6% of earned media citations in AI search come from Tier 1 publications. I pulled from a dataset of 27 million citations across ChatGPT, Gemini, AI Overviews, Perplexity, Copilot, and Claude to figure out where they're actually coming from:  - 2.6%: Tier 1 media (AP, Bloomberg, etc.) - 97.4%: everything else in earned media  That 97.4% is trade publications, niche industry blogs, specialist review sites, regional outlets, vertical-specific media. This is where answer engines are actually pulling their citations at scale, and at n=27 million, the signal is clear.  The prevailing playbook in comms right now is: get into Tier 1 outlets, win AI visibility and brands are focusing accordingly. But the data says that entire strategy is optimizing for roughly 3% of their earned media citation surface area. That's a lot of budget aimed at a very small target.  Here's what I think is actually going on (and let me know your thoughts below):  1. Tier 1 publishers have spent the last two years aggressively blocking AI crawlers, filing lawsuits, and negotiating licensing deals. A large part of me thinks the system is working as they intended: they don't want to be cited.  2. Answer engines don't reason in media tiers. When ChatGPT is resolving 'best ERP system for mid-market manufacturers,' it's completely indifferent to whether the source is the Wall Street Journal or a specialist manufacturing technology blog.  And this is where I think the real shift is, one that goes way beyond 'focus more on niche publications':  For 50+ years, Tier 1 media has bundled two functions together: Discovery + Validation  Forbes got you found and Forbes made you credible. This data is the first hard evidence I've seen that AI search is unbundling them.  Discovery has moved. It's being routed through niche publications, trade media, specialist review sites, the entire long tail that accounts for 97.4% of citations. That's where AI is going to find the answer to a buyer's question.  But Validation hasn't moved. You still want the Forbes logo on your homepage. You still need the WSJ hit for your Series B deck. Investors, board members, enterprise buyers doing final diligence, they still check Tier 1, that function is intact.  The problem is that most PR budgets are structured around discovery. And if discovery has migrated to publications that cost a fraction of Tier 1 placements, then earned media is fundamentally misaligned right now.  Niche publications are delivering multiples of the AI visibility at a fraction of the cost, and almost nobody is allocating against that because they're still operating on the old bundled model.  I believe the moment niche publishers see their own citation data (and they will soon btw) their standing will increase. Brands that refocus now'll get coverage that quietly earns outsized AI visibility.  What happens to the PR industry's economic model when media is valued by citation impact instead of circulation? 👀</t>
  </si>
  <si>
    <t>The 2026 Profound Autism Summit will feature leaders advancing autism genomics, brain development research, health data science, epilepsy research, and clinical care for individuals with complex support needs.  A serious, inclusive agenda — grounded in science and shaped by lived experience.  🔗 Learn more: https://lnkd.in/eShkN75b  #ProfoundAutism #AutismSummit #InclusiveResearch #AutismCommunity</t>
  </si>
  <si>
    <t>Profound analyzed 700,000+ ChatGPT conversations to understand citation patterns.  Here are our takeaways:   The first question determines everything. Opening questions are 2.5x more likely to generate citations than turn 10. If you’re not cited in the initial response, you’ve already lost.  Wikipedia dominates with citations in 1 out of every 6 conversations. The real question isn’t whether you can beat Wikipedia. It’s whether you’re the brand cited immediately after it.  Citations cluster. ChatGPT cites direct competitors together. Redfin and Zillow appear side by side in 28% of conversations citing either brand. Glassdoor and Indeed co-appear in 29% of their citations.  Your competition isn’t just for visibility. It’s for context proximity to the category leader.  Shout-out to Brandon P. on the research. Read the full analysis in the comments 👇</t>
  </si>
  <si>
    <t>The Profound Agents team has been shipping A TON of new features the past few weeks and I'm so hyped to share what teams are accomplishing with them.  Below is a peak into our Profound Data nodes, which marketers are using to infuse AI visibility and citation data into content that increases visibility for their brands, products, and services.  Stay tuned, over the next few weeks I'm going to be sharing more on the latest of what's coming, but if you'd like a personal demo please reach out in the comments or DMs and we'll get that set up!</t>
  </si>
  <si>
    <t>Thank you Jim Squires (EVP, Marketing &amp; Growth) at Reddit, Inc. for including Profound in “The Secret to Brand Visibility in the LLM Era” piece in ADWEEK.   Great to see our research spotlighted on how credibility, human context, and real engagement influence visibility in AI Search.  Check out the article in the comments 👇️</t>
  </si>
  <si>
    <t>The team has been shipping like crazy in our Profound Agents product (our AI agents tool for Marketers). A big area we've been investing in is integrations for content management systems (CMS) so that you can automatically publish content created in Profound to your owned sites.  Both Sanity and WordPress are now live inside the product. These two integrations are just the beginning... lots more coming soon :)  We're super excited to bring additional functionality to our Agents product to help marketers build and deploy ANYTHING... bringing the power for anyone to be to CREATE.  Shoutout to our excellent Agents team for the ship. Without you all, none of this would be possible. Love you all. Jack Traina, Breno Lasserre, Anwith Telluri, Jacob Goldstein, Rohan J., Joshua Prunty, Kirk Xu, Mikael Sargsyan, Edgar Ambartsoumian, Lucas Romero Di Benedetto, Rahib K.    Link in the comments for more info!</t>
  </si>
  <si>
    <t>People are building Agents with Profound and it is incredible to see. Almost every day, our engineering team ships something new and exciting.   Check out this video from the incredible Garrett Gomez from our team talking through some of the latest:</t>
  </si>
  <si>
    <t>Thank you Rafe Rosner-Uddin and Gregory Meyer at Financial Times for including me in your piece on how agentic AI is reshaping retail.   The future of commerce is agents marketing to agents.  Read the article in the comments 👇</t>
  </si>
  <si>
    <t>Sophie Piacentini  Hey %FIRSTNAME%,  I’ve been following %COMPANYNAME% for a while, so I wanted to reach out.  Top agencies use Profound to improve their clients’ AI visibility so they can get more traffic, leads, and customers.  Capture more traffic for your clients through AI search with Profound.</t>
  </si>
  <si>
    <t>Your business is growing — but profits, cash flow, or execution may not be keeping pace.  Join this FREE Executive Webinar to learn how SME leaders identify profitability leaks, fix execution gaps, and regain control across sales, operations, supply chain, and finance.  👉 Click to register. Limited seats.</t>
  </si>
  <si>
    <t>This clip is a must-watch for anyone in marketing.  I genuinely think most people are still underestimating just how much the internet is about to change…  Sonya Huang’s take that software will switch  from “product led growth” to “agent led growth” is inevitable.  Agents will browse and decide on our behalf. How they interpret your brand, products and services is determined by the content that exists on the open internet (this is quite literally the case today).  Combine this with the recent stat (below in comments) that Google Referral traffic dropped by a third in 2025; and it’s clear that this change is already well underway.  Profound is the platform used by marketing teams globally to understand and control how your products are surfaced by agents.</t>
  </si>
  <si>
    <t>Who’s actually shaping the AI answers about your brand?  Answer Engines pull from media, institutions, and social platforms they favor more.  We just rolled out enhanced Citation Categories in Profound's Answer Engine Insights.  You can now see: • Your domain vs. media, institutional, and social sources • Editorial coverage vs. social mentions • Where competitors are getting cited and you’re not  If you want to influence AI Search, start by understanding what domains already do.</t>
  </si>
  <si>
    <t>Happy 2026! We're back in the office already shipping. Today, we're rolling out Brand Relevant Prompts in Profound's Prompt Volumes.  Keywords tell you what users ask, but not when your brand is actually chosen as the answer. Brand Relevant Prompts highlights the exact prompts where Answer Engines cite your brand or your competitors, helping you understand which prompts drive citations, who you compete with at the answer level, and where opportunities exist when others appear and you do not.  Shoutout to the team for this excellent ship: Joshua Prunty, Ali Vaghar, Ralfi Berk, Gabrielle Gayles, and Dimas T.!  Read more in comments below</t>
  </si>
  <si>
    <t>With the launch of Google UCP, it's pretty clear that AI Agents are now 'shopping' your PDPs. In response, Profound just launched the PDP FAQ Generator workflow.   This is a new automation that scrapes your product info, researches real-time search intent and builds AEO-optimized FAQs in seconds.  Marketing is changing, and Profound is the platform that keeps you ahead of the curve.</t>
  </si>
  <si>
    <t>What makes this chart even crazier, is that even personally I’ve found myself starting to use Gemini more often.   ChatGPT is still my day-to-day workhorse - but I find that if I need a really good answer, or am working on something important, I will often run the same prompt through Gemini.  The Gemini response is increasingly beating out ChatGPT too! I say this as a ChatGPT super-user 🤯   Interested to hear if others are experiencing something similar.</t>
  </si>
  <si>
    <t>Marketing teams are using Workflows to fundamentally change how they operate and scale.  'I was delighted when I saw Workflows demoed at Zero Click by Profound's NYC event, and it’s even more exciting to now have it in our hands.  Profound Workflows open up possibilities that enable our SMEs to focus on the innovative work that truly requires human attention,' said Fiona Erickson, SEO Lead at MongoDB.   Workflows unifies research, content creation, approvals, publishing, and measurement into one automated, repeatable system built for modern SEO and content teams.  The result: Less time managing tools. More time driving visibility and demand in AI search.</t>
  </si>
  <si>
    <t>Thank you Jason Del Rey at The Aisle for featuring Profound in a deep conversation on the rapidly evolving world of AI visibility and agentic Search.  The discussion explores:  - Why AI visibility is fundamentally different from traditional SEO - How user agents are reshaping discovery, ranking, and competition - What advertising inside AI-powered search and chat interfaces will look like - Why SEO teams are well positioned to lead the next era of marketing - How Profound differentiates as the category rapidly crowds - How Profound avoids “AI slop” by using context-rich, data-driven inputs to produce high-quality AI marketing  As AI becomes the primary interface for discovery, this conversation breaks down what actually matters for brands navigating the shift and where the real signal sits beneath the hype.</t>
  </si>
  <si>
    <t>Expectations around social impact are rising, but too many organizations aren’t set up to meet them.   Efforts fall flat when they rely on goodwill instead of strategy.   The H.O.P.E. Framework brings structure back into the work—helping leaders align their teams and build initiatives that actually endure, and bring ROI and goodwill to your efforts.  Preview the 4-step approach guiding organizations into 2026.</t>
  </si>
  <si>
    <t>The rollout of Profound Workflows over the past 7 days has been very exciting so far. This new toolset gives advanced marketing teams the ability to leverage the rich data in our platform, combine it with external data sources, and create marketing automation at scale. There are hundreds of content builders and automation tools on the market. What makes Profound Workflows different is the integration of our data.  In AI-driven marketing, context is the number one input that determines quality.  The marketing team at MongoDB is widely regarded as one of the most sophisticated in the world, so naturally, we were keen to get Fiona Erickson, (SEO Lead @ MongoDB), hands-on with early beta access. It has been incredibly exciting to see how Fiona and team are already using Profound Workflows, even at such an early stage, to do genuinely impressive work.  Profound Workflows is about to improve 100x as we roll out hundreds of new ideas, integrations, and mini-features, so expect more updates like this.  It's truly an honour to work with our customers to build the future of marketing technology together.</t>
  </si>
  <si>
    <t>Today we're introducing the Profound Resource Center.  You can explore all of our resources in one place: white papers, webinars and recordings, upcoming live events and recaps, and articles.  Never miss an update from Profound. Check it out.</t>
  </si>
  <si>
    <t>Thank you Patrick Coffee at The Wall Street Journal for the inclusion in your piece on how AI Search is reshaping, rather than replacing, traditional SEO.</t>
  </si>
  <si>
    <t>Sophie Piacentini  Hey %FIRSTNAME%,  I’ve been following %COMPANYNAME% for a while, so I wanted to reach out.  Top agencies like Edelman, Dentsu, and Wpromote trust Profound to improve their clients’ AI visibility so they can get more traffic, leads, and customers.  Become the agency that helps clients show up in AI answers with Profound.</t>
  </si>
  <si>
    <t>Sophie Piacentini  Hey %FIRSTNAME%,  I’ve been following %COMPANYNAME% for a while, so I wanted to reach out.  Top brands like US Bank, Chime, Indeed, and Zapier trust Profound to improve their AI visibility so they can get more traffic, leads, and customers.  Get a free Answer Engine Optimization (AEO) Report today to see how your brand already ranks in AI search and how to drive more traffic from it.</t>
  </si>
  <si>
    <t>Today, Profound Workflows is available in public beta to all enterprise customers. A few things I believe:  1/ Every company will eventually use AI to create quality marketing 2/ Avoiding 'AI slop' becomes the challenge every marketer faces 3/ Context is the antidote to 'AI slop' - by feeding AI models original data, context, insights you can create high quality marketing at scale  Profound's platform already surfaces incredible data/insights (context), which can now be transformed into quality marketing via Workflows. Combine this with a suite of integrations and our customers now have a complete workbench to create quality content at scale.  Workflows is an incredibly versatile feature set, which beyond content creation can also automate research, reporting, and more. Our private beta customers have built some incredible workflows and I can’t wait to see what others can create.  Join our webinar on Tue Dec 16 at 1pm EST to learn more. Link in comments.</t>
  </si>
  <si>
    <t>A big thank you to all of our customers who helped Profound land as the #1 choice for Answer Engine Optimization (AEO) in the G2 2026 Winter Report.  If you're a brand or agency looking to market yourself to Superintelligence, Profound is the only option that can give you both:  1) advanced analytics on your presence in Answer Engines like ChatGPT, Gemini, and Perplexity 2) automated creation and workflows tools to automatically build content for AI Agents  If you're interested in working together, visit our website to get started.</t>
  </si>
  <si>
    <t>Profound just got named the AEO Leader in G2's Winter 2026 Report.  I'm not going to lie, this one hits different.  A year ago, we were explaining to people what AEO even meant. Six months ago, we were still getting 'is this real or just hype?' Now G2 has an entire category for it, and we're leading it.  If I could emphasize one thing, it would be this: that every single data point, every analysis, every piece of content created from workflows came from listening to you, our customers. The analytics suite exists because you genuinely need to understand what's happening in AI search. Workflows exists because once you see the data, you need to be able to act on it to create content that increases your visibility and citations.  The teams using Profound right now are running AEO strategies that are working. They're seeing their brands show up in AI responses while their competitors are less visible. That satisfaction score isn't limited to being about UI or our customer service (though both are good), it's about the fact that this actually moves the needle.  The space is real now, the tools exist, the playbook is getting written; thank you all for being part of this journey...  ...because we're only just getting started together.</t>
  </si>
  <si>
    <t>I thought this was an interesting slide from Josh Blyskal's latest presentation at Tech SEO Connect last week</t>
  </si>
  <si>
    <t>Very excited to share that Profound was just named the AEO Leader in G2’s Winter 2026 Report. Over 140 customers took the time to write detailed reviews about how Profound is helping them navigate the shift to Answer Engines - which really means so much to me and the team. We have so much more to do, so will not over-celebrate this - but I am extremely proud of the team for building something people love and thankful to all our customers who push us every day to build more and ultimately push harder! Onwards.</t>
  </si>
  <si>
    <t>Today, I'm super excited to announce Profound Workflows is available in public beta to all enterprise customers! Workflows is the the automation layer for content operations in the era of AI Search.  Profound has more data on how AI Agents surface brands to consumers than any other platform on earth combined.  With this data, we created playbooks that have helped our 1000+ customers win in AI Search and beyond.  But executing these playbooks was too manual. So we built a way to automate from scratch.   Profound Workflows is the first and only content automation technology for marketers with access to: 1. Prompt volumes from real users 2. An agent analytics platforms that measure how bots are citing your webpages  Combine this with a suite of integrations and marketers now have a complete workbench to continue pushing the bounds of what is possible with their existing resources.  With Profound Workflows, marketers can automate research, reporting, content creation, and more. Our customers have built some incredible workflows during private beta and I can’t wait to see what the rest of our innovative customers build.  This is just the beginning.  To learn more, join our webinar on Tues Dec 16 at 1pm EST to learn more. Link in comments below.</t>
  </si>
  <si>
    <t>Query fanout is alive and well. A recent study we carried out shows how one prompt in AI Answer Engines like ChatGPT will on average trigger 2-3 separate web searches by User Agents. How a website is viewed by the User Agent during this moment will determine if the content is sucked into the answer.</t>
  </si>
  <si>
    <t>More than half of community impact initiatives fail in the first year.   The reason? They are built on goodwill and vague metrics instead of business strategy.  The gap? A strategic framework that bridges corporate objectives with community impact—without the guesswork.  Watch our 30-minute training on the HOPE Framework: the system that turns 'nice to have' initiatives into business-critical investments.</t>
  </si>
  <si>
    <t>New launch: ahead of Black Friday, we’re excited to release Shopping Analysis, for marketers who want to understand and control how their products appear in AI Shopping experiences.   Shopping Analysis is now available for retailers, ecommerce leaders, merchandisers, and marketing teams looking to capitalize on the shift to AI-powered commerce.   A big thank you to Trishla Ostwal at ADWEEK  for the exclusive feature and insightful conversation with Trevor Pyle from our team.  Great work team: Sherman Grewal, Joey Loi, Julia Moseyko, Josh Blyskal for pulling this together in record speed ahead of Black Friday coming up!  Link in comments 👇</t>
  </si>
  <si>
    <t>Although it is an honor to be quoted and see Profound mentioned in New York Magazine's latest article called 'SEO IS DEAD' - I have to say that I find the spirit of the headline to be totally wrong. Yes, SEO in the literal sense is 'dead' to the extent that the three letter acronym no longer applies as consumers shifts away from search engines to AI, but the skillset is more alive than ever. AI Visibility (GEO/AEO) is becoming become board-level critical for every company on the planet, and the folks that have been 'doing SEO' for the past 20 years have all of the right muscle groups to help businesses understand and control how they show up  in AI responses - especially, when equipped with bleeding edge technology (like Profound 😉). A hot-take, that I have maintained for a while, is that SEO professionals are arguably positioned to become THE MOST important minds in marketing... *especially, more technical SEO teams*.  Onwards!</t>
  </si>
  <si>
    <t>🚢 Monday ship from Profound: Agent Analytics now integrates with Google Cloud!  This integration brings comprehensive AI observability to GCP's global content delivery network, enabling teams to track and understand how AI crawlers and agents interact with their GCP-hosted content.  Shoutout to the one man army Ian Armstrong for this integration!</t>
  </si>
  <si>
    <t>Announcing Profound’s AEO Brand Audit. A free tool to measure and improve your brand’s visibility in AI answers.  Get a personalized report with: - Visibility Score - Sentiment Analysis - Citation Share - AEO Content Score  If your brand isn’t showing up in ChatGPT, you’re already behind.  We’re giving early access to 100 brands before we launch it publicly.  COMMENT “Profound” to get your free audit today.</t>
  </si>
  <si>
    <t>Are you ready to redefine your limits and achieve what once seemed impossible? Join our free 90-minute MasterClass, 'How to Achieve Impossible Goals,' led by Turo Founder, Shelby Clark. Discover science-backed strategies and actionable tools that empower you to transform crazy ambitions into reality. Your journey to extraordinary begins here.</t>
  </si>
  <si>
    <t>The recap video of Zero Click London last week honestly gives me chills.  I never fully appreciated how much work goes into an event like this until we started hosting them ourselves. The answer is an insane amount of work, stress, planning, and last-minute pivots that somehow all come together. I gave a shoutout to the team on stage at the event, but this event would not have happened without Layla Baradaran putting in absolute WORK.   We landed not one but two massive events in the back half of this year and that's on top of our standard warp-speed pace of product releases, partnerships, research, and other marketing activities we have going on at all times.   I have a lot to be thankful for this week, but working at a place that puts on events of this caliber is definitely one of them.   Watch the recap below and I'll see you at the next one in 2026 :)</t>
  </si>
  <si>
    <t>Sophie Piacentini  Hey %FIRSTNAME%,  Figma, Chime, and SeatGeek use Profound to improve AI visibility and create content for ChatGPT, helping them get more traffic, leads, and customers.  Get a free Answer Engine Optimization (AEO) Report to see how your brand ranks in AI search and get tailored optimizations so you can drive more traffic and customers too.  Takes less than 5 minutes, no demo call required.</t>
  </si>
  <si>
    <t>Sophie Piacentini  Hey %FIRSTNAME%,  Profound helps agencies like %COMPANYNAME% improve AI visibility for clients, which translates into more traffic, leads, and customers.  Top agencies like Edelman and Wpromote trust us to improve clients’ visibility and traffic in LLMs like ChatGPT, Google AI Overviews, and more.  Turn AI search into your agency’s new growth channel with Profound.</t>
  </si>
  <si>
    <t>Sophie Piacentini  Hey %FIRSTNAME%,  Figma, Chime, and SeatGeek use Profound to improve AI visibility and create content for ChatGPT, helping them get more traffic, leads, and customers.  Get a free Answer Engine Optimization (AEO) Report to see how your brand ranks in AI search plus customized content suggestions so you can drive more traffic and customers too.  No demo call required.</t>
  </si>
  <si>
    <t>Sophie Piacentini  Hey %FIRSTNAME%,  I’ve been following %COMPANYNAME% for a while, so I wanted to reach out.  Top brands use Profound to improve AI visibility, which helps lead to more traffic, leads, and customers.  We’re so confident you’ll find value that I’d like to offer a $100 gift card for you to take a demo of the platform.</t>
  </si>
  <si>
    <t>Your strategic investments require exceptional leadership.   For over 25 years ProFound Talent has helped private equity and venture capital firms find the best leaders, with the expertise and experience to grow revenues.  Let's talk about what you need.  Connect with us today at beprofound@profoundtalent.com</t>
  </si>
  <si>
    <t>🚢 Today’s Ship: empowering every Agency to build and grow inside Profound!  Last month we introduced Agency Mode, and today we’re continuing that investment. We now extend full AEO capabilities to agencies of all sizes, not just the big ones.  We’ve heard from so many small agencies and independent consultants who want to build their own AEO practices on Profound. You can now do exactly that.  Trial Workspaces: to pitch prospects Client Workspaces: to serve ongoing relationships Prompt Volumes: to track key topics and opportunities Unified billing and team dashboards: to keep track usage  Self serve agency mode scales as you do. You can spin up new client or trial workspaces directly from the dashboard completely self-serve w/o having to talk to anyone.  Big props to the team for pulling this one together at record speed: Tyler Benning, Joey Loi, Rahib K., Joshua Prunty, and Gary Fishkin!</t>
  </si>
  <si>
    <t>Engineering at Profound has always been about curiosity and craft. Today, we’re making that thinking public.  When we first started, we had only a few hundred thousand prompts; just enough to glimpse how people use AI to ask, explore, and decide. Fast forward to today: we’re parsing hundreds of millions of conversations each month to understand how people use Answer Engines like ChatGPT, Claude, and Perplexity.  Today, we’re opening up a new chapter to share what we’re learning.  We’re launching the Profound Engineering Blog: a place where our engineers, researchers, and data scientists share the systems and discoveries behind what we build.  Our first piece, written by Ali Vaghar and Siddharth Chandrappa, dives into how people use answer engines: from parsing billions of prompts to building classifiers that mirror OpenAI’s own research. It’s part data science, part product story, and a lot of curiosity.  If you’re interested in how we measure the invisible shifts in generative search behavior, this one’s for you.  Full blog in the comments</t>
  </si>
  <si>
    <t>OpenAI just launched Instant Checkout. I’ve spent an hour in their merchant docs and product feed spec, and I think I see the first play here:  First, the basics: It's live now with Etsy, Shopify's coming soon. If you're on either, you're auto-enrolled. Everyone else has to build a product feed, enable their Stripe-based checkout (ACP), and submit a form.  Now, for the strategy: Everyone's first instinct will be to just map their Google Shopping feed over. I think that's a mistake. After reading the spec, it's clear that this isn't a search index, it's moreso a conversational database.  There are no keyword fields, no custom labels and as a result, your usual shopping query SEO won't work 1:1.  Winning in ChatGPT Shopping at this stage may well come down to data density.  Think about how a user asks a question: 'I need waterproof trail running shoes with good cushion for under $150 that will arrive by Friday.' ChatGPT isn't matching keywords. It's breaking that query down across structured fields: [product_category], [description], [price], and [delivery_estimate].  The brand that wins is the one that has provided the most complete, accurate data for every single field. [material], [weight], [shipping], [return_window], [product_review_count] in order to capture all possible long tail queries and query fan-outs.  Let's be honest: most brands won't do this. Their product data is a mess and they won't put in the work to fill out every optional field. The attrition will be massive. But that's the entire opportunity. This is a raw informational advantage for the companies willing to do the boring, detailed work of getting their data into the system.  And I think your [description] field (with its 5,000-character limit btw) is now a really potent long-tail battleground. It's the source material for the AI's answer and it needs to be packed with tons of context.  These are the three tactics I'll be watching:  - Aiming for 100% field completion if its relevant, I'd bet every optional field is more chance to answer a question and fulfill a filter. - Treating your [description] like a knowledge base for your product. - Structuring everything to build your data moat: [material], [color], [size], [weight] etc.  At it's core, this strategy is about feeding the e-commerce agent with the most comprehensive data possible, so that when a user describes what they need, your product appropriately shows up and is the only logical answer.  The docs are at https://lnkd.in/eSPNZc7z, so go and build the most detailed feed you can. Happy hunting. 👀</t>
  </si>
  <si>
    <t>This one’s really cool…  Announcing: The Profound Index. (Link to check it out is in comments)  A public leaderboard showing the top 10 most visible brands in ChatGPT across 12 industries - updated weekly.  It’s the largest public dataset of AI Visibility powered by real AI conversations ever published, built to help brands understand how they’re being represented (and discovered) across AI platforms.  Huge congratulations to the incredible team behind this launch - Nick Lafferty, Siddharth Chandrappa, Ali Vaghar, Ralfi Berk, Joshua Prunty, and Semal Khalil.  We’ll be rolling out Power Ranking Cards soon - comment below what industries you’d like to see added next.</t>
  </si>
  <si>
    <t>The best way to ruin a profitable portfolio company is to hire the wrong executive leaders. That's where you benefit from ProFound Talent's 25 years of executive recruitment experience.  Through our global candidate networks, we guarantee that we will find you experienced executive leaders who can preserve and grow value.  Let's talk.  Reach us at beprofound@profoundtalent.com</t>
  </si>
  <si>
    <t>🚨 Introducing AGENCY MODE 🚨 Profound is already powering some of the world’s biggest agencies - helping them deliver AI Visibility insights and shape how their clients appear across ChatGPT, Gemini, Perplexity, Copilot, and more.  Today we’re making that even easier with the introduction of Agency Mode. Agency Mode gives agencies the ability to move faster, win more clients, and deliver AI insights at scale - all from one dashboard.  With Agency Mode, teams can: 1/ Run custom audits for every client 2/ Create and manage brand environments autonomously 3. View usage and manage subscriptions across accounts  It’s everything an agency needs to bring AI Visibility directly into client workflows.  Agency Mode is live on Profound, today. Get in touch at tryprofound.com to get started.  Big shoutout to Gary Fishkin who drove this project from a vague idea into a fully-fleshed solution in less than two weeks.</t>
  </si>
  <si>
    <t>Introducing the Profound Index: a public dataset of the most visible brands in AI search. Refreshed weekly and grounded by our Prompt Volumes data.   The initial idea for the Profound Index was simple: let's track a bunch of prompts per industry and make the results public.  While the idea may have seemed simple, executing it at scale with a defensible methodology all while making it public facing was not easy.  The key challenge in building an AI visibility index is knowing which prompts to track. That's where Profound's dataset of real user prompts becomes critical.  The Index starts with real conversations from Prompt Volumes, collected from millions of users engaging with answer engines like ChatGPT every day, not hypothetical queries or search data. From there, we map the question landscape for each industry, track brand mentions, and calculate visibility scores that update continuously.  For each industry, we identify relevant user questions through a two-step process combining keyword and semantic filtering. Once we've mapped the question landscape, we collect responses daily from ChatGPT and apply Profound's proprietary entity extraction models to identify which brands appear in each response.  We calculate a visibility score based on the percentage of responses where each brand was mentioned. The rankings update continuously as new data flows in each week.  The Index also includes estimated prompt volumes for each cluster, showing not just where you rank, but how much the conversation matters.  This was truly a labor of love and a massive team effort. Major thanks to Sartaj R., Siddharth Chandrappa, Ali Vaghar, Joshua Prunty, Dimas T., Josh Blyskal, and Layla Baradaran who all played significant roles in getting this project over the finish line.  The Profound Index is now live on our website, check it out and drop a comment with what industry we should add next!  Check out the Profound Index here: https://lnkd.in/gbws-2xH</t>
  </si>
  <si>
    <t>Some things are sacred. Like investments. Like profits. And more profits.   That's why PE and VC firms choose ProFound Talent for their executive leadership recruitment.  For over 25 years we have served private equity and venture capital partners, finding them the exceptional among the ordinary.  Let's talk about how we can help you keep the cash flowing.  Connect with us at beprofound@profoundtalent.com</t>
  </si>
  <si>
    <t>Sophie Piacentini  Hey %FIRSTNAME%,  I’ve been following %COMPANYNAME% for a while, so I wanted to reach out.  Top brands like US Bank, Chime, Indeed, and Zapier trust Profound to improve their AI visibility so they can get more traffic, leads, and customers.  We’re so confident you’ll find value that I’d like to offer a $100 gift card for you to take a demo of the platform.</t>
  </si>
  <si>
    <t>We specialize in helping private equity and venture funding firms  resource portfolio companies with exceptional executive leaders.   With over 25 years in executive recruitment, we know that the only thing you want to see broken are new revenue targets.  Reach us today at beprofound@profoundtalent.com</t>
  </si>
  <si>
    <t>I spent some time in the network logs of OpenAI's new Atlas browser, and there’s a fundamental technical shift here that marketers need to understand:  First, the basics: Atlas is a browser where the ChatGPT is the default interface. It's built to answer questions and complete tasks directly, without necessarily sending you to a URL.  Now the strategy: most marketers' first reaction will be that this just means 'fewer clicks.' I think that misses the real story, which you can only see in the logs. The difference isn't just what Atlas returns; it's how it gets the answer.  Classic ChatGPT works like a souped-up search engine. It runs a series queries, scrapes the snippets, and summarizes them. It's entirely dependent on what a search crawler has already indexed.  Atlas is a fundamentally different machine. It's an agent and it can see and interact with everything (even JS). It's executing DOM clicks on size selectors, dismissing modals, and scrolling through dynamic product grid. It's interacting with the live, JavaScript-rendered front end.  But I think this isn't just about Atlas. This is a clear preview of where Google AI Mode is headed, and a peek into the future of the SERP: led by chat with blue links as secondary information. The user adoption of Atlas itself doesn't matter bc this is the beginning of chat-first browsing and 'agent experience' as an entire pillar of the web.  Winning in this new environment will come down to agent readiness:  Think about how Atlas resolves a query like 'waterproof trail shoes under $150 delivered by Friday.' It isn't sitting around matching keywords, it's executing a task against your live site. If your JavaScript is slow, or your checkout flow is clunky, the agent will fail.  Let's be honest: most brands' front ends are a mess of JavaScript and clunky user flows, many sites will inadvertently block Atlas' bot, and their design is optimized for humans who know how to get around the web, not for an impatient agent. That's the entire opportunity. The advantage goes to the companies who do the unglamorous work of making their sites fast, clean, and scriptable.  These are the strategies I'll be watching:  - Optimizing for agent usability, not just crawler indexability. This is the moment when a fast, scriptable, client-side rendered front end becomes a major competitive advantage. - Treating your website like an API for agents. Every interactive element is a chokepoint that must be fast and reliable. - Doubling down on structured data. Structured data will be the ground truth an agent can use to validate the information it finds on your live site.  At its core, this is about shifting from optimizing for discovery to optimizing for action. The game is no longer just about being found; it's about being usable by an AI.  Atlas is live @chatgpt.com/atlas  Spend an hour looking at how it actually interacts with sites in your vertical.   Happy optimizing 👀</t>
  </si>
  <si>
    <t>There's been a lot of chatting lately about Reddit citations, so I went into our dataset of over 3B+ AI citations to figure out what might be happening and why:  First things first, this citation decrease ONLY happened in ChatGPT. Reddit went from about 7% of citations down to 1%, now increasing to around 3% (more on this recovery in a moment).  The more interesting thing is that NONE of the other models seem to have changed their Reddit citations much over the same timeframe.  There's a lot of discussion going on around the num=100 parameter in Google (which limited bulk search result scraping) and that it might've had an effect on this number, but if it were truly this fundamental shift in web infrastructure causing a shift in how Reddit was picked up, we would expect to see any of the other models cite Reddit less often as well. After all, the scrapers and APIs these models are using for their RAG functionality are in large part built on top of Google SERPS at their origin point.  There's the discussion that these results might've been cached, that we'd soon see other models decrease their Reddit citation shares, but after waiting a month and a half, I'm going to call it and say that the caching hypothesis likely isn't realistic.  So if it's not a technical change or caching, what's really going on?  Here's what I think (and please let me know your thoughts below): this is an example of how relationships and partnerships play a massive role in AI visibility in this era of AEO. It reminds me of this Sinatra quote: 'You're riding high in April, shot down in May...' – but it's actually true in AEO, a domain's relationship with AI models *can* change that fast.  Speaking of relationships: as of October 18th, Reddit citations doubled from around 1.5% to 3%. Maybe there's a deal in the works. Nobody could know for certain, but the timing is interesting...  As for what I think marketers should be doing, I don't think we should rush to leave Reddit or start devaluing it as a result. Times are volatile, but Reddit is still the most cited website overall in AI and is still second in ChatGPT, plus it's still got a massive data advantage in UGC. If AI models want to index on what real people say and think, they'll need Reddit, whether they like it or not.  All of this makes me think: how many other partnership-driven visibility changes are we missing while we're all focused on Reddit's changes? 👀</t>
  </si>
  <si>
    <t>We launched Profound 14 months ago as the world's first tool to measure and control your presence in Answer Engines. We primarily focused on driving impact for large enterprise brands like MongoDB, Indeed, U.S. Bank, Docusign, and Zapier.  We’ve since expanded the product to help businesses of all sizes. Whether you’re a seed-stage startup, a family business, or a massive Fortune 500 brand, Profound is here to help.  What’s new Profound is now self-serve - you can sign up instantly! Today, we’re introducing three plans priced for different needs:  - Starter ($99/month): monitor your presence with ChatGPT only.  - Growth ($399/month): additional platforms (Perplexity, Google AI Overviews), and content creation.  - Enterprise (custom pricing): 10 answer engines, SSO, SOC2 compliance, dedicated support.  We'll remain the #1 and only enterprise platform to quantify your AI visibility and orchestrate your content creation flows, but we're excited to also open our platform for businesses of all sizes to use.  Try Profound today. We’re constantly improving, so email me at dylan@tryprofound.com with feedback, bugs, or ideas and we’ll move fast.</t>
  </si>
  <si>
    <t>Prompt selection strategies are the new keyword research.  '𝗛𝗼𝘄 𝗱𝗼 𝘆𝗼𝘂 𝗸𝗻𝗼𝘄 𝘁𝗵𝗲𝘀𝗲 𝗮𝗿𝗲 𝘁𝗵𝗲 𝗯𝗲𝘀𝘁 𝗽𝗿𝗼𝗺𝗽𝘁𝘀 𝘁𝗼 𝘁𝗿𝗮𝗰𝗸?'  When we onboard brands into Profound, this is one of the most common questions we get from clients about prompt selection.   With any LLM visibility monitoring platform right now, deciding which user questions, intents, and phrasings will define your measurement.  Here’s what we’ve learned works best:  💡 𝗧𝗵𝗶𝗻𝗸 𝗶𝗻 𝘁𝗼𝗽𝗶𝗰𝘀, 𝗻𝗼𝘁 𝗸𝗲𝘆𝘄𝗼𝗿𝗱𝘀 Keywords describe queries; topics describe ecosystems. Start with your customer's needs: product lines, real world applications, comparisons, problem areas.  💡 𝗦𝗽𝗹𝗶𝘁 𝗽𝗿𝗼𝗺𝗽𝘁𝘀 𝗶𝗻𝘁𝗼 “𝗖𝗼𝗿𝗲” 𝘃𝘀. “𝗖𝘆𝗰𝗹𝗶𝗰𝗮𝗹” Keep 75–80% of your tracking evergreen (what defines your business year-round). Use the remaining 20–25% for seasonal or campaign moments (Black Friday, back-to-school, New Years Resolutions)  💡 𝗖𝗼𝗻𝘀𝗶𝗱𝗲𝗿 𝗮𝗻𝗱 i𝗻𝗰𝗹𝘂𝗱𝗲 𝗴𝗲𝗻𝗲𝗿𝗮𝘁𝗶𝘃𝗲 𝗶𝗻𝘁𝗲𝗻𝘁 People can ask AI search to 'do' now. Track prompts like “build me a list,” “generate a plan,” or “create a comparison.” They surface different results, often pulling new sources.  💡 𝗧𝗮𝗴 𝗳𝗼𝗿 𝗺𝗲𝗮𝗻𝗶𝗻𝗴  Every prompt should carry context like where it falls in your funnel (TOFU/MOFU), intent (informational / navigational / generative), or cadence (core / cyclical). Tags keep reporting clean and insights actionable. Bonus: Use tags to look at performance for specific brand nuances or customer concerns like 'cost' or 'best' or a brand characteristic  💡 𝗕𝗮𝗹𝗮𝗻𝗰𝗲 𝗯𝗿𝗲𝗮𝗱𝘁𝗵 𝗮𝗻𝗱 𝗿𝗲𝗮𝗹𝗶𝘀𝗺 You don’t need to track 5,000 prompts. You need the right prompts. Enough to mirror how your customers actually talk and analyze the topics your brand should own.  Prompt selection will define your outputs from any LLM visibility tool.  Without a good strategy for prompt selection, you could be missing insight into major opportunities.</t>
  </si>
  <si>
    <t>The Profound team is shipping so fast I can't even find the time to write these LinkedIn posts at this point.   There are three big customer segments for us at Profound when it comes to Answer Engine Optimization: enterprise (our initial focus we launched with), SMBs (covered with our self-serve launch), and agencies (today's release). No matter what type of customer you are, we're here to support you.  Today we're introducing Agency Mode. Agencies manage many brands: each with its own objectives, AEO maturity, and audience. They run pitches, analyze data, and configure unique Profound environments for each of these brands.  Profound's Agency Mode introduces a self-serve experience designed specifically for agencies. It gives teams the power to create and manage brand environments, right inside the platform and on demand.  Three big features in Agency Mode: run custom audits for your customers, create brand configurations, view usage and manage subscriptions.   We're live and ready to use today. Reach out on our website to get started.  And of course massive shoutout to 🐐 Gary Fishkin who drove this project from a vague idea into a fully-fleshed solution in less than two weeks. Talk about creating impact. And if you think this guy is a talented Software Engineer, you should see him on the pickleball court. I'm scared to play against him again.  Sign Up For Agency Mode Today: https://lnkd.in/eEhtQJZB</t>
  </si>
  <si>
    <t>Profound now allows you to see prompt volume not just by topic, but by intent - extremely cool - well done team.  (Also looks beautiful)</t>
  </si>
  <si>
    <t>Sophie Piacentini  Hey %FIRSTNAME%,  Profound helps SEO leaders and professionals at companies like %COMPANYNAME% improve AI visibility, which translates into more traffic, leads, and customers. Top brands like US Bank, Chime, Indeed, and Zapier trust us to improve their AI visibility.  Book a personalized demo, and after you complete it, you’ll receive a $100 gift card to thank you for your time.</t>
  </si>
  <si>
    <t>I've been analyzing how people use AI for shopping, and the data from our recent study of 2,739 consumers reveals something I wasn't expecting:  First, some context: we ran this study BEFORE Instant Checkout and found that 58% of people had used AI tools like ChatGPT for shopping in just the past week. I imagine after Instant Checkout, that number is now higher.  On the journey itself, people are making buying decisions in AI chats: 46.4% of AI users said they 'got what they needed' and left. They didn't need to click through to website to feel complete. They didn't open multiple tabs to compare options. They had a conversation with AI and walked away with their decision made. Nearly half of all AI shopping interactions end this way completely invisible to any analytics platform.  The conversion data tells an even more interesting story: among people who bought something, 79.7% said AI handled at least half of their decision-making process.   Here's where conversion rates get insane and where I want to dive even deeper into next time: when AI influenced 80% or more of the purchasing process, 85.9% of those people completed a purchase. When AI only influenced 20% of the purchasing process? The purchase rate dropped to 32.6%. This is such a fun stat because it's the other side of the 'LLM traffic converts 4-6x more' stat. AI is driving purchases because it is a personalized decisionmaking machine for consumers.  Basically, AI is creating a fully guided consideration -&gt; purchase path with dramatically higher conversion rates than we typically see in e-commerce.  The path people take after using AI confirms this isn't traditional shopping behavior. After their AI conversation, only 24.2% went to Google. The majority went straight to purchase: 20.3% to Amazon, 18.6% directly to brand websites, 15.1% to physical stores. They weren't searching for more information, they were executing a decision that they had already made.  Two other findings that didn't make it in:  1. 14.5% of people left AI ready to buy but couldn't check out, and... 2. Another 14.2% just needed live pricing or availability.   These aren't window shoppers, these are buyers who are blocked by technical limitations. ChatGPT launched checkout capabilities a few weeks ago. Those barriers are disappearing.  I keep coming back to what this means for how we understand the customer journey. That person who bought from you on Amazon this afternoon? They might have chosen your product yesterday in a ChatGPT conversation you'll never see. Your analytics will credit the sale to direct traffic or Amazon ads, but the real moment of decision, when they picked you over competitors, happened somewhere else entirely.  Hope this sparks some ideas. Link to the PDF in the comments 👀</t>
  </si>
  <si>
    <t>We have a lot of fun building, designing, and engineering the product at Profound, but one of the most unique parts of working here is the firsthand access to the data and insights shaping the AI Search world.  We’re excited to pioneer research and share key insights into how people are interacting with and using Answer Engines like ChatGPT, Perplexity, and Google AI Overviews.  We’re excited to introduce the Profound Research Hub, our official collection of research reports and insights. You saw it first at Profound. Shoutout to the team of talented researchers and data professionals I have the pleasure of collaborating with everyday: Josh Blyskal, Ali Vaghar, Sartaj R., Siddharth Chandrappa, Brandon P., Dimas T., and Jiaying Du.  On that note, we're also hiring an Economist to further take our research to the next level... 📪 dylan@tryprofound.com</t>
  </si>
  <si>
    <t>Wow… we’ve had over 500 registrations for the Zero Click by Profound London conference since we announced it 72 hours ago!  Register below if you’re interested in attending (link in comments 👇)  Nov 19th, 2025 Tottenham Court Road</t>
  </si>
  <si>
    <t>One interesting finding from ChatGPT's usage study that nobody's talking about: people are using ChatGPT as a search engine: the 'seeking information' category jumped from 14% to 24% of all usage in just one year.   Google's probably not too excited about this.  👀  https://lnkd.in/eJfScFS7  Get a demo of Profound here: https://tryprofound.com/</t>
  </si>
  <si>
    <t>ChatGPT referral traffic is down -52% since July 21st, I pulled from our dataset of 1+ billion ChatGPT citations and 1+ million referral visits from ChatGPT to figure out what's going on:  ChatGPT is shifting towards sites that provide 'answers', and the long tail of citations is shrinking as a result.  The referral decline started right as citation patterns shifted dramatically. Reddit citations increased +87% starting July 23rd, reaching more than 10% of all ChatGPT citations. Wikipedia simultaneously hit historic highs, up +62% since its July low to nearly 13% citation share yesterday.  The top 3 domains (Wikipedia, Reddit, TechRadar) combined have grown +53%, now controlling 22% of all citations. That's 1 in 5 ChatGPT citations going to just three sites.  At the same time, branded websites are seeing fewer citation opportunities: millions of potential referrals are being absorbed by these dominant platforms. This isn't a GPT-5 change because the consolidation started weeks before the model shipped.  Here's what I think (and let me know your thoughts below): Reddit and Wikipedia aren't winning because they're special. They're winning by default because they're the only ones providing direct answers. When someone asks 'what's the best CRM for startups?' and a brand page says 'Schedule a demo,' while Reddit has a thread comparing 10 options, Reddit gets cited.   Brands are being pushed by OAI to become the answer on their own site: Create comparison guides, answer real questions, publish what your customers actually search for, in the language they use. The citation opportunity is massive for brands willing to shift from conversion first to answer first content.  This test is just OpenAI experimenting with their citation weighting. The +87% Reddit surge and +62% Wikipedia spike in just a month isn’t organic, but this is what happens when you turn the dials on a RAG system to let high-utility answers get prioritized over branded content.  The concerning part for SEOs in the short-term: when OpenAI adjusts these weights, referral traffic swings violently. A manual adjustment created a -52% traffic collapse in under a month. We're all downstream from OpenAI's experiments.  Whether this particular test becomes permanent or not, the direction is clear: the sites and brands who surface answers are gaining ground.  I wonder what they'll test next 👀  Get a demo of Profound here: https://tryprofound.com/</t>
  </si>
  <si>
    <t>🚢 Friday Ship from the Profound team.  Our Content Optimization tool now accepts 3 different input sources:   ◆ URL Analysis ◆ Direct Text Input ◆ File Upload    3 ways to ensure your existing website content is optimized for Answer Engines.  Congrats to the team! Jack Traina, Lucas Romero Di Benedetto</t>
  </si>
  <si>
    <t>Big news 🇬🇧🇬🇧🇬🇧🇬🇧🇬🇧 We’re bringing our Zero Click conference to London next month! ZC 2025, will be the UK’s first conference focused entirely on AI Search and the future of agentic discovery and commerce.  Zero Click by Profound NYC was a big hit (see video below), so we are moving fast to bring it to my home city!  The NYC event was extremely oversubscribed (thousands of people competing for just a few hundred seats) - and we expect the same to be true in London.  Speaker lineup to be announced soon! NYC brought in brand leaders from Walmart, Amazon, Apple, Google and more. London will raise the bar.   • Date: 19 November 2025  • Time: 1:30–9 PM GMT  • Where: Outernet, Tottenham Court Rd, London  Link to request a ticket (free) here: https://lnkd.in/eW4FphAv</t>
  </si>
  <si>
    <t>Levi Strauss &amp; Co. doesn’t make my favorite pants anymore, and my only pair is wearing out. I handed the problem to ChatGPT, and it pulled off something close to magic.  I took a photo, sent it to ChatGPT, and described all the attributes I love about them. The style of pockets, how the fabric is reinforced in certain places, the cut and color. Where they’re manufactured (I prefer NYC). Everything that matters to me.   I honestly got back the perfect recommendation from a brand I hadn't heard of before (Mission Workshop). But doing this precise type of search would’ve taken forever in the old version of Google: crawling through multiple links, reddit threads, asking friends, and then going back to refine my search over and over again.   This is what online shopping will be like in 2026. More of your customers will discover products through ChatGPT and Perplexity, and they’ll be able to purchase items in one click.   So here's the question for the retailers out there: Are your products showing up in these AI-powered shopping conversations?  We're pulling back the curtain on this shift with our upcoming webinar: From Prompt To Purchase - Understanding Shopping in Answer Engines  Join Joey Loi (Product Management), Trevor Pyle (Product Marketing), and Julia Moseyko (AI Strategy) from Profound on Nov 6th at 12 EST as we walk through:  ✅ How agentic commerce is reshaping the retail landscape ✅ How answer engines are interpreting and representing your products ✅ How Profound’s latest release (Shopping Analysis) helps you stay visible and competitive in this new era  This is for anyone in retail, ecommerce, merchandising, SEO, or digital marketing who wants to understand how shopping has changed and what to do about it.   👉 Register here (we'll send you the recording if you can't make it!) https://lnkd.in/g_c9W_QH</t>
  </si>
  <si>
    <t>Your offer might be perfect. But if you’re not showing up in AI platforms, it’s like running a sale with no store sign.  Profound shows you exactly where your brand stands in ChatGPT, Gemini, Claude, and Perplexity — and how to win visibility before Black Friday hits.</t>
  </si>
  <si>
    <t>You can’t buy placement in AI chat.  You can earn it — and Profound shows you how.  Get your brand visible in the platforms shaping Black Friday decisions.</t>
  </si>
  <si>
    <t>When shoppers ask AI platforms for Black Friday deals, who shows up first?  With Profound, you can track, optimize, and dominate your AI rankings — before your competitors do.</t>
  </si>
  <si>
    <t>Big Monday Ship 🚢 from the Profound team today: Conversation Intent in Prompt Volumes.  Earlier this year, we launched Prompt Volumes to help brands see what their customers are asking across Answer Engines. Today, we’re taking it a step further.   You can now break down every keyword by conversation intent in an AI search convo.  Want to know if people are comparing your product vs. learning what it does? If your category drives discovery or purchase intent? If users are asking AI to create content about you?  Prompt Volumes now shows Conversation Share across four intent categories: - Commercial - Informational - Generative - Conversational  Live today in the platform... shoutout to the team Ralfi Berk (first ship at Profound!), Joshua Prunty, Gabrielle Gayles, Ali Vaghar, and Dimas T.. Onwards to the next.</t>
  </si>
  <si>
    <t>This Black Friday, the competition isn’t just for clicks.  It’s for positioning inside AI answers.  Profound helps brands dominate the “AI shelf” — where buying decisions now begin.</t>
  </si>
  <si>
    <t>Google isn’t the only shelf anymore.  AI platforms are where shoppers are asking, “What’s the best Black Friday deal” on every category.  Are you showing up? Profound gives you the answer.</t>
  </si>
  <si>
    <t>OpenAI's Instant Checkout is live on Etsy. Most sellers think they're now selling in ChatGPT, they're actually wrong:  I spent the an hour testing the Agentic Commerce Protocol (ACP) with Etsy sellers: the 'Buy' button is missing for any product on Etsy with variants or custom fields.  Let me be clear here: even after a user selects their size, color, or personalization, the option to purchase simply does not appear.  Everyone is celebrating being 'auto-enrolled', but for the products that define your brand's depth and value (the ones with options and customizations), they're blocked from direct transactions (for now).  But that's the opportunity: while your competitors are celebrating a feature they *think* they have, you can be one of the few who understands how the system is actually broken, and honestly, that's a pure informational advantage.  This creates a clean fork in the road for sellers as I see it, if you're on Etsy, this is what I'd be thinking about:  - For sellers with variants/customizations: Use ChatGPT and explore which of your products are currently unsellable. (I've seen things like text 'Personalization' fields be enough to disqualify the buy button from appearing). There is a world where you may want to create simplified versions of some of these products in the meantime, but honestly only if this bug goes unfixed for a while. Right now, just monitor and observe in my opinion.  - For sellers with simple, single-SKU products: you are the only ones for whom this is a real sales channel right now. This is a green field for you right now. Run with your simplest products, and see if you're making any sales.  My view here is that this is a raw execution problem from Etsy and OAI in the early stages, and one that ought to be quickly patched. The brands that win are the ones who audit the AI rather than relying on the headlines.  The headlines are celebrating a commerce revolution. The responses are telling a very different story.  Listen to the responses. 👀</t>
  </si>
  <si>
    <t>ChatGPT now account for 20% of Walmarts referral traffic…  And this is only direct referral traffic they're talking about here, and it's already huge. But the impact of Answer Engines on shopping and commerce is even bigger:  Next week, Profound will release a proprietary study based on a survey of ~2000 US respondents. One stat I can tease ahead of time below, backs up the Walmart news:  Of people who used an Answer Engine in a product research / shopping journey (in the past week), 78.2% of them go to Google, physical stores, brand websites, or Amazon / other marketplaces after they're done, and 70% of those people buy something.   The impact is MASSIVE if you take into account how much consumers use AI for their decision making (on top of tracking their clicks).  Anyway, more to come there.  https://lnkd.in/emv8VeFR</t>
  </si>
  <si>
    <t>Quick hit: discovered today that memories don't consistently factor into ChatGPT search. When I set up a test persona with a dog and enabled search, suddenly my (ficticious) German Shepherd named Rocky was totally unknown.  When I clicked 'Try Again Without Web Search', Rocky appeared again.  I ran this test again, but this time I put the fact that I had a dog named Rocky in the 'Custom Instructions' ('About Me') section. That data did pull through into the search-enabled prompt, but only about 25% of the time. It's leaky, at best.  This is completely different from conversational 'Memories.' That context seems to be walled off from the search pipeline entirely. The test flow here:  1.) Add a conversational memory,  2.) Turn on search  3.) Model says, 'I have no idea who your dog is.'  then...  4.) Turn off search in the same chat  5.) Ask again  6.) Model says, 'Of course, Rocky the German Shepherd!'  You can also test this by running two separate chats: one with web search and one without.  Food for thought because it confirms that memory and search are operating in different, and mostly disconnected, pipelines. The rich context from your chat history is stripped out before the query is sent to the search tool.  Are you all seeing the same thing? 👀</t>
  </si>
  <si>
    <t>New Feature Launch 🚀 🚀 🚀   PROMPT INTENT  Consumers use AI Answer Engines very differently to how they use blue link search.  - Generative (help me write an email) - Commercial (what’s the best ____) - Informational (What is a ______) - Conversational (I need your advice on ____)  This behavioural difference is key to marketers who are building their GEO strategies - it is now important to know the different types of conversations you should show up in.  Today we announce “Prompt intent” - which builds on our ‘Prompt Volume’ feature we launched last month - to now showcase HOW people are talking about specific topics.   Very powerful new feature, congrats to the team on this one.</t>
  </si>
  <si>
    <t>Lately, I've been talking a lot about the value of impossible goals. So, we decided to pull together a Masterclass to showcase their power for founders, creatives, entrepreneurs and athletes. As we all start thinking about our 2026 goals, I encourage you take a dip into the idea of Impossible Goals.  Sign up here: https://lnkd.in/gCH4bzYU</t>
  </si>
  <si>
    <t>Profound ships 10x faster than anyone else. See our new features here.</t>
  </si>
  <si>
    <t>Get Started With Profound Today</t>
  </si>
  <si>
    <t>NEW LAUNCH 🔔: When you ask ChatGPT a question, often it will go and carry out a bunch of different searches to build its answer. This paradigm is called ‘query fan out’.  Today we are excited to announce a new ‘Query fan out’ feature in Profound which helps our users really dig into the details of these fan outs.  Full blog post in comments. Congrats to the team.</t>
  </si>
  <si>
    <t>Today we are excited to launch: Personas in Profound 👥  Answer Engines like ChatGPT tailor responses based on who’s asking. With Personas by Profound, marketers can see those answers through the eyes of each audience segment - making it the most advanced way to understand and shape how your brand shows up in AI Search.  Quick story: We’d been offering persona-based insights within Profound for a while, but it always felt like an under-the-radar superpower. We knew it needed to be reimagined and packaged into something bigger. Enter Gabrielle Gayles - just a few weeks ago she left Google DeepMind to join Profound. Within her first week, she designed the entire Personas UX turning a raw capability into a sophisticated feature-set.  Now, marketers can use Profound to finally see how Answer Engines respond through the eyes of every audience they care about.  Congrats to Gaby, Praneeth A. and the rest of the team for the quick ship and for always building product that feels incredible.</t>
  </si>
  <si>
    <t>3 big ships today in the Profound developer platform:  ◆ MCP Server ◆ TypeScript SDK ◆ Python SDK  Easily work with and query Profound visibility reports, citation data, and bot analytics.  Read more in the blog linked in the comments</t>
  </si>
  <si>
    <t>I’m an introvert. And for years, it held me back.  I thought technical smarts would be enough: do good work, deliver on time, keep my head down.  As you can probably guess: it wasn’t.  I watched peers with half my technical depth pass me by because they knew how to be seen.  What I eventually learned: career growth isn’t just about being the smartest.  It’s about visibility. It’s about communication. It’s about influence.  These are the muscles introverts need to grow if we want our work to be recognized and rewarded.  And in today’s AI-driven world, what used to take 20 years of career growth now has to happen in 5.  It’s grow intentionally, or be left behind.  That’s why I wrote Beyond the Technical: An Introvert’s Guide to Outperforming Your Peers. It’s the playbook I wish I had.  👉 Get it here: https://lnkd.in/gfKP7eXX  Question: Have you ever felt overlooked even when your work was stronger than others’?</t>
  </si>
  <si>
    <t>That's a wrap on Brighton SEO San Diego 2025!  Shared some wild data from our analysis of 3B+ AI citations and 250M+ answer engine responses:  Reddit citations have been jumping 800%+ (now 8% of all citations). ChatGPT quietly switched from Bing to a hybrid index using SerpApi. And traditional SEO signals like traffic explain less than 5% of AI citation behavior.  The most surprising finding: 37% of AI search prompts have 'generative intent' - users asking AI to create something, not find something. That's an entirely new search behavior we need to optimize for.  Practical takeaways from the data: - Semantic URLs get 11.4% more citations - Positions 5-10 on Google are viable for AI visibility - Listicles and comparative content dominate (25%+ of all citations) - Meta descriptions that 'spoil the content' perform better  Slides dropping in the comments for those who want to dig into the data. Incredible energy in San Diego as always. For those asking about tracking your own AI visibility or getting access to the citation data we showed: reach out and we'll get you sorted.  Already counting down to SEOIRL in Toronto. See you there 👀  Get a demo of Profound here: https://tryprofound.com/</t>
  </si>
  <si>
    <t>Over the last 9 months, we've been continuing to build out and add granularity to the Profound Prompt Volumes product (the world's first tool to see what real humans are asking ChatGPT).  Today we're excited to announce another major milestone in our dataset quality: the ability to slice and segment by different demographic fields: age, income, gender.  This release means you can see how different groups are shaping the conversation: - Is Gen Z asking about emerging brands while Millennials focus on value? - Are higher-income groups leaning toward premium products? - Do men and women frame their questions differently?  Available today to all enterprise customers.  Congrats to Gabrielle Gayles on her first ship with the existing team: Ali Vaghar, Siddharth Chandrappa, and Joshua Prunty.  Read more in blog post linked below.</t>
  </si>
  <si>
    <t>Hiring top executive leaders doesn’t have to be stressful.  With over 30 years of expertise, ProFound Talent streamlines the executive recruitment process with proven methodologies and guaranteed outcomes.  Imagine a smoother executive hiring experience that saves you time and resources, and gives you peace of mind. That’s the ProFound difference.   Let’s simplify your next executive search. Connect today at beprofound@profoundtalent.com.  Visit profoundtalent.com to learn more.</t>
  </si>
  <si>
    <t>OpenAI released their intent study with 'purchasable products' as one category. That's it. So I pulled 8,011 shopping conversations from our dataset of 400+ million ChatGPT prompts to see what's actually happening:  24.78% of commercial queries start with a price constraint. Users lead with 'under $200', 'budget laptop $1000', or 'cheap options' before stating what they actually need.  Price-first queries resolve in 16 turns vs 26 turns for standard queries. That's 39% faster when someone states their budget upfront.  Here's what I think (and let me know your thoughts below): Everyone's building comparison content for AEO because that's what gets cited. But 25% of commercial queries are from users who state their budget upfront and want to buy, not browse. They want one answer: 'For $50/month, get this CRM.'  We're building for the 75% who compare everything while ignoring the 25% who delegate the decision to AI within their constraints.  Practical moves: - Create 'Best [product] under $X' pages with one confident recommendation - Test if '$50' content outranks '$49.99' when users ask for 'under $50' - Track which sites AI cites for price-constrained queries  Price-first users make their choice in 16 turns. Everyone else takes 26. Do what you want with that information.  Wonder if next year we'll all be optimizing for 'budget laptop' instead of 'best laptop' 👀</t>
  </si>
  <si>
    <t>Another big ship from Profound today. We're expanding our Conversation Explorer dataset from just ChatGPT to now also include Perplexity, Gemini, and Claude.  Brands are leveraging Conversation Explorer to tackle big questions like: - What are customers really asking AI about my category? - What are the top keywords relevant to my brand and industry? - What prompts should I track my AI visibility against?  Congrats to Joshua Prunty, Siddharth Chandrappa, Ali Vaghar, and Sherman Grewal on the launch!</t>
  </si>
  <si>
    <t>Happy Friday Ship Day! 🚢 Today we're rolling out a new feature to Conversation Explorer (Prompt Volumes), letting users see how AI conversations evolve.  Keyword Hierarchies lets visualize a single query into deeper intent paths. Instead of flat keywords like “running shoes,” you can visualize cascades like “running shoes → women’s running shoes → best under $150.”   Built for scale with sub-second search, Keyword Hierarchies reveal intent-rich structures to power smarter SEO and conversation insights.  Great work to Ali Vaghar, Joshua Prunty, and Siddharth Chandrappa, shipping new features every week!</t>
  </si>
  <si>
    <t>Took some time tn to do some tests on GPT‑5’s browsing (first pass). Here’s the net new:  - GPT-5 is almost certainly using a proprietary meta layer, not a clean Google/Bing pass‑through from either engine.  - GPT-5 search strips most advanced operators and re‑ranks results; filetype: works, but contains:, ip:, related:, hasfeed:, location:, even quotes had little/no effect.  - Direct SERP behavior is asymmetric: GPT-5 could not scrape a live Google results page (fell back to its own custom pipeline), but it could parse a live Bing SERP when I instructed it to open the exact URL for the Bing SERP. That suggests Bing pages are more accessible to the tooling, but not that results are Bing‑pure.  - Ranking fingerprint: the GPT-5's lists of cited sources do overlap with slightly more with Bing but are VERY blended/re‑ranked with off‑brand roundup sites and occasional duplicates. It also omits some engine rank 1's (e.g., Google’s passwordmanager.com; Bing’s PCMag if you're looking at my attached example below) and shuffles order which is classic meta stack behavior.  - Sonic_tool is still the search backend (this is publicly known: OAI's proprietary search product has been known as 'Sonic' for a year now.) Just more evidence that the in‑chat experience is OpenAI’s own retrieval/reranker layer rather than exposing any single engine’s SERP.  - Agent vs non‑agent are different pipelines: We know that Agent mode presents a Bing frontend in a real browser and actually produces different, more action‑biased outputs; in‑chat search uses the Sonic meta layer. OpenAI configured scraping guards in the agent mode which is still present in agent mode (Agent mode can't access the NYT, for example.) Sonic has some/most of these restrictions as well (to varying extents.)  I did some quick correlation tests as well:  - Q1 (best password managers 2025 review): mixed overlap; LLM diverges from both engines’ top picks and injects weaker sites which is consistent with proprietary re‑ranking   (see attached below: Yellow = exact match, Red = domain match). There is only 1 URL-level match and 1 domain-level match.  - Q2 (best standing desks 2025 review): same pattern... mainline pubs plus lower‑signal aggregators; ordering doesn’t match either engine closely.  - Q3 (site:www.cdc.gov norovirus food service guidelines): both LLM and Bing return CDC pages; LLM favored HTML guidance pages while Bing also surfaced PDFs... again points to its own ranking preferences.  GPT-4o's search had been trending closer to Google; tonight’s GPT‑5 browse feels ever so slightly more Bing‑anchored for what it can scrape, but still fundamentally proprietary/blended in what it returns.  👀</t>
  </si>
  <si>
    <t>Today on KSNV News 3, Las Vegas, former pro football player (and TULSA Procedure patient) Leonard Wheeler and Joseph Busch, MD of the Busch Center talked about Leonard's prostate cancer journey—and how the TULSA Procedure is changing the game for men and their prostate health.  Their message is simple: prioritize your health today and don’t delay your PSA check.💙  #ProstateCancerAwareness #EarlyDetectionSavesLives #MensHealth  🔗 https://lnkd.in/gCQXJbPi</t>
  </si>
  <si>
    <t>The foundation of every successful business is its leadership.   At ProFound Talent, we deliver exceptional leaders who drive real, positive change.   Just as every success story begins with the right people, your recruitment journey starts with us, with tailored executive recruitment solutions that will propel your organization forward.   Ready to transform your business? Connect today at beprofound@profoundtalent.com.  Visit profoundtalent.com to learn more.</t>
  </si>
  <si>
    <t>Today, we are very excited to announce the first conference dedicated to AI Search / GEO.   Zero Click 2025 October 8th Hosted at Ramp HQ in NYC  We're bringing together the brightest minds shaping the future of visibility within AI Platforms. Build connections with trailblazers in the space.  Every company on the planet just got a new customer: AI. Answer Engines now sit between brands and consumers. The ones who take control define the next decade of discovery.  George Bonaci (Ramp), Lily Ray (Amsive), Michael King (iPullRank). More speakers dropping soon.  Spots are very limited. Request your seat → https://lnkd.in/esu2rZpu</t>
  </si>
  <si>
    <t>Suit Up for Your Health.   When it comes to prostate cancer, awareness is powerful — but action is life-changing. Leonard Wheeler, Co-Executive Director of NFL Legends, not only advocates for men’s health, he’s lived it. After being treated with TULSA-PRO®, Leonard has made it his mission to share his story and inspire men everywhere to prioritize their health.  His journey is a reminder that strength isn’t just about what happens on the field — it’s about making choices that protect your future, your family, and your legacy.  Together with Profound Medical, Leonard is raising awareness and driving conversations that can save lives.  Tulsaprocedure.com  #SuitUpForYourHealth #ProstateCancerAwareness #MensHealth #ProfoundMedical #NFLLegends #TULSAPRO</t>
  </si>
  <si>
    <t>Talent is the ultimate differentiator. And the ultimate indicator of business success.   At ProFound Talent, we’re laser-focused on delivering rare and exceptional executive leaders with the ability to transform organizations.   Discover the power of a brilliant executive hire. Discover ProFound Talent today.  Get started at beprofound@profoundtalent.com.   Visit profoundtalent.com for details.</t>
  </si>
  <si>
    <t>High-stakes executive hiring is demanding. The pressure is always on to get it right the first time.   ProFound Talent’s rigorous executive recruitment process eliminates uncertainty, minimizes risks, and ensures you secure the highest-calibre leaders.  Whether it’s filling critical C-suite roles or building a dynamic professional team, you can count on us to deliver results. We guarantee it.   Let us take the lead. Contact us today at beprofound@profoundtalent.com.  Explore more at profoundtalent.com.</t>
  </si>
  <si>
    <t>Support for Anthropic Claude is available starting today to select customers inside of the Profound platform.  Profound now tracks ALL ten of major answer engines: ◆ ChatGPT ◆ Google AI Mode ◆ Google AI Overviews ◆ Google Gemini ◆ Microsoft Copilot ◆ Perplexity ◆ Grok ◆ Meta AI ◆ DeepSeek ◆ Anthropic Claude  Congrats to Federico M., Praneeth A., and Charles Zhou for the awesome launch!</t>
  </si>
  <si>
    <t>Strong body, strong health. Strength isn’t just about reps — it’s about checkups, too.  Visit tulsaprocedure.com to explore your options for prostate health.  #menshealth #fitness #getchecked #prostateawareness</t>
  </si>
  <si>
    <t>Today we’re launching Prompt Volumes - answering the biggest question in Answer Engine Optimization (and maybe even marketing):  ‘How many people are talking about &lt;any topic&gt; in AI platforms like ChatGPT?’  This feature has taken nearly a year to build, millions of dollars, and some of the best minds in data science to bring it together (Ali Vaghar and Siddharth Chandrappa!).  Prompt Volumes maps hundreds of millions of real, anonymized user conversations across ChatGPT, Gemini, Claude, and more.   We’ve pulled from dozens of sources (well beyond standard clickstream data) to create what I believe is one of the largest prompt panels in the world - now approaching 150M per month.  Getting the data is just the first problem. Processing and modeling is where we have taken things to a new level: proprietary systems that analyze hundreds of millions of prompts to  identify intent, sentiment, volume, and trends - all with strict privacy compliance.  With Prompt Volumes, Profound customers can:  • Discover what customers are really asking in your category  • Prioritize topics by actual demand and brand impact  • Turn prompts into briefs that win answer boxes  No more guessing what people are talking about with AI. No more fuzzy guesses based on traditional search volume extrapolations.  Huge congrats to the team on this one.   Prompt Volumes is available today for all Profound Enterprise customers.  Comment below which topic you're interested in seeing volume for and I'll post some screenshots in responses.</t>
  </si>
  <si>
    <t>For anyone asking why GPT5 matters- read the below.  GPT5 introduces the mainstream consumer to the power of deep reasoning models.  Here's an example of why reasoning impacts shopping: Last month, I moved into a new apartment in NYC and the water pressure sucked. I asked o3 (Deep Reasoning) to help me find a solution. Below is a screenshot from the ChatGPT search. - o3 spent over 6 MINUTES researching - it carried out 14 separate web searches - It visited 39 different web pages  - Interestingly, if you look at the second reasoning chunk, you can see that o3 (successfully) inferred from its memory of our previous conversations that I am renting an apartment, therefore not looking for any solutions which require heavy installation.  To me, it is obvious that this is what the future of (high consideration) product discovery looks like. Personally, GPT5 doesn't change much, as i've been using reasoning models for a while. But for the masses - GPT5 will be a really big deal, as mainstream ChatGPT users - who didn't previously feel confident enough to toggle between models - will experience reasoning outputs for the first time.</t>
  </si>
  <si>
    <t>No explicit commentary in ad preview</t>
  </si>
  <si>
    <t>I pulled 534 million citations from ChatGPT, Perplexity, and Google AI Overviews and tracked how often Wikipedia is used as a source. Here's what's up:  ChatGPT flipped a switch in November, Wikipedia jumped from almost zero to 13% of all citations almost overnight. The dependency grew even more extreme by March 2025, with Wikipedia accounting for a full 15% of all ChatGPT's citations.  Google AI Overviews stays around 1%, Perplexity is lower, so those two still look for non-Wikipedia answers almost every time.  In March the Wikipedia share inside ChatGPT slid from 15% to 4% in three weeks which just shows directly how drastically the source mix can be rewritten.  Now, Wikipedia accounts for 7.5% of all ChatGPT citations and is growing slowly again.  I've got two takeaways here: (but please contribute your own thoughts in the comments) this is a beautiful illustration of both the appeal and risks of heavy Wikipedia reliance, or even generally, reliance on any single undiversified strategy in AI search. This is not stable ground.  If the dials can move overnight like this, the next question is: whose domain do they point at? 👀</t>
  </si>
  <si>
    <t>AI Answers continue to rely on UGC.  We sampled 2 million domains and ran a UGC vs. non-UGC classifier on the top 10 000 (74% of our data because of the long-tail of cited domains).  Here’s what we saw: - ChatGPT 17.4% - Perplexity 15.8% - Google AI Overviews 12.3% - Microsoft Copilot relies on UGC just 4.6%.  If your brand isn’t in Reddit, X, Wikipedia, or Quora, you will likely struggle with AI Visibility.  Profound maps where AI finds answers, helps you add high-value content to the right UGC sites and tracks your share of citations.  Want AI answers steering back to your expertise? Let’s talk!</t>
  </si>
  <si>
    <t>With 25+ years of experience transforming organisations, Imran Shaikh shares a practical blueprint to help leaders build companies that thrive under pressure.</t>
  </si>
  <si>
    <t>Today we publish a killer case study on how the team at Airbyte worked with Profound to TRIPLE their AI Visibility on platforms like ChatGPT within one week.  Congrats to Tanmay Sarkar and the team. This is epic.   (Link to case study in comments)</t>
  </si>
  <si>
    <t>ChatGPT is leaving Bing behind fast. I analyzed a sample from our dataset of 240 million ChatGPT citations to see how its index is evolving and the shift I found was huge:  In April 2025: - ChatGPT shared only 12% of citation sources with Google SERP results. - Bing was significantly more aligned, sharing 26% of its SERP results with   ChatGPT citations.  Now, as of July 2025: - Google’s alignment has surged, with 33% overlap between Google's SERPs and ChatGPT citations. - Bing’s alignment has plummeted to just 8% overlap.  Until recently, we know that ChatGPT relied on Bing’s index via the Bing API to do all of its web scraping. But that’s clearly changed.  So what’s going on? I see two plausible scenarios and both have massive implications:  Scenario 1: ChatGPT is quietly deploying its own proprietary index.   A recent leaked internal memo from OpenAI explicitly states: 'ChatGPT is a super assistant that deeply understands you and serves as your interface to the internet. To fully be that interface, we need a search index.'   The timing of the leaked memo + OpenAI's plans to build a browser + OAI sitting on this massive index that its has been building quitely using the OAI-SearchBot... it makes complete sense if OpenAI decided that now is the moment to switch to their index.  Link to the leaked memo: https://lnkd.in/ehWijiDB   Scenario 2: ChatGPT is pivoting toward Google as its primary search partner.   With the announced deprecation of Microsoft's Bing API, OpenAI faces a choice: transition to Azure Agents, Microsoft's successor infrastructure, or forge a new partnership with Google. Given recent strategic tensions between Microsoft and OpenAI, and Google's interest in AI search and desire to consolidate the industry into its own index, this pivot could well be underway.   Either way, the key takeaway is clear: ChatGPT's index and citation sources are changing significantly. The information feeding its RAG model is shifting rapidly.  I'm curious: with these shifts, how can we track and confirm whether ChatGPT is relying on its own emerging hybrid index or quietly aligning itself with a major search partner like Google? 👀</t>
  </si>
  <si>
    <t>I've worked with hundreds of brands to answer this exact question: how do you get recommended by Answer Engines like ChatGPT, Google AI Overviews and others? So I sat down with Kyle Poyar to create *the* definitive guide.   Answer Engines look at the world in a fundamentally different way than traditional search engines do. (They use entirely different infrastructure and datasets!)  You can read the full piece below, but here are the takeaways: 👀  1. Reddit is a major driver of citations in LLMs. Ignore this at your own peril.   2. Default to well organized, comparative content. Fewer images, more tables.   3. Influence on the answer matters more than you think and should be one of the top metrics to measure.  Thanks again to Kyle for collaborating on this with us!  https://lnkd.in/eAmaR_gf</t>
  </si>
  <si>
    <t>I'm excited to share my first joint data study with Profound on the Amsive blog!  We looked at 10 popular business categories to determine which brands/domains are mentioned and cited the most across 6 LLMs. (U.S. data)  https://lnkd.in/dsNWb75V</t>
  </si>
  <si>
    <t>Reddit citations are up +400% in ChatGPT over the last 2 weeks, I pulled from our dataset of 630 mil citations to see what's going on:  Could the OpenAI x Reddit partnership finally start to have impact? Reddit citations jumped 436% starting on May 19th. Reddit now accounts for 5.9% of all of ChatGPT's search sources, which makes Reddit the second most cited domain overall behind Wikipedia (which is hovering right around 7%). Reddit is ChatGPT's 2nd largest source of truth.  At the same time, Google AI Overviews' citation rate is staying near 2% and Perplexity holds around 6%: only ChatGPT is seeing this spike.  Here's what I think (and let me know your thoughts below): Doing AEO through Reddit used to get you visibility mainly in Perplexity, and to a lesser extent, GAIO. With this partnership with OpenAI and ChatGPT, Reddit has absolutely legitimized itself as a major source of truth across answer engines.  Secondly, OpenAI is still making massive manual changes to their RAG process: 1 partnership immediately quadrupled Reddit's influence in a week to become ChatGPT's 2nd most trusted source. That's an insane shift at an insane timescale.  I wonder what other changes are going on that we all haven't caught yet. 👀</t>
  </si>
  <si>
    <t>BREAKING RESEARCH: AI Responses primarily pull from OUTSIDE of the Top10 blue links.  But, comparing ChatGPT to Google AI Mode shows an interesting difference. Google AI Mode utilizes the long tail HEAVILY.  Profound helps you show up in AI responses, by using a deep understanding of which websites AI models are using to inform their answers.</t>
  </si>
  <si>
    <t>Search Volumes, but for ChatGPT. We've built it. And the data is super interesting. How did we do this? We've built one of the largest aggregated datasets in the world of what people are searching for in ChatGPT, and we can use it to see trends.  Below, you can see that the number of user prompts talking about 'Alexandr Wang' rocketed by 7X in June 2025 with the announcement of Meta's recent purchase of his company, Scale AI. Conversation Explorer is available to all Profound Enterprise Customers.</t>
  </si>
  <si>
    <t>Rankscale AI</t>
  </si>
  <si>
    <t>Paid for by Rankscale GmbH</t>
  </si>
  <si>
    <t>Ad Details</t>
  </si>
  <si>
    <t>AI Visibility Tracking: OMR Reviews nutzt Rankscale.   Die Suche verändert sich durch ChatGPT, AI Overviews und AI Mode. Marketing Manager sind mit zahlreichen Herausforderungen wie der Zero Click Search konfrontiert. Traditionelle SEO-Metriken sind nicht mehr ausreichend.  OMR Reviews hat Rankscale als ihr AI-Search-Analytics- und Tracking-Tool implementiert, um Sichtbarkeit in AI-Engines für verschiedene Anwendungsfälle zu messen.  In dem Video stellt Hannah von OMR Reviews ein Tutorial zu Rankscale vor, geht auf wesentliche AI Metriken ein und erklärt wichtige Learnings.  Wir freuen uns sehr über dieses Video und sind stolz, dass OMR unsere Lösung nach einem Vergleich zahlreicher Anbieter ausgewählt hat.  Hier geht es zum YouTube-Video: https://lnkd.in/erJapsei  Hier geht es zu Rankscale: https://rankscale.ai/  #marketing #digitialmarketing #geo #seo #aioverviews</t>
  </si>
  <si>
    <t>#marketing #digitialmarketing #geo #seo #aioverviews</t>
  </si>
  <si>
    <t>Rank Tracking, Search Visibility &amp; AI Intelligence</t>
  </si>
  <si>
    <t>Ran from Apr 3, 2026 to May 26, 2026</t>
  </si>
  <si>
    <t>I have published an article in Ad Age on AI commerce and AI visibility. It explores how the customer journey is undergoing fundamental change:  https://lnkd.in/dnRBQ_4p  In it, I discuss the latest developments in ChatGPT and how they are transforming product discovery through the Agentic Commerce Protocol (ACP).  I also look at aspects of Google, such as AI Mode in Chrome and their roll-out of its new Universal Commerce Protocol (UCP) integration in Merchant Center. In addition, I will shed light on Amazon Alexa for Shopping. The implications of this cannot be left out of a post like this.  All in all, this means that product discovery is changing dramatically, which presents brands and manufacturers with many new challenges of varying complexity.  Legacy tool providers may find this overwhelming, which is why AI-native tools, meaning those “born” during the AI era, often provide a more comprehensive approach.  To better understand these new marketing analytics, we at Rankscale have launched an AI Shopping Analysis feature that enables brands and retailers to quickly and intuitively monitor and analyze the visibility of their products in ChatGPT, AI Mode (currently only in the U.S.) and Copilot, allowing campaign decisions based on those metrics.  Looking forward to your feedback: https://lnkd.in/dnRBQ_4p</t>
  </si>
  <si>
    <t>Ran from Jun 16, 2026 to Jun 17, 2026</t>
  </si>
  <si>
    <t>Ran from Dec 9, 2025 to Jan 31, 2026</t>
  </si>
  <si>
    <t>Ran from Apr 3, 2026 to Apr 24, 2026</t>
  </si>
  <si>
    <t>Scaling AI visibility across multiple brands or clients? We’re introducing the Agency Growth plan.  Built for growth teams and agencies that need more scale and capabilities than Pro, without jumping straight to Enterprise.  What you can scale with Growth - 22,000 AI responses - 50 brand dashboards - 200 page audits - REST API: integrate AI visibility data into your workflows - White-label dashboards: Deliver reports without Rankscale branding - Private Slack + resources: Connect with other agencies in the space - Early feature access  Additional agency benefits - Affiliate program: Earn from recommended clients - Accelerator webinars: Learn how agencies package AI visibility services - Partner directory listing: Get discovered by companies looking for support  If you're already using Pro and managing multiple brands or clients, the Agency Growth plan gives you the scale and features to grow.  👉 See everything included in the Agency Growth plan: https://lnkd.in/diEjme-t</t>
  </si>
  <si>
    <t>Ran from Mar 17, 2026 to Mar 21, 2026</t>
  </si>
  <si>
    <t>Starting next week, ChatGPT ads go live in 31 European countries, including Austria, Germany, and France - and guess what - rankscale.ai got you covered 🤓  Next to gathering AI search visibility insights, we started tracking sponsored placements in ChatGPT, Google AI Mode, and Google AI Overview ever since they appeared, and long before this rollout was even confirmed for Europe. Not because we predicted the exact date, but because paid placement inside AI answers was clearly coming, and we wanted our users to see it before they had to react to it!  I think this is the moment AI search advertising becomes real for European brands. Not because the ad format itself is new, but because of what it changes: until now, showing up in a ChatGPT answer meant earning it through content and structure. From next week, a competitor can simply pay for the placements in or below the answer.  If you're deciding whether ChatGPT ads are worth testing, the real first question isn't whether the channel works. It's who's already there. That and much more is what we built Rankscale's ad tracking to answer.  Go check out your Rankscale AI Shopping View / Tab 'Ad placements' to dive in 💪✨</t>
  </si>
  <si>
    <t>Ran from Aug 23, 2026 to Aug 27, 2026</t>
  </si>
  <si>
    <t>We’ve just raised the bar for AI shopping analysis - again. Until now, most tools focused on tracking visibility in ChatGPT. That’s no longer enough.  Search is evolving fast: → AI-generated answers are replacing traditional rankings → Product discovery is happening inside conversational interfaces → Shopping journeys are fragmented across multiple AI systems  So we enhanced our Shopping Analysis feature to reflect how people actually discover products today.  Here’s what’s new:  📦 Inline product tracking Monitor product placements directly inside AI responses, not only shopping cards - where purchase decisions are increasingly made.  🧠 Google AI Mode coverage Understand how your products surface in Google’s AI-driven search experience - where traditional SEO rules no longer fully apply. (US only for now)  🛍️ Copilot Shopping insights Did you even realize Microsoft Copilot has a shopping feature? Most teams haven’t caught up yet.  If your product isn’t part of what AI actually suggests, you’re not in the game. And if you’re not measuring it, you won’t even know you’re losing.  #AISEO #Ecommerce #Growth #Search #AI #AIShopping  Mathias Cosmin Benjamin Jules Hendrik Sascha Patrick</t>
  </si>
  <si>
    <t>#AISEO #Ecommerce #Growth #Search #AI #AIShopping</t>
  </si>
  <si>
    <t>Ran from Apr 13, 2026 to Apr 17, 2026</t>
  </si>
  <si>
    <t>Ran from Apr 3, 2026 to Apr 19, 2026</t>
  </si>
  <si>
    <t>Discover how your brand appears inside ChatGPT, Google AI Mode, Perplexity, Claude, and many more. Track visibility, deeply analyze brand reputation and cited sources, and uncover actionable insights. All in one dashboard.</t>
  </si>
  <si>
    <t>Ran from Dec 16, 2025 to Dec 24, 2025</t>
  </si>
  <si>
    <t>Ran from Apr 3, 2026 to May 20, 2026</t>
  </si>
  <si>
    <t>AccuRanker</t>
  </si>
  <si>
    <t>Paid for by AccuRanker Aps</t>
  </si>
  <si>
    <t>If your rank tracker still rely on a static CTR in organic search, you're basing your SEO optimizations and reports on fiction. Click below for the full breakdown 👇</t>
  </si>
  <si>
    <t>We just removed one of the most frustrating parts of SEO 🗑️ Our MCP connects your SEO data directly to your favorite LLM. No exporting. No switching tabs. No manual data prep😎  Just questions and answers.  Not sold yet?   Here's what the MCP actually does for you:   1. You can 'talk' with your keyword- and LLM data Ask 'What changed this week?' or 'Which pages are losing visibility?' and get instant answers, analysis, and visualization directly in the LLM chat.  2. An extra SEO specialist, always on call Filter, analyze, and visualize data simply by asking. Then let Claude or ChatGPT explain what you can learn from the results and what you should do next, based on the findings.   3. Fewer manual tasks for you No restructuring, cleaning, or exporting before you can analyze. The steps between data and insight are gone, and you'll have more time for the fun stuff.   Ready to try it? Explore AccuRanker MCP below 👇</t>
  </si>
  <si>
    <t>Ran from Jun 1, 2026 to Sep 8, 2026</t>
  </si>
  <si>
    <t>Ranking #1 but traffic is flat? It's because the SERP layout is stealing your clicks. Learn how pixel position and dynamic CTR reveal what rank never tells you 👇</t>
  </si>
  <si>
    <t>Work with your keyword and prompt data directly in ChatGPT 🤖 Simply install the app, connect your AccuRanker account, and you're done. Here's what it means for you 👇  No more tab-switching, manual exports, or time-consuming analysis. Just open ChatGPT and ask it to analyze, structure, or visualize any data from your AccuRanker or AccuLLM account - it's that easy.   Your data. Your questions. Instant answers.  See the full announcement below!👇</t>
  </si>
  <si>
    <t>𝐀𝐈 𝐎𝐯𝐞𝐫𝐯𝐢𝐞𝐰𝐬 𝐧𝐨𝐰 𝐡𝐚𝐯𝐞 𝐚𝐝𝐬 📈  At AccuRanker, we've been monitoring this development, and for now, it's mostly unfolding across English-language searches in the US, CA, AUS, and NZ.   Europe and the UK aren't there yet, but considering how Google tends to handle these rollouts, it's likely just a matter of time.  𝐖𝐡𝐚𝐭 𝐭𝐡𝐢𝐬 𝐦𝐞𝐚𝐧𝐬: → Google has started monetizing AI Overviews at scale → Organic visibility in AIO is now competing with paid placement  𝐀 𝐟𝐞𝐰 𝐭𝐡𝐢𝐧𝐠𝐬 𝐰𝐨𝐫𝐭𝐡 𝐰𝐚𝐭𝐜𝐡𝐢𝐧𝐠 𝐚𝐬 𝐭𝐡𝐢𝐬 𝐝𝐞𝐯𝐞𝐥𝐨𝐩𝐬: → How Google balances ad placement without ruining the AIO experience → Whether click behaviour differs from traditional paid placements → How it will affect the relationship between SEO and paid search teams  It's still early days, but easily one of the bigger SERP stories this year.   Are you seeing it in your market yet?</t>
  </si>
  <si>
    <t>𝐀𝐝𝐬 𝐀𝐈 𝐎𝐯𝐞𝐫𝐯𝐢𝐞𝐰𝐬 now have ads 📈  At @AccuRanker, we've been tracking this closely.  For now, we're primarily seeing it unfold across English-language searches in the US, Australia, New Zealand, and Canada.  The UK and larger European countries? Nothing yet. But based on how these rollouts tend to unfold, it’s a matter of time.  𝐖𝐡𝐚𝐭 𝐭𝐡𝐢𝐬 𝐦𝐞𝐚𝐧𝐬: → Google has started monetizing AI Overviews at scale → Organic visibility in AIO is now competing with paid placement  𝐀 𝐟𝐞𝐰 𝐭𝐡𝐢𝐧𝐠𝐬 𝐰𝐨𝐫𝐭𝐡 𝐰𝐚𝐭𝐜𝐡𝐢𝐧𝐠 𝐚𝐬 𝐭𝐡𝐢𝐬 𝐝𝐞𝐯𝐞𝐥𝐨𝐩𝐬: → How Google balances ad placement without degrading the AIO experience → Whether click behaviour differs from traditional paid placements → How it will affect the relationship between SEO and paid search teams  Still early days, but it's one of the more interesting SERP developments we've seen this year.  Are you seeing this in your market yet?</t>
  </si>
  <si>
    <t>Ran from May 26, 2026 to Jul 10, 2026</t>
  </si>
  <si>
    <t>Ran from Jun 2, 2026 to Sep 8, 2026</t>
  </si>
  <si>
    <t>Are you struggling with unreliable search volumes? 😩 Learn how our new AI Search Volume gives you the accurate insights you’ve been missing out on 👇</t>
  </si>
  <si>
    <t>Ran from May 13, 2026 to Jun 8, 2026</t>
  </si>
  <si>
    <t>Ran from May 26, 2026 to Sep 8, 2026</t>
  </si>
  <si>
    <t>We just made it easy to work with your SEO data. AccuRanker MCP connects your SEO data directly to your favorite LLM. No exporting, no switching tabs. Just questions &amp; answers 😎   Not sold yet?   Here's what it actually means for you:  1. You can 'talk' with your data Ask 'What changed this week?' or 'Which pages are losing visibility?' and get instant answers, analysis, and visualization directly in the chat.  2. An extra SEO specialist, always on call Filter, analyze, and visualize data simply by asking. Then let Claude or ChatGPT explain what it means and tell you exactly what to do with it next.  3. Fewer manual tasks for you No restructuring, cleaning, or exporting before you can analyze. The steps between data and insight are gone, and you'll have more time for the fun stuff.   Ready to try it? Explore AccuRanker MCP below 👇</t>
  </si>
  <si>
    <t>Ran from Jun 1, 2026 to Jun 12, 2026</t>
  </si>
  <si>
    <t>Ran from Jun 5, 2026 to Jun 8, 2026</t>
  </si>
  <si>
    <t>Ran from May 21, 2026 to Sep 8, 2026</t>
  </si>
  <si>
    <t>Ran from May 27, 2026 to Jun 1, 2026</t>
  </si>
  <si>
    <t>Ran from May 20, 2026 to Jul 10, 2026</t>
  </si>
  <si>
    <t>We analyzed 1.3 billion SERPs to prove how more than 120 dynamic factors - like pixel position, SERP features, and search intent - affect your organic CTR 👇</t>
  </si>
  <si>
    <t>Ran from May 13, 2026 to Jun 12, 2026</t>
  </si>
  <si>
    <t>We analyzed 1.3 billion SERPs to prove how more than 120 dynamic factors - like pixel position, SERP features, ads, and search intent - affect your organic CTR 👇</t>
  </si>
  <si>
    <t>Ran from May 13, 2026 to Aug 19, 2026</t>
  </si>
  <si>
    <t>As SERPs became more complex and unpredictable, Glass Atlas needed deeper keyword insights to keep delivering the strong results their clients expect 👇</t>
  </si>
  <si>
    <t>Ran from May 13, 2026 to May 26, 2026</t>
  </si>
  <si>
    <t>Ran from May 13, 2026 to Jun 1, 2026</t>
  </si>
  <si>
    <t>Comment down below, and I'll send it to you 👇'</t>
  </si>
  <si>
    <t>Ran from Apr 10, 2026 to May 12, 2026</t>
  </si>
  <si>
    <t>Ran from Apr 28, 2026 to Sep 8, 2026</t>
  </si>
  <si>
    <t>By now B2B marketers SHOULD be able to answer questions like:  ❔ Percentage of my leads that come from LLM's ❔ How the conversion rate varies vs. outbound/paid/organic etc. ❔ Your share of mentions vs competitor performance etc. etc.  If you've still got more questions than answers, we’re hosting a senior-level lunch for leaders and marketers to unpack what’s changing - and what you need to do about it.  Join us and walk away with: • Clarity on how AI is reshaping buyer journeys • Practical actions for your SEO, Paid Media, Web and Content strategies • Insights you can apply immediately to drive growth  🗓️ 15th April 📌 Central London  Register and secure your place here:  https://lnkd.in/em8cpk3C   Enjoy the long weekend 🐰🐣 and hope to see you there.  In partnership with AccuRanker.  #aisearch #geo #aio #seo #ppc #b2bmarketing #b2btech #leadgeneration #marketingstrategy</t>
  </si>
  <si>
    <t>#aisearch #geo #aio #seo #ppc #b2bmarketing #b2btech #leadgeneration #marketingstrategy</t>
  </si>
  <si>
    <t>Your SEO tool should scale with you.  Most don't.  At first, the growth feels great! More clients. More keywords. More opportunities.  Until…   You open a list with 100k+ keywords and think, “where do I even start?”  Your report takes 3x longer to build than the meeting where you'll present it.  You spend more time looking at the loading screen than your actual rankings.  You realize you haven't done SEO today. You've just moved data around.  Most SEOs hit this wall at some point.  It's not a skill issue. It's a scale issue.  The work didn't get harder. There's just more of it.  More markets to track. More clients to report to.   The setup that worked at 5,000 keywords starts to crumble at 50,000.  What used to take minutes starts taking hours.  Suddenly, you're spending more time organising data than actually improving it.  And…  The bottleneck is rarely the team. Sometimes the tool that got you here just wasn't built for where you're going.   A colleague of mine put together an article about exactly that.  If any of the above sounds familiar to you, it might be worth a read!  Find it here 👉 https://lnkd.in/eut3CUPe</t>
  </si>
  <si>
    <t>We could tell you how great AccuRanker is, but we'll let our actual users do the talking instead. Here’s how teams like yours describe working with us 👇</t>
  </si>
  <si>
    <t>Ran from Mar 20, 2026 to Sep 8, 2026</t>
  </si>
  <si>
    <t>Rank tracking shows one side of SEO. AI answers show another. To understand your true organic visibility, you need to consider both. Here’s why 👇</t>
  </si>
  <si>
    <t>Ran from Mar 14, 2026 to Sep 8, 2026</t>
  </si>
  <si>
    <t>Ran from Mar 20, 2026 to Jun 5, 2026</t>
  </si>
  <si>
    <t>Ran from Mar 20, 2026 to Mar 25, 2026</t>
  </si>
  <si>
    <t>AI search summaries and recommendations are reshaping the way B2B tech brands are discovered, evaluated and selected.  Next month we're hosting an event in partnership with AccuRanker for Senior Leaders and Marketers to discuss what it mean for business growth and the marketing mix for B2B lead generation.  Walk away with actionable insights and an understanding of how other B2B brands are capitalising on this shift.  🗓️15th April 📍Central London  More info + register here: https://lnkd.in/em8cpk3C  Look forward to seeing you there!  #aisearch #aio #geo #seo #ppc #sem #b2bmarketing #b2btech #networking #roundtable</t>
  </si>
  <si>
    <t>#aisearch #aio #geo #seo #ppc #sem #b2bmarketing #b2btech #networking #roundtable</t>
  </si>
  <si>
    <t>Managing a lot of prompts can get messy fast 😵💫 Now, you can bring structure and control to your analysis with our popular Tag Cloud 👇  With the addition of Tag Cloud in AccuLLM, you can easily organize and analyze your prompts to spot patterns, understand your market position, and compare historical changes.  Click down below to see how it works! (You’ll love it).</t>
  </si>
  <si>
    <t>Typo for the win?   I saw this post on Reddit today:  A plumbing company noticed they were getting leads from a keyword they never planned to target:  “Plumbering services.” A simple typo.  Turns out people actually search for it.  Enough that the company now ranks #1 locally for “plumbering services”.   It’s a good reminder of something that shows up all the time in SEO and marketing (especially in B2B):  Product descriptions will look like this: • “enterprise-grade digital transformation platform.” • “end-to-end data ecosystem.” • “intelligent automation framework.”  Meanwhile, buyers are searching for: • “software to automate invoice processing” • “tool to clean duplicate CRM contacts” • “how to connect Salesforce and HubSpot” • “alternatives to x tool”  One sounds like a typical product brochure. The other sounds like a human trying to solve a problem.  Same intent. Different language.  This doesn’t mean you should start intentionally misspelling all your keywords (however, there might be hidden opportunities here 👀).  It's simply a reminder to pay attention to how you communicate and how your buyers search.   Because, the person searching often: - Doesn’t fully know what solution they need yet - Doesn’t have the same level of product knowledge  - Doesn’t use the same internal terminology/acronyms  - Or, as the example above, doesn’t know how to spell it   Thus, remember to take your time to understand how your customers actually think and talk.  So, how do you do that in practice?   Talk to your customers. Review transcripts from sales and CS calls. Look through support tickets. Dig into search queries and internal site searches.  That’s usually where the most valuable content opportunities are hiding.</t>
  </si>
  <si>
    <t>We could tell you how powerful AccuRanker is, but we'll let our actual users do the talking instead. Here’s how teams like yours describe working with us 👇</t>
  </si>
  <si>
    <t>For agencies managing many clients, outdated &amp; unreliable SEO data slows down decisions. That’s the challenge s360 had to solve. Here’s what they did👇</t>
  </si>
  <si>
    <t>Ran from Mar 9, 2026 to Sep 8, 2026</t>
  </si>
  <si>
    <t>I'm fine. I'll just sit here. Waiting. Until you join me for a talk about what AccuRanker and AccuLLM can do for you 🐯</t>
  </si>
  <si>
    <t>Ran from Mar 13, 2026 to Jul 10, 2026</t>
  </si>
  <si>
    <t>Hi!  Magnus here. Waiting for you to join me for demo has taken its toll...  I've aged considerably.  My vision and hearing have gotten significantly worse.  But I'm still optimistic!   So what do you say? Should we finally make it happen?   What we will cover:  ✓ How AccuRanker can support your rank tracking and LLM tracking goals.  ✓ The use-cases, integrations, and features that matter most to you.  ✓ Limited-time offers &amp; and a sneak peek into our new LLM tracking   Request a 20-minute speed run of AccuRanker/AccuLLM 👇</t>
  </si>
  <si>
    <t>More clients. More keywords. More opportunities. Scaling SEO is fun! IF your tool can keep up. AccuRanker can. Here are 6 ways we fix your scaling headaches 👇</t>
  </si>
  <si>
    <t>Ran from Mar 26, 2026 to Jun 5, 2026</t>
  </si>
  <si>
    <t>Ran from Mar 31, 2026 to Jul 10, 2026</t>
  </si>
  <si>
    <t>We're close to a new signup record!'  These were the words of Sara, when we spoke yesterday.  And honestly, it makes sense.  Over the past year, many of the conversations we've had with SEO teams have been pretty similar. With the rise of LLMs, everyone is simply trying to make sense of a search landscape that no longer looks like it used to.  This is exactly what we'll be talking about tomorrow during our live webinar with OuterBox.   If you haven't already signed up, now is the last chance to do so!   📅 January 28th, 11am CST 🎙️ Jay Mattison (OuterBox) 🎙️ Mikkel Wegener Nielsen (AccuRanker)  📹 Can’t make it live? Register anyway and get the recording.  👉 Sign up now: https://lnkd.in/ezrUvRar</t>
  </si>
  <si>
    <t>Ran from Jan 27, 2026 to Jan 28, 2026</t>
  </si>
  <si>
    <t>Wondering if your brand shows up in LLMs, and how it performs? Here’s how quickly you can go from zero setup to actionable insights 👇</t>
  </si>
  <si>
    <t>Ran from Mar 6, 2026 to Sep 8, 2026</t>
  </si>
  <si>
    <t>Everyone says “AI is killing organic traffic”.  While that explanation feels convenient, it’s not the entire story.  Because something else changed at the same time.  Ads quietly expanded. Search became more pay-2-play.  A recent SERP analysis by Aleyda Solís comparing January 2025 vs January 2026 across multiple industries confirms this, and we’re seeing the same trend in our dataset.  The biggest shift is not AI Overview.  It’s ads. Text ads in particular.  Across the industries studied:  • Traditional organic click share declined significantly • Text ads increased by roughly 7–13 percentage points • Zero-click behaviour stayed relatively stable  And in product-heavy searches (here it gets wild):  Paid results now capture close to one-third of all clicks.  So the clicks didn’t just disappear because of AI.  They moved.  From organic listings → to paid placements.  Which creates a predictable cycle:  Less organic visibility  → Brands rely more on paid  → More advertisers enter the auction  → Search exposure becomes more expensive  → Organic space becomes harder to win So, what should you do?  1. Don’t frame this purely as an “AI problem.” Review how much ad space exists in your target SERPs today compared to last year.   2. Look beyond rankings and start monitoring SERP layout. Ranking #2 beneath several ads and features is very different from ranking #2 on a clean page. AccuRanker’s SERP snapshot tool or Top100 report is great for this.   3. Expand investments to where attention still converts: video content, user-generated content, strong brand signals, and entity authority.  4. Break down the wall between SEO and paid. Your organic insights should actively guide your paid search strategy.  Search isn’t dying.  What’s changed is where the attention goes.  More clicks go to paid results. Some users get their answers without leaving Google. And some attention goes to third-party platforms that appear directly in the search results.  Have you noticed this same development during your own searches?</t>
  </si>
  <si>
    <t>#2 #2</t>
  </si>
  <si>
    <t>Ran from Mar 6, 2026 to Jul 10, 2026</t>
  </si>
  <si>
    <t>With our native Looker Studio and BigQuery integrations for AccuLLM, it’s easier than ever to monitor, analyze, and share the impact of your LLM performance!👇  The Looker Studio integration makes it easy to visualize your LLM performance, report on results, and share insights with stakeholders. Use our pre-made template, build your own LLM dashboard, or combine rank tracking and LLM data in one dashboard.  With the BigQuery integration, you can access your AccuLLM data alongside other datasets for faster and more in-depth analysis. This is ideal for you who work with large amounts of data that need to be stored, processed, and analyzed 📊  Find them under ‘Integrations’ in the app!  If you are not using AccuLLM yet, let us have a chat about how we can help you 👇</t>
  </si>
  <si>
    <t>IYKYK</t>
  </si>
  <si>
    <t>AI models like ChatGPT mention brands every day. AccuLLM shows you what they say about your brand, and how you rank against competitors 👇</t>
  </si>
  <si>
    <t>Digital PR = more AI brand mentions in 2026.  Digital PR used to be fairly “straightforward”. You secured a feature, got a backlink, helped a page rank (simply put).  Don’t get me wrong - that is still a big part of it.  What’s changed is who we’re building authority for. It’s not just search engines anymore. Now it’s also answer engines (LLMs).  And when you look at how AI surfaces brands, different patterns show up:  - Consistent and branded web mentions correlate more strongly with visibility in AI overviews than classic backlink metrics (Ahrefs).   - 85% of brand mentions in AI search come from third-party content, not brand-owned sites (AirOps Research).  - In fact, LLMs have been proven to consistently pull facts and recommendations from trusted third-party sources like Reddit, LinkedIn, Wikipedia, reports, and expert articles (Semrush).   Google has also been fairly explicit about this shift.   As Robby Stein, VP of Product at Google Search, put it: “If you’re mentioned in top business lists or public articles people actually find, those become useful for the AI to reference.”  In short: A mention in a trusted report, an expert quote, or a discussion in a comment section on a trusted forum now carries more weight - not because links have become less important, but because AI models rely more on context, repetition, and consensus to form recommendations.  In my opinion, securing brand mentions is shaping up to be one of, if not the most, important digital PR activity in 2026.  What do you think?</t>
  </si>
  <si>
    <t>Ran from Feb 17, 2026 to May 12, 2026</t>
  </si>
  <si>
    <t>More clients. More keywords. More pressure. That's agency SEO in a nutshell. See how OuterBox handles AI Overviews, local SEO &amp; client reporting at scale👇</t>
  </si>
  <si>
    <t>Strong agency-client relationships are built on trust and clarity. Transact is a great example of this. See what they do differently from other agencies 👇</t>
  </si>
  <si>
    <t>Ran from Mar 2, 2026 to Sep 8, 2026</t>
  </si>
  <si>
    <t>Ran from Feb 27, 2026 to Mar 13, 2026</t>
  </si>
  <si>
    <t>As SEO Sherpa began managing more keywords for their clients, the team needed a better way to track rankings &amp; deliver reports. Here's what they did👇</t>
  </si>
  <si>
    <t>Are you navigating the shift from monitoring keyword rankings to measuring LLM visibility? Here’s what to look for when choosing your LLM tracker 👇</t>
  </si>
  <si>
    <t>Ran from Mar 7, 2026 to Sep 8, 2026</t>
  </si>
  <si>
    <t>SEO success isn’t just about rankings anymore.  You can be ranking #1 on Google and still miss out on visibility if your brand isn’t showing up in AI-generated answers.   That’s just the reality right now as LLMs and AI-powered SERPs have become part of how people search, compare, and make decisions.  As search behavior changes, the way we think about SEO performance needs to change too.  That’s why, on January 28th at 11am CST, @AccuRanker is hosting a live webinar together with @OuterBox on how modern SEO teams are adjusting their KPIs to reflect this change - and how they’re measuring SEO success in a time when rankings no longer tell the full story.  🎙️ Jay Mattison, Director of SEO Operations at @OuterBox 🎙️ Mikkel Wegener Nielsen, CRO at @AccuRanker  We’ll walk you through how top teams are evaluating SEO today, including: - Visibility beyond traditional blue links - Share of Voice across SERPs and AI answers - Search intent signals - Revenue impact (not just traffic)  If you work with SEO - agency-side or in-house - this session will give you a practical way to think about SEO performance in an AI-influenced search landscape.  🗓️ January 28th, 11am CST 📹 Can’t make it live? Register anyway and get the recording.  Register here 👉 https://lnkd.in/eKFhaDHk</t>
  </si>
  <si>
    <t>Ran from Jan 23, 2026 to Jan 27, 2026</t>
  </si>
  <si>
    <t>Our moody tiger has been working hard on self-improvement 🐯 And now he’s better than ever at spotting Google’s ranking fluctuations.  What’s new 👇  - Grump now tracks a significantly larger dataset  - His calculations have been adjusted to Google's top 100 shenanigans  - Ratings and insights are more accurate than ever before  What's not new 👇  - It's still 100% free to use!  Want to keep an eye on ranking fluctuations on Google in real-time?  Grump got you covered.   Click below to try it out - no signup needed.</t>
  </si>
  <si>
    <t>Ran from Jan 9, 2026 to May 5, 2026</t>
  </si>
  <si>
    <t>SEO teams are starting to realize something uncomfortable:  With the rise of LLMs in search, SERP rankings no longer tell the full story.  So, how do you go about measuring your SEO success in a time like this?  On January 28th at 11am CST, my colleague Mikkel is co-hosting a live webinar with our friends from OuterBox, showing how top SEO teams are adjusting their KPIs, and measuring SEO success in the AI era.   🎙️ Jay Mattison, Director of SEO Operations at OuterBox 🎙️ Mikkel Wegener Nielsen, CRO at AccuRanker  During this sessions they will talk about:  - Measuring SEO visibility where rankings fall short - Understanding presence in AI answers and modern SERPs - Connecting SEO performance to real business outcomes  If you work with SEO - in-house or agency-side - you don’t want to miss this.  🗓️ January 28th, 11am CST 📹 Can’t make it live? Register anyway and get the recording.  Register here 👉 https://lnkd.in/eKFhaDHk</t>
  </si>
  <si>
    <t>LLM visibility IS NOT just an SEO task…!  Simply put:  When a user asks an AI engine about a brand, product or industry, the LLM is not just ranking links.  It’s generating a narrative. It’s selecting which facts to highlight. It’s shaping brand reputation in real-time.  If that answer is wrong, outdated, biased, or hands the spotlight to a competitor, that’s not just an SEO issue:  That’s a brand problem. A legal risk. A content failure. A PR crisis.  And worst of all..  I just put that previous line there for dramatic effect.  Anyway…  Has your Head of Brand, Content, PR, Comms, Marketing, Legal - you name them - started paying some attention to how the LLMs talk about your brand - or is it still siloed in SEO? 👀</t>
  </si>
  <si>
    <t>Ran from Jan 23, 2026 to Jan 28, 2026</t>
  </si>
  <si>
    <t>8:54am – Coffee ☕ 8:56am – Inbox already feels aggressive. 9:01am – Client email: “Are we showing up in ChatGPT?” 9:03am – You know exactly what they’re asking. 9:04am – You also know you don’t have the answer. 9:10am – Client follows up: Are any of our competitors there? 9:15am – You consider logging off again.  Agency SEO was already part SEO, part chaos management. The addition of LLMs in search has not made it any less chaotic.  That’s why the strongest teams aren’t debating whether LLMs matter anymore.  They’re putting systems in place that let them:  1. See where brands actually appear &amp; rank inside AI answers  2. Understand which prompts trigger mentions (and which don’t)  3. Compare visibility against competitors without manual digging  4. Automate reporting so clients and management stay informed  5. Answer questions related to LLM visibility without saying“it depends”  LLM tracking is still in the early stages. Which makes it an opportunity.  You can either be reactive - or you can be the agency that has the answers ready to go when clients invade your inbox with questions about AI visibility.  Be the agency that knows, not the one that guesses.</t>
  </si>
  <si>
    <t>Ran from Dec 19, 2025 to Jul 10, 2026</t>
  </si>
  <si>
    <t>Ran from Jan 24, 2026 to Jan 28, 2026</t>
  </si>
  <si>
    <t>Ran from Dec 15, 2025 to Jul 10, 2026</t>
  </si>
  <si>
    <t>Google Num100 🥴 March 2024 core update 🤬 AI Overviews rolling out globally 😩  If you’ve been doing SEO for the past few years, I don’t need to explain these.  You may even recall the panic, frustration, and confusion as dashboards lit up, rankings jumped, and visibility dropped or spiked overnight.  And with it came the question: was this unique to your site, or was something bigger going on?   That's why we created our “Google Grump Rating”.  A free tool that utilizes @AccuRanker’s AI Search Volume (a SV metric combining data from GSC, Google Keyword Planner, and Google Trends) to accurately track Google’s ranking fluctuations:  - Globally - In real time - Across devices  When your rankings suddenly look wrong, this is the first place to check: https://lnkd.in/eipDdHQT  Don’t forget to bookmark it, so the next time you suspect Google is acting up, you can confirm or deny it right away.</t>
  </si>
  <si>
    <t>Ran from Jan 22, 2026 to Feb 11, 2026</t>
  </si>
  <si>
    <t>You work with SEO every day. But how often do you get to look beyond your own data?  At AccuRanker, we have access to tons of aggregated keyword and prompt data, which enables us to identify patterns that individual setups cannot.  Now, instead of deciding internally what we think would be interesting, we want to start the year by inviting SEO professionals like yourself to pitch in.  So, my question to you is:  What are you curious about?  Is there an analysis you think the industry is missing? A question you’ve never had enough data to answer?  A hypothesis you’ve wanted to test - but couldn’t?  It could be big. It could be small.  I’ve got my pen out.  Now is the time to drop a comment below, and I’ll run your suggestion by our data 🦈👇  #SEO #AccuRanker #RankTracking #LLM #Keywords</t>
  </si>
  <si>
    <t>#SEO #AccuRanker #RankTracking #LLM #Keywords</t>
  </si>
  <si>
    <t>Ran from Jan 8, 2026 to Jan 29, 2026</t>
  </si>
  <si>
    <t>Ran from Jan 24, 2026 to Jan 27, 2026</t>
  </si>
  <si>
    <t>Ran from Jan 8, 2026 to Jan 27, 2026</t>
  </si>
  <si>
    <t>Ran from Jan 9, 2026 to Sep 8, 2026</t>
  </si>
  <si>
    <t>SEOs, content teams, agencies, brand managers, PR people - LLM tracking is relevant for all of you. Here's everything you need to know 👇</t>
  </si>
  <si>
    <t>Ran from Dec 3, 2025 to Sep 8, 2026</t>
  </si>
  <si>
    <t>If you don’t track your presence in LLMs like ChatGPT, and adapt accordingly, you’re handing over visibility - and customers - to competitors who do 👇</t>
  </si>
  <si>
    <t>Ran from Dec 1, 2025 to Sep 8, 2026</t>
  </si>
  <si>
    <t>SEOs have two blind spots: how they rank on the SERP - and how they appear inside LLMs. Most tools solve one, but AccuRanker solves both. Learn how 👇</t>
  </si>
  <si>
    <t>Ran from Dec 1, 2025 to Jan 9, 2026</t>
  </si>
  <si>
    <t>AI models mention brands daily - sometimes incorrectly. With AccuLLM you'll know what they say about you, and if it matches your intended brand image 👇</t>
  </si>
  <si>
    <t>Why is your mascot a tiger and why is he named Grumpy?   Honestly at first I had no idea myself, but here is the origin story revealed:  It actually started as an internal joke, because everyone in SEO knows the feeling when ranking have some 'wild' fluctuations. - All of a sudden.   Or when Googles comes with another update- happy days 😂   We wanted to embrace the emotions we all experience, like the monday in september, where Google made it harder to scrape top 100.. I think we all got a bit grumpy, especially the ones of us who didn't even get a coffee before the chaos started.   Thats why Grumpy is shown in our tool, when he is chilled - everything is good, when he is Grumpy the ranking is volatile. 🐅   If you more often than not catch urself feeling a bit 'Grumpy' feel free to reach out, maybe we are able to help lighten the mood 😄   So when you are ready to talk about it, you can book me in for an intro here: https://lnkd.in/ei98kg65 😉   #AccuRanker #Grumpy #SEO #Ranks #Google</t>
  </si>
  <si>
    <t>#AccuRanker #Grumpy #SEO #Ranks #Google</t>
  </si>
  <si>
    <t>Ran from Dec 4, 2025 to Feb 27, 2026</t>
  </si>
  <si>
    <t>Ran from Dec 11, 2025 to Jan 5, 2026</t>
  </si>
  <si>
    <t>Is LinkedIn the new SEO cheat code? 🤔  Let’s talk about it.   AIO has taken over the top position on the SERP. No surprise there.   But earlier this year, something new started happening inside the AIO boxes: LinkedIn posts and articles began showing up as sources.  Not from LinkedIn itself, but from creators on the platform.  This was quite a big deal, as it gave creators a chance to get featured in AI overviews by tapping into LinkedIn’s authority.  But, is it worth optimizing your LinkedIn content for AIO, and if so, what should you pay attention to?  After looking into it, here’s what I found across ~122 million AIOs:   1) In early 2025, LinkedIn content was featured in AIO ~ 1.6% of the time for informational queries (0.8% for buying-intent queries).   2) It peaked mid-year at ~4.2% for informational queries (1.3% for buying intent).  3) Late Q3, it started declining, settling at ~1.4% (informational) and ~0.5% (buying intent).  What the data shows is pretty simple:  Google features creator content in AIO, but at a relatively low rate.   Google mostly leans on LinkedIn for informational queries where it wants expert takes, practical frameworks, and personal experiences.   The type of content (most) users post on LinkedIn every day.  So, can LinkedIn be considered an SEO cheat code? Not quite.  But it is a legitimate channel for increasing your AIO presence - if done right.  So, how can you get featured?  Here’s what I found works the best:   Pick a few topics and talk about them consistently.  Write short, punchy lines (max two per paragraph).  Prioritize practical, “do-this” or “how-to” information.  Use lists (like this one) - they’re LLM-friendly.  Keep the language and structure clear and simple.  (Like how I’ve done in this entire post)  That’s it!</t>
  </si>
  <si>
    <t>Ran from Dec 5, 2025 to Feb 18, 2026</t>
  </si>
  <si>
    <t>With AccuRanker, we have saved 3 days per month of highly manual work compiling &amp; sending client reports' - Matt Burns, SEO Division Lead. See how 👇</t>
  </si>
  <si>
    <t>“Are we showing up in LLMs like ChatGPT?” Your SEO clients will ask. Will you have the answer? With AccuLLM, you'll be the agency with all the insights 👇</t>
  </si>
  <si>
    <t>Ran from Dec 1, 2025 to Jan 29, 2026</t>
  </si>
  <si>
    <t>Ran from Dec 1, 2025 to Feb 11, 2026</t>
  </si>
  <si>
    <t>Ran from Dec 4, 2025 to Sep 8, 2026</t>
  </si>
  <si>
    <t>Ran from Dec 1, 2025 to Dec 10, 2025</t>
  </si>
  <si>
    <t>Ran from Dec 2, 2025 to Sep 8, 2026</t>
  </si>
  <si>
    <t>The fight for AI shelf space continues this holiday season! 🥊   Target recently launched its new shopping experience directly within ChatGPT, enabling customers to discover and purchase products without ever leaving the chat.  And they’re not alone - Walmart did the same thing. 💡   Additionally, OpenAI just announced the launch of ChatGPT Shopping Research - a new feature that makes it even easier to find and compare products without opening your web browser, let alone juggling multiple open tabs.  These moves aren’t experiments. They’re signals that OpenAI and major retailers are proactively adapting to (and facilitating) shifts in customer behavior by embracing LLMs as the new “digital shelf”, where research starts, buying decisions happen, and visibility turns into revenue.  And the fact of the matter is: If you’re not being mentioned in the AI answers, you’re essentially invisible to a lot of potential customers.  So the question for you heading into this holiday season is:  Is your brand being mentioned in AI answers, or are you quietly losing shelf space to competitors who are moving faster?  Without tracking your LLM visibility, you’ll have no way of knowing. 🤷♂️   Luckily, Q4 is the best time to measure this. Customer volume is high, intent is high, and LLM outputs are more revealing than at any other point in the year.  Start tracking your LLM visibility.  #SEO #LLM #ChatGPT #GEO #AISearch</t>
  </si>
  <si>
    <t>#SEO #LLM #ChatGPT #GEO #AISearch</t>
  </si>
  <si>
    <t>Ran from Nov 27, 2025 to Nov 28, 2025</t>
  </si>
  <si>
    <t>They have a combined 26 years of experience in SEO. In this case, they reveal the process they built to merge SERP and LLM insights into a single workflow 👇</t>
  </si>
  <si>
    <t>Ran from Nov 26, 2025 to Dec 15, 2025</t>
  </si>
  <si>
    <t>They have 26 years of combined SEO experience - and still hit a point where the numbers didn’t add up.  Jamie and Michael from Eagle Eyed Digital saw rankings stay solid while impressions and clicks fell off a cliff.  The problem wasn’t their SEO. It was a gap in how visibility was measured.   Today, people don’t just search on Google. They also ask ChatGPT, Gemini, and Perplexity. And zero-click results mean fewer users ever reach a website - even when rankings look “great.”  So, Jamie and Michael rebuilt their strategy to merge SERP and LLM insights into one workflow.  Here’s what it looks like 👇  1. Keyword research and intent mapping Analyse keyword demand and intent, separating commercial from informational queries to align insights with business priorities.  2. SERP-level insights Track approved keywords in AccuRanker and review SERP snapshots and search volumes to identify patterns, opportunities, and intent signals across organic and AIO responses.  3. LLM question modelling Use SERP insights to surface natural-language prompts in ChatGPT, Gemini, and other LLMs, validating them against AccuLLM’s prompt suggestions.  4. Prompt categorisation Group prompts into intent-based clusters, track them in AccuLLM, and validate with clients to ensure content planning reflects real customer questions and commercial themes.  5. Upload and reporting setup in AccuRanker Import prompts, map them to keyword groups, tag by theme or funnel stage, and configure reports that combine SERP and LLM visibility insights.  6. LLM tracking and trend analysis Monitor brand mentions, sentiment, and visibility trends across LLMs, pairing them with SERP data for a complete, scalable view of organic and LLM performance.  Before: “You’re ranking well = performance is good.”  After: “Here’s exactly how your brand performs on Google and in AI answers”  This is what modern organic visibility should look like.  Full case study here 👇  https://lnkd.in/dhGpdMvP</t>
  </si>
  <si>
    <t>Ran from Nov 20, 2025 to Sep 8, 2026</t>
  </si>
  <si>
    <t>Q4… the season of joy, panic, and approximately 47 overlapping deadlines.  You’re buying Christmas gifts, juggling holiday plans, wrapping up reporting, fighting for next year’s budget, and pretending everything is totally fine 🫠    -Your customers ask about it. -Your boss asks about it. -And deep down, you know you probably need to look into it.   If you want a quick walkthrough of what we’re doing with LLMs at AccuRanker, you can book in a chat with me here: https://lnkd.in/ei98kg65  Let's sum up the questions you have in an affective 30 minutes instead of looking into it all by yourself.  #AccuRanker #LLM #AI #SEO #GEO</t>
  </si>
  <si>
    <t>#AccuRanker #LLM #AI #SEO #GEO</t>
  </si>
  <si>
    <t>Ran from Nov 26, 2025 to Nov 28, 2025</t>
  </si>
  <si>
    <t>Unlike keywords, AI prompts don’t come with search volumes or historical data. So, how do you identify which prompts to track? You start with this blog post 👇</t>
  </si>
  <si>
    <t>Ran from Nov 20, 2025 to Nov 28, 2025</t>
  </si>
  <si>
    <t>Ran from Nov 27, 2025 to Dec 3, 2025</t>
  </si>
  <si>
    <t>Why settle for 50% SEO insights? With AccuRanker, you'll know exactly how you rank on the SERP AND across various LLMs like ChatGPT, Gemini, and Perplexity.</t>
  </si>
  <si>
    <t>Ran from Nov 11, 2025 to Feb 26, 2026</t>
  </si>
  <si>
    <t>There are two major 'blind spots' in SEO: 1. Keyword Rankings. 2. LLM visibility. Most tools solve one - AccuRanker solves both 👇</t>
  </si>
  <si>
    <t>Ran from Nov 17, 2025 to Nov 17, 2025</t>
  </si>
  <si>
    <t>Are we showing up in ChatGPT?' Your clients will be asking. Will you be able to answer? With AccuLLM, you can. See how it works 👇</t>
  </si>
  <si>
    <t>Ran from Nov 7, 2025 to Nov 17, 2025</t>
  </si>
  <si>
    <t>A few months ago, an infographic based on a Semrush study began circulating, showing what sources AI cites the most.  Reddit topped the list, followed by Wikipedia, YouTube, and Google.   Naturally, Reddit quickly became a focal point for many marketers.  But that may have been a mistake.  Here’s why 👉 According to recent research from First Page Sage (link in the comments), the Semrush study doesn’t tell the whole story, as it’s primarily based on research-intent queries.   For example, Reddit was found to be heavily cited for queries like:  “Where should I travel in Europe?” or “How does AI search work?”  But what does it look like when the intent changes?  First Page Sage found that Reddit, Quora, and other similar platforms account for only 11% of the LLMs’ (ChatGPT, Perplexity, and Gemini) commercial recommendations.  In other words, if you want your product or service recommended by AI models, focusing on Reddit will have a minimal impact.   For further confirmation, the team at First Page Sage dug deeper, analyzing over 36,000 buying-intent queries.  The result? The image flipped completely.   Here’s what AI cites when people want to buy 👇  1. Product recommendation sites: Wirecutter, TechRadar, Tom’s Guide  2. Review platforms: Trustpilot, G2, BBB  3. Media outlets: Forbes, Wired, The Verge  4. YouTube and video reviews  5. SaaS directories: Clutch, UpCity, Capterra  Meanwhile…  Reddit? 12th place.  Wikipedia? 16th.  Social platforms? 17th.   The takeaway?  Query intent matters. People trust different sources depending on whether they’re researching or ready to buy, and LLMs mirror that behavior when determining what sources to cite. Thus, when choosing which sources to optimize for, you need to consider both query intent and your content objectives.  P.S. AccuRanker specializes in high-volume rank tracking and LLM tracking for SEO agencies and enterprise teams. Visit us at: https://lnkd.in/diZT3sVz</t>
  </si>
  <si>
    <t>Ran from Nov 13, 2025 to Jul 10, 2026</t>
  </si>
  <si>
    <t>Here’s 7 simple methods for identifying which AI prompts to track 👇  1. Start with your keywords  Turn your priority and long-tail keywords into natural questions: “How do I…”, “Best way to…”, “Tool for…”. These are often the type of phrases people type into LLMs.  2. Monitor AI Overview triggers  Use a tool like AccuRanker to track which keywords trigger AI Overviews in the SERP. Those queries already receive AI-generated answers, so they’re strong candidates for prompt tracking.  3. Analyze “People Also Ask” boxes  Type in a high-value keyword, export the relevant PAA questions, and test them directly as prompts. Many of them are already written in prompt-style language. AccuRanker’s full serp report is a helpful tool for exporting PAA.  4. Ask the LLMs  Use prompts like:   “What questions do people ask about [topic]?” “Suggest 10 prompts someone might use when researching [keyword].”  Use the output to discover phrasing patterns and missing angles.   5. Review Q&amp;A forums  Reddit, Quora, and niche communities are full of questions that resemble prompts. Focus on recurring problems, comparisons, and “how do I…” questions related to your product or service category.  6. Map prompts to core business areas List your key product areas, features, or services. For each one, write prompts that match how a user would naturally describe their problem in an LLM. This helps you cover a wide range of prompts that are both commercially and strategically relevant to your business.  7. Leverage prompt suggestions  Some LLM tracking tools, including AccuLLM, provide prompt suggestions that are tailored to your brand, product, and industry. You can use these suggestions directly or as inspiration to generate your own prompts.  Do you have other methods I haven’t already covered? Let me know in the comments 👇</t>
  </si>
  <si>
    <t>From complex keyword data to 1,100+ page-one rankings. See how Funnel Boost Media used AccuRanker to scale SEO success &amp; build stronger client trust 👇</t>
  </si>
  <si>
    <t>Ran from Nov 19, 2025 to Nov 19, 2025</t>
  </si>
  <si>
    <t>Ran from Nov 11, 2025 to Mar 20, 2026</t>
  </si>
  <si>
    <t>Ran from Nov 11, 2025 to Dec 17, 2025</t>
  </si>
  <si>
    <t>“Are we showing up in ChatGPT, Perplexity, and AIO?” Your CEO will be asking. Will you be able to answer? 👇</t>
  </si>
  <si>
    <t>Ran from Nov 17, 2025 to May 12, 2026</t>
  </si>
  <si>
    <t>Are we showing up in ChatGPT?' Your CEO will be asking. Will you be able to answer? With AccuLLM, you can. See how it works 👇</t>
  </si>
  <si>
    <t>Ran from Nov 7, 2025 to Sep 8, 2026</t>
  </si>
  <si>
    <t>Ran from Nov 17, 2025 to Nov 28, 2025</t>
  </si>
  <si>
    <t>Ran from Nov 20, 2025 to Jul 10, 2026</t>
  </si>
  <si>
    <t>Are you showing up in ChatGPT? Who are you competing with for mentions? Are mentions positive or negative? Answer this, and much more, with AccuLLM 👇</t>
  </si>
  <si>
    <t>Ran from Nov 13, 2025 to Nov 28, 2025</t>
  </si>
  <si>
    <t>Ran from Nov 7, 2025 to Mar 9, 2026</t>
  </si>
  <si>
    <t>The way we search is evolving. Google is still #1, but more users - especially Gen Z - are turning to ChatGPT and other LLMs for answers. The big question is... 👇  Does your brand show up in ChatGPT, Perplexity, or AIO when they search?  With AccuLLM, you can finally see how often your brand is mentioned or used as a source, whether mentions are positive or negative, and who you’re competing with inside LLM-generated answers - and much more.  Click down below to check it out!</t>
  </si>
  <si>
    <t>Ran from Oct 23, 2025 to Nov 17, 2025</t>
  </si>
  <si>
    <t>LLM tracking? LLM visibility?  GEO tracking? What is it really about, and why should you care? Here's what you need to know 👇</t>
  </si>
  <si>
    <t>👉 “What are the differences between rank tracking and LLM tracking - especially when monitoring AIO?”  That’s easily one of the most asked questions we’ve gotten since adding LLM tracking to AccuRanker.  Let’s quickly talk about it. Rank tracking tells you what Google thinks of your site. It measures where your pages rank for specific keywords, whether those keywords trigger an AIO, and if your URL appears in (or owns) the AIO box at the top of the SERP.  → It’s about keywords, SERP rankings, links, and confirming your AIO presence.  LLM tracking, on the other hand, tells you what AI thinks of your brand. It helps you monitor how your brand or content is represented inside the AI-generated answers that ChatGPT, Gemini/AIO, and Perplexity stitched together - which, until now, has been a black box.  → It’s about prompts, and about capturing brand mentions, citations, sources, and sentiment - even when no clickable links are present - giving you a deeper understanding of your presence in e.g. AIO.  Why does this matter?  A few years back, everyone primarily fought for the top spots on Google.  Today, they also fight to be remembered by the AI models people now trust for answers.  If you’re not actively tracking both, you might be missing half of your brand’s visibility story.  P.S. AccuRanker offers innovative rank tracking and LLM tracking for SEO agencies and enterprise teams. We help you track, analyze, and report on keywords and prompt performance at scale. Visit us at: https://lnkd.in/dQF7rpya</t>
  </si>
  <si>
    <t>ChatGPT and other LLMs are reshaping SEO. But what does that actually mean? Here's what you need to know 👇</t>
  </si>
  <si>
    <t>Ran from Nov 7, 2025 to Nov 28, 2025</t>
  </si>
  <si>
    <t>Ran from Nov 6, 2025 to Dec 3, 2025</t>
  </si>
  <si>
    <t>Ran from Oct 23, 2025 to Oct 27, 2025</t>
  </si>
  <si>
    <t>Ran from Nov 6, 2025 to Nov 28, 2025</t>
  </si>
  <si>
    <t>Ran from Nov 7, 2025 to Nov 19, 2025</t>
  </si>
  <si>
    <t>Ran from Oct 23, 2025 to Oct 24, 2025</t>
  </si>
  <si>
    <t>Ran from Oct 21, 2025 to Oct 29, 2025</t>
  </si>
  <si>
    <t>Ran from Oct 21, 2025 to Oct 24, 2025</t>
  </si>
  <si>
    <t>“Are we showing up in ChatGPT, Perplexity, and AIO?” Your customers will be asking. Will you be able to answer? 👇</t>
  </si>
  <si>
    <t>Ran from Oct 21, 2025 to Oct 21, 2025</t>
  </si>
  <si>
    <t>Is your brand showing up in LLMs? Who are you competing with for mentions? Are mentions positive or negative? Answer this, and much more, with AccuLLM 👇</t>
  </si>
  <si>
    <t>Is your brand visible in LLMs? Who are you competing with for mentions? Are mentions positive or negative? Answer this, and much more, with AccuLLM 👇</t>
  </si>
  <si>
    <t>Ran from Oct 14, 2025 to Oct 16, 2025</t>
  </si>
  <si>
    <t>“Are we showing up in LLMs like ChatGPT, Perplexity, AI Mode, and AIO?” Your customers will be asking. Will you be able to answer? 👇</t>
  </si>
  <si>
    <t>Ran from Oct 14, 2025 to Oct 24, 2025</t>
  </si>
  <si>
    <t>Everyone asks, “Do we show up in LLMs like ChatGPT, Perplexity, AI Mode, &amp; AIO?”. Now AccuRanker gives you the answer. Track what others miss with AccuLLM 👇</t>
  </si>
  <si>
    <t>Is my brand visible in LLMs? Who am I competing with for mentions? Are mentions positive or negative? You can answer this, and much more, with AccuLLM 👇</t>
  </si>
  <si>
    <t>“Are we visible in LLMs like ChatGPT, Perplexity, AI Mode, and AIO?” Your customers will be asking. Will you be able to answer? 👇</t>
  </si>
  <si>
    <t>It's about god damn time! - AI Mode is finally available in most European countries, we can all finally stop testing with VPN's 🤣  Official update from Google: https://lnkd.in/dmwuAGQJ  PS: You can track AI Mode in AccuLLM: https://lnkd.in/d_QiahiH</t>
  </si>
  <si>
    <t>Ran from Oct 8, 2025 to Oct 31, 2025</t>
  </si>
  <si>
    <t>Ran from Oct 14, 2025 to Oct 29, 2025</t>
  </si>
  <si>
    <t>Ran from Oct 8, 2025 to Nov 5, 2025</t>
  </si>
  <si>
    <t>“Are we visible in LLMs like ChatGPT, Perplexity, AI Mode, and AIO?” Leadership and clients will be asking. Will you be able to answer? 👇</t>
  </si>
  <si>
    <t>🎉 AccuLLM is now live! 🎉  We are incredibly proud to share that you can now track prompts in ChatGPT, Perplexity, AI Overview, and AI Mode with AccuLLM 🤩  Look forward to: - Understanding your average rank across the LLMs. - Learning how often the LLMs mention your brand or domain. - Comparing your brand to competitors across average visibility, rank, and sentiment. - … and much more!  Do not miss this opportunity to understand when and how your brand is presented in AI answers.  Get your hands on our AccuLLM launch offer here 👉 https://lnkd.in/d29cYAKh</t>
  </si>
  <si>
    <t>Ran from Oct 2, 2025 to Oct 6, 2025</t>
  </si>
  <si>
    <t>The past month has been wild😅   Not long ago, we announced the launch of our LLM tracking, AccuLLM, and the response from the SEO community has simply been incredible!  Why?   Because with the addition of AccuLLM, AccuRanker now helps you cover not just one, but two of the biggest “blind spots” in SEO:  1. Keyword rankings  2. LLM visibility (ChatGPT, Perplexity, AI Overview, and AI Mode)  All in one platform.  Get more details about AccuLLM right here 👉 https://lnkd.in/dYVFg_AJ</t>
  </si>
  <si>
    <t>Ran from Oct 2, 2025 to Nov 13, 2025</t>
  </si>
  <si>
    <t>We all know LLM's is changing how we search for information.   Because of that we are launching our LLM tracking today, SEO can be tracked in many ways, so with our LLM tracking, we want to show you exactly how your brand shows up in LLMs like ChatGPT, Perplexity, Gemini (AIO), and AI mode.  How often is your brand being mentioned, is it in a good or bad lighting, what sources is the LLM using and trusting so you can optimize your visibility.   Curious to learn more, you can book me in for a quick chat via this link: https://lnkd.in/ei98kg65  #AI #LLM #ChatGPT #Perplexity #Gemini #SEO #BrandVisibility #AITrends</t>
  </si>
  <si>
    <t>#AI #LLM #ChatGPT #Perplexity #Gemini #SEO #BrandVisibility #AITrends</t>
  </si>
  <si>
    <t>Ran from Oct 2, 2025 to Oct 14, 2025</t>
  </si>
  <si>
    <t>There are two major 'blind spots' in SEO: 1. Keyword Rankings. 2. LLM visibility. Most tools solve one. Now AccuRanker solves both 👇</t>
  </si>
  <si>
    <t>Track what other miss with AccuLLM. See how often you are mentioned in LLMs, who your competitors are, if mentions are positive or negative, and much more 👇</t>
  </si>
  <si>
    <t>🎉 I feel like a kid on Christmas morning – AccuLLM is officially live! 🚀 To celebrate, we’re offering a special launch deal: Sign up for a demo today and get exclusive bonus prompts – free of charge. But hurry, this offer is only available until October 14th.  https://lnkd.in/dyaM_K4j</t>
  </si>
  <si>
    <t>Ran from Oct 2, 2025 to Oct 2, 2025</t>
  </si>
  <si>
    <t>Ran from Oct 2, 2025 to Oct 3, 2025</t>
  </si>
  <si>
    <t>CTR in organic search is broken! 🤦♂️   For years, static CTR models were the norm - you know, the ones assuming:  Position #1 = 31.2% Position #2 = 12.6% Position #3 = 8.6%  It seemed logical. Clean. Predictable.  But how do they handle today's dynamic SERPs?  They don’t.   They overestimate traffic. They ignore what users actually see and click. They make reports and forecasts unreliable.  It makes sense, though Static models were built for SERPs from a decade ago. 🦕   Today’s SERPs? They’re: - Cluttered. - Personalized. - Feature-packed. - Brand biased. - Mobile dominated.  The game has changed, and static models can’t keep up. At AccuRanker, we built a better solution.  Our AI CTR factors in more than 120 dynamic SERP variables in real-time, like:  - Pixel position - Search intent - SERP features  If you’re an SEO pro, strategist, or reporting to leadership, this matters. Because when you report traffic potential using outdated models… (many rank trackers still do!)   You lose insights. You lose credibility. You lose budget. 🥵  P.S. AccuRanker is an innovative rank tracker for SEO agencies and enterprises, built to track, analyze, and report on keyword performance at scale. Visit us at: https://lnkd.in/d7K7kYsW</t>
  </si>
  <si>
    <t>#1 #2 #3</t>
  </si>
  <si>
    <t>Ran from Sep 24, 2025 to Mar 2, 2026</t>
  </si>
  <si>
    <t>Ran from Oct 1, 2025 to Sep 8, 2026</t>
  </si>
  <si>
    <t>We asked over 100 SEO agencies about their struggles with rank tracking and what truly mattered to them. Then, we built the solution they actually needed.</t>
  </si>
  <si>
    <t>Ran from Oct 2, 2025 to Nov 28, 2025</t>
  </si>
  <si>
    <t>Ran from Sep 30, 2025 to Sep 8, 2026</t>
  </si>
  <si>
    <t>Too many teams. Too many tools. Not enough clarity. Whether you're managing multiples sites or thousands of keywords across diverse markets - we can help.</t>
  </si>
  <si>
    <t>Ran from Sep 30, 2025 to Nov 28, 2025</t>
  </si>
  <si>
    <t>What would you do with 12 extra hours every month? 💡   That’s how much time Hostinger’s SEO lead used to lose on reporting:   ❌ Manually exporting data from multiple tools ❌ Analyzing and grouping insights for 10+ domains ❌ Building reports from scratch ❌ Trying to make sense of what changed (and why)  By the time they were done, the data was already outdated due to the fast-paced and competitive nature of their industry.  Sound familiar? 😄  Then they switched to a more efficient strategy:   → Real-time keyword data segmented with auto-tagging  → Instant visibility into ranking shifts and trends  → Automated building and sharing of up-to-date reports  → Live dashboards with Share of Voice &amp; competitor insights Now?  “I can confidently say that AccuRanker’s reporting features save me at least 3 hours per week, amounting to 12 hours a month.”  - Kamiel Siegień, Technical SEO lead at Hostinger.   No complicated overhaul, just 12 extra hours per month spent on strategy, not spreadsheets.  Check out the full case: https://lnkd.in/dmW8AGr3</t>
  </si>
  <si>
    <t>Ran from Sep 24, 2025 to Sep 24, 2025</t>
  </si>
  <si>
    <t>🚀 Huge things are happening at AccuRanker!  Last week, we shared the biggest news in AccuRanker history — and the response has been incredible. More than 500 people have already signed up to stay tuned for what’s coming next. 🙌 (Hint, it rhymes with LLM Tracking)  We’re just getting started, and we can’t wait to show you what’s ahead.  👉 Haven’t signed up yet? Don’t miss out on: https://lnkd.in/dub_TpCi</t>
  </si>
  <si>
    <t>Ran from Sep 12, 2025 to Sep 24, 2025</t>
  </si>
  <si>
    <t>“Mikkel, we absolutely love your tool - There’s just one thing we need to renew our contract with AccuRanker”  This is the message I got from one of our biggest clients - What feature was he referring to?, tracking LLM performance of course. 🚀   That is why I’ve spent the last couple of months meeting with the leading agencies and in-house teams of the industry, to understand exactly how we can empower and deliver value to our partners.  And it’s also why we’re insanely excited to announce that LLM tracking will be coming to AccuRanker on the 30th of September. 🔥   Thank you to everyone who’s contributed with knowledge, know-how and sparring - Our clients are awesome!   Join the pre-launch list now (non-binding), and be among the first to:  - Qualify for an exclusive launch offer. - Get early access to product details. - Know about our plans and pricing.  Join the list here: https://lnkd.in/dub_TpCi</t>
  </si>
  <si>
    <t>AccuRanker is soon launching LLM Tracking – a new way to track and leverage Large Language Model Engines.  We’re opening up a pre-launch list for early access.  👉 Haven’t signed up yet? Don’t miss out on: https://lnkd.in/dpJ_RtXp</t>
  </si>
  <si>
    <t>8:57am – First coffee of the day☕ 9:01am – Client email: “Rankings dropped. What happened?!” 9:04am – Slack ping: “Can you create a simple report for management?” 9:06am – Another client questions if SEO is actually worth it. “What’s the ROI?” 9:15am – Coffee’s cold.  Agency SEO is not just SEO. It’s bascially chaos management 😅  That’s why the best teams don’t just track rankings.   They have systems in place that help them:  Monitor thousands of keywords without drowning in data Spot and explain ranking drops before clients panic Prove the business impact of their work in $$$, not just traffic Make reporting painless so they can focus more on strategy  Strip away the chaos, and you simply get to do more of the fun stuff: help clients grow their business.  Shameless pitch: AccuRanker can help you with all of the above. Here’s how: https://lnkd.in/dij_HXvW</t>
  </si>
  <si>
    <t>Ran from Sep 24, 2025 to Jul 10, 2026</t>
  </si>
  <si>
    <t>5 FREE tickets to brightonSEO San Diego (Sep 23-24, 2025) - worth $910 each.  Want the free tickets?  Comment “AccuLLM” and tag your teammates.  I’ll pick 1-2 teams to take all 5 tickets - go learn, network, and grab a AccuRanker grumpy tiger hoodie.  Side note: AccuLLM has passed 900+ pre-release signups (launching Sep 30, 2025). Still #1 for AI visibility, rank tracking, dynamic CTR, forecasting, and reporting - that leadership cares about. DM me for a pre-release demo.  I'll pick the winners on Saturday, Sep 20, 2025. Make sure we’re connected.</t>
  </si>
  <si>
    <t>🚨 You said you wanted LLM tracking 🚨   So we built it — right into the product you already use and trust. We’re launching our own LLM on September 30.  Fully integrated. No switching. No extra tabs. No BS.Here’s what to do now:   𝐉𝐨𝐢𝐧 𝐭𝐡𝐞 𝐩𝐫𝐞-𝐥𝐚𝐮𝐧𝐜𝐡 𝐥𝐢𝐬𝐭 𝐭𝐨 𝐛𝐞 𝐚𝐦𝐨𝐧𝐠 𝐭𝐡𝐞 𝐟𝐢𝐫𝐬𝐭 𝐭𝐨: ▪️ Qualify for a special launch offer. ▪️Get early access to product details. ▪️Know about our plans and pricing.  Signups are non-binding. Secure your spot  here → https://lnkd.in/eFUMbsSe  #LLM #AI #Launch #SEO #NoMoreToolOverload #BuiltWithUsers</t>
  </si>
  <si>
    <t>#LLM #AI #Launch #SEO #NoMoreToolOverload #BuiltWithUsers</t>
  </si>
  <si>
    <t>Ran from Sep 18, 2025 to Sep 24, 2025</t>
  </si>
  <si>
    <t>Ran from Sep 5, 2025 to Sep 24, 2025</t>
  </si>
  <si>
    <t>AccuRanker’s product team finally let me spill the tea!! LLM Tracking drops Sept 30.  C-levels and agency clients kept asking: “How are we ranking in ChatGPT, Perplexity, and Gemini?”  Nobody could answer. SEOs were flying blind.  So we built it.  With input from leading SEO teams across ecommerce, travel, finance, and agencies to make this not just functional - but essential.  - To answer stakeholder questions - To drive real strategy - To prioritize and show what actually moves the needle  Lightning fast and scalable, like the rest of the tool.  Early access, pricing, and a launch offer via the pre-launch list here --&gt; https://lnkd.in/d-fKaVek</t>
  </si>
  <si>
    <t>This is by far the biggest release during my time at AccuRanker!  The LLM tracking will contain these features: 1. Prompt tracking monitoring both domain mentions and brand mentions. 2. Metrics like Avg. ranking + Share of Voice 3. Full 'Live' answer - Rendering and showing the exact answer we base our data on 4. Sources -&gt; Understand what content is performing in LLM's 5. Can't disclose 6. Can't disclole 7. Definitely can't disclose (my manager will kill me) Etc..  Join our pre-launch list to qualify for an exclusive offer and be among the first to learn more about our LLM tracking features, use cases, and pricing over the next four weeks 👇  https://lnkd.in/dwPjcCiT</t>
  </si>
  <si>
    <t>Ran from Sep 3, 2025 to Sep 24, 2025</t>
  </si>
  <si>
    <t>Ran from Sep 11, 2025 to Sep 15, 2025</t>
  </si>
  <si>
    <t>Ran from Sep 11, 2025 to Sep 24, 2025</t>
  </si>
  <si>
    <t>Ran from Sep 12, 2025 to Sep 15, 2025</t>
  </si>
  <si>
    <t>Ran from Aug 5, 2025 to Jan 27, 2026</t>
  </si>
  <si>
    <t>Ran from Aug 5, 2025 to Mar 20, 2026</t>
  </si>
  <si>
    <t>Ran from Aug 27, 2025 to Mar 20, 2026</t>
  </si>
  <si>
    <t>Nicklas Gravgaard  Hey, I saw you've been engaging with AccuRanker 🐯😊  'Oh hell no. Is he trying to get me on a call?'  Nope, not at all.  *Phew, sigh of relief*  I'm just trying to create more awareness around our platform.  So instead, we'd like to personally record and send you a short video tour of our app.  No longer than 5 minutes. Straight to the point.  There's a reason we've been trusted by thousands of SEOs since 2013.  I just hope for the chance to show you why.  Watch the video whenever you like - or don't. Who am I to decide 😄</t>
  </si>
  <si>
    <t>Ran from Aug 6, 2025 to Sep 15, 2025</t>
  </si>
  <si>
    <t>Ran from Sep 2, 2025 to Sep 8, 2026</t>
  </si>
  <si>
    <t>Ran from Sep 2, 2025 to Feb 27, 2026</t>
  </si>
  <si>
    <t>Ran from Aug 12, 2025 to Jul 10, 2026</t>
  </si>
  <si>
    <t>Ran from Sep 2, 2025 to Sep 11, 2025</t>
  </si>
  <si>
    <t>Our AI SV combines the strengths of GKP, GSC, and GT to deliver accurate search volumes split by device, adjusted for local intent, &amp; updated with historic trends.</t>
  </si>
  <si>
    <t>Ran from Sep 2, 2025 to Sep 24, 2025</t>
  </si>
  <si>
    <t>Ran from Aug 15, 2025 to Nov 28, 2025</t>
  </si>
  <si>
    <t>Ran from Aug 21, 2025 to Oct 1, 2025</t>
  </si>
  <si>
    <t>You didn't get into SEO to spend your time on reporting and spreadsheets 🥱 See how Hostinger saves 12 hours a month on reporting, and how you can too.</t>
  </si>
  <si>
    <t>Ran from Aug 5, 2025 to Sep 8, 2026</t>
  </si>
  <si>
    <t>Peec AI</t>
  </si>
  <si>
    <t>Paid for by Peec AI GmbH</t>
  </si>
  <si>
    <t>ChatGPT is the new shelf. The one buyers actually trust. And most brands have no idea whether their products are on it, where they're placed, or who's sitting next to them. Now you can see it. Paste your Shopify URL or upload your catalog directly — your products, their placement, and their competitors, live in minutes. Free to start: https://lnkd.in/ei-Nsz9C</t>
  </si>
  <si>
    <t>AI Search Intelligence, Brand Visibility &amp; Generative Engine Optimization</t>
  </si>
  <si>
    <t>Ran from Jul 6, 2026 to Jul 24, 2026</t>
  </si>
  <si>
    <t>Soon, AI won't just recommend products. It'll buy them. Shopify and Google are building the rails for AI agents to complete purchases. The brands that'll win that shift are learning how AI ranks their products now — while there's time to improve it. Peec shows where every product in your catalog stands today. https://lnkd.in/ei-Nsz9C</t>
  </si>
  <si>
    <t>Ran from Jun 26, 2026 to Jul 24, 2026</t>
  </si>
  <si>
    <t>We just shipped AI Shopping Analytics 🛍️  People use ChatGPT as their personal shopping advisor, and now you can track how your products are performing.  For every product in your catalog, you see: Visibility → how often it appears in AI shopping answers Position → where it ranks when it shows up, and which products appear next to it Attributes → the attributes ChatGPT uses to compare products in your category Mentioned price → the price AI quotes, checked against your catalog Where AI sends the buyer → your store, a marketplace, or a retailer  If you want to get ahead on the next platform where people make purchasing decisions at scale, you can start today.  → https://lnkd.in/d3YQnKM9</t>
  </si>
  <si>
    <t>$10m → $15m in 3 months.  On track to get to $25m EoY.  The team is absolutely crushing it 🔥.</t>
  </si>
  <si>
    <t>Ran from Jun 22, 2026 to Jun 26, 2026</t>
  </si>
  <si>
    <t>Somewhere in ChatGPT, a competitor's product is sitting in your slot. A shopper asked for exactly what you sell — and got recommended someone else. It happens daily, silently, and no report you run today would catch it. Connect your Shopify store and see who's taking your recommendations. Free to start: https://lnkd.in/ei-Nsz9C</t>
  </si>
  <si>
    <t>When ChatGPT recommends your products, where does it send the buyer? Your store, a marketplace, a third-party retailer — at portfolio scale, that answer is a margin line, not a curiosity. And right now it's invisible. Peec surfaces the destination for every product recommendation across your catalog. https://lnkd.in/ei-Nsz9C</t>
  </si>
  <si>
    <t>Someone asked ChatGPT for the best products in your category today. Were you in the answer? Whatever it said, the shopper trusted it — more than any search result or sponsored listing. What to buy, what works best, what's worth the price: those decisions happen in AI now. Connect your Shopify store and see which products ChatGPT recommends, where they rank, and who shows up next to them. Free to start: https://lnkd.in/ei-Nsz9C</t>
  </si>
  <si>
    <t>Ran from Jun 26, 2026 to Jul 6, 2026</t>
  </si>
  <si>
    <t>Right now, AI is presenting your products to buyers — without your input. The descriptions, the comparisons, the price it quotes, the alternatives it places beside you: all assembled by the engine, not your brand team. For premium brands, that presentation is the brand. Peec shows you exactly how AI presents every product, so you can manage it like any other surface. https://lnkd.in/ei-Nsz9C</t>
  </si>
  <si>
    <t>Ran from Sep 1, 2026 to Sep 9, 2026</t>
  </si>
  <si>
    <t>Prismic now plugs straight into your Peec AI visibility data and based on that suggest which pages you can create or update to get cited.  🎙️ We're hosting a live walkthrough next Thursday, June 25, with Malte Landwehr, François Bohyn (Prismic CRO) and Guy Proops – what AI visibility means for content teams in 2026, closing with a first look at the integration.  Live attendees get early access.  Save your seat → https://bit.ly/3SigtDx</t>
  </si>
  <si>
    <t>Ran from Jun 23, 2026 to Jun 25, 2026</t>
  </si>
  <si>
    <t>You can't win what you can't see. ChatGPT recommends products to your buyers every day — which ones, in what order, against whom. All of it invisible to your team, none of it in your reporting. Peec makes it visible: every product in your catalog, measured like the rest of your funnel. https://lnkd.in/ei-Nsz9C</t>
  </si>
  <si>
    <t>Shoppers ask ChatGPT what to buy. Your clients' products compete in those answers every day. Get them on the shelf: track which products AI recommends, at what position, against which competitors — per product, at catalog scale. https://lnkd.in/ei-Nsz9C</t>
  </si>
  <si>
    <t>How are we doing in AI?' is becoming a standing question in every leadership review. Right now most teams answer it with a feeling. The ones who answer with numbers — per product, versus competitors, week over week — will own that conversation for the next two years. Peec is the numbers. See your catalog's actual standing: https://lnkd.in/ei-Nsz9C</t>
  </si>
  <si>
    <t>AI agents will soon complete purchases on shoppers' behalf. Shopify and Google already published the protocol for it. The brands that will shape that shift are measuring their AI shopping position now — before agents transact, while there's still time to fix what they find. Peec tracks how AI recommends every product in your catalog, today. https://lnkd.in/ei-Nsz9C</t>
  </si>
  <si>
    <t>Track your clients' products in ChatGPT shopping: visibility, position, and competitors — per product, at catalog scale. One view per client, updated weekly, ready for the monthly report. The data layer for an AI shopping service. https://lnkd.in/ei-Nsz9C</t>
  </si>
  <si>
    <t>Ran from Jun 26, 2026 to Jul 5, 2026</t>
  </si>
  <si>
    <t>ChatGPT is the new shelf. The one buyers actually trust. And most brands have no idea whether their products are on it, where they're placed, or who's sitting next to them. Now you can see it — every product in your catalog, its placement, and the competitors beside it, tracked by category and week over week. See your shelf: https://lnkd.in/ei-Nsz9C</t>
  </si>
  <si>
    <t>Ran from Jun 19, 2026 to Jun 25, 2026</t>
  </si>
  <si>
    <t>Ran from Jun 19, 2026 to Jun 26, 2026</t>
  </si>
  <si>
    <t>Ran from Jun 18, 2026 to Jun 26, 2026</t>
  </si>
  <si>
    <t>AI shopping measurement, built for catalogs with thousands of products. Visibility, position, and competitive context for every SKU — across categories and markets, maintained continuously rather than sampled. The full catalog, not a snapshot. See what enterprise-scale coverage looks like on your own products: https://lnkd.in/ei-Nsz9C</t>
  </si>
  <si>
    <t>Ran from Jun 18, 2026 to Jun 25, 2026</t>
  </si>
  <si>
    <t>Purchase decisions are being made about your products every day — in conversations you can't see. What to buy, what works best, what's worth the price: shoppers settle it in ChatGPT now. For your team that's revenue-shaping activity with no data behind it. Peec turns it into numbers: per-SKU visibility, position, and win rate across AI shopping answers. https://lnkd.in/ei-Nsz9C</t>
  </si>
  <si>
    <t>ChatGPT doesn't recommend your brand. It recommends three specific products. Maybe yours, maybe a competitor's — decided answer by answer, SKU against SKU. Brand sentiment won't tell you who wins those; only product-level data does. Peec tracks all of it across your catalog: which products appear, where they rank, who they beat. https://lnkd.in/ei-Nsz9C</t>
  </si>
  <si>
    <t>Ran from Jun 20, 2026 to Jun 26, 2026</t>
  </si>
  <si>
    <t>Ran from Jun 17, 2026 to Jun 18, 2026</t>
  </si>
  <si>
    <t>🛒 AI shopping is the new storefront. We asked 12 ecommerce, SEO, and AI search experts how products get found, trusted, and bought in 2026 – and put it into The Future of AI Shopping report, with a little four-move playbook on top.  Inside: → what makes AI recommend one product over another → how focused brands beat giants in AI answers → where this all goes by 2027  Hear it from people watching this shift closely: Phillip Jackson, Brodie Clark, Andreas Reiffen, Callum Lockwood, Patryk Wawok, Lily Ray, Rodrigo Stockebrand, Peter Rota, Charlie Marchant, Freddie Chatt, Ethan Smith, Malte Landwehr  If AI commerce is on your radar this year – start here  https://lnkd.in/dH3BpGKA</t>
  </si>
  <si>
    <t>Ran from Jun 9, 2026 to Jun 16, 2026</t>
  </si>
  <si>
    <t>Ran from Jun 17, 2026 to Jun 17, 2026</t>
  </si>
  <si>
    <t>Ran from Jun 18, 2026 to Jun 18, 2026</t>
  </si>
  <si>
    <t>When leadership asks about AI search strategy, 'we're looking into it' isn't enough. Peec AI gives you a full visibility report, your brand vs. competitors, across every major AI platform, so you can walk in with data, not guesses.  Start your free trial →</t>
  </si>
  <si>
    <t>Ran from May 17, 2026 to Jul 2, 2026</t>
  </si>
  <si>
    <t>Brands in your category are monitoring AI search the way they once monitored Google rankings. Peec AI gives you the same intelligence, Visibility, Position, and Sentiment across ChatGPT, Perplexity, and Gemini, and shows you what they're doing to stay there.  Start your free trial →</t>
  </si>
  <si>
    <t>Ran from May 13, 2026 to May 13, 2026</t>
  </si>
  <si>
    <t>Every day buyers ask ChatGPT, Perplexity, and Gemini to recommend a tool like yours. Peec AI shows you whether you're in those answers, and how you stack up against your top 3 competitors. If they're showing up and you're not, you already know what to do.  Check your AI presence →</t>
  </si>
  <si>
    <t>Peec AI is built for agencies who want to monetise AI search, not just report on it. White-label every report with your branding. Manage all clients from one dashboard. Price AI visibility as a standalone service or bundle it into existing retainers. GEO is the new SEO add-on your clients will pay for.  Book Agency Onboarding →</t>
  </si>
  <si>
    <t>Ran from May 13, 2026 to Sep 8, 2026</t>
  </si>
  <si>
    <t>Ran from May 13, 2026 to Jul 2, 2026</t>
  </si>
  <si>
    <t>Every week, more clients are asking: 'Are we showing up in ChatGPT? What about Perplexity?' Agencies using Peec AI are the first to deliver an answer, with a branded report, competitor benchmarks, and a clear action plan. Don't be the agency that says they'll look into it.  Book Agency Onboarding →</t>
  </si>
  <si>
    <t>Ran from May 13, 2026 to Sep 9, 2026</t>
  </si>
  <si>
    <t>Ran from May 14, 2026 to Sep 8, 2026</t>
  </si>
  <si>
    <t>Ran from May 14, 2026 to Jul 2, 2026</t>
  </si>
  <si>
    <t>Peec AI tracks share of voice for your brand and top competitors across every AI platform — and turns that data into a clear, prioritized action plan. Know who's winning, where, and exactly what content is getting them there.</t>
  </si>
  <si>
    <t>Ran from Apr 21, 2026 to May 3, 2026</t>
  </si>
  <si>
    <t>Peec's flexible pricing is built for agencies managing clients at different scopes and budgets. Choose exactly which prompts and AI models to run per workspace. Offer clients precisely what they need — no over-engineering, no wasted spend.  Book Agency Onboarding →</t>
  </si>
  <si>
    <t>Ran from Apr 21, 2026 to May 4, 2026</t>
  </si>
  <si>
    <t>Ran from Apr 21, 2026 to Sep 8, 2026</t>
  </si>
  <si>
    <t>Peec analyzes which content types, sources, and topics drive AI visibility in your category — then tells you what to build to close the gap. Stop guessing what works. Start building what wins.  Check your AI presence →</t>
  </si>
  <si>
    <t>Peec AI tracks your brand's Visibility, Position, and Sentiment across every major AI platform — and shows you exactly where you're losing ground and what to do about it.</t>
  </si>
  <si>
    <t>Peec AI is the only AI search visibility platform built for the way agencies work All your client accounts in one place. Seamlessly switch between workspaces. Unlimited seats. White-label reports. Pricing built to scale.  Book Agency Onboarding →</t>
  </si>
  <si>
    <t>Every day, buyers ask ChatGPT, Perplexity, and Gemini to recommend tools like yours. Peec AI shows you where you appear, where you don't, and what content changes will move your position. First data in 24 hours.  Check your AI presence →</t>
  </si>
  <si>
    <t>Ran from Apr 21, 2026 to Sep 9, 2026</t>
  </si>
  <si>
    <t>AI search is the fastest-growing discovery channel. Peec AI helps you capture this growth with Actions - your roadmap to visibility. Track mentions across ChatGPT, Perplexity, Claude, and Gemini. Get prioritized opportunities scored by impact. Execute with step-by-step guidance.  Learn more and sign up today!</t>
  </si>
  <si>
    <t>We believe that with the right tools 👋 and the right help, AI search can become your fastest growing channel in 2026. So we handpicked trusted agencies who can help you turn AI visibility insights into rankings, traffic, and revenue.  From GEO audits and content optimization to digital PR, brand building, technical SEO, and AI commerce - find specialists for every piece of the puzzle!</t>
  </si>
  <si>
    <t>Ran from Mar 3, 2026 to Jun 27, 2026</t>
  </si>
  <si>
    <t>Ran from Mar 12, 2026 to Mar 26, 2026</t>
  </si>
  <si>
    <t>We believe that with the right tools and the right help, AI search can become your fastest growing channel in 2026! 🚀 So we handpicked trusted agencies who can help you turn AI visibility insights into rankings, traffic, and revenue.  From GEO audits and content optimization to digital PR, brand building, technical SEO, and AI commerce - find specialists for every piece of the puzzle!</t>
  </si>
  <si>
    <t>Need some support with AI search? Whether you're looking for help with visibility tracking, content optimization, technical SEO, or AI commerce—we've handpicked trusted agencies with proven results to help you get there faster.  Browse by expertise, connect directly, and start improving your AI search presence.  No commissions. Direct contact. Find your AI search partner 👇</t>
  </si>
  <si>
    <t>Ran from Mar 2, 2026 to Jun 27, 2026</t>
  </si>
  <si>
    <t>Whether you're looking for help with visibility tracking, content optimization, technical SEO, or AI commerce - we've handpicked trusted agencies with proven results to help you get there faster.  Browse by expertise, connect directly, and start improving your AI search presence.  No commissions. Direct contact. Find your AI search partner 👇</t>
  </si>
  <si>
    <t>Enough with the theories. Lets look at some data! I ran the exact same prompts in the US, UK, and Sweden.  As expected, the LLMs gave different answers.  In a free masterclass (April 29 | 10:00 CEST | Online), I will share what that means for B2B brands.  Together with Kristina Bergwall &amp; Stefania Casciari Carter, I will answer these questions: • Why US-centric brands show up in every market - even without a local presence. • How local sources influence LLM grounding and lead to different results. • Why some prompts are heavily localized - and others are not.  You will leave with a better understanding of regional differences in LLMs, and a practical framework you can apply to your own brand straight away.</t>
  </si>
  <si>
    <t>Ran from Apr 18, 2026 to Apr 26, 2026</t>
  </si>
  <si>
    <t>Peec AI MCP is live – and we can't wait to see what you build with it! So we're running the MCP Challenge 🏆   → Free month of Peec AI Pro for every participant  → $5K grand prize, $1.5K to 3 category winners  → A community of builders figuring out what AI visibility workflows can actually do  AI visibility data is now a building block. Let's get creative with it.  Sign up &amp; Get your free month ↓</t>
  </si>
  <si>
    <t>Ran from Apr 19, 2026 to Apr 25, 2026</t>
  </si>
  <si>
    <t>Whether you're looking for help with visibility tracking, content optimization, technical SEO, or AI commerce - we've handpicked trusted agencies with proven results to help you get there faster.   Browse by expertise, connect directly, and start improving your AI search presence.  No commissions. Direct contact. Find your AI search partner 👇</t>
  </si>
  <si>
    <t>Ran from Feb 27, 2026 to May 11, 2026</t>
  </si>
  <si>
    <t>Peec AI now packs more value - transforming your visibility data into a step-by-step playbook. Instead of manually digging through hundreds of URLs, you get clear opportunities grouped by content type - with specific recommendations on exactly what to create, optimize, or influence.</t>
  </si>
  <si>
    <t>Ran from Mar 2, 2026 to Mar 26, 2026</t>
  </si>
  <si>
    <t>Need some support with AI search? Whether you're looking for help with visibility tracking, content optimization, technical SEO, or AI commerce—we've handpicked trusted agencies with proven results to help you get there faster.  Browse by expertise, connect directly, and start building your AI search presence.  No commissions. Direct contact. Find your AI search partner today!</t>
  </si>
  <si>
    <t>We believe that with the right tools and the right help, AI search can become your fastest growing channel in 2026 🚀 So we handpicked trusted agencies who can help you turn AI visibility insights into rankings, traffic, and revenue.  From GEO audits and content optimization to digital PR, brand building, technical SEO, and AI commerce - find specialists for every piece of the puzzle.</t>
  </si>
  <si>
    <t>AI search is the fastest-growing discovery channel. Peec AI helps you capture this growth with Actions - your roadmap to visibility. Track mentions across ChatGPT, Perplexity, Claude, and Gemini. Get prioritized opportunities scored by impact. Execute with step-by-step guidance.</t>
  </si>
  <si>
    <t>Ran from Feb 28, 2026 to May 11, 2026</t>
  </si>
  <si>
    <t>Your visibility data just became dramatically more actionable. Actions is now live in your Peec AI dashboard - giving you prioritised opportunities with step-by-step recommendations. Focus on what matters. Skip the manual analysis. Already included at no extra cost.</t>
  </si>
  <si>
    <t>Ran from Feb 27, 2026 to May 10, 2026</t>
  </si>
  <si>
    <t>Ran from Feb 25, 2026 to Mar 26, 2026</t>
  </si>
  <si>
    <t>Ran from Feb 25, 2026 to Mar 24, 2026</t>
  </si>
  <si>
    <t>Do AI engines mention or overlook your brand? Peec AI shows how often you appear in AI answers and compares you against your competitors.  Get the insights you need to stay ahead.</t>
  </si>
  <si>
    <t>AI answers are replacing clicks. Peec AI helps you understand where your brand appears in AI search results and how often it drives visibility compared to competitors.  Understand your AI visibility and stay ahead of changing search behavior.</t>
  </si>
  <si>
    <t>Everything you need to track your brand's AI visibility — all in one dashboard. Peec AI tracks your brand mentions across ChatGPT, Gemini, Perplexity, and more.  Understand your AI presence and act with confidence.</t>
  </si>
  <si>
    <t>Ran from Jan 16, 2026 to May 11, 2026</t>
  </si>
  <si>
    <t>As organic traffic declines, AI answers are taking its place. Peec AI tracks your brand’s visibility in AI search so you know where you stand and what to improve.  Know your AI visibility and keep pace as search changes.</t>
  </si>
  <si>
    <t>AI models mention brands every day. Peec AI shows what ChatGPT, Gemini and Perplexity say about your brand and how it compares to competitors.  Understand your AI visibility and take control of your brand narrative.</t>
  </si>
  <si>
    <t>AI answers are becoming the new search results. Peec AI shows where your brand appears across major AI models so you stay visible while traditional organic traffic declines.  Your customers now ask AI. Make sure your brand shows up.</t>
  </si>
  <si>
    <t>Your next customer won’t Google you. They’ll ask AI. Peec AI shows where your brand appears across AI models and how visible you really are.  Know your AI visibility. Stay in the conversation.</t>
  </si>
  <si>
    <t>AI answers are shaping brand discovery. Peec AI shows where you appear across AI models so you can measure and improve your visibility before it becomes table stakes.  Stay visible as AI becomes the new discovery layer.</t>
  </si>
  <si>
    <t>AI models mention brands every day. Peec AI shows what ChatGPT, Gemini and Perplexity say about you and how you compare to competitors.  See your true AI visibility and take control of your brand narrative.</t>
  </si>
  <si>
    <t>Discover how 1,800 brands use Peec AI to win visibility across ChatGPT, Gemini, and more.</t>
  </si>
  <si>
    <t>Ran from Nov 18, 2025 to Jul 20, 2026</t>
  </si>
  <si>
    <t>LLMs just blew up the $74 billon dollar SEO industry in a matter of a few years.  Ranking high on Google no longer equals success:  I’ve personally seen it in many sites I manage.  Our rankings and average position are up YoY, but clicks and conversions are way down.  What’s changed?  LLMs became a key part in the buyer’s journey.  People are now using ChatGPT, Claude, and Perplexity to find key answers to their questions, which was largely a search engine's job before this.  You can’t measure what you can’t track, so I turned to the Peec AI AI platform to monitor where we are showing up in LLMS, where we’re not and who are key competitors in the space.  The tool also does great stuff like:  -Helping identify content gaps and missed opportunities in real time.  -Uncovers which sources are cited and how often, so you can prioritize where to appear.  -Enables competitive benchmarking: see who’s winning in AI search, and why.  Google Analytics (GA) and Google Search Console (GSC) will not show you how you’re showing up in LLMs.  AI search is reshaping how people find information, often before they ever click a link.  Peec AI built a complete Generative Engine Optimization (GEO) guide to help you adapt and thrive in this new search era.  Here is the link to the solution: https://lnkd.in/eFP6Wi_z</t>
  </si>
  <si>
    <t>We asked 12 leading experts in AEO/GEO the questions you want answered before planning your AI search strategy for 2026:  - If you had $100K for AI search, where would it go? - What's one specific optimization you've seen actually drive results? - What's the first thing a brand should do in January to improve visibility?  Hear it from people who know what actually works:  Lily Ray, Ethan Smith, Eli Schwartz, Kevin Indig, Murat Yatağan, Aleyda Solís, Mark Williams-Cook, Niklas Buschner, Ann Smarty, Wil Reynolds, Malte Landwehr, Tomek Rudzki  If you care about showing up in LLM responses this year - start here ↓  https://lnkd.in/d6wGN6kJ</t>
  </si>
  <si>
    <t>Ran from Jan 12, 2026 to Feb 12, 2026</t>
  </si>
  <si>
    <t>Worries that keep me up at night: ranking 1st on Google for high-intent keywords...but not even being mentioned in ChatGPT  Hours spent identifying and structuring pages to rank high in the Google SERP  ...only to find out we weren't showing up for any of those terms in LLMs like ChatGPT or Claude  The long-tail of our market on the lifecycle adoption curve are early and late majority  So we're lucky in that this isn't a problem *yet*  But it would've become one had we not started paying attention when we did   LLMs would've been using our content, our copy, our resources  ...but never citing us,   never driving traffic back to us,  never giving us the authority back that we've worked hard to establish  And that's why tracking AI visibility is no longer a nice-to-have, but is becoming a need-to-have  --&gt; Where are we showing up? --&gt; Where *aren't* we showing up? --&gt; And what to do about it  Start making some quick changes + then get visibility into things like:  --&gt; How many new monthly visits you're getting from LLMs --&gt; How much new pipeline is being generated from this traffic  If you're investing in SEO and 'doing' all the right things  but your top of funnel seems to be reversing course, you're not alone  Comment “LLM audit”   And I’ll share the tool we used (Peec.ai) to help uncover this  EDIT: you can get it here https://lnkd.in/eCScvzu3</t>
  </si>
  <si>
    <t>Make 2026 your AI visibility year. 🤖🔎 Brands that invest now will shape how AI models recommend them next year. Choose a yearly plan to get full visibility into how often AI mentions your brand.  Black Friday offer: 30% off annual plans, paid upfront. 🔥</t>
  </si>
  <si>
    <t>Ran from Nov 21, 2025 to Nov 30, 2025</t>
  </si>
  <si>
    <t>Time to get serious about AI visibility. If AI is already shaping how customers discover brands, then 2026 is the year to take it seriously. 🚀 Choose a yearly plan and get the visibility insights you need to stay ahead.  Save 30% on annual plans, paid upfront, this Black Friday 🔥</t>
  </si>
  <si>
    <t>AI answers are becoming the new search results. Peec AI shows where your brand appears across major AI models so you stay visible while traditional organic traffic declines.  Your customers now ask AI, make sure you show up.</t>
  </si>
  <si>
    <t>Discover how 1,400 brands use Peec AI to win visibility across ChatGPT, Gemini, and more.</t>
  </si>
  <si>
    <t>Ran from Nov 18, 2025 to Dec 4, 2025</t>
  </si>
  <si>
    <t>Last week, we crossed $5m in ARR just 11 months after starting the company.  Next year, as consumer behavior shifts more and more toward AI search, we expect to have our best year yet.  The team is growing at an insane pace, and we hired 5 people just last week alone.  However, we still have a ton of open positions across literally all functions, including: - Frontend / Backend / Full Stack Engineer - Marketing Designer - Account Executive - RevOps Lead - (Visiting) Founder’s Associate Product  If you want to crush it in 2026 at one of the fastest-growing companies in Europe - talk to us!  Find all open positions in the comments 😍</t>
  </si>
  <si>
    <t>Ran from Dec 16, 2025 to Jan 31, 2026</t>
  </si>
  <si>
    <t>I’m interviewing three of the best SEO / GEO people next week 😍.  We’re hosting a webinar on the 17th together with Lily Ray, Ethan Smith, and Malte Landwehr.  All the crazy things that happened in 2025 certainly justify a recap, and we also want to discuss predictions for 2026!  Everyone is invited, and I’d love your help in asking the best questions - so join in and fire away in the chat.  Sign-up link is in the comments.  Super excited for this.</t>
  </si>
  <si>
    <t>Ran from Dec 11, 2025 to Dec 17, 2025</t>
  </si>
  <si>
    <t>We ranked #1 for 'best sales CRMs.'  Not second. Not buried on page two.  First.  And still, ChatGPT gave an answer...But skipped us completely.  No brand mention. No link. No click. Just silence.  I honestly thought our SEO was working. We were checking all the usual boxes.  Traffic looked stable. The team felt good about the numbers.  But something felt off.  Leads were slowing down. Conversions were soft. And no one could tell me why.  So I started digging.  Turns out…our buyers weren’t Googling anymore. They were asking ChatGPT. Claude. Perplexity.  And we were invisible.  I wish I was exaggerating, but we ran a scan of 120 high-intent prompts.  We showed up in... maybe 7% of them. The rest? All our competitors.  Same questions. Same topics. But they got the mention. Not us.  We used a tool to figure out:  ➜ What queries we should’ve shown up for ➜ Who took our place ➜ And how to get that visibility back  We rewrote content. Added authorship.Cleaned up how we structure things for AI tools.  It felt like guesswork at first.  But it worked.  45 days later:  ✅ +13,600 visits/month ✅ +$58K/month in AI-driven pipeline  And the kicker?  We didn’t publish a single net-new blog post.  If you’re only tracking Google rankings…  You’re probably missing where your buyers actually are.  Want the tool we used?  Here is the link to the solution: https://lnkd.in/eYerR62U</t>
  </si>
  <si>
    <t>Ran from Nov 18, 2025 to May 11, 2026</t>
  </si>
  <si>
    <t>Is your brand being mentioned or overlooked by AI engines? Peec AI uncovers how often you appear in AI answers and benchmarks you against your competitors.  Get the insights you need to stay ahead.</t>
  </si>
  <si>
    <t>Ran from Nov 18, 2025 to Nov 30, 2025</t>
  </si>
  <si>
    <t>We raised $21m in a Series A led by Singular.  Ten months ago, we set out to give marketers the tools they need to make sure they win on AI search.  Today, we support more than 1,400 customers, have crossed $4m in ARR, built a team of 20 people, and are incredibly proud of what we’ve accomplished in such a short amount of time.  This funding round allows us to go global with Peec AI. We’re opening our NYC office in Q2 and plan to hire 40+ additional team members over the next six months.  Above anything else, I’m extremely thankful.  For my incredible Co-Founders, Daniel Drabo and Tobias Siwonia, and all of our team members who worked day and night for months to make this happen.  For everyone who has taken time out of their day to join a demo call or try out the product.  For every single customer who keeps their subscription or upgrades their plan, enabling us to keep building.  For the investors who were willing to take a bet on a founding team with outsider backgrounds and no elite university degrees.  Thank you.</t>
  </si>
  <si>
    <t>Stop guessing what AI says about your brand. Peec AI provides real-time visibility across ChatGPT, Gemini, Perplexity, Claude and more in one place.  See how you are represented and how often you are recommended.</t>
  </si>
  <si>
    <t>Ran from Nov 17, 2025 to Nov 18, 2025</t>
  </si>
  <si>
    <t>Ran from Nov 14, 2025 to Nov 18, 2025</t>
  </si>
  <si>
    <t>🎮 it’s game time.  Peec AI is teaming up with {Tech: Europe}  to host the 𝐟𝐢𝐫𝐬𝐭-𝐞𝐯𝐞𝐫 𝐄𝐧𝐠𝐢𝐧𝐞𝐞𝐫𝐢𝐧𝐠 𝐋𝐀𝐍 𝐏𝐚𝐫𝐭𝐲 𝐚𝐭 LVL Berlin.  The Setup: - 150 players - CS, VR, Smash Bros and whatever you want to play - League of Legends tournament (bring your pre-made team or find your squad on-site)  You can't ask for a better way to spend a dark December Saturday.  Join us in the 6th of Decemeber!  Sign up here → https://lnkd.in/eyb7WBNg</t>
  </si>
  <si>
    <t>Ran from Nov 7, 2025 to Dec 5, 2025</t>
  </si>
  <si>
    <t>Due to popular demand → we’re opening positions for interns  (Visiting) Founders Associate (Visiting) Marketing Associate (Visiting) Sales Associate (Visiting) Product Designer (Visiting) Marketing Designer  We have a ton of super exciting things to work on.  If you’re looking for an extremely fast-paced environment with a lot of impact - this is it.  Flexible start dates, 3-month minimum duration.  https://peec.ai/careers</t>
  </si>
  <si>
    <t>Ran from Nov 3, 2025 to Dec 5, 2025</t>
  </si>
  <si>
    <t>How top brands turn AI search into revenue. Join our CMO Malte Landwehr (Peec AI) &amp; YOYABA’s Oliver Kuttruff for a free 60-min AI Search Masterclass on Nov 12 at 4 PM CET.</t>
  </si>
  <si>
    <t>Ran from Nov 5, 2025 to Nov 13, 2025</t>
  </si>
  <si>
    <t>Discover how AI-powered search can unlock real marketing growth. Join Malte Landwehr (CMO, Peec AI) &amp; Oliver Kuttruff (Sr. Search Experience Mgr, YOYABA) for a free AI Search Masterclass – Nov 12, 4 – 5 PM CET.</t>
  </si>
  <si>
    <t>Paid for by Excelsa Labs dba Scunch AI</t>
  </si>
  <si>
    <t>AI search doesn't work like SEO. Scrunch monitors how AI assistants cite and describe your brand, then shows you exactly what to fix.</t>
  </si>
  <si>
    <t>Influencer Marketing, Creator Economy &amp; Brand Partnerships</t>
  </si>
  <si>
    <t>Your competitors are getting recommended by AI right now. You just can't see it happening.  Give me 20 minutes and I'll show you the real answers, where %COMPANYNAME% gets named, where it doesn't, and who's showing up instead.  $100 Amazon card for your time. Yours either way.</t>
  </si>
  <si>
    <t>Quick ask - I’ll send you a $100 DoorDash gift card for 20 minutes of your time.  We’re having a lot of conversations right now around one thing:  People are asking AI for recommendations…and many brands aren’t showing up at all.  Scrunch helps you understand:  • Where you appear in relevant AI responses  • Where you’re missing + gaps  • What’s giving competitors greater visibility  If AI search is even a small priority for 2026, happy to run %COMPANYNAME% through our product and share how you stack up in AI search results over a quick lunch (on me).</t>
  </si>
  <si>
    <t>Think AI Overviews are cannibalizing click thru rates? …not so fast.  Our latest Scrunch Labs 🧪 study analyzed millions of REAL search events (from a privacy-safe opt-in panel), and found that the so-called Clickpocalypse is nuanced.  What we found is…  While the data does corroborate what you hear in the headlines: news searches with an AI Overview (AIO) convert to a publisher click about 20% of the time versus about 30% without one.  ☝️ that 10-point gap compares one set of searches against a different set.  BUT…   When we hold the search itself fixed—the same query, seen sometimes with a generative overlay and sometimes without—the gap shrinks to about 2 percentage points.  In other words, Google isn’t cannibalizing clicks as much as FTFY for searches that weren’t getting many clicks in the first place.  And that’s just one of the findings in the dataset.  The full thing is chock-full of other tidbits on how AI is reshaping search and web visits, including:  → How AI convos can actually lead to more downstream site visits  → Why your attribution dashboard is likely missing most of AI’s influence  → Why getting mentioned by AI doesn’t always mean getting chosen   Lots more in the full study👇 (link in comments)  =======  Some fine print on the study:  We analyzed millions of search events from February–June 2026 using a privacy-safe, opt-in panel that connects people’s Google searches and news publisher visits.  For the AIO analysis, we compared the same queries when they appeared with and without an AI Overview.  Full methodology + findings over on our blog.  =======  P.S. As always, huge shoutout to Michael Iannelli, PhD as the data wizard and brains behind the study.</t>
  </si>
  <si>
    <t>Someone in your target market asked AI which company to go with this morning.  They got an answer. Specific brands, named.  I can show you what that answer says about %COMPANYNAME%, where you're named, where you're missing, and who's getting recommended in your place.  Twenty minutes. I'll send a $100 Amazon card for the time, whether or not it goes anywhere.</t>
  </si>
  <si>
    <t>Your competitors are getting recommended by AI right now. You just can't see it happening.  Give me 20 minutes and I'll show you the real answers, where %COMPANYNAME% gets named, where it doesn't, and who's showing up instead.  $100 DoorDash card for your time. Yours either way.</t>
  </si>
  <si>
    <t>Someone in your target market asked AI which company to go with this morning.  They got an answer. Specific brands, named.  I can show you what that answer says about %COMPANYNAME%, where you're named, where you're missing, and who's getting recommended in your place.  Twenty minutes. I'll send a $100 DoorDash card for the time, whether or not it goes anywhere.</t>
  </si>
  <si>
    <t>The story goes that AI is eating the news. Here’s the real story: AI takes clicks in one place and returns visits in another.  The team at Scrunch Labs analyzed millions of search events from February to June 2026, linking real AI conversations to the same people's anonymized web activity.  The goal? To figure out what AI is actually doing to news traffic.  Why news? Because news publishing is the epicenter of the so-called clickpocalypse. We wanted to know what it could tell us about the zero-click world brands are operating in today.  What we discovered was more complicated than an extinction event:  📉 AIOs mostly eat clicks that were already scarce News searches with a Google AI Overview send a publisher click about 20% of the time vs. 30% without one. But most of that gap comes down to which searches Google picks, not the AI Overview itself. Hold the query fixed and the gap shrinks to about 2 points.  💬 AI conversations go hand in hand with more site visits After a news chat with an AI assistant, readers are 20.5 percentage points more likely to visit a news site the following week than after a non-news chat. AI is part of the news journey now, not the end of it.  🕵️ Attribution dashboards see almost none of it Only 1.1% of post-AI conversation news visits show up as AI referrals. The rest arrive through direct navigation, ordinary search, and other referrals.  🏆 Getting named isn't getting chosen Being named in an AI answer lifts a publisher's visits. But household-name outlets capture the majority of the lift—not simply because AI names them more, but because readers pick them more.  Our main takeaway?  Referral traffic isn't the metric to watch anymore—brand presence is.  If even the most traffic-obsessed businesses on Earth can only see an AI referral on 1.1% of the news visits that follow an AI chat, your referral dashboard can't tell you the whole story either.  Dig into our full findings—and how it applies to your brand—below ⬇️</t>
  </si>
  <si>
    <t>Reading your spec sheet to a server rack? Pretty silly. Adding llms.txt to your website, cranking out AI-generated content, and hoping for the best? Same energy.  Every brand has the same questions about AI search: ✦ Where are we winning? ✦ Where are we losing? ✦ Why? ✦ And, most importantly, what should we do next?  We built Scrunch to answer all of the above.  Now, as a Sitecore company, we’re accelerating.</t>
  </si>
  <si>
    <t>I know webinar promos don’t get a lot of love on LinkedIn, but this one is on a topic I’m genuinely excited about: marketing to agents.  Lately, I can’t stop thinking about how to become the default choice for agents.  A lot of dev tools have figured this out (think Neon, Supabase, Clerk, and the like). And, if you want to know where the market is headed, look to what the dev tools are doing.  So, humans outsource much of the buying journey to AI agents, you need a vehicle to deliver information to agents working on behalf of the human behind the prompt.  But what does it actually mean to actually market to them?  That’s exactly what I’m going to dig into + demo on Thurs, Sept 10 at 10am PT / 1pm ET. (We’ll do it live!)  Here’s what I’m going to cover in 30:  → The data behind the shift to agents: What Scrunch data tells us about how AI is changing web traffic, research, and the buying journey.  → How to get discovered by AI agents: What actually makes your brand and content discoverable when agents search, research, and evaluate on a buyer’s behalf.  → Why agents need their own experience: How to make your website and content easier for agents to understand and use.  → How to make your website agent-ready: How to structure your content and knowledge so AI can accurately represent and recommend your brand.  → Live demo: I'll demo of how the same website can deliver one experience to humans and another optimized specifically for AI agents.  ===  If that sounds cool, grab a spot for: Marketing to agents 👉 https://luma.com/15dx1v37</t>
  </si>
  <si>
    <t>More than half of Scrunch's website traffic now comes from AI bots, not people. Which means most of our prospects' first impressions happen in AI answers we didn't write.  I'd wager your numbers are headed the same way, if they aren't there already.  We're hosting a dinner with Sitecore in NYC to talk through what that means for brands, and I’d love to have you at the table.  Tuesday, August 25 | 5:30 p.m. | Le Pavillon, New York  Small group—no slides, no panel. Just marketing execs comparing notes on what's working and what they're still figuring out.  Request a seat here and we’ll save your spot: https://www.sitecore.com/resources/events-webinars/2026/08/the-invisible-first-impression</t>
  </si>
  <si>
    <t>Everyone's writing the obituary for news publisher clicks. The autopsy is more interesting than the headline.  The Scrunch Labs team analyzed millions of search events from February to June 2026 using a privacy-safe opt-in panel that links the same people's AI conversations to their actual web activity.  We wanted to understand how AI is impacting traffic to news sites (the epicenter of the clickpocalypse narrative).  A few things I didn't expect:  📉 The AI Overview bite is real, but it's mostly about which searches Google picks  News searches with a Google AI Overview send a click to a publisher about 20% of the time. Without one, about 30%. But hold the search itself fixed - the same query, sometimes with an overlay and sometimes without - and that 10-point gap shrinks to about 2 points.  📈 Chatbots don't end the journey for readers After someone has a news conversation with an AI assistant (think ChatGPT), they're 20.5 percentage points more likely to visit a news site the following week than after a non-news conversation. In other words: AI takes clicks in one place and returns visits in another.  🕵️ Here's the part every marketing team should sit with Only 1.1% of post-AI conversation news visits come through as AI referrals. The rest show up as direct traffic, traditional search, or other referrals. Lesson for brands: If you're still building your AI search strategy around the referral line in GA4, you're measuring a rounding error.  AI is redistributing clicks. It’s also driving demand. The brands that own the answer are best positioned to benefit.  Find the full study in the comments 👇</t>
  </si>
  <si>
    <t>Humans have outsourced most of the buying journey to AI. This webinar covers what happens to marketing when agents, not people, are the ones researching, comparing, and deciding.</t>
  </si>
  <si>
    <t>tl;dr — Big ship from Scrunch today: Site Diagnostics.  It not only tells you how AI search agents are consuming your site but also gives a prioritized, data-backed list of action items to improve performance.  Other products give you: a readout + suggested next steps of “best practices.”  Site Diagnostics gives you: actionable next steps prioritized by predicted impact—all backed by your actual AI search data, a massive corpus of real AI answers + public web content, and our proprietary data model on top of it all.  I like to think of it as having a data science team constantly analyzing your website for agent retrievability &amp; citability and telling you exactly what to fix next.  ---  With Site Diagnostics you can:  → See what agents see: Know how every page of your site performs when it comes to retrievability and citability (and what tech issues are getting in the way of the bots).  → Stack rank what to fix: Get page-level recs ranked by predicted impact.  → Actually take action: Cut a ticket, push updates to your CMS, or deliver optimized content to AI search agents at the edge.  Hard to show all that it does over just text, so if you’ve made it thus far, I highly encourage you to watch my quick demo 👇  ======  P.S. Site Diagnostics is rolling out in waves to all Scrunch users today. Sign up for a free 7-day trial if you’re not part of the club yet 👉 https://lnkd.in/gCe5ZsJx</t>
  </si>
  <si>
    <t>I’ll trade you a $100 DoorDash gift card for 20 minutes to talk about how your brand is showing up in AI search. Yes, it’s direct. No, subtlety doesn’t really work in DMs. 😉  At Scrunch, we help teams:  - Track your brand’s visibility across AI platforms  - Spot gaps where you’re not being recommended  - Uncover what’s giving competitors visibility  We’re seeing a pretty big gap right now between what brands think their visibility is and what AI is actually surfacing to users. Happy to run %COMPANYNAME% through our product and share how you stack up in AI search results over a quick lunch (on me).  Open to a quick chat?</t>
  </si>
  <si>
    <t>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 is finding the fairway or landing in the rough when buyers ask AI tools for recommendations.  Takes 20 minutes. Costs you nothing. Could save you from a 6-month slice in your AI search game.</t>
  </si>
  <si>
    <t>Most agencies can't answer when a client asks how they show up in AI search. Take 20 minutes and be one that can.</t>
  </si>
  <si>
    <t>Uncover how AI agents index your global digital footprint. Paste your URL for an instant, signup-free visibility assessment.</t>
  </si>
  <si>
    <t>We have a documented AI search strategy.' - Most teams  Also most teams: “We’re not sure we’re on the right track.”  That's not a contradiction. That's most of the market right now.  Scrunch teamed up with Scribewise to survey 600+ US marketing and PR pros on how they're *actually* approaching AI search - not the polished boardroom version, the real one.  The headline finding: 84% are confident they can shape how their brand or clients show up in AI answers, but 51% aren't sure their strategy is right and 46% say their org may have moved too fast without a clear game plan.  On the surface, confidence is high. Under the surface, not so much.  A few more data points that stuck with me: ✦ Only 33% of teams are analyzing AI bot traffic. That’s a missed opportunity - every retrieval bot hitting your site means a real human just prompted about you or your category.  ✦ 42% are betting on cranking out more content. Just 23% say their primary approach to content is optimizing what they already have. (Spoiler: Scaled slop is the wrong bet.)  ✦ Teams using a purpose-built AI search tool outperformed on 25 of the 26 tactics we measured.  Brands know they need to act. Most just haven’t cracked the “how” yet.  The good news? That gap is an opportunity. And it’s very closeable.  We know because we help our customers do it every day.  Key takeaways and a link to the full report are below.</t>
  </si>
  <si>
    <t>Hi %FIRSTNAME%, Quick question: do you know what ChatGPT says about %COMPANYNAME% when someone asks for a recommendation? Most people don't, and it's usually not what they'd guess. At Scrunch, we help teams: • Track how their brand actually shows up across AI platforms • Find where they're getting left out of AI answers • See what's making competitors more visible I'll run %COMPANYNAME% through it and show you exactly what AI is saying. All I need is 20 minutes, and there's a $100 DoorDash gift card in it for you. Worth a look?</t>
  </si>
  <si>
    <t>Hi %FIRSTNAME%, Trading a $100 DoorDash gift card for 20 minutes of your time. I know how that sounds, but hear me out. We help teams at companies like %COMPANYNAME%: • See exactly how your brand shows up across AI platforms • Find the gaps where you're getting skipped over • Compare your visibility to competitors, side by side Most brands are surprised by what AI is (and isn't) recommending about them. Want me to run %COMPANYNAME% through it and show you what we find? Lunch is on us. Worth 20 minutes?</t>
  </si>
  <si>
    <t>Hi %FIRSTNAME%, I'll swap you a $100 Takomo golf gift card, or a new wedge, for 20 minutes to talk about walking into your next pitch holding AI search data. Yes, it's direct. No, subtlety doesn't really work in DMs. Here's the deal: name an account %COMPANYNAME% is chasing, I run it through Scrunch, and you find out exactly where they're invisible in AI search and which competitor is getting cited instead. Takes 20 minutes. Costs you nothing. Could be the slide that wins the account.</t>
  </si>
  <si>
    <t>Hi %FIRSTNAME%, Trading a $100 DoorDash gift card for 20 minutes of your time. I know how that sounds, but hear me out. We help agencies like %COMPANYNAME%: • See exactly how every client shows up across AI platforms • Find the gaps where they're getting skipped over • Compare each client to their competitors, side by side Most agencies are surprised by what AI is (and isn't) recommending about their clients. Want me to run three of yours through it and show you what we find? Lunch is on us. Worth 20 minutes?</t>
  </si>
  <si>
    <t>Hi %FIRSTNAME%, I'll swap you a $100 Takomo golf gift card, or a new wedge, for 20 minutes to talk about how your clients are showing up in AI search. Yes, it's direct. No, subtlety doesn't really work in DMs. Here's the deal: you name three of %COMPANYNAME%'s clients, I run them through Scrunch, and we both find out whose approach shot is dialed in and whose is landing short when buyers ask AI tools for recommendations. Takes 20 minutes. Costs you nothing. Beats hearing about it from the client first. Open to a quick chat?</t>
  </si>
  <si>
    <t>Hi %FIRSTNAME%,  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brand's approach shot is dialed in or landing short when buyers ask AI tools for recommendations.  Takes 20 minutes. Costs you nothing. Could save you from flying blind in AI search for another 6 months.  Open to a quick chat?</t>
  </si>
  <si>
    <t>For the first time in the history of the internet, machines generate more web traffic than humans. AI search is why.  AI platforms like ChatGPT, Perplexity, Gemini, and Claude have changed how people…pretty much do everything.  Not by browsing the web, but by asking an AI user agent to do it for them.  That means every brand now has 2 audiences: 1. The agents doing the work 2. The humans they’re working for  Most of the market treats this as an AI visibility problem. We see it as an agent experience problem.  So we built the solution: the Agent Experience Platform.  No longer just a part of our product, but the product itself. A closed loop from agent discovery to content delivery, powered by always-on intelligence.  All so you can reach the person on the other end of the prompt, more consistently, accurately, and favorably.  Your brand isn't built for agent experience. Now it can be.  Welcome to the next chapter of Scrunch.</t>
  </si>
  <si>
    <t>Hi %FIRSTNAME%, 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 has the right club selection when buyers ask AI tools for recommendations, or if you're reaching for the wrong iron every time. Takes 20 minutes. Costs you nothing. Could save you from flying blind in AI search for another 6 months. Open to a quick chat?</t>
  </si>
  <si>
    <t>Two questions on every marketer’s mind these days: 1️⃣ What are people asking AI about [your category]? 2️⃣ And at what volume?  The problem: The AI platforms aren’t exposing any of that data anytime soon.  So if you want to understand: -- What people are asking AI -- How often they’re asking it -- Why they’re asking it  You need to estimate it from a representative sample of real AI conversations.  And that’s exactly what our Keyword Volume Estimator (available today) does.  Just drop in a topic, click go, and you’ll get an estimate of how often people are asking AI platforms about it.  In addition to that, it’ll show you: -- How big the opportunity actually is -- Commercial intent behind the prompts -- Whether demand is growing or slowing  Now, before you jump to the comments to roast me, 'But Kevin... the AI platforms don't expose this data. How can you possibly know?” a few disclaimers:  One thing our data science team wanted to be especially careful about while building this was how those estimates are produced.  (A wildly misleading number is worse than no number at all.)  Rather than relying on simple keyword matching, we built KVE to: ✅ Start with a large panel of real consumer AI conversations, ✅ Match prompts based on both meaning and wording, ✅ Verify that they're actually about the topic, ✅ Scale that signal into an estimate of broader demand (US only for now).  Just as importantly, we don’t pretend these numbers are something they're not.  They’re calibrated estimates, not a census.  They're designed to help teams compare topics, understand relative demand, and prioritize where to focus.  Treat the results as guidance, not gospel.  We also published the methodology (link in comments) behind the product because we think that's just as important as the output.  Keyword Volume Estimator is available to all Scrunch customers today (even those who sign up for a free 7-day trial → https://lnkd.in/gCe5ZsJx).  Shoutout to our stellar data science team, especially Alan Ai for leading the charge on this launch.  ===  P.S. Just a personal note that I thoroughly enjoy using this product. It feels akin to a first experience with Google Trends if you know what I mean.</t>
  </si>
  <si>
    <t>Hi %FIRSTNAME%, Quick question: do you know what ChatGPT says about the accounts %COMPANYNAME% is chasing? They usually don't either, which is the opportunity. At Scrunch, we help agencies: • Show a prospect where they're missing from AI answers • Name the competitor getting recommended instead • Turn that into the first slide of the pitch Name an account you're going after and I'll run it through, then show you exactly what AI is saying. All I need is 20 minutes, and there's a $100 DoorDash gift card in it for you. Worth a look?</t>
  </si>
  <si>
    <t>For the first time in the history of the internet, machines generate more web traffic than humans. AI search is why.  AI platforms like ChatGPT, Perplexity, Gemini, and Claude have changed how people…pretty much do everything.  Not by browsing the web, but by asking an AI user agent to do it for them.  That means every brand now has 2 audiences: 1. The agents doing the work 2. The humans they’re working for  Most of the market treats this as an AI visibility problem. We see it as an agent experience problem.  So we built the solution: the Agent Experience Platform.  No longer just a part of our product, but the product itself. A closed loop from agent discovery to content delivery, powered by always-on intelligence.  All so you can reach the person on the other end of the prompt, more consistently, accurately, and favorably.  Today we’re sharing what comes next for Scrunch, our customers, and the future of agent experience:  👀 Observe what agents say and do—in AI platforms and on your site Signals tracks how AI represents your brand, auto-flags changes, and tells you what to do next. Explorer answers any question about your performance—build your view, share it as a link.  🧠 Understand agent behavior to identify and prioritize optimization opportunities Site Diagnostics audits your site page by page and recommends prioritized fixes—each backed by a predictive model trained on your AI search performance and our proprietary research.  🤖 Deliver what agents need to understand, reference, and recommend your brand Optimizer turns recommendations and approved internal sources into AI-ready content. Our content delivery system serves it straight to agents at the edge—human experience untouched.  We’ll begin rolling these product updates out today, starting with the beta launch of Signals and Explorer. Both are available to all Scrunch customers on all plan levels.  Lots more will follow in the days ahead.  Want a sneak peek? Join our product webinar tomorrow to learn more about what’s new and what’s coming: https://lnkd.in/gjYwnKqt  Your brand isn't built for agent experience. Now it can be.  Welcome to the next chapter of Scrunch.</t>
  </si>
  <si>
    <t>Hi %FIRSTNAME%, Trading a $100 Takomo golf gift card for 20 minutes of your time. I know how that sounds, but hear me out. We help agencies like %COMPANYNAME%: • See exactly how every client shows up across AI platforms • Find the gaps where they're getting skipped over • Compare each client to their competitors, side by side Most agencies are surprised by what AI is (and isn't) recommending about their clients. Want me to run three of yours through it and show you what we find? Worth 20 minutes? Open to a quick chat?</t>
  </si>
  <si>
    <t>Hi %FIRSTNAME%,  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 has the right club selection when buyers ask AI tools for recommendations, or if you're reaching for the wrong iron every time.  Takes 20 minutes. Costs you nothing. Could save you from flying blind in AI search for another 6 months.  Open to a quick chat?</t>
  </si>
  <si>
    <t>Most analytics tools give you homework. We wanted to give you answers.  So we shipped 2 new features to help:  ✦ Signals Your dashboard is great at showing you a line going down. Not so much at telling you why - or what to do about it.  Signals does the detective work for you.  It watches your AI search data, catches what changed, explains why it matters, and hands you the next move - in Scrunch or your email inbox.  You can then diagnose the “why” behind the “what” with our in-app AI assistant, Scrunchie.  ✦ Explorer Every dashboard is ultimately a guess about what question you want answered.  Explorer lets you ask and answer any question yourself, on your terms.  Whatever combination of metrics, filters, and breakdowns you can think of, you can visualize it in seconds and share it as a link.  Either with a click or a conversation with Scrunchie.  Both Signals and Explorer are now generally available for all @Scrunch customers on all plan levels.  Check them out in the video below 👇</t>
  </si>
  <si>
    <t>One of the signs you’re working at a #winning startup is product velocity.  Last week, we launched AI Search Trends to show trending topics and prompt volumes across LLMs. Today (just a week later), we’ve shipped two big additions: brand sentiment and competitive stack rankings to show how your brand shows up in any one of our 1,500+ topics.  Drill down into any AI Search Trend topic to see:  🤗 Brand Sentiment ⤷ Gives a breakdown of sentiment towards your brand in AI responses, with a simple positive, mixed, or negative score. Drill down even further to see brand sentiment for any specific prompt within the selected topic.  ⚔️ Competitor Stack Ranking ⤷ Compare how often your brand appears vs. competitors across prompts within any selected topic (aggregated across 7 LLMs). View it in both a line chart and stacked bar chart for easy trend reporting.  Demo 👇</t>
  </si>
  <si>
    <t>#winning</t>
  </si>
  <si>
    <t>Software has stopped being a place you go. It's become something you ask. We built Scrunch MCP to give you the answers you need, right when you need them, wherever you work.  Scrunch MCP lets you tap into the power of your data via conversational Q&amp;A, either in AI assistants like Claude, ChatGPT, and Microsoft Copilot or inside Scrunch via our in-app chatbot, Scrunchie.  Ask questions. Surface insights. Take actions. All in plain language. Just a prompt away.  Here’s a taste of what you can do:  ✦ Pull presence, position, sentiment, citation, and AI traffic metrics—just by asking.  ✦ Surface gaps, spot competitive displacement, find greenfield prompts you and your competitors are both missing—whatever your use case.  ✦ Create new brands, track new prompts and competitors, assign filtering dimensions—all on the fly.  Setup is 5 minutes. No API keys. No shared secrets. Just your existing Scrunch sign-in.  If the shift toward AI search has taught us anything, it's that people want more than a list of options to hunt through. They want answers and next steps. Fast.  Scrunch MCP helps you go from insight to action in one conversation.  Our MCP is now available to all customers on all plan levels. And our new and improved in-app chatbot, Scrunchie, will be rolled out to customers automatically starting next week.  Don’t just read your data. Put it to work. It’s been amazing to see what our customers are generating with this capability.  The Scrunch product team has been cranking.</t>
  </si>
  <si>
    <t>I've spent the last year on calls with CMOs, from fast-growing startups to the Fortune 50.  Every marketing leader I talk to knows they need to show up in AI search. They just don’t necessarily know how.  The shift in consumer behavior is existential for many brands. And for marketers from the exec level down, the pressure to crack the code is immense.  So they improvise. They apply 'llms.txt' to their site. They scale AI-generated content. They take meetings with vendors selling hacks.  We decided to make a commercial about what it actually feels like to be a marketer in 2026. Kudos to Jeff Andrew, Alistair Wilson, and the whole team at Foster Filmworks behind it.  Multiple leaders I've shown it to have told me, unprompted, 'This feels like exactly what's happening on our team.'  What really works is less glamorous than any of the hacks.  In fact, a lot of it is boring infrastructure work: making your site accessible, readable, and recommendable to the AI user agents now running the show on a buyer's behalf.  That's what we built Scrunch to do. And as a new member of the Sitecore family, we’re just getting started.  Here’s to less yelling from rooftops and more of what actually works.</t>
  </si>
  <si>
    <t>🔮 Prediction: By 2027, more than half of your web traffic will not be human.  Here’s why that’s not necessarily a bad thing.  If you think about what’s causing the surge in bot traffic, it’s because AI agents are handling more and more tasks (e.g., research, evaluations, comparisons, etc.) on behalf of humans.  User preferences are changing fast. That preferred, AI-first user experience that goes something like this:  ⟡ Human chats with an LLM ⟡ LLM fetches info from your site (i.e., bot traffic) ⟡ LLM returns relevant info—no clicks or tab hopping necessary.  In this new world, bot traffic is no longer something marketers just write off. Instead, AI bot traffic becomes your new VIP site visitor as there’s a human (usually one with high intent) prompting an LLM to do work on their behalf.  This is the future that we’re building Scrunch AI for.  One that not only offers visibility into bot traffic but gives you the ability to intercept it, serve up a more consumable version of it, and influence how your brand appears in AI results.  And all of that without damaging the site experience of your former VIP visitors (aka humans).  Today, we’re moving one step closer to that future with a new way to monitor bot traffic.  Our new AI traffic dashboard: ✅ Gives a real-time view of AI bot traffic ✅ Breaks down AI traffic visiting your site ✅ Surfaces top pages bots are consuming  Recorded a quick demo to show how it works and how to interpret the data.  As always, if you want this level of AI visibility into your site, give me a shout or jump over to the Scrunch site (scrunchai [dot] com) to get started.</t>
  </si>
  <si>
    <t>Top question when getting started with AI search… Survey says: What prompts should I track?  Choosing what prompts to track for your AI search strategy—the keyword research equivalent of AEO/GEO—doesn’t need to perfect.  Here are a few quick ways to find prompts to start tracking to inform your AI search strategy 👇  Organic keyword conversion ↳ Grab the keywords you rank for on SEO and convert them into prompts.  ––––––  Paid keyword conversion ↳ Same as above but just pull it from your paid search keywords.  ––––––  Ask AI to generate prompts ↳ Feed an LLM context like your competitors, product, ideal personas, product marketing material, etc. and ask it to generate custom prompts for you.  Tip: Use the Scrunch 🪄 Generate Prompt feature which will do the heavy lifting for you—just enter a domain and get prompts.  ––––––  Do it the old fashioned way ↳ If you have specific prompts in mind, just type them out by hand.  ––––––  Grab questions from sales transcripts ↳ Questions and objections from sales calls are a gold mine for prompt extraction. Use a transcription or note taking tool to find these nuggets, aggregate them, and then turn them into prompts to track.  ––––––  Support questions ↳ If you use a support AI agent or a support ticketing system, you can kill two birds with one stone by: finding questions that go unanswered, converting them into prompts to track, and then generating content to answer them.  ––––––  Reddit/forum mining ↳ Pull questions from subreddits or forums in your niche and convert them to prompts.  ––––––  AnswerThePublic ↳ I remember this tool from way back but it feels even more apropos now as it pulls autocomplete suggestions from Google which get more long tail results than your typical keyword topic.  ––––––  Review mining ↳ Pull questions/comparisons from review sites (G2, TrustRadius).  ======  🔌 for Scrunch  We’ve made it dead simple to track prompts into Scrunch. Generate them by just plugging in your website, copy/paste keywords, or import a CSV—all are possible and just take a min within the Scrunch platform.  And one more thing… I’m kinda spilling the beans here, but you can now self-serve Scrunch by starting a free 7-day trial.</t>
  </si>
  <si>
    <t>I don’t always suggest generating content for AI search, but when I do, I prefer using Scrunch Content Gaps feature.  I’ve been somewhat vocal about this topic: “More content” is not the answer to better AI search performance.  That especially applies in the enterprise where most brands have: -- No shortage of existing content -- Pages covering adjacent topics -- Strong authority  In many cases, the lowest-hanging fruit is in mention acquisition or existing content optimization.  But sometimes there truly is a content gap.  And that’s what we built Scrunch Content Gaps for—i.e., sniffing out the true opportunities where generating content is the right move.  The difference in our approach is that we don’t treat “generate more pages” as the default answer to every AI search challenge.  Instead, we use a broader set of AI search signals to identify true content gaps, including:  Prompt + citation monitoring ⤷ Maps the prompts, citations, and third-party sources shaping AI visibility (this is where most others stop)  Site maps + AI traffic visibility ⤷ Analyzes the full footprint of your site to understand how AI agents are crawling, retrieving, citing, and referring traffic.  AI Search Trends ⤷ Uses large-scale AI search behavior data to surface the topics, associations, and questions gaining traction in your market.  The idea isn’t to flood the internet with content (you’ve probably seen some of the repercussions of that).  Rather, it’s to identify the real gaps to create (or refresh) content so that it gets picked up by the LLMs.  Stay visible, my friends.</t>
  </si>
  <si>
    <t>Reddit is the most cited source in AI search. But which specific threads shape the answers? How to find them in ~2 minutes 👇  If you’re in the AI search (aka AEO / GEO) echo chamber like I am, it’s impossible to escape the hype about using Reddit to show up in results.  But what a lot of “experts” miss is one of the quickest wins of all: how to spot the threads that have an outsized influence on the prompts &amp; topics in your category.  Today, I’m FTFY.  In this quick Scrunch walkthrough, I show how to: → Filter AI citations down to just Reddit → Sort threads by prompt mentions to concentrate influence → Spot the threads where your brand isn’t mentioned → Jump straight into the thread and pitch your product 😇  The whole thing takes a just couple minutes.  And there you have it… a quick AI search win you can knock out before your next meeting.  ===  One last word of caution: Don’t just sling your product. That’s a recipe for getting roasted on Reddit.</t>
  </si>
  <si>
    <t>If you’ve ever wanted to know what people search on LLMs, I’ve got the perfect product for you: Introducing AI Search Trends from Scrunch.  AI Search Trends is your window into what people are actually prompting, how often, and whether your brand shows up when they do.  To launch, we started with a dataset of 300+ million events (including AI prompts, responses, and page views), anonymized it to remove personally identifiable information, and mapped prompts to a collection of curated topics.  What you get in return is—in our view—the best possible interpretation of AI search trends available today.  Here’s what you can do with AI Search Trends:  🔍 Identify relevant topics ⤷ Pick from 1,500+ curated topics or let us auto-recommend.  👀 See estimated conversation volume ⤷ Powered by high-quality, privacy-compliant panel data.  📈 Track trendlines over time ⤷ Get week-by-week views showing what’s trending.  🎯 Measure brand presence ⤷ See how often your brand appears in AI answers for any topic.  💬 Explore real prompts ⤷ View actual examples of prompts and the responses returned.  –––––––  Best of all, AI Search Trends is now generally available to all Scrunch customers (including anyone who starts a 7-day free trial).  Head over to our blog for more 👉 https://lnkd.in/gMe9nzCP</t>
  </si>
  <si>
    <t>For the first time in history, agents now outnumber human web visitors. That shift fundamentally changes how software should work.  The old model (think traditional SaaS) was built for humans to log into dashboards and take action by pointing and clicking.  That type of work goes something like this: - View a dashboard - Apply a filter - Dig for insights - Decide what matters - Do the work (or hand it off) - Wait for impact - Repeat  But agents don't need to work that way.  AI-first products should continuously monitor what’s changing, understand what it means, and automatically deliver the next best action.  And that's why today we're launching the next chapter of Scrunch: THE Agent Experience Platform.  It’s an always-on intelligence loop that:  👀 Observes What agents are saying and doing, in both AI platforms and your site.  💡 Understands What changed, why it matters, and what's worth fixing.  ⚡ Delivers The fix back to agents, without anyone having to ship it by hand.  Then it does it again. And again. And again.  It’s what an AI-first product should feel like.  I think it's a fundamentally different approach than anything else in our category. (But don’t just take my word for it. I encourage anyone to put it to the test.)  While I'm thrilled to get this launch out, today is just the first pass through the loop.  In short order (as in two-week sprints), we'll be shipping even more to reinforce and accelerate each part of the flywheel.  For a preview of what’s to come, go deeper on the blog 👉 https://lnkd.in/gUi9GDMs</t>
  </si>
  <si>
    <t>There's an unwritten rule about acquisitions: The day the deal closes, the shipping stops.  Roadmaps freeze. Teams get integrated. 18 months later, the product looks exactly like it did on announcement day.  We went the other way.  Since becoming a Sitecore company, Scrunch hasn’t slowed down. We’ve sped up. And today we’re sharing what comes next.  Every brand now has 2 audiences: 1. The AI user agents researching, interpreting, summarizing, and recommending on a person's behalf 2. The people those agents work for - the ones who ultimately land on your website and take action  Most of the market treats this as an AI visibility problem. We see it as an agent experience problem.  That’s why the Agent Experience Platform is no longer just a part of our product, but the product itself. A closed loop from agent discovery to content delivery, powered by always-on intelligence.  All engineered to help you reach the person on the other end of the prompt more consistently, more accurately, and more favorably.  It’s built on 3 core capabilities:  👀 Observe what agents say and do - in AI platforms and on your site Signals tracks how AI represents your brand, auto-flags changes, and tells you what to do next. Explorer answers any question about your performance - build your view, share it as a link.  🧠 Understand agent behavior to identify and prioritize optimization opportunities Site Diagnostics audits your site page by page and recommends prioritized fixes - each backed by a predictive model trained on your AI search performance and our proprietary research.  🤖 Deliver what agents need to understand, reference, and recommend your brand Optimizer turns recommendations and approved internal sources into AI-ready content. Our content delivery system serves it straight to agents at the edge - human experience untouched.  Observe, understand, deliver, repeat. All in one workflow.  Getting acquired is usually where the shipping stops. For us, it's the starting gun.  We’re kicking off these product updates today, starting with the beta launch of Signals and Explorer. Both are available to all Scrunch customers on all plan levels.  Stay tuned. Lots more to come.</t>
  </si>
  <si>
    <t>We’ve been writing for Google, not for humans. A “chicken noodle soup” recipe page might mention the word chicken 60+ times - not to help the cook, but to play the search game. Good luck scrolling to find the actual recipe.   That era is ending.  AI search doesn’t reward keyword stuffing - it rewards clarity, accuracy, and usefulness.  The web is about to be rewritten for AI, and paradoxically, that means it’s going to be a far better experience for humans.  This is exactly what we're taking head on at Scrunch AI - not only to give you visibility into the AI buyer journey, but the ability to influence it. We're working with 500+ enterprises to help them navigate this shift.   Comment “chicken” to see a live demo of our Agent Experience Platform and learn more about the shift to an AI first buyer journey.</t>
  </si>
  <si>
    <t>AI is answering your buyers' questions right now. Just not necessarily with your content.  We built Content Gaps to fix that.  Starting today, Scrunch will automatically detect when your website is missing content for the prompts that matter to your brand and surface it right on your Home screen.  You’ll get a prioritized list of content opportunities, ranked by urgency and filterable by topic or persona. No manual digging necessary.  The old way was time-consuming data wrangling or guesswork. The new way is getting notified automatically when your content is MIA.  When buyers ask, AI answers. Content Gaps tells you why the answer isn't you and what to do about it.  Content Gaps is now live for all Scrunch customers.  You can see it in action in the video below ⬇️</t>
  </si>
  <si>
    <t>Hi %FIRSTNAME%, 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brand's approach shot is dialed in or landing short when buyers ask AI tools for recommendations. Takes 20 minutes. Costs you nothing. Could save you from flying blind in AI search for another 6 months. Open to a quick chat?</t>
  </si>
  <si>
    <t>AI search is collapsing the timeline between brand consideration and product consideration.   Someone asks ChatGPT, “What's the best running shoe for marathon training?' and gets SKU-level recommendations instantly.  No scrolling through blue links. No browsing your site.  If your products aren’t mentioned, you don’t exist in that conversation.  That's the problem we’re helping brands solve with Shopping in Scrunch.  Since launching shopping coverage in 2025, we've seen a significant shift in how brands understand the role of AI in the purchase process - and a surge in demand for greater depth of detail.  Not just about their own products, but also the competitor and retailer landscape.  We’ve upgraded our shopping experience to deliver.  You can now use Scrunch to:  ✦ Get full visibility into which of your products are winning AI shelf space, which are losing ground, and which have gone dark.  ✦ See how you compare to competitors across every metric that matters—share of shelf, first position win rate, and beyond.  ✦ Find out which retailers are positioned to capture AI-driven clicks and how much traffic may be bypassing your site.  ✦ Pinpoint the prompts driving your AI shopping results and the ones working against you.  It's not enough to measure at the brand level when LLM recommendations happen at the product level.  Scrunch lets you do both.  If you’re already a Scrunch customer, get in touch to access our upgraded Shopping experience.  If you’re not yet a Scrunch customer, schedule a call with our team to learn more.</t>
  </si>
  <si>
    <t>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 is finding the fairway or landing in the rough when buyers ask AI tools for recommendations. Takes 20 minutes. Costs you nothing. Could save you from a 6-month slice in your AI search game.</t>
  </si>
  <si>
    <t>Your competitors aren’t always who you think they are.  When you’re vying for brand mentions on LLMs, your competition could be anything from:  Niche &amp; adjacent tools to Publishers (think Forbes) to Authoritative incumbents to Communities &amp; UGC sites to Aggregators &amp; “best of” lists to Docs &amp; knowledge bases (think GitHub repos)  ––––––  Spotting these blind spots isn’t so intuitive.  Which is why today we’re launching: Suggested Competitors in Scrunch.  HOW IT WORKS  1️⃣ We analyze the AI responses you’re tracking &amp; AI search trends in your category to uncover the brands showing up where you want to be.  2️⃣ We pattern match and surface high-confidence competitor suggestions directly in your dashboard.  3️⃣ You add (or dismiss) the relevant competitors to your watchlist (and let us backfill historical prompt data related to each competitor).  No manual research. No guesswork.  Just the ability to fill in your competitive landscape on LLMs with a couple clicks.  I’m walking through it in the demo below 👇  Try it now in Scrunch to and reveal who’s actually competing for AI responses that matter.  When you do, we think it will change how you think about the “competition.”</t>
  </si>
  <si>
    <t>Hi %FIRSTNAME%, I'll swap you a $100 Takomo golf gift card, or a new wedge, for 20 minutes to talk about how your brand is showing up in AI search. Yes, it's direct. No, subtlety doesn't really work in DMs. Here's the deal: I run %COMPANYNAME% through Scrunch, you get a free AI search visibility audit, and we both find out if your brand is finding the fairway or landing in the rough when buyers ask AI tools for recommendations. Takes 20 minutes. Costs you nothing. Could save you from a 6-month slice in your AI search game.</t>
  </si>
  <si>
    <t>New website, who dis?  30 days after joining Scrunch, I made the most cliché marketing exec move ever: a website redesign.  That was six months ago.  Fast-forward to today, and we’re already back at it again.  In my past, website overhauls were painstaking: -- They eat up a lot of resources -- They take a long time to roll out -- They rarely improve conversions (quite the opposite, actually)  Which begs the question: Why now? Why so soon?  Glad you asked…  Here’s why:  🪪 Our brand identity glowed up  When we launched the last time, Danny Gugger (our now full-time creative director) was still working with us in a consulting capacity.  Shortly after, he joined full-time and went ham on our brand.  We fell in love with what Danny developed—it’s fun, differentiated, and just feels very Scrunch.  The problem? That identity started showing up across new artifacts and scattered site elements. But the most viewed parts of our site still looked like the old version.  Once I saw the updated direction, I couldn’t unsee it. It had to be rolled out site-wide ASAP.  ---  ⚡ We’ve been shipping more than UPS  We've shipped a ton in the last 6 months, and the old site was underselling what we have to offer.  The product (and nav bar) looks pretty different today.  ✦ Site Maps — maps your site’s AI footprint: how AI interprets each page, where it gets stuck, and what to fix.  ✦ AI Search Trends — surfaces actual questions real people are asking AI, right now, across the topics you care about.  ✦ Shopping — extends our monitoring suite to the product level: AI search performance, per SKU.  And that’s just standalone product pages that weren’t represented before.  We’ve also shipped dozens of improvements across the rest of the platform.  The site needed to actually reflect the great work of our product team.  ---  🧘 Our positioning has evolved  Admittedly, this is the biggest factor for the change.  AI agents are becoming your primary site visitors. (Google even admitted agents are the future at IO last week.)  When AI does the research on behalf of humans, one question becomes unavoidable: What is your website for?  𝙸̶𝚗̶ ̶𝚝̶𝚑̶𝚎̶ ̶𝚏̶𝚞̶𝚝̶𝚞̶𝚛̶𝚎̶ Today it’s for AI agents.  And that’s the vision that we’re building towards at Scrunch.  A future where marketers: -- understand how agents are consuming their site -- know what actions to take to grow AI search performance -- deliver an optimized experience to their primary visitor: AI agents  That’s the story the new site tells.  ===  One more call out.  We didn't just redesign the site for humans—we optimized it for AI, too.  We've been running our own AXP on scrunch.com itself this year. Results? We’ve grown our AI search presence 173% in the last 3 months  You can see exactly what that looks like on our Agent Experience page, which includes human view vs. AI view + calculation of token savings.  See both the human experience and the AI view at scrunch.com  P.S. We hid an Easter egg on the AXP page.</t>
  </si>
  <si>
    <t>Citations are to LLMs as 10 blue links are to a Google search—just smaller, grayer, and less likely to get a click.  Nevertheless, they’re still a critical piece of a sound AI search strategy.  Uncover what sites are being cited for the prompts your brand aspires to show for, and it’s like a looking glass into:  ⟡ Types of content LLMs prefer ⟡ Gaps where competitors are cited and you’re not ⟡ Technical commonalities (schema, structure, metadata) ⟡ Thin citations where stronger content could unseat incumbents ⟡ LLM-specific citation diffs from ChatGPT, Perplexity, Gemini, etc.   While it’s possible to keep tabs on citations on your own, I wouldn’t suggest it. (Imagine running hundreds of prompts across 5+ LLMs, extracting cited websites, dumping into a spreadsheet, and repeating daily. Not fun.)  Products like Scrunch AI fix that for you.  📹 In 3.5 minutes, I was able to spot top-cited domains in a given category (robo advisors in this case), drill down to show citations by funnel stage/topic, and uncover the sites that get cited to either partner with or improve upon.</t>
  </si>
  <si>
    <t>Biggest misconception in AI search aka AEO/GEO: more content = better results. (this is especially true in the enterprise)  Wrt AI search performance, there are typically 3 levers to growth:  1) Optimize existing content 2) Get mentioned in credible sources 3) Generate more content  And that’s how I’d stack rank order of operations for fast results.  Optimize existing content:  Do we already have content that addresses the query? ⤷ Let’s optimize it for LLM consumption.  Get mentioned in credible sources:  We don’t have the content or authority… so who does? ⤷ Let’s try to get a mention on said source.  Generate more content:  Is there truly a content void for this query? ⤷ Let’s fill it.  _______  This is especially true in enterprise.   Quotes from real people at real enterprise orgs: “We’ve written about everything under the sun… we’re repeating ourselves.” “We don’t need to reinvent the wheel on content creation.” “We want to optimize what we already have.”  (Yes, these are pulled from actual calls. And yes, I have the receipts.)   Yet, the default motion is to publish more.  That’s probably because it’s the most obvious path.  But it’s also often the hardest.  _______  So, here’s where I’d start instead (especially if you’re content-rich):  ✦ Serve clean, server-rendered HTML: AI agents consume HTML from your existing URLs—not JS-heavy pages or special files.  ✦ Make pages self-contained + information-dense: AI often pulls from a single page, so completeness and clarity matter more than volume.  ✦ Reduce technical + structural friction: Clear structure, minimal cruft, no hidden content that only renders for humans.  ✦ Ensure AI is hitting the right pages: Your existing URLs are what get cited, so make sure they’re actually being retrieved and used.  P.S.  We built Scrunch AXP (Agent Experience Platform) to help teams actually do the above: deliver clean, structured, agent-friendly versions of your existing pages so AI can retrieve, understand, and use them.  Demo here: https://scrunch.com/book/</t>
  </si>
  <si>
    <t>After publishing 100+ Reddit posts &amp; comments we noticed something interesting: ChatGPT keeps citing comments that are buried on a post and not necessarily ones with the most upvotes or replies.  Turns out there's a pattern to which Reddit content LLMs actually trust and reference, rather than it being a game of who can buy the most upvotes.  Here's the framework we've developed:  1️⃣ Find where LLMs are already looking  Three ways to track Reddit → AI citations:  1. DIY approach: Search '[keyword] reddit' on Google, note which threads appear  (It's not bulletproof but it's a start, you're using Google's ranking algorithm as a proxy)  2. Use something like Scrunch which is purpose built for AEO and will show you the exact threads &amp; comments that are being cited  3. Use something like Trigify.io to track your brand mentions in Reddit so you can enter the right conversations  The sweet spot: ICP-rich subreddits where your buyers actually discuss problems. The gold is in the niche ones.   2️⃣ Understand what LLMs actually extract  Here's what surprised us after analysing 10,000s of citations: Content quality seems (more research required) to beat engagement metrics every time.  I've often discovered a cited comment to be 50-60% of the way down a thread with 2 upvotes. Not exactly prime real estate.  LLMs prioritise entity-rich content. In other words, content that associates 'things' with your company:  - Specific tools and competitors - Integrations - Product differentiators - Concrete use cases - Firmographics  When people query ChatGPT they're front loading a bunch of context:  'I'm an agency founder...we have 5 employees...based in UK...struggling with manual expense tracking...'  ChatGPT takes this query and creates sub-query variations. Your content needs to answer the long tail. This is the science of good Reddit marketing.  However there's also the art:   3️⃣ Navigate the culture (without getting publicly humiliated)  Reddit isn't LinkedIn. You can't blatantly promote your company and expect it to work.   One of the frameworks that we use is: problem → solution, with your product as maybe 10% of the answer. It's the subtle art of bridging the problem that's being discussed to your company which is the solution.  Share genuine expertise. Answer the actual question. If your company helps, mention it as one option among several and give a (somewhat) neutral take.   We rarely post links unless it's a deliberate campaign to signpost a specific feature or piece of content.  The compound effect: These posts often rank on Google too. One thoughtful Reddit comment can drive visibility across multiple channels for months. For clients we do dozens per month.  Still early days, but Reddit might be the most underutilised B2B marketing channel right now.  And not because it drives instant leads, but because it influences the platforms your buyers trust.   P.S. Click here to get help with Reddit https://lnkd.in/etv3Thwr</t>
  </si>
  <si>
    <t>Akamai Technologies grew AI brand presence for key, non-branded prompts by 364% without touching its website. This is how.  Akamai is one of the world's leading cybersecurity and cloud computing companies. Its network infrastructure processes more than one-third of global web traffic.  But here’s the thing: More and more web traffic isn’t human. It’s AI visiting a website on a human’s behalf.  Today’s customers ask AI before they visit your site (if they visit at all). What AI says determines whether you’re part of the conversation.  Akamai needed to answer the same question every brand is wrestling with right now: How do you make sure high-intent buyers find and choose you when AI is the intermediary?  That's where Scrunch comes in.  We helped Akamai go from limited visibility into AI search performance to end-to-end monitoring and actionable insights. But the real unlock was what came next.  We deployed our Agent Experience Platform (AXP) across a subset of pages tied to Akamai's new Inference Cloud product, a high consideration purchase where extensive research is expected.  AXP intercepts AI traffic at the CDN level, strips out the code AI doesn't need, and delivers a clean, optimized version of each page directly to AI user agents - without changing a single thing for human web visitors.  The results (comparing AXP pages to non-AXP pages over 6 weeks): ✦ 38% more unique prompts with citations ✦ 85% more total citations ✦ 364% increase in brand presence for non-branded prompts  In ChatGPT alone, Akamai’s brand presence versus competitors increased by 133%.  This is the bet we've been making since day one: In a world where human beings outsource discovery, evaluation, and comparison to AI, brands have to optimize content for AI consumption.  Akamai proves the value of giving AI its own customer experience. And they're just getting started. Fantastic to be expanding the partnership with the exceptional Akamai team Kim Salem-Jackson, Megan Bentz, Jessie Dawson, Patrick Sullivan, Mark Kilmer, Annalisa Church and countless others!</t>
  </si>
  <si>
    <t>Everyone thinks that to show up in LLM results, you need brand mentions on sites like Reddit, Medium, etc. And while that may be true for top-of-funnel prompts, it’s not often the case for higher-intent prompts (i.e., the prompts that lead to conversions).  Using Scrunch, we surveyed 10 categories (~4 brands per category) to identify which sites were most frequently cited for prompts with high purchase intent. Here’s how we went about it and what we can infer from it 👇  SETUP  1) Select 10 product categories with a reasonably high purchase consideration (e.g., mattresses, gaming consoles, performance bikes, and so on).  2) Generate 25+ prompts per category at the consideration or evaluation stage of the funnel. We made a pointed effort here not to include brand names in the prompts themselves. Prompt examples include:  👟 Specialty Running: How do waterproof running shoes perform compared to lightweight breathable models?  🐣 Baby Strollers: How do travel-system strollers compare with lightweight models for frequent flyers? (One I would likely ask!)  🎧 Headphones: How do premium headphones differ from mid-range models in terms of durability and build quality?  3) Load these prompts in Scrunch (bulk prompt importing ftw) and run a citation analysis to uncover the top cited cites.  Voila! The results are what you see in the graphic.  _________  FINDINGS  ⟡ Niche sites are frequently top-cited results for considered prompts. YouTube cracked the top three in Gaming Consoles and Celebrity Beauty (not so surprising).  ⟡ Surprisingly, Reddit didn’t make the podium in any category. However, it did appear frequently as a cited domain across all categories.  ⟡ “Other” made up 70%+ of all citations (the long-long-tail, if you will).  ⟡ WorkforceOS was the only category where the brands themselves showed up as top cited sources (makes sense as the category is niche itself).  ⟡ Domains of the top-cited sites in the Specialty Running category all start with “run”  ============  🔌 for Scrunch AI  If you’re curious what sites are top cited for your category, it takes just a few minutes to uncover them with Scrunch. Drop in a comment or DM to get a citation breakdown for your category.</t>
  </si>
  <si>
    <t>We helped a $17M ARR B2B company move to rank 1 in AI assistants like ChatGPT and increase owned citations by 600% within 4 weeks, here's how:  // Context  They had mature SEO and ranked well on Google but were losing AI share of voice to competitors. Their SEO agency hadn't adapted - thousands of visits for 'what is [concept]?' articles with low influence on pipeline.   Here's the 4-part process we used to fix this:  1️⃣ Diagnose discoverability gaps  Traditional approach: Track keyword rankings &amp; GSC Our approach: Map AI visibility across buyer journey stages  We mapped high-volume prompts across personas to verify when they're named, how they're positioned, and what sources get cited.  What you can do: Use tools like Scrunch AI to audit AI visibility. Semrush is also doing interesting things in AI visibility.  Google rankings ≠ AI citations.    2️⃣ Design demand-weighted content  Traditional approach: Target high search volume keywords Our approach: Score content by impact × difficulty × business fit  Their SEO content attracted low-value traffic with poor conversions. We combine AEO audits + keyword research, then score based on what will drive pipeline in the next month, rather than only get impressions.  What you can do: Target MOFU/BOFU queries. Lower volume but higher intent.   3️⃣ Ship daily content that ranks + gets cited in AI answers  Traditional approach: 4-8 pillar posts monthly Our approach: Daily publishing using our CITABLE framework  We use a 10-step AI-assisted, human in the loop workflow to ensure strong throughput while maintaining quality.  All content is structured for both humans and AI agents. Within 2 weeks, 4/5 top citations were ours.  Although our core objective was AI-referred customers, we quickly noticed our content also outperformed their SEO agency in the SERP by 2-4x on all metrics. AI + the right workflow = great things happen.  What you can do: Provide answers, not keyword-stuffed articles. Lead with conclusions, support with evidence, give alternative viewpoints.   We have a free tool that scores content based on our CITABLE framework, lmk if you want to use.   4️⃣ Earn proof signals AI trusts  Traditional approach: Build domain authority via backlinks Our approach: Multi-source validation across cited sources  Step (1) reveals to us what sources AI cites. We bucket these and run targeted plays for each.  Example: Competitor-earned citation on Reddit → we dominate the narrative on this post.  What you can do: Audit your off-site presence, ensure message consistency across as many surface areas as possible, and seed mentions in cited sources.  //  We're still so early in AEO. Yes there's hype, but technology shifts like this create opportunity (think: Meta ads, App Store, TikTok)  DM or comment if you'd like a free AI visibility audit to get an idea of how you're performing. No strings.   **Rank 1 = across the target query set they were positioned as the first cited recommendation on average across answers.</t>
  </si>
  <si>
    <t>An exec or board member is about to ask your team: 'How are we doing in AI search?'  It's a fair question. And right now, most teams don't have a real answer.  The old ranking signals (backlinks, domain authority, coverage volume) tell you how visible you are to search engines. They don't tell you whether AI is actually reading you.  That question changes the brief across every discipline. PR target lists shift when you can see which domains AI cites most in your category. Content priorities shift when you know which URLs competitors are winning citations with. Influencer and paid plays shift when you can identify who AI already trusts.  After testing a lot of tools in this space, Scrunch is the one Firebrand Communications built our GEO approach around. The citation report does something I haven't seen elsewhere. It shows you, in ranked order, the exact domains AI pulls from when answering prompts in your category. Then you can go deeper: which URLs are driving citations, which competitors are winning them, where the most citation share is still up for grabs.  I wrote up how we use it across three levels: domain discovery, URL-level competitive analysis, and topic-filtered planning that feeds directly into PR, influencer, and paid briefs.  If you're trying to make GEO actionable rather than abstract, this is where I'd start.  Full walkthrough: https://lnkd.in/gvhgjkRX  #GEO #AISearch #GenerativeEngineOptimization #DigitalMarketing #AICitations #Scrunch #B2BMarketing</t>
  </si>
  <si>
    <t>#GEO #AISearch #GenerativeEngineOptimization #DigitalMarketing #AICitations #Scrunch #B2BMarketing</t>
  </si>
  <si>
    <t>If you want to write for AI search optimization (aka AEO/GEO), here’s a little hack: just use the Axios style guide — Smart Brevity.  Why it matters: AI search is the next big growth channel. That makes AI bots retrieving content from your site a VIP visitor. Writing for bot consumption increases your chances of reaching humans on LLMs.  ––––––  Between the lines: Quotes from the Axios style guide, reinterpreted as AI search best practices.  Axios: Say “What’s new” and “Why it matters.” ⤷ AI tie-in: AI doesn’t want to sift through the backstory of your grandmother’s pumpkin pie recipe. It just wants the answer, direct and upfront.  Axios: Stay scannable. Short paragraphs, bolding, and bullets. ⤷ AI tie-in: In other words, write in Markdown — the lingua franca of AI.  Axios: Write like a human ⤷ AI tie-in: AI seeks human-written content. That’s because of a thing called model collapse — where self-referential content degrades answer quality over time.  Axios: Stop when enough is enough. Keep it short, not shallow. ⤷ AI tie-in: AI rewards signal-dense content. The more it recognizes your content as a rich source of it, the more it will reference it.  ––––––  The other side: While I appreciate the Axios style, it’s a little depressing imagining a world where the majority of content is written like an Axios article. That said, writing for traditional search (Google) isn’t so great either — long-winded intros, banner ads &amp; pop-ups killing user experience, overly comprehensive skyscraper posts.  ––––––  The bottom line: Axios’s Smart Brevity was written before the AI boom. Yet it hits the structural cues AI search platforms rely on: clarity, hierarchy, chunking, and high signal-to-noise ratio. It’s a cheat code to writing for AI.  =====  🔌  for Scrunch  Have your cake and eat it too with AXP (Agent Experience Platform). Keep the content written for humans and serve AI agents an optimized version of your site. Get a demo at scrunch . com  =====  And HT to the great Gary Orenstein for the insight</t>
  </si>
  <si>
    <t>AI search (aka AEO) ≠ SEO. In AEO, there are 2 core concepts everyone gets hung up on. Once they click, the difference in strategy and execution becomes crystal clear.  1️⃣ AI search is probabilistic  That means the same question asked twice—even by the same person and even in the same session—will return a different result.  This is a feature, not a bug.  Which means your brand won’t show up 100% of the time for any given prompt.  In fact, the best brands only show up ~60% of the time.  (Feel free to give that stat to your CEO the next time they ask why you didn’t show up in one of their random searches 😉)  So the way to look at AI search performance is not about rankings like trad search.  Instead, performance should be based on trends over time—i.e., for a given set of prompts I care about, is my brand showing up more frequently and in a positive light?  Which brings me to the second shift…   2️⃣ Zero-click UX (which changes perf metrics)  The trad search user experience goes: Search → Click → Read → Repeat.  AI collapses that whole rigmarole into one step.  Agents do the visiting, discovery, evaluation, and recommendation for the user.  If you’re only looking at referral traffic from AI platforms as a performance metric, you’re just seeing the tip of the iceberg.  Below the waterline, you get the whole picture:  ✦ Brand presence: is my brand mentioned in AI answers? ✦ Citations: is my site being cited as an authoritative source? ✦ Agent traffic: are AI bots visiting my site on behalf of humans?  These are all examples of leading metrics that happen before a human visits your site.  And even when they do visit, it’s rarely from clicking a citation (that small gray pill that needs to be clicked to track AI referral traffic).  So you also need to triangulate with lift direct and branded organic traffic to get the full picture.  =======  In my experience, most teams don’t have a tactics problem.  Yes, if you’re doing SEO well, there’s a good chance that you’re also doing AEO well.  It’s more of a mental model shift that makes all the difference.  Once these two things click, the rest (strategy, execution, measurement, etc.) tends to fall into place.  P.S.   We built Scrunch to track what actually matters in AI search—presence, citations, and agent traffic.  Get a free brand audit (no email req) at: https://lnkd.in/drK3T4ke</t>
  </si>
  <si>
    <t>This post probably won’t get cited by ChatGPT. But the link down below might.  Scrunch’s data science team pulled the receipts on which LinkedIn posts get cited in AI search and which don’t, focusing primarily on the most popular consumer AI platform today: ChatGPT.  A few sacred cows did not survive.  One of the more surprising findings? A post with 100 reactions gets cited at essentially the same rate as one with 10,000. If you hold content constant, engagement is just noise.  Here’s what ChatGPT actually cares about:  - Technical details: +77% citation likelihood - Named entities (companies, people, products, etc.): +33% - Topic specificity: +18%  Meanwhile, a couple of LinkedIn-native moves actively backfire:  - 𝗨𝗻𝗶𝗰𝗼𝗱𝗲 formatting like this? -58% citations. ChatGPT's retriever can't decode math-alpha characters. Your bolded LinkedIn headline is invisible to it. - Link-in-comments posts? -31% citations for the post itself. But the source you're linking to? +144%. So LIC posts can act as a deliberate tradeoff:   Sacrifice your post to boost the thing you're promoting.  That said, the majority of LinkedIn posting hacks don’t harm citation performance. In fact, they don’t move the needle at all, positive or negative.  The takeaway really depends on the game you're playing.  Building your personal brand? You probably want to optimize for reach on LinkedIn. Follow-for-more/DM me CTAs, first-person authority, personal anecdotes—they work.  Marketer trying to shape what AI says about your company? Different rules. Technical depth, named entities, niche topics. And keep in mind that a few LI engagement tactics will cost you.  Most B2B teams want both. Good news: Named entities and topic specificity help with citations *and* reactions. That's the sweet spot. Full study in the comments 👇  (Yes, I know what that does to this post's citation odds. Worth it.)</t>
  </si>
  <si>
    <t>Over the next few years, every meaningful search experience will be AI-powered.  The implication isn’t fewer searches - it’s fewer humans doing them directly.  We’re moving from marketing to people to marketing to machines, and we've just released our AI Search Guide to bring a bit of clarity to the shift.  Link in comments below.</t>
  </si>
  <si>
    <t>SEO content is not the same as AEO content.  If you want to acquire customers from ChatGPT, Claude and Perplexity, standard SEO isn't optimal.  This does *not* mean SEO is dead or dying. It's still very much alive.  But in AEO you're marketing on channels that consume and prioritise information differently than what we're used to over the last 20 years. A change in channel dynamics means our strategy must also change.  If SEO was the same as AEO then we would not have been able to:  - Get inbound sales calls from ChatGPT on a brand new (DA 0) domain  - 4-6x a B2B SaaS company's AI search visibility by executing a wildly different strategy to their incumbent SEO agency, despite said agency thinking SEO &amp; AEO are the same thing  Answer engines reward clarity and proof, not lengthy walls of text. They show sources, quote passages of text and skip waffle. If you want better visibility inside AI answers you must write with the intention to be cited.  Here's how:  // Questions  Stop chasing single keywords. Start from real questions that buyers type into models like ChatGPT. Ship content that provides concise answers to those exact questions. Try to answer the long-tail of queries that happen as part of the model's query fan-out process. View your content as a series of rich information blocks rather than a single page.  Use an AI visibility product like Scrunch AI or Peec AI if you're unsure how you're appearing in AI answers.  // Evidence  Back every claim (stats, pricing, features, differentiators, sentiment) with a source. If the claim can't be verified then it's useless.   // Entities  Name your company, products and categories the same way every time, everywhere. You'll be surprised at the variance in messaging across a company's different surface areas (e.g. review sites, directories, social profiles). Create a 'set of facts' that you use and set a reminder to update them as your company evolves.  Particularly in B2B SaaS, outdated info on pricing and features can be the deciding factor.  We're currently shipping 100,000s of words per month, ranking top in Reddit threads and solving the technical side of AEO across clients. We're deep in R&amp;D mode with original studies coming soon.  If you have any questions about AEO feel free to comment or DM me, no strings attached. We like nerding out about this.</t>
  </si>
  <si>
    <t>“AEO is just SEO rebranded.” “There’s no such thing as rankings in AI search.” “Tracking AI responses is moot because LLMs are probabilistic.”  ☝️ Things search experts say about AI search (aka AEO GEO).  And, to a large degree, they’re not wrong.  But for us facing real-world expectations from execs (and the board), this is not helpful rhetoric.  *What exactly is the alternative?*  When your CEO comes to you and asks: “How do we compare to competitors on ChatGPT? I searched and didn’t see us show up.”  Your response can’t be: “Well… funny you say that, because our SEO results are still looking strong, and the experts say ‘if you're doing well in SEO, then you're doing well in AEO’ so I think we're set! That, and your responses are personalized to you, so maybe you’re too paranoid about our competitors?”  That’s a recipe for unemployment.  ===  So what’s the alternative?  If AI search is probabilistic… If prompts are infinite… If responses vary…  We need to stop treating measurement the same way we’re accustomed to in SEO.  AI search doesn’t work that way.   Responses are probabilistic.  Prompts are super long tail with infinite variations.  Memory and personalized results are the norm.  But that doesn’t mean it can’t be measured. It just takes a different approach.  The most common mistake we see is falling into the “boil-the-ocean” trap--e.g., trying to track every permutation of every prompt. That’s a fool’s errand.  A better approach is to track a consistent, representative set of prompts tied to the topics that matter to you (and to track them the same way over time).  When you do, in return, you get a barometer that reveals how your brand shows up over time in the topic areas that matter to your bottom line.  At Scrunch, we liken this approach to a 🌤️ weather station: A single reading doesn’t tell you much, but a network of readings over time reveals how you’re trending.  ====  🔌  Plug for Scrunch  Track how your brand is trending across the prompts that matter. Start a free 7-day trial: https://lnkd.in/g-jZ7ixj or book a demo: https://scrunch.com/book to have one of our team members walk you through the results.  ====  And that’s one of the core shifts in how to treat AI search vs SEO. We don’t have GSC (although Bing just added this). We don’t have ad impressions (not yet, at least).  What we have is a weather station (if you will) that provides a stable, consistent stream of readings, indicating whether the climate is shifting.  Michael Iannelli, PhD details more on this approach (plus more analogies) on the Scrunch blog. Will post the link below if you want to go deeper.</t>
  </si>
  <si>
    <t>I’ve audited 17 B2B SaaS companies in the last 4 weeks. Only 3 were properly optimised for AI search. The other 14 are invisible to ChatGPT, Perplexity, and Google's AI overviews.  Here's how I would get a head start on AI search for less than $500/mo while competitors still try to figure it out:  // 1. Implement structured data for AI comprehension ($0)  Add schema such as Articles, FAQs and HowTo to every key page. Tool: Schema dot org's free validator + Google's Rich Results Test  AI systems prioritise content with explicit structures.  This is quick to do and costs nothing.   // 2. Start monitoring your AI visibility TODAY ($99-$300/mo)  You can't improve what you don't measure.  Track where you appear in ChatGPT, Perplexity, and Claude responses.  Tool: Scrunch AI (AI visibility platform) or others.  Most companies have zero idea if they're being cited, just operating with vibes &amp; hopes - don't be them.   // 3. Create entity-rich content ($119/mo)  AI loves comparative, neutral and rich information it can synthesise.  (Why go to 10 sites to find an answer if 1 provides it for you?)  Ship: - Comparison tables - Cited sources (so claims can be verified) - Original data  Be neutral in comparisons. If your claims can't be backed up, it won't be cited.  Tool: Ahrefs Content Gap tool    // 4. Optimise for multi-source validation ($0-99/mo)  AI cross-references claims across sources. The consensus wins.  Get your facts on:  - Your website - LinkedIn articles - GitHub documentation - ProductHunt descriptions - YouTube video transcripts &amp; descriptions - Reddit  Tool: F5bot for Reddit (free) or OGTool (paid)   // 5. Test your content's AI extractability ($0)  Check if AI systems can actually find and use your content.  Search your target query in ChatGPT/Perplexity with web access enabled. Do you appear? What passages get cited?  If not cited: Your content isn't being retrieved If cited but wrong info: Your content isn't clear enough  Tool: ChatGPT with browsing or Perplexity (free tier)  (Note: can be indicative but much better to test in isolation)  //  AI search is changing how buyers discover products via search.  6 months from now every B2B company will be fighting for AI visibility but right now it's up for grabs.   P.S. Comment or DM me 'audit' and we'll check your AI visibility across ChatGPT, Perplexity, and Claude for free.</t>
  </si>
  <si>
    <t>There’s a psychological phenomenon you’ve probably experienced, known as the Gell-Mann Amnesia Effect, when you:  1) Read an article about a topic that you’re intimately familiar with 2) Spot glaring errors and misunderstandings in said article 3) Move to the next article (this time without SME) and trust it as truth  For me, this happens in depictions of surfing in films—an actor holding a board with wax on body, paddling out with a gun on a 3-ft day, fins on backward—all tells that nobody in production really surfs 🤙   (Trust me, I’m going somewhere with this.)  This Gell-Mann Amnesia effect is happening to your brand right now. Just instead of a journalist misinterpreting the facts, it’s an LLM.  It’s not the LLM’s fault. It’s just that the inputs are faulty.  - Competitor-generated listicles - Blog posts written prior to pivoting - Retired pricing tiers listed on review sites  Keeping up with all these moving parts is near impossible. Yet with AI now being the front door to your brand, you kinda have to.  And that’s why we’re launching Knowledge Studio today—to give you more control over how AI represents your brand and put an end to AI’s Gell-Mann Amnesia effect.  Knowledge Studio is how you give AI the briefing the journalist never got.  Connect your internal sources of truth—positioning materials, ICP docs, pricing tables, battle cards—from Notion, SharePoint or manual uploads.  Our AI agents turn them into structured Knowledge Documents your team reviews and approves.  From there, Knowledge Studio will:  ✦ Flag where AI answers conflict with your actual positioning ✦ Augment content served to AI agents visiting your site ✦ Fill content gaps before AI starts improvising  Accurate answers are sitting in your internal documents: a PMM brief, a pricing document, a battle card. Knowledge Studio helps AI learn from those sources rather than guessing based on whatever it finds on the internet.  Your company already knows the right answers.  Knowledge Studio, now available for all Scrunch customers, makes sure AI does too.  Go deeper 👉 https://lnkd.in/gpzwdWHy</t>
  </si>
  <si>
    <t>A lot of people say you gotta invest in “brand” to show up in LLM results. But they fail to expand on what exactly that means. So here goes my attempt to break it down.  First, there are really only three ways for your brand to show in prompt results right now:  1) Someone uses your brand name in the prompt itself—“how does [brand] price its product?” If this is the case, your brand is already dominating the conversation #winning  2) Your brand shows up in the prompt results—“what’s the best microphone for podcasting?” Where your brand appears somewhere on the list of options.  3) Your brand shows up as a reference that the LLM is citing—“what AV rig do I need for recording a video podcast at home? Where your brand’s website holds the resource cited by the LLM.  Now, if you were to interpret the advice of “invest in brand” through the lens of what typically comes to mind—refreshing brand identity, out-of-home billboards, a new website redesign—it would be a long and costly endeavor until that investment showed up in any of the above examples.  (And yes, I know brand is *much* more than those examples. Not trying to offend any brand marketers. In fact, if you’re a brand marketer, I think you’ll enjoy the rest of this post. But I digress.)  ––––––  So, what people mean when they say, “You gotta invest in brand to show up in LLM results!” it really means the following👇  To get your brand mentioned in the prompt itself: (and this is the closest to what comes to mind with brand investment)  → Own the conversation in the channels where your ICP hangs out → Take a stance on something and flood the zone with that perspective → Create the category if your product is truly disruptive  ---  To get your brand to appear in the list of options an LLM serves back:  → Get customers to openly talk about and review your product → Show up in conversations on channels like Reddit, LinkedIn, Twitter, etc. → Get mentions on credible sources—think Forbes Cloud 100 list  ---  To get your site referenced as the source LLMs cite:  → Create canonical, authoritative content—think how to guides etc. → Conduct original research—think state of X report (using proprietary data) → Keep ^ content fresh and up to date   Do the above consistently, creatively, and authentically, and there’s a good chance you’ll show up in prompt results.  =========  🔌 for Scrunch AI  While we can’t do the brand building for you, with Scrunch, you can: ✧ Benchmark &amp; track how your brand shows up vs competitors in LLMs ✧ Track brand presence, position, and sentiment across any prompt ✧ Uncover citations that LLMs find credible in your space  And that’s just the monitoring part of the product.   For more, head over to our website (scrunchai dot com) or DM me if you want access 😉</t>
  </si>
  <si>
    <t>If you’ve ever been annoyed by a CEO asking, “Hey, why don’t we show up for [made-up keyword with zero search volume]?” Just wait until they realize your brand isn’t showing up in their off-the-cuff LLM prompts either.       When they do… we’ve got you covered: https://scrunch.com/book/</t>
  </si>
  <si>
    <t>Most teams are going about AI search (aka AEO) the wrong way. And it’s because they’re anchoring the strategy on SEO priors.  The key difference? User behavior.  TRADITIONAL SEARCH  User behavior in trad search = Drop 3-7 words into a search engine. Get results.  For any topic, there’s a finite number of high-volume searches. Which means it’s possible to bid or optimize on a single keyword and get 1000s of impressions.  Knowing this, our approach to search strategy has been: - Define a finite set of relevant keywords - Optimize or bid on said set of keywords - Grade performance based on our position within the set  But… that’s a losing approach to AI search.  ––––––  AI SEARCH (aka AEO/GEO)  User behavior in AI search = type, speak, paste, or upload a prompt. (All of which are typically far longer, specific, messier, etc., than your average SEO query.)  Unlike traditional search, there’s no finite prompt universe. And so, trying to capture every permutation of every prompt is an impossible endeavor.  This is where many AI search strategies go south.  Instead of treating AI search like keywords, we need to treat it more like trend measurement.  An apt analogy? 🛰️ Weather stations.  Meteorologists don’t apply a scorched-Earth approach by measuring every square foot of land. Instead, they deploy a stable network of sensors, deliberately place them, and read them consistently over time.  A system of thermometers is not “the weather,” but the set of them strategically placed and read consistently is a reliable signal.  An AI search strategy should work in a similar fashion:  ✦ You don’t track prompts to capture every possible prompt.  ✦ You track a set of prompts to have a consistent yardstick.  It’s not about ranking for every prompt.  It’s about understanding how your brand is trending for the topics you care about and making adjustments accordingly.  ======  🔌 for Scrunch  Scrunch is your weather station for AI search—monitor brand mentions, identify trends, take action, &amp; more! Start a 7-day free trial at scrunch [dot] com.  ======   P.S. Biggest HT of all HT to Michael Iannelli, PhD for the take here (I’m really just regurgitating his insight).</t>
  </si>
  <si>
    <t>This may be the most important slide in our deck.  AI only knows what it can access and understand.   AI Agents, working on behalf of humans, are the primary consumers of content on the internet. The question is how to optimize for them.   Two paths in the AI search era:  Flood the internet with AI-generated content and hope something sticks....(don't)  Or systematically curate, optimize and structure the content you already have so AI can trust and use it.   One creates noise. The other compounds advantage.   At Scrunch we've observed that many customers have the content but AI doesn't see or understand it. We've built a platform to audit what AI understands and Agents to fill the gaps.   Your brand has never mattered more.</t>
  </si>
  <si>
    <t>Your buyers are using AI to research vendors. Is your brand showing up?  Most B2B brands are invisible in AI search. No citations. No mentions.  Scrunch shows you exactly:  • Where you show up (and where you don’t)  • Which prompts you’re winning or losing  • What AI actually cites  Get your free AI visibility audit and we'll top off your Claude account with $50 in tokens.</t>
  </si>
  <si>
    <t>You have tools for organic rankings, paid search, and site performance. None of them show how your brand appears in AI-generated answers.  I can run a free audit covering where you show up in ChatGPT, Perplexity, and Google's AI overviews, how that's trending, and where competitors are outpacing you.  Happy to walk through the results on a call. We'll add $50 in Claude tokens to your account as a thank-you for your time.</t>
  </si>
  <si>
    <t>I'll swap you $50 in Claude Tokens for 20 minutes to talk about how your brand is showing up in AI search. Yes, it's direct. No, subtlety doesn't really work in DMs. 😉  Here's the deal: I run %COMPANYNAME% through Scrunch, you get a free AI search visibility audit, and we both find out if your brand is actually showing up when buyers ask AI tools for recommendations.  Takes 20 minutes. Costs you nothing. Could save you from flying blind in AI search for another 6 months.  Open to a quick chat?</t>
  </si>
  <si>
    <t>Your buyers are using AI to research vendors. Is your brand showing up?  Most B2B brands are invisible in AI search. No citations. No mentions.  Scrunch shows you exactly:  • Where you show up (and where you don’t)  • Which prompts you’re winning or losing  • What AI actually cites  Get your free AI visibility audit and we'll send you $100 DoorDash giftcard.</t>
  </si>
  <si>
    <t>I'll swap you a $100 DoorDash gift card for 20 minutes to talk about how your brand is showing up in AI search. Yes, it's direct. No, subtlety doesn't really work in DMs. 😉  Here's the deal: I run %COMPANYNAME% through Scrunch, you get a free AI search visibility audit, and we both find out if your brand is actually showing up when buyers ask AI tools for recommendations.  Takes 20 minutes. Costs you nothing. Could save you from flying blind in AI search for another 6 months.  Open to a quick chat?</t>
  </si>
  <si>
    <t>Last week Scrunch was acquired by Sitecore. In the very same week, bots officially out-browsed humans on the internet for the first time ever. One of those helps explain the other.  Brands have spent decades building their websites for people. Pretty pictures. Clever animations. JavaScript everywhere.  But as Forbes reported last week, the game has changed: https://lnkd.in/eAbuwjkU  We’ve seen the flip firsthand at Scrunch. 65%+ of our site visitors are AI bots.  Odds are good that there’s an AI user agent on your site right now, retrieving content for a real buyer.  The problem? Your site is built for the person on the other end of the prompt, not the bot browsing on their behalf.  AI agents don't want to battle your website or browse endlessly for the content they need.  That’s exactly why we built our Agent Experience Platform (AXP).  We don't make you rebuild your website. We optimize your existing site and content for AI retrieval.   The internet isn’t shrinking, but its main audience is changing.  Want to know what AI sees when it hits your site? Get in touch.</t>
  </si>
  <si>
    <t>AI search tools are already answering questions about %COMPANYNAME% and you can't see how.  I can run a quick audit to show you exactly where %COMPANYNAME% shows up in AI answers, where competitors are outranking you, and how that's trending.  Happy to share the results over a call and we'll top up your Claude account with $50 in tokens as a thank-you for your time.</t>
  </si>
  <si>
    <t>Strapi had no idea how they were showing up in AI search until we ran an audit.  Turns out they were being underrepresented across ChatGPT and Perplexity while competitors pulled ahead.  After optimizing, they increased their AI citations by 226%.  I'd like to run the same audit for %COMPANYNAME% and share what we find on a call. We'll add $50 in Claude tokens to your account as a thank-you.</t>
  </si>
  <si>
    <t>Most marketing leaders are hearing about AI search visibility. Very few actually know where they stand.  I can run a free AI search audit, where your brand appears in AI answers, how that's trending, and where competitors are pulling ahead.  Happy to walk through the results on a call. We'll add $50 in Claude tokens to your account as a thank-you for your time.</t>
  </si>
  <si>
    <t>Hi %FIRSTNAME%, Your existing analytics don't capture how your brand shows up in ChatGPT, Perplexity, or Google's AI overviews. That's a blind spot most marketing teams don't know they have yet. I'd like to run a free audit and share what we find on a short call. As a thank-you, we'll top up your Claude account with $50 in tokens.</t>
  </si>
  <si>
    <t>AI answers are becoming a real traffic source and most SEO teams have no visibility into how their brand is represented there.  That's a gap that's only going to matter more.  I'd like to run a free AI search audit and share what we find on a short call. As a thank-you, we'll top up your Claude account with $50 in tokens.</t>
  </si>
  <si>
    <t>One of our clients increased their AI citations by 226% once they could actually see where they stood.  I'd like to run the same audit for %COMPANYNAME%, map your AI presence, benchmark you against competitors, and show you where the gaps are.  If you're open to a quick call to review the results, we'll add $50 in Claude tokens to your account as a thank-you.</t>
  </si>
  <si>
    <t>AI search results for %COMPANYNAME% are already live in ChatGPT, Perplexity, and Google's AI overviews. None of your current tools are tracking them.  I can run a free AI search audit to show you exactly where %COMPANYNAME% appears in AI answers, how that's trending, and where competitors are showing up instead of you.  Happy to share the full results over a call and we'll top up your Claude account with $50 in tokens as a thank-you for your time.</t>
  </si>
  <si>
    <t>Your buyers are using AI to research vendors. Is your brand showing up?  Most B2B brands are invisible in AI search. No citations. No mentions.   Scrunch shows you exactly: • Where you show up</t>
  </si>
  <si>
    <t>Hi %FIRSTNAME%, I'll swap you a $100 DoorDash gift card for 20 minutes to talk about how your brand is showing up in AI search. Yes, it's direct. No, subtlety doesn't really work in DMs. 😉 Here's the deal: I run %COMPANYNAME% through Scrunch, you get a free AI search visibility audit, and we both find out if your brand is actually showing up when buyers ask AI tools for recommendations. Takes 20 minutes. Costs you nothing. Could save you from flying blind in AI search for another 6 months. Open to a quick chat?</t>
  </si>
  <si>
    <t>Hi %FIRSTNAME%, You have tools for organic rankings, paid search, and site performance. None of them show how your brand appears in AI-generated answers. I can run a free audit covering where you show up in ChatGPT, Perplexity, and Google's AI overviews, how that's trending, and where competitors are outpacing you. Happy to walk through the results on a call. We'll add $50 in Claude tokens to your account as a thank-you for your time.</t>
  </si>
  <si>
    <t>You track rankings. You track traffic. You track conversions.  Nobody's tracking whether AI mentions you at all.  Scrunch maps your AI presence across every major platform, what you're winning, and where you're losing ground.  Start a free AI audit for your brand. We'll send a $100 DoorDash gift card if you jump on a 20-min review of results.</t>
  </si>
  <si>
    <t>You track rankings. You track traffic. You track conversions.  Nobody's tracking whether AI mentions you at all.  Scrunch maps your AI presence across every major platform, what you're winning, and where you're losing ground.  Start a free AI audit for your brand. We'll top up your Claude account with $50 in tokens if you jump on a 20-min review of results.</t>
  </si>
  <si>
    <t>Hi %FIRSTNAME%, I'll swap you $50 in Claude Tokens for 20 minutes to talk about how your brand is showing up in AI search. Yes, it's direct. No, subtlety doesn't really work in DMs. 😉 Here's the deal: I run %COMPANYNAME% through Scrunch, you get a free AI search visibility audit, and we both find out if your brand is actually showing up when buyers ask AI tools for recommendations. Takes 20 minutes. Costs you nothing. Could save you from flying blind in AI search for another 6 months. Open to a quick chat?</t>
  </si>
  <si>
    <t>A year ago, this commercial would have been painful for me to watch.  And that’s because the challenges our protagonist is facing hit too close to home: - Exec + board-level pressure - Being absent from AI search results - Tasked with opening a new growth channel - Model updates moving a mile a minute - Not knowing what works - Throwing experiments at the wall - Competitors controlling the narrative - AI referencing stale content it trained on  If this sounds all too familiar, there’s hope.  Fast forward to today, and I’m in a much better place.  Much of that is because not only did I join Scrunch—I dove in head first: ✦ Joined an AI-first company ✦ Embraced the chaos ✦ Learned by doing ✦ Flipped my mindset from fixed → growth  That perspective shift made all the difference.  ––––––  The opportunity in front of marketers is enormous. (But so is the amount of noise.)  That's why I love what we're building at Scrunch: helping brands understand how they're represented in AI, what AI can actually find and trust, and where to focus next.  And now, as a Sitecore company, we're even better positioned to help brands navigate what's ahead.  With that, hope you enjoy this fun :30 clip.  Shoutout to Jeff Andrew, Alistair Wilson and the team at Foster Filmworks who produced it!  ===  P.S. Curious how your brand shows up in AI? Run a quick AI brand audit at: https://lnkd.in/drK3T4ke (no email required)</t>
  </si>
  <si>
    <t>Quick ask. Got 20 minutes? There's $50 in Claude tokens in it for you.  Here's the conversation I keep having lately:  Buyers are asking AI which tools to use. And a lot of brands aren't showing up at all.  The thing is, your brand is no longer what you say it is. It's what ChatGPT, Perplexity, and Claude say it is. Most teams have never looked.  Scrunch shows you:  If AI search is even a small priority for 2026, I'll run %COMPANYNAME% through our product and walk you through exactly how you stack up. (For context, we drove a 364% lift in AI brand presence for Akamai. Curious where you'd land.)</t>
  </si>
  <si>
    <t>Hi %FIRSTNAME%, AI search results for %COMPANYNAME% are already live in ChatGPT, Perplexity, and Google's AI overviews. None of your current tools are tracking them. I can run a free AI search audit to show you exactly where %COMPANYNAME% appears in AI answers, how that's trending, and where competitors are showing up instead of you. Happy to share the full results over a call and we'll top up your Claude account with $50 in tokens as a thank-you for your time.</t>
  </si>
  <si>
    <t>Hi %FIRSTNAME%, AI answers are becoming a real traffic source and most SEO teams have no visibility into how their brand is represented there. That's a gap that's only going to matter more. I'd like to run a free AI search audit and share what we find on a short call. As a thank-you, we'll top up your Claude account with $50 in tokens.</t>
  </si>
  <si>
    <t>Hi %FIRSTNAME%, Strapi had no idea how they were showing up in AI search until we ran an audit. Turns out they were being underrepresented across ChatGPT and Perplexity while competitors pulled ahead. After optimizing, they increased their AI citations by 226%. I'd like to run the same audit for %COMPANYNAME% and share what we find on a call. We'll add $50 in Claude tokens to your account as a thank-you.</t>
  </si>
  <si>
    <t>This is my fav data study we’ve ran at Scrunch: Analysis of 12k LI posts that shows what tactics get more reactions and/or ChatGPT citations.  If you’ve ever been curious about what tactics actually work on LinkedIn… - to use Unicode text or not - to link in comments or not - to tag a person or company or not …this study is for you.  What works for LinkedIn reactions 👍  Follow-for-more / DM me CTAs (+22%)  ⤷ e.g., 'DM me for the full breakdown' or 'follow for weekly data'  Originality (+13%)  ⤷ e.g., distinctive perspectives that stand out in the feed  First-person authority (+12%) ⤷ e.g., writing from lived professional expertise, not summarizing others  Personal anecdotes (+11%) ⤷ e.g., a story from your own career, a failure, a hard-won lesson  Step-by-step structure (+7%) ⤷ e.g., sequential 'here's exactly how I did X' breakdowns  Single-line paragraph rhythm (+6%) ⤷ e.g., one thought per line, no dense blocks  –––  What works for AI citations 🖇️  Technical details (+77%) ⤷ e.g., architecture decisions, benchmark comparisons, implementation tradeoffs  Named entities (+33%) ⤷ e.g., specific companies, people, products, or tools  Topic specificity (+18%) ⤷ e.g., 'prompt engineering for RAG' beats 'AI tips'  Single-line paragraph rhythm (+14%) ⤷ e.g., clean line breaks that make content easier for AI to parse  –––  What works for both 👍 🖇️  Topic specificity (+18% citations / +13% reactions)  Named entities (+33% citations / +5% reactions)  –––  Tradeoffs worth considering 🔀  Unicode bold/italic (+12% reactions / -58% citations) ⤷ e.g., using 𝗯𝗼𝗹𝗱 or 𝘪𝘵𝘢𝘭𝘪𝘤 to make text pop in the feed (note: characters are invisible to ChatGPT search index)  Link-in-comments (+11% reactions / -31% citations) ⤷ e.g., “Link in comments” posts: AI follows the link and credits the source, not the post  Originality (+13% reactions / -11% citations) ⤷ e.g., contrarian takes get reactions but have lower factual density for AI  ---  Last but not least, my favorite anecdote from the study…  It seems ChatGPT cites based on substance, not social proof.  A post with only 100 reactions can be just as citeable as one with 10k if the substance is there. (”So you’re saying there’s a chance!”)  Link to full study in the comments.  (And yes, now I know the hit my citation rate will take by doing so 😉)  HT Michael Iannelli, PhD for all the analysis  P.S.   Scrunch gives you visibility into the citations that matter (like LinkedIn) so you can optimize accordingly. See what gets cited for your brand at: https://lnkd.in/drK3T4ke  ====  A note on our methodology (i.e., the fine print)  Analysis covers 12k LI post observations surfaced by ChatGPT between Jan–Apr, 2026, including posts deemed relevant but not cited. We then modeled ~4,000 posts across 21 content dimensions—controlling for audience size and post age—and used double machine learning (Chernozhukov et al.) to isolate each variable’s impact.</t>
  </si>
  <si>
    <t>Hi %FIRSTNAME%, One of our clients increased their AI citations by 226% once they could actually see where they stood. I'd like to run the same audit for %COMPANYNAME%, map your AI presence, benchmark you against competitors, and show you where the gaps are. If you're open to a quick call to review the results, we'll add $50 in Claude tokens to your account as a thank-you.</t>
  </si>
  <si>
    <t>Hi %FIRSTNAME%, AI search tools are already answering questions about %COMPANYNAME% and you can't see how. I can run a quick audit to show you exactly where %COMPANYNAME% shows up in AI answers, where competitors are outranking you, and how that's trending. Happy to share the results over a call and we'll top up your Claude account with $50 in tokens as a thank-you for your time.</t>
  </si>
  <si>
    <t>Hi %FIRSTNAME%, Got 20 minutes? I'll send you a $100 DoorDash gift card as a thank-you. You're probably already seeing AI answers about your brand but only as anecdotes. If you're open to it, I can run an AI search audit for %COMPANYNAME% to give you a clear map of your AI presence. It'll show where you appear in AI answers, trends over time, where competitors outperform you. Happy to load %COMPANYNAME% into Scrunch and share results over a call.</t>
  </si>
  <si>
    <t>Hi %FIRSTNAME%, Most marketing leaders are hearing about AI search visibility. Very few actually know where they stand. I can run a free AI search audit, where your brand appears in AI answers, how that's trending, and where competitors are pulling ahead. Happy to walk through the results on a call. We'll add $50 in Claude tokens to your account as a thank-you for your time.</t>
  </si>
  <si>
    <t>Your buyers are asking AI before they ever visit your website.  The question is: are you part of the answer?  Join a 20-min AI Lunch &amp; Learn and walk away knowing exactly where your brand shows up across LLMs, which prompts you're winning or losing, and what AI actually cites.  Slots are limited this month. + $100 DoorDash included.</t>
  </si>
  <si>
    <t>Once you go headless, you don't go back.  That moment when you start using software through natural language or through API—as opposed to pointing &amp; clicking, bouncing between tabs, grabbing screenshots, etc.—the old way just feels so antiquated and cumbersome.  I’ve been using Scrunch conversationally via our MCP for the last few weeks, and I can’t imagine going back.  And it’s why I’m thrilled to share...  Scrunch MCP is now generally available to all.   You can now talk to your AI search data (and act on it) from whatever AI client you already use or directly from within Scrunch.  In practice, all you need to do is ask: ✦ Where is my brand absent but should be showing up? ✦ Which competitor is getting more AI visibility than me? ✦ Find my biggest content gaps and group them by theme. ✦ Tag these prompts with “competitor” for me.*  That last point is a big one as our MCP is not just read-only.  You can go from insight → action in the same conversation: ✦ Create brands  ✦ Track prompts  ✦ Add competitors  ✦ Organize data  ✦ Trigger workflows  Setup is less than 5 minutes.   No API keys, no shared secrets. Just your existing Scrunch login and your preferred AI client (Claude, ChatGPT, Copilot).  Prefer to stay in-app? Scrunchie, our built-in agent, works the same way—already inside Scrunch, no setup required.  ===  Scrunch MCP is available today for all customers on all plan levels. We even put together a prompt library to help you get started (link in comments).</t>
  </si>
  <si>
    <t>AI answers are stealing discovery from search. Most teams have no idea where they stand.  Missed prompts. Competitors becoming the default answer. No way to fix what you can't see.  Scrunch shows you exactly where you appear across every LLM, which prompts you're winning or losing, and what to fix next.  Run a free AI audit + book a 20-min review. $100 DoorDash gift card included.</t>
  </si>
  <si>
    <t>Your customers are asking AI before they ever visit your website. Is your brand the answer?  Get a free AI visibility audit and see exactly where you show up, which prompts you're winning or losing, and what to fix next.  Limited slots this month. Book a 20-min results review and we'll send a $100 DoorDash gift card.</t>
  </si>
  <si>
    <t>Our new website delivers two experiences. One optimized for humans. One optimized for AI user agents. They both live at the same URL.  If you’ve visited our site in recent days, you’ve probably noticed that it looks a little different. Huge kudos to our design and web dev teams for the latest glow-up.  But more than half of our website visitors are AI bots. So when we redesigned our site, we designed it with two audiences in mind:  1. Humans 2. The AI user agents answering their questions  Our design and web dev teams did what they do best. Eye-catching animations. Interactive drop-downs. The works.  Then our product team did what it does best: Strip it all away using Scrunch's Agent Experience Platform (AXP).  Our new site is the manifestation of a question every brand should be asking itself: What is your website for?  Or, more specifically, *who* is it for?  It’s for humans, yes. Humans who love visual, immersive, interactive experiences.  But more and more it’s for machines. AI bots that need information-dense and highly-structured on-page text delivered as lightweight HTML, not navigational cruft and JavaScript bloat.  AXP makes it possible to serve both at the same time without changing a thing.  Same URLs. Different experiences. Delivered to whoever shows up.  Scrunch is the AI Customer Experience Platform. That means serving both the customers on the other end of the prompt and the LLMs delivering the answer.  Take a look around. Whether you've got eyes or endpoints, we built our new site for you.  scrunch.com</t>
  </si>
  <si>
    <t>Your buyers are asking AI before they ever visit your website.  Right now, you can't see where your brand shows up in ChatGPT, Perplexity, or Gemini. So competitors become the default answer.  Scrunch makes your AI visibility measurable. See where you appear across LLMs, which prompts you're winning or losing, and what AI actually cites so you know what to fix first.  → Join a 20-min AI Lunch &amp; Learn + $100 DoorDash included.</t>
  </si>
  <si>
    <t>%FIRSTNAME%, your customers are asking AI. Does your brand show up?  Scrunch shows you exactly where you appear across every LLM, which prompts you're winning or losing, and what to fix next.  Start a free AI audit + book a 20-min review. $100 DoorDash gift card included.</t>
  </si>
  <si>
    <t>AI is becoming your biggest discovery channel.  The brands winning right now are showing up in LLM answers for high-intent prompts before buyers ever visit their website.  Runpod drove 4x new customer acquisition through ChatGPT using Scrunch.  Scrunch shows you where you appear across LLMs, which prompts you're winning or losing, and what AI actually cites.  → Join a 20-min AI Lunch &amp; Learn + $100 DoorDash included.</t>
  </si>
  <si>
    <t>Brand presence, citations, referral traffic, agent activity. These are the four metrics that define how your brand performs in AI search. Most marketing teams are tracking one. This free guide breaks down all four, explains what drives them, and shows you how to measure a channel that doesn't sit still.</t>
  </si>
  <si>
    <t>60% of all web searches are now AI-powered.  Your buyers are already asking ChatGPT, Perplexity, and Claude about your category.  Whether your brand shows up in those answers is the new battleground.</t>
  </si>
  <si>
    <t>Strapi lifted AI citations 226%. Runpod drove 4x new customer acquisition via ChatGPT.  They both had the same question first: Is your brand in the answer?  Scrunch shows you exactly where you appear in LLM answers, which prompts you're winning or losing, and what AI actually cites, so you can take action.  → Join a 20-min AI Lunch &amp; Learn + $100 DoorDash included.</t>
  </si>
  <si>
    <t>“I was just in ChatGPT… and %COMPANYNAME% didn’t show up. Do you know why?” If that question from your CEO haunts you… you're not alone. Scrunch shows you: • Where you appear (or don’t) in AI answers • Why competitors are winning • What to change to fix it That way, when the ask inevitably comes up, you'll be prepared. Happy to run a quick audit for %COMPANYNAME% and walk through it in 20 mins. I’ll throw in a $100 DoorDash card either way.</t>
  </si>
  <si>
    <t>%FIRSTNAME% -- if your CEO asked ChatGPT about your category, would %COMPANYNAME% show up? That question is coming for a lot of SEO teams right now. Scrunch makes sure you have the answer. I can run a free audit for %COMPANYNAME% and walk through it in 20 minutes. $100 DoorDash card in it for you either way. Interested?</t>
  </si>
  <si>
    <t>Your competitors are building AI search visibility right now.  The brands moving first are defining the answers your customers see.  Don't let them write that story without you.</t>
  </si>
  <si>
    <t>Your board already typed your brand name into ChatGPT.  Did they like what came back?  AI search is now the first impression your brand makes. Own it before your competitors do.</t>
  </si>
  <si>
    <t>Hi %FIRSTNAME%, Took a quick look at %COMPANYNAME% and was curious do you have a strategy for AI search yet? We’re seeing more teams drive meaningful inbound from ChatGPT, Claude, and Perplexity, but only if they can measure and improve their visibility. Scrunch helps teams do exactly that. Happy to share what we’re seeing for companies in your space. P.S. We’ll send $100 DoorDash after we connect as a thank-you.</t>
  </si>
  <si>
    <t>Hi %FIRSTNAME%, Are you starting to get questions from leadership around how %COMPANYNAME% shows up in AI search? Most teams don’t have a clear answer yet. Scrunch gives you a measurable view of your AI presence; including gaps, competitor coverage, and what’s driving visibility. Happy to run a quick audit and walk through it together. P.S. We’ll send a $100 DoorDash after we meet as a thank-you.</t>
  </si>
  <si>
    <t>You track keywords. You track rankings.  But are you tracking AI answers?  AI is the new customer discovery channel.  Scrunch shows you exactly:  • Where you show up (and where you don’t)  • Which prompts you’re winning or losing  • What AI actually cites  Because if AI doesn’t mention you… you don’t exist.  Start an AI audit for your brand--we'll even send a $100 DoorDash gift card if you jump on a 20-min review of results.</t>
  </si>
  <si>
    <t>“I asked ChatGPT about %COMPANYNAME%… you didn’t show up. Why?” If your CEO asked you that, what would you say? Scrunch helps you see exactly: • Where you’re missing • Why it’s happening • How to fix it I can run a quick audit for %COMPANYNAME% and walk you through it in 20 mins. $100 DoorDash card included.</t>
  </si>
  <si>
    <t>Most marketing teams are tracking one AI search metric. And that’s usually referral traffic from GA4, which is just the tip of the iceberg. There are four that actually matter. Get the free Scrunch guide to find out what they are and how to measure them.</t>
  </si>
  <si>
    <t>60% of web searches are now AI-powered. When your customers ask ChatGPT about your category, are you the answer they get? Download Scrunch's free AEO guide and learn what to measure, what works, and how to start building visibility before your competitors do.</t>
  </si>
  <si>
    <t>“I asked ChatGPT about %COMPANYNAME%… you weren’t there. Why?” If that comes from your CEO, it’s a problem. Scrunch shows you what’s going on (and how to fix it). Happy to run a quick audit for %COMPANYNAME% and share results in 20 mins. I’ll send a $100 DoorDash either way.</t>
  </si>
  <si>
    <t>%FIRSTNAME%, could you answer this if your CEO asked it today? 'We didn't show up in ChatGPT. Why?' Most teams are still looking at referral traffic from LLMs to answer the question, but that's just the tip of the iceberg. Scrunch fixes that. It shows you exactly where %COMPANYNAME% is showing up in AI answers, where you're being cited, and how you stack up against the competition. I can walk you through it in 20 minutes, and I'll throw in a $100 DoorDash card and call it a 'lunch &amp; learn.' Wdyt?</t>
  </si>
  <si>
    <t>%FIRSTNAME%, you track rankings. You track traffic.  But is your brand showing up in AI answers?  Scrunch shows you exactly:  • Where you show up</t>
  </si>
  <si>
    <t>%FIRSTNAME%, when your CEO searches %COMPANYNAME% in ChatGPT, what do they find? Most teams don't have a great answer. Scrunch shows you: • Where you appear (or don’t) in AI answers • Why competitors are winning • What to change to fix it Takes 20 minutes to walk through together. I'll run the audit free and throw in a $100 DoorDash card. Worth 20 minutes?</t>
  </si>
  <si>
    <t>🆕 Feature drop: Content Gaps  tl;dr: Scrunch now tells you where and why you’re not showing up in AI answers.   How it works:  ✦ Scrunch crawls your site and cross-references it with the prompts and citations your brand is (or isn’t) showing up for, but should.  ✦ From there, we auto-diagnose and surface content gaps (hence the name Content Gaps) and where to prioritize.  Simple as that.  Content Gaps is now live for everyone using Scrunch  (7-day free trial if you’re not already)  Go deeper 👉 https://lnkd.in/g7VSQQ7i  🎬 See it in action 👇</t>
  </si>
  <si>
    <t>🚢 BIG ship from Scrunch today: 🗺️ Site Maps—shows how AI reads your entire site, where it struggles, and how to fix it—all in one fell swoop.  Why we built it?  We found many teams go about AI site optimization in a not-so-optimized way—e.g., spot any random content gap or technical issue and address it (or not).  No focus. No prioritization. No actual strategy.  Site Maps solves the prioritization problem. → Get a global view of how AI consumer your site. → Spotlight sections/pages that will yield the highest impact. → Drill into each page to update (and deploy) a fix—no code req.  In short, Site Maps connects the dots on: ✦ How AI bots are consuming your site ✦ How your brand is showing up in AI search results ✦ How to optimize your site so AI will reference and recommend it  Site Maps is now available to all Scrunch customers.  If you’re not one yet, you can start a free 7-day trial to see your site the way AI does via Site Maps (and stop guessing where to focus 😉).</t>
  </si>
  <si>
    <t>You track keywords. You track rankings.  But are you tracking AI answers?  AI is the new customer discovery channel.  Scrunch shows you exactly: • Where you show up</t>
  </si>
  <si>
    <t>Are you tracking how %COMPANYNAME% shows up in AI search results?  Happy to run %COMPANYNAME% through Scrunch and send over an AI search performance audit.  Lmk and I'll send it.  P.S. No pressure but if you want to go over the results over a call (a lunch-and-learn if you will) I'll send over a $100 DoorDash card.</t>
  </si>
  <si>
    <t>Your buyers are asking AI before they ever visit your website.  The question is: Are you part of the answer?  AI is becoming your biggest discovery channel.  Scrunch shows you exactly:  • Where you show up (and where you don’t)  • Which prompts you’re winning or losing  • What AI actually cites  If AI doesn’t mention you… you don’t exist.  → Join a 20-min AI Lunch &amp; Learn</t>
  </si>
  <si>
    <t>%FIRSTNAME%, users are getting answers from AI, not websites. That changes how marketing performance works. Scrunch shows: ✅ What AI bots pull from your site ✅ Where you’re missing in prompt results ✅ How to deploy AI-optimized pages without hurting UX Happy to run %COMPANYNAME% through our AI audit and walk through the findings. If you’re open to a 20-min review + feedback, I’ll send over a DoorDash credit as a thank you. Worth exploring?</t>
  </si>
  <si>
    <t>Hi %FIRSTNAME%, Most teams still treat ChatGPT answers about their brand as a black box and something they can’t really see or control. Scrunch gives you visibility into how your brand actually shows up across AI, where you’re missing coverage, and what to fix. If you're up for it, I'm happy to load %COMPANYNAME% into Scrunch to run an AI presence audit and share results over a call. P.S. We’ll send a $100 DoorDash after we meet as a thank-you.</t>
  </si>
  <si>
    <t>You’re probably already seeing AI answers about your brand but only as anecdotes.  If you're open to it, I can run an AI search audit for %COMPANYNAME% to give you a clear map of your AI presence.  It'll show where you appear in AI answers, trends over time, where competitors outperform you.  Happy to load %COMPANYNAME% into Scrunch share results over a call.  P.S. We’ll send a $100 DoorDash after we meet as a thank-you.</t>
  </si>
  <si>
    <t>Hi %FIRSTNAME%, How much visibility do you actually have into how AI presents %COMPANYNAME% today? Scrunch gives teams a clear, inspectable view of their AI search presence across prompts, platforms, and competitors. Happy to run a quick audit and share what we’re seeing. P.S. We’ll send a $100 DoorDash after we meet as a thank-you.</t>
  </si>
  <si>
    <t>%FIRSTNAME% — With users getting answers from AI (not your site), it begs the question: Who (or what) is your website for? Answer: AI bots. More specifically, AI retrieval bots visiting on behalf of users with some level of intent for your product. With this shift, you need: ✅ Analytics to understand how AI is consuming your site ✅ Diagnostics to see where AI is struggling and what to fix ✅ Delivery mechanism to serve AI-optimized pages to bots ^ is what we've built at Scrunch. If you're open to it, we can run %COMPANYNAME% through an AI audit and review areas of risk/opportunity over a quick call.</t>
  </si>
  <si>
    <t>%FIRSTNAME%, AI search visibility is quickly becoming a board-level question. How is %COMPANYNAME% showing up in ChatGPT, Gemini, Perplexity? Scrunch shows: ✅ How you stack up vs competitors ✅ Prompt volume + brand presence ✅ What AI retrieves, skips, or misinterprets ✅ Quick wins to grow share of voice I can run a custom AI visibility audit for %COMPANYNAME% and review it live. If helpful, I’ll send a $100 DoorDash credit for a quick lunch &amp; learn. Open to it?</t>
  </si>
  <si>
    <t>%FIRSTNAME%, you’re probably seeing more AI retrieval bots in your logs. They’re not noise anymore... they’re shaping discovery before clicks happen. Scrunch shows: ✅ How often your pages are retrieved ✅ Where bots misinterpret content ✅ What to deploy at the edge to improve AI parsing Open to a 20-min AI audit review for %COMPANYNAME%? Happy to send a DoorDash credit as a thank you for your feedback. Up for it?</t>
  </si>
  <si>
    <t>Nobody wants to cold email 47 publishers to negotiate a brand mention. Great news: You don’t have to.  I’m excited to announce that Scrunch and Noble are officially partners. It's been awesome working with Rahul Jain and Joshua Budman  Scrunch shows you which sources LLMs cite for the prompts you care about, tracks competitor mentions, and calculates which sources are most influential.  Noble helps answer the question of, “What next?” Their software automates the process of getting brand mentions from end to end—outreach, negotiation, content drafting, payment.  No manual outreach grind, just placements delivered at scale.  Then you can watch your visibility lift in Scrunch 🙂  We're building an ecosystem of Scrunch-approved technologies to help our customers win AI search. Noble is the first of many partnership announcements coming your way. Whether you're a brand or an agency, we want to help you move faster. Learn more in the comments 👇</t>
  </si>
  <si>
    <t>%FIRSTNAME% — I’d be willing to wager you’re seeing more AI crawler activity in your logs. And you already know these aren’t junk bots you can ingnore. The retrieval ones are pulling content on behalf of users with real intent behind the prompt. Not sure if you have visibility into AI bots retrieve, skip, or misinterpret on your site, but that's they layer we built at Scrunch: ✅ What’s being retrieved vs. ignored? ✅ Where does structure break for LLM parsing? ✅ Which pages influence prompt responses? ✅ How do you deploy AI-optimized pages (and at the edge so the human experience is not degraded)? Scrunch gives you page-level AI diagnostics + optimization workflows. If you're open to it, would love to run %COMPANYNAME% through it and show you the results.</t>
  </si>
  <si>
    <t>Chapter 3 of our AI search guide just dropped 👇  We cover:  ✦ Technical optimization vs. content optimization (and why you need both) ✦ How to prioritize fixes when you can't do everything at once ✦ The 3 technical changes that deliver the biggest impact ✦ Citation types decoded: 3rd-party, competitor &amp; brand ✦ Why chasing citation volume alone is a trap ✦ How to scale citations and brand mentions ✦ Updating content vs. creating new content  No gatekeeping, no email required.  Just grab it 👉 https://lnkd.in/gPTKaqNX</t>
  </si>
  <si>
    <t>%FIRSTNAME%, you’re probably seeing more AI bot traffic in your logs. Those aren’t junk crawlers anymore... they’re shaping discovery before users ever click. Scrunch helps you understand: ✅ Which pages AI retrieves vs skips ✅ Where LLM parsing breaks ✅ How to deploy AI-optimized pages at the edge Want to review a quick AI audit for %COMPANYNAME%? If you’re open to a 20-min walkthrough + feedback, I’ll send over a DoorDash credit as a thank you. Worth exploring?</t>
  </si>
  <si>
    <t>%FIRSTNAME% — Wild guess that you're tasked with owning the AI search presence of %COMPANYNAME%.  Just to get right to it: Scrunch gives you visibility into performance metrics and surfaces up low hanging fruit to grow your presence on LLMs.  I know this space is crowded so a few differentiators:  ✅ Full site map to show how AI consumes your website and prioritize pages that will yield outsized results.  ✅ Agent traffic to show you what AI bots are visiting your site, what they consume, where to optimize.  ✅ Content delivery which will serve up AI-firendly pages to bots at the edge (we've seen this work much better than LLM.txt).  Even if you have something in place, with the space moving so fast, thinking it would be helpful to share how we compare. I can even run a site audit for %COMPANYNAME% for us to review on the call.</t>
  </si>
  <si>
    <t>%FIRSTNAME%, guessing you’re now responsible for how %COMPANYNAME% shows up in AI search. Scrunch gives SEO teams visibility into: ✅ What AI retrieves vs skips ✅ Where structure breaks for LLM parsing ✅ Which pages influence prompt responses ✅ Quick technical fixes to improve AI visibility Happy to run a page-level AI audit for %COMPANYNAME% and walk through it together. If useful, I’ll send over a $100 DoorDash credit for a quick lunch session. Worth a look?</t>
  </si>
  <si>
    <t>%FIRSTNAME% — I'm sure your board and CEO is asking how %COMPANYNAME% is showing up in AI search results.  If not, it's only a matter of time.  Just getting right to the point: Scrunch gives you the visibility you need plus the insights for your team to take action and grow your AI search share of voice.  ✅ How your stacking up against competitors and trending over time.  ✅ Estimated prompt volumes for topics that matter and your brand presence within them.  ✅ Low hanging fruit like greenfield content opps, authoritative citation sources, technical fixes.  ✅ Agent traffic to show you what AI bots are visiting your site, what they consume, where to optimize.  We're among the top backed companies in the space ($26M) and have hundreds of large-scale customers (Lenovo, Dell, Intuit).  If you're up for it, I can run %COMPANYNAME% through Scrunch and we can review the results over a call.</t>
  </si>
  <si>
    <t>Chapter 3️⃣ of our AI search (aka AEO/GEO) guide is out! -- Ungated with no need to comment to access :)  This chapter is all about extracting insights from AI search data.   Here’s what’s inside👇  1/ Technical insight vs. content insight ⤷ How to tell if AI can’t access your site or just doesn’t use it.  2/ Technical prioritization ⤷ Know what to fix first and what to ignore.  3/ How to go about technical fixes ⤷ Three fixes that matter most: access, delivery, and format.  4/ To update existing content or create net new? ⤷ Know when to refresh existing pages and when to go net new.  5/ 3rd-party vs. competitor vs. brand citations ⤷ When to earn mentions. When to compete. And when to defend.  6/ Balancing volume vs. intent ⤷ Why high-intent prompts beat high-volume ones.  7/ How to scale your AI citation strategy ⤷ Move from manual wins to repeatable citation growth.  8/ How to make content updates ⤷ How to update and create content that LLMs actually reuse.  The full, ungated 🔓 chapter is up now on the Scrunch website → https://lnkd.in/gbAkiGPp</t>
  </si>
  <si>
    <t>%FIRSTNAME%, AI search is quickly becoming a new acquisition channel. The question is: how visible is %COMPANYNAME% when buyers ask LLMs about your category? Scrunch shows: ✅ Where you appear (or don’t) in prompt results ✅ What AI retrieves from your site ✅ Low-effort fixes to grow share of voice I can run a custom AI visibility audit for %COMPANYNAME% and review it with you. Happy to send a $100 DoorDash credit for a quick lunch &amp; learn if it’s helpful. Open to it?</t>
  </si>
  <si>
    <t>We ran an experiment that grew product signups 📈 135% by (counterintuitively) adding more friction to our signup flow. Deets👇  HYPOTHESIS  IF we provide a glimpse of the product experience (and value) before asking for a signup, THEN user expectations and intrigue grow, resulting in a higher conversion rate.  ––––––  SETUP  Instead of dropping users directly into a signup flow after clicking a CTA, we’d create a more delightful onboarding experience that:  1/ Reduces risk by using a micro-conversion (just asking for a domain) and  2/ Amps up intrigue by surfacing AI search findings and showing a product preview  ––––––  UX — CONTROL VS. VARIANT  Control (2-step signup process)  Step 1: Click CTA on homepage Step 2: Go straight to signup or demo form  VS.  Variant (3-step signup process)  Step 1: Submit a domain via a single-field form on the homepage  Step 2: Behind the scenes, we use our product to: -- 🔍 Detect brand mentions across our AI Search Trends dataset -- 🔗 Show brand citations across 5 AI search platforms -- 🥞 Stack rank the brand vs. 5 competitors  Step 3: Show above results with CTA to signup or get a demo  ––––––  Results = 📈 135% uplift in product signups!  ======  Wanna see it in action? Check the demo or give it a whirl yourself at: scrunch [dot] com</t>
  </si>
  <si>
    <t>%FIRSTNAME% — I'm sure you're thinking of AI search as a new channel to grow %COMPANYNAME%.  Just to get right to it: Scrunch gives you visibility into performance metrics and surfaces up low hanging fruit to grow your presence on LLMs.  I know this space is crowded, so a few differentiators:  ✅ Full site map to show how AI consumes your website and prioritize pages that will yield outsized results.  ✅ Agent traffic to show you what AI bots are visiting your site, what they consume, and where to optimize.  ✅ Content delivery, which will serve up AI-friendly pages to bots at the edge (we've seen this work much better than LLM.txt).  Scrunch is a leader in the category with $26M backing. We have hundreds of large-scale customers (Lenovo, Dell, Intuit).  If you're up for it, I can run %COMPANYNAME% through Scrunch, and we can review the results over a call.</t>
  </si>
  <si>
    <t>Paid for by Scrunch AI</t>
  </si>
  <si>
    <t>Get the latest jobs and industry news</t>
  </si>
  <si>
    <t>%FIRSTNAME% — I'll take a wild guess that you're seeing more and more AI bot traffic to the %COMPANYNAME% website. While we dismissed bot traffic in the past, it's now a VIP visitor as these bots (specificlaly the retrieval ones) are doing the discovery, research, recommendations on behalf of the user behind the prompt. This shift means a new performance layer to manage: ✅ How often AI retrieves your pages ✅ Where bots get stuck or skip you ✅ Whether your content is usable by LLMs ✅ How to deliver AI-optimized versions without hurting human UX That’s exactly what we built at Scrunch. If helpful, I can run %COMPANYNAME% through a quick AI audit and show you where you’re gaining (or losing) ground. We can cover results together.</t>
  </si>
  <si>
    <t>Last weekend I went looking for office furniture. Wholesale house plants. A gift for a 5-year-old. Dishwasher repair services.  I didn’t visit a website once. AI did on my behalf.  60%+ of Google searches now end without a click. Which raises an uncomfortable question for brands:  What is your website for?  We spent years optimizing our websites for human-based browser experiences and Googlebot.  Now our most important site visitor isn't a human at all. It's an LLM deciding whether we deserve to exist in a response. That doesn’t mean your website should go away. Content is more important than ever.  But only if AI can actually access it, retrieve it, and recommend it. Monitoring and analytics are foundational. Every company needs to know how they’re showing up. Where the gaps are. What to do next.  But visibility isn’t enough. You have to treat AI as what it is: your audience.  The beating heart of marketing isn’t changing. We still need to understand our buyers. We still need to map content and personalize experiences to them.  What’s changed is the customer journey itself. And that journey starts with an AI agent landing on your site - not a human.  That's what we’re solving for at Scrunch.  Not just visibility into the AI customer journey, but the ability to truly optimize for it.</t>
  </si>
  <si>
    <t>Announcing AI Search Trends for all Scrunch customers.   To quote my co-founder Robert MacCloy on panel data: “It’s like plutonium, powerful, but you wouldn’t want it in your house.” Here’s why we just brought it into our house 🙂  We keep hearing the same 2 questions from customers:  “What topics are people actually asking AI about most often?”  and  “Does my brand show up in the answers?”  Fair questions, but the only ones with complete visibility into AI search volume are the OpenAIs, Anthropics, Perplexities, and Googles of the world. And there’s a very small chance that they’ll open up access to that data anytime soon.  That’s where we turn to panel data - the industry term for datasets built on information collected from a pool of consumers taking actions on the web (e.g., prompting LLMs) over a set period.  If you’re familiar with search volume estimates in SEO, then you’re familiar with panel data.  We used it to create AI Search Trends in Scrunch, which lets you:  ✦ See estimated conversation volume for topics that actually matter to your business.  ✦ Track AI search trends over time (with customizable timeframes and easy-to-grok visualizations).  ✦ Monitor how often your brand appears in AI responses.  ✦ Drill down into actual prompts and responses.  ===  But back to Robert MacCloy's take on panel data. He’s not wrong. This dataset should be handled and presented with caution. And it should come with a warning label: take as guidance; not gospel.  With this in mind, we’ve put in the work to deliver the clearest view yet of what people are asking LLMs and how your brand shows up by:  ✅Only partnering with high-quality, privacy-compliant, third-party providers that can provide true consumer-to-AI interactions.  ✅Only using panels where we have high confidence in the integrity and typicality of the population captured in the panel.  ✅Only using panels where we have high confidence in the completeness of the data (i.e., full context for how panelists are using different AI platforms).  ✅And only drawing conclusions from panels when we have enough data that we’re confident activities we’re seeing are generalizable to the whole population.  There’s a ton of statistical methodology happening behind the scenes (link in comments if you're into that).  At the same time, we want to be upfront about what these numbers are.  Educated estimates, based on real customer behavior. Useful proxies. Directional indicators. Not unimpeachable sources of truth.  There’s a reason we stopped our analysis at the topic level to start. There’s simply not enough trustable data to make sure anything deeper than that is remotely accurate.  And we’d rather you trust us than oversell you.  Demo video below 👇 Come watch us responsibly handle our plutonium.  Congrats Sage Stahmer and team on the fantastic launch.</t>
  </si>
  <si>
    <t>Paid for by scrunchee</t>
  </si>
  <si>
    <t>Scrunchee enables AI you can trust to work in your environments. A first-in-class Code Intelligence Platform that catches what other tools miss.  Visit https://scrunchee.ai/ to learn more.  #AI #CodeIntelligence #DevTools #SoftwareEngineering</t>
  </si>
  <si>
    <t>#AI #CodeIntelligence #DevTools #SoftwareEngineering</t>
  </si>
  <si>
    <t>✌️Questions everyone’s asking: What are my customers prompting? Is my brand showing up?  We vibe-coded 🤙 a little app that answers both.  Meet: Prompt Generator → https://lnkd.in/gqFDsuuQ  Drop in your domain, and it’ll generate prompts you should be paying attention to AND show if your brand’s showing up in ChatGPT.  HOW IT WORKS:  1️⃣ Authenticate with Search Console OR just drop in a URL  2️⃣ Choose what stages of the funnel to generate prompts for  3️⃣ Run any prompt through ChatGPT and see if your brand shows in results or citations  That’s it. Simple. Helpful. Powerful.  P.S. If you want to keep track of these prompts over time, keep tabs across more AI models, and grow share of voice, you can do it all in Scrunch (and for free at that with our 7-day trial).</t>
  </si>
  <si>
    <t>SEO has its keyword research frameworks. AI search (aka AEO)? Not so much. So, I created one. Here’s my: Prompt tracking framework for AI search 👇  Like any good framework, the goal with this one is to have a system for prompt tracking that’s repeatable, durable, scalable, and easy to grok.  That way, any time you need to track a new prompt (or a whole batch for a campaign), it just slots right in.  Here’s how it’s structured:  =======  PROMPT CLUSTERS  These are your high-level containers. I like to think of them like keyword groups in SEO.  They’re a grouping of prompts with a common theme across the dimensions below.  Examples of prompt clusters: Competitors &amp; Alternatives, Use Cases, Outcomes &amp; ROI.  (These could also be campaign-based, product-based, or any other grouping that makes sense to you.)  –––––––  FUNNEL STAGES  Within each prompt cluster, prompts are mapped to funnel stages. I use the following four stages:  → Awareness: pain, problems, friction → Advice: guidance, frameworks, how to think about X → Evaluation: exploring solutions, features, capabilities → Comparison: choosing between options  This gives me a simple method to fill out prompts to track by the highest point in the funnel, and then map follow-up prompts to corresponding stages of the funnel.  –––––––  PERSONAS  Some prompts are particular to a persona within your ICP. When that’s the case, I append a persona (e.g., c-level, ops, engineering) to the prompt. More on this later, but this will allow us to inform our AI search strategy by isolating prompts to a specific persona.  –––––––  TAGS  I use tags to append custom metadata to prompts. This is especially helpful for time-bound prompts (think a brand campaign), bespoke designations (think an integration or partner), and as connective tissue across topic clusters (think “pricing” as a tag).  –––––––  Bonus: REGION  Operating at a Global scale? I’d apply this same framework to each region of focus. Regions will have their nuances—e.g., how a prompt is asked or the tags for regulations (think GDPR)—but, for the most part, should fit nicely into the framework.  =======  With your prompts mapped to the dimensions above, you can then start to ask insightful questions to inform your AI search strategy, like:  -- “Find citations for high-intent prompts that include competitors.” -- “What was our brand reach on LLMs for X campaign?” -- “Show me our brand presence at the C-level.”  To grab a large version of the infographic: right-click, select “Open Image in New Tab”, and save it.    ===  P.S. Be sure to grab the Google sheet template (see comments) if you want to grab an action-able version.  And if you want to operationalize this framework, you can drop the template straight into Scrunch to start tracking, get insights, and take action to grow your AI search reach.   Start a free 7-day trial at: scrunch.com</t>
  </si>
  <si>
    <t>We recently released our AI Search buyer's guide.  That guide (in comments below) is 3k+ words, this video is just one minute long :)   AI search - aka GEO (Generative Engine), AEO (AI/Answer Engine Optimization) or one of a million other acronyms - is on everyone’s mind.  Here's a few things I'd want to keep top of mind as you evaluate a partner to navigate this shift to an AI first customer journey.</t>
  </si>
  <si>
    <t>I’ve read dozens of “ultimate” guides to AEO. Ironically, most are written for SEO—heavy on the why; light on the how.  They tell you: - Industry stats - How LLMs work - Why AEO matters - Surface-level strategy - SEO vs. AEO differences  Even when there is a “how to do AEO” section, it’s often just conceptual—i.e., the approach, not the hands-on execution.  But, as I was consuming what was out there, I couldn’t help but think, “I’m already bought in… where’s the part where I actually do the work?!”  If I’m feeling that, I’m sure others are too—they don’t need to be convinced, they need to know how to make it happen.  Since I couldn’t find the resource I was looking for, I decided to create it.  Built from dogfooding our product and guiding customers as they do the work in practice.  So, without further ado, I bring you: The no-fluff guide to AI search (aka AEO/GEO) 🧭  WHAT IS IT?  It’s intended to be your go-to, evergreen (dare I say canonical?) resource to not just understand the concepts of AI search but to actually execute them.  –––––––  WHO’S IT FOR?  Anyone doing the hands-on AI search work—prompt research, performance tracking, page optimization, content creation—it’ll all be in there.  And, for those looking for the exec-summary equipped with SEO vs AEO diffs and all, we’ve still got that too (see Chapter 1).  –––––––  WHAT’S INSIDE?  We’re launching with an intro and two chapters.  Chapter 1️⃣ is more contextual and conceptual (skim or skippable). Chapter 2️⃣ is the how-to of AI search monitoring.  Unlike most guides, it’s loaded with video tutorials, spreadsheets, infographics, free tools, with more in the works.  Coming Soon: Chapter 3 is on uncovering insights, and Chapter 4 is on taking action (workflows, automation, and scaling what works).  –––––––  DESIGN  Wanted to give a HT to Danny Gugger on design. I gave the direction that we wanted something a little more up-leveled than a blog post. He took it to 11.  –––––––  HOW TO GET IT  It’s not gated.  You can access it now on the Scrunch website (go to resource nav)  Link is in the comments (no need to comment to get it… just optimizing for distro 😉)  ======  DISCLAIMER I work for Scrunch. You don’t need Scrunch to follow along, but it helps. Exclusive offer: If you’re using the guide, I’ll even extend your free trial to 30 days so you can follow along without limits.  ======  P.S. Giving credit where it’s due: big s/o to Josh Grant and Ethan Smith. Their guides are amongst the best out there I came across.</t>
  </si>
  <si>
    <t>100K unique users, 7.6M search sessions, and 22M GenAI interactions later, it’s clear that the winning strategy for AI search is multi-channel 👇  There are 2 primary ways that AI is augmenting search:  1. Conversational agents: Think ChatGPT, Claude, Perplexity, Gemini, Grok, etc. 2. Generative overlays: Think Google AI Overviews.  Each option presents a path for consumers to discover, learn about, and ultimately select your brand.  The question is: Which path are people picking?  We took a subset of our data and  analyzed 100K unique users across 7.6M AI search sessions (including 11M prompts and 11M responses) related to 6 industry supercategories (finance, healthcare, ecommerce, automotive, education, and software) over 3 months.  Our analysis shows that AI Overviews were slightly favored among dual-mode AI users (i.e., people who used both modes of AI search in a specific category), which isn’t terribly surprising when you factor in that Google has a global daily user base of 2B+ users.  But there were notable divergences at the topic level.  In general, it appeared that topics more aligned with shopping and comparison tended to lean more heavily toward AI Overviews while topics more aligned with exploratory research, tools, and workflows tended to give more ground to conversational agents.  Our takeaway? You can’t assume that one channel will dominate the AI discovery path.  Whether the intent behind the search is “tell me more” or “show me my options,” it pays to optimize for all major AI search channels.  Our advice: 🕵️ Get visibility into how you’re showing up across all AI search channels. 🤖 Make sure LLMs can crawl and interpret your website. ✍️ Don’t sleep on SEO (core best practices influence AI retrieval agents, and AI Overviews are significantly based on performance in Google’s search index).  Because if you’re only visible in one channel, you’re losing market share in others.  See our full findings in the comments below ⬇️</t>
  </si>
  <si>
    <t>“Clicks from organic search are starting to take a nosedive and it's like, so what? That doesn't matter anymore. I care much more about my brand being mentioned.”  That’s Cameron Archer, Head of Growth at serverless real-time analytics platform Tinybird, seeing the writing on the wall.  Website traffic isn’t just disappearing, it’s going to a different channel. One where you can’t see if you’re showing up at all.  His solution? Scrunch.  One place to monitor AI search performance, extract insights, and build an actionable strategy to improve it.  Not just to see the “what,” but the “why” and the “what to do next.”  In Cameron’s case that meant: - Understanding Tinybird’s (and its competitors’) share of voice for high-intent prompts - Learning which domains and pieces of content were regularly being cited for them - Shaking up the company’s content strategy - both what it creates and where it’s distributed  It’s early days, but Tinybird is already seeing a sizable bump in brand mentions for can’t-lose AI searches (3x increase).  And that translates to new sessions from web visitors (370% increase over the past 3 months).  For a PLG company that wins when developers discover and learn about its product, visibility is everything.  In addition to all the obvious AI Search metrics on visibility, citation rate etc, we encourage companies to measure what's irrefutable:  - Frequency with which AI Agents are visiting your website - Referrals and conversion from AI Search platforms  We’re proud to partner with Cameron and the team at Tinybird.</t>
  </si>
  <si>
    <t>This is the 3-step playbook on how Victor C. at Strapi grew LLM citations by 226% in 3 months 👇   1️⃣ Benchmark the AI search landscape Identify where you show up across AI platforms and where competitors appear but you don’t.  2️⃣ Prioritize the prompts that matter Focus on the topics with real search volume, rising interest, and low brand presence.  3️⃣ Optimize your site for LLMs Fix access issues, metadata gaps, and formatting problems so AI systems can reliably cite your pages.  That’s the framework Victor followed.   And the results speak for themselves:  📈 +226% non-branded citations  📈 +31% brand presence across AI platforms  Get the complete playbook over on the Scrunch blog 👉 https://lnkd.in/gtGXDw_E</t>
  </si>
  <si>
    <t>“Clicks from organic search are starting to take a nosedive and it's like, so what? That doesn't matter anymore. I care much more about my brand being mentioned.”  That is Cameron Archer, Head of Growth at Tinybird, calling the shift clearly.  The challenge was not just visibility. It was operational. How do you see where Tinybird appears in AI answers, understand why, and turn that into work your team can ship this week?  Their solution: Scrunch.  One place to track AI search performance, diagnose what models cite, and translate insights into content and distribution moves. Not just the “what,” but the “why,” and the “what to do next.”  In practice that looked like: ⟡ Defining the high-intent prompt map ⟡ Knowing the key variants used by their actual buyers ⟡ Publishing content where models are already looking ⟡ Making on-site content easier for agents to consume ⟡ Tracking share of voice by model, persona, and region ⟡ Auditing cited domains and URLs to understand source influence  Results speak for themselves: 📈 Share of voice up about 3x  📈 LLM-referred web sessions up a whopping 370% (both in the last 3 months)  When teams can see the full path from prompt to citation to session, they can plan work that moves numbers. We are excited to partner with Cameron and the Tinybird team.  Full customer story and playbook 👉 https://lnkd.in/g9tNYbbH</t>
  </si>
  <si>
    <t>How does our brand show up in AI results vs the competition? If you’re not already getting this question from your CEO or board, it’s only a matter of time.  But what seems like a simple question to answer is not so easy…  ❌ Web analytics only show referral traffic from LLMs.  ❌ Prompting yourself is overly manual and just an n =1.  ❌ Some SEO tools give you surface-level benchmarks but not detailed insights into how to go about improving results—the next inevitable question from your boss(es).   This is one of the many use cases we’re tackling at Scrunch AI: take the guesswork out of how your brand shows up in AI results.  Not only that, we give you a detailed trail of why your brand shows up the way it does.  I recorded a short demo (my first of many with Scrunch) to show just how easy it is to track and act on your presence in AI platforms.  In it, I walk through how to: ✧ Benchmark AI brand presence vs the competition ✧ Drill into prompt topics and levels of intent ✧ Identify what LLMs are citing in results  Really just scratching the surface of what’s possible with this one (I needed an easy quick win) but check it out and lmk what you think.  And when you get that inevitable ask from your CEO/board, I’m here for ya 😉</t>
  </si>
  <si>
    <t>We’ve officially scrunched ScrunchAI… into Scrunch.com  From here on out, it’s just Scrunch - short, punchy, memorable.  Why “Scrunch”? Because that’s basically what large language models do: they take in a massive amount of information… and scrunch it down into a clear, useful answer.  And that’s what we help brands do - structure, optimize, and synthesize their information so AI can understand it, surface it, and drive outcomes. As AI works on behalf of humans, brands are moving to optimize for an AI-first customer journey.   Buying a 7-letter domain is a stroke of luck in 2025.    When I called the domain registrar to ask about the domain, they said, 'A 7-letter .com at that price is unheard of.”    Still, why not ask for a discount? With a further 30% price reduction www.scrunch.com was ours.</t>
  </si>
  <si>
    <t>We're excited to share that Scrunch AI has raised a $15M Series A, led by Decibel Partners with participation from Mayfield and Homebrew.    Scrunch AI was built on an ambitious vision: to build the first AI customer experience platform. The buyer journey has shifted - AI is now the front door. Your website doesn’t need to go away, but 90% of its human visitors will.   That’s why today, alongside the funding, we are announcing the Scrunch Agent Experience Platform (AXP). AXP is a new infrastructure layer that helps brands deliver compressed, structured content, purpose-built for AI agents and crawlers. Your human-facing website stays the same, while AXP serves a machine-readable version of your brand, optimized for how large language models parse, interpret, and surface content.  A personal thank you to the 500+ brands who joined us, we're thankful for the partnership.   https://lnkd.in/drgUxVEj</t>
  </si>
  <si>
    <t>Whether you think AI search (aka AEO/GEO) is just SEO rebranded or something entirely new, one thing is clear: the performance metrics have changed.  That’s because the user experience is much different. The biggest difference is that an AI bot, for the most part, does the heavy lifting on behalf of the person behind the prompt.  As a result, AI search performance metrics end up looking pretty different from SEO.  I broke down those core metrics below and visually (see infographic)👇  BRAND PRESENCE  Definition: Your brand or product is mentioned in the LLM result itself.  Unit: Share of voice (%) across relevant prompts.  Example: A user asks, “What are the best tools for [category]?” LLM generates a response with your product in its recommendation.  Key question: Do I show up in the answers that matter? Likelihood of being noticed: 🔥 High  Commentary: Mentions near the top or bottom of results tend to stand out most—especially when framed as a recommendation at the bottom.  –––  CITATIONS  Definition: The sites an LLM cites as input for its response.  Unit: Citation count or share across relevant prompts.  Example: User prompts “what are the best tools for [category]? LLM includes a citation (gray pill with link) where it got that answer.  Key question(s): Is my content being cited? What are the authoritative sources?  Likelihood of being noticed: 😐 Medium  Additional commentary: While citations generally get less noticed than a brand mention, it’s arguable they’re a more strategic metric as they influence the LLM response. In other words, to get your brand mentioned, you’re likely going to need to influence the citation by way of your content being cited or getting brand placement on a 3rd-party site.  –––  LLM REFERRAL TRAFFIC  Definition: Human website visits originating from an LLM.  Unit: Website visits.  Example: A user clicks a citation link from an LLM response.  Key question: How much human traffic is AI referring to my website?  Likelihood of being noticed: 🥶 Low  Additional commentary: While the chances of a human clicking a citation to visit your site are lower than your typical 10-blue links, studies show that this traffic is more likely to convert.  –––  AGENT TRAFFIC (bonus)  Definition: Visits from AI retrieval bots collecting data for responses.  Unit: Bot visits.  Example: An AI agent crawls five of your pages to generate an answer. Key question(s): How often is my site being considered in prompts? What models are crawling my site?  Likelihood of being noticed: N/A  Additional commentary: When AI agents are working on behalf of humans, traffic from AI bots becomes just as high-value as a human visit. In an AI-first world, bot traffic is similar to organic traffic in SEO.  ======  🔌 for Scrunch All these metrics—brand presence, citations, LLM referral traffic, and agent traffic—can be measured, improved, and acted on with Scrunch.  Try free for 7 days: scrunch.com/pricing  OR  See it in action first: scrunch.com/book</t>
  </si>
  <si>
    <t>When consumer behavior changes, business changes.  People aren’t browsing anymore - they’re asking AI.   That means websites and content must evolve for an AI-first customer experience. The brands that adapt fastest will define the next era.</t>
  </si>
  <si>
    <t>Mark your calendars: We’re hosting Scott Brinker of chiefmartec (the one behind the Marketing Technology Landscape Supergraphic) live in conversation for 👇    The Bot Stops Here: Marketing When AI Does the Research.  EVENT DETAILS: 📅 Wednesday, Nov 12 @10am PST / 1pm EST 🙋 Save your spot (or get the recording): https://luma.com/vkuele5j  Here’s what’s on tap for the session: ✅ Reveal: new research on the AI search landscape ✅ Differences from AI search and traditional search ✅ How to identify and optimize websites for AI traffic ✅ New metrics marketers need to track (and how to track them) ✅ What verifiably works to get AI to recommend your product</t>
  </si>
  <si>
    <t>Join us LIVE in conversation next week with Scott Brinker to learn the new art and science of AI search (aka AEO/GEO) and how it differs from classic SEO.  Here's what's on deck for the convo: ✦ results from the latest chiefmartec AI survey ✦ Which SEO tactics still work (and which don’t) ✦ How AI engines actually interact with your website ✦ How to measure visibility in AI search (mentions, citations, referrals)  If you’re rethinking your content strategy for the AI era, this one’s for you.   📅 Date &amp; time: Wednesday, Nov 12 at 1pm ET (Virtual) 🙋 Save your spot: https://luma.com/vkuele5j</t>
  </si>
  <si>
    <t>New Scrunch Website live today! One of the joys of building a company is getting to work with people you admire. Special thanks to Kevin White for championing this launch in &lt; 1 month since his start date!  Thank you to all our customers and partners for helping us build a fantastic product. The Scrunch platform continues to expand in every area.   Monitor -&gt; Optimize -&gt; Drive Outcomes.   The customer journey has permanently changed and at Scrunch we're building the Customer Experience Platform for the AI first buyer journey. It's time to scrunch the internet.</t>
  </si>
  <si>
    <t>Platforms like ChatGPT and Perplexity are redefining how customers discover brands.   Scrunch AI helps you monitor, analyze, and optimize your presence so AI gets your story right.  Book a call to learn how we can help you lead in the AI search era.</t>
  </si>
  <si>
    <t>Your customers aren’t browsing — they’re asking ChatGPT, Perplexity, and Google AI.   Scrunch AI gives your brand visibility and control in AI search.   Book a meeting to see how we optimize your presence in AI platforms and keep your truth front and center.</t>
  </si>
  <si>
    <t>Runpod partnered with Scrunch AI and turned ChatGPT into one of its top-performing growth channels, growing new customer acquisition 4x in 90 days!  'ChatGPT is now one of our top-performing growth channels. Scrunch helped us unlock visibility, refine our content, and turn AI search into a core part of our acquisition strategy.” Emmett Fear (傅成義)Growth Lead, Runpod  Runpod’s audience is deeply technical: DevOps engineers, indie AI builders, researchers, and platform teams looking for alternatives to AWS and CoreWeave. These buyers live in AI. When Emmett saw AI search stalling at 300–400 customers/month, he turned to Scrunch AI to:  Track 6x more prompts across ChatGPT Fix content issues blocking LLM visibility Export Scrunch data and insights to optimize their content strategy   The result?  ~40 new customers/day. 8% conversion. ChatGPT is now a cornerstone of their acquisition engine.  AI search isn’t coming - it’s here. And it converts. Visibility drives velocity.</t>
  </si>
  <si>
    <t>AI is rapidly changing how consumers discover and shop for products. Platforms like ChatGPT, Gemini, and Google’s AI Overviews are no longer fringe tools. They are becoming central to the digital shopping journey.  Scrunch AI's latest update gives marketers visibility into how these AI systems surface products and brands. For us at DeltaV Digital, this is a meaningful shift.  It’s no longer just about optimizing for traditional search. Now we can see where our clients appear in AI-driven shopping results and identify clear opportunities to influence those moments. This leads to smarter planning, sharper competitive insights, and more proactive AI-era brand strategies.  This shift is already underway. The marketers who adapt early will lead.  Full announcement from Scrunch: https://lnkd.in/gQZYBAs4</t>
  </si>
  <si>
    <t>We’re thrilled to be featured in The Wall Street Journal as part of Katherine Blunt's story on the rise of AI optimization startups reshaping how brands stay visible in a world beyond traditional search.  The article features Scrunch AI customer Clerk.com a developer-first identity platform, who have seen a 6x increase in traffic and a 9x increase in sign-ups for its platform coming from AI Search. Check out the article below to hear more from Clerk.com's Alex Rapp. AI-powered discovery is here and at Scrunch AI, we’re proud to help 100s of businesses navigate this shift and thrive in AI-driven search.</t>
  </si>
  <si>
    <t>AI browsers are booming and publishers are pushing back. But here’s the real question: Do people want to browse the web any more?  In our latest blog, Scrunch AI CTO &amp; Co-founder Robert MacCloy argues the real disruption isn’t big tech, it’s changing consumer behavior.  👉 Read: The crawl is coming from inside the house (linked in comments). #ScrunchAI</t>
  </si>
  <si>
    <t>#ScrunchAI</t>
  </si>
  <si>
    <t>Big thank you to Lucinda Shen and Axios for diving into our Series A funding announcement, as well as our latest product, the Scrunch Agent Experience Platform (AXP). The early reception of this product has been huge. To get on the waitlist, sign up here: https://lnkd.in/gu8nx5WQ</t>
  </si>
  <si>
    <t>July monthly reports with Scrunch AI = client 'wow' moments.   This was the first month we rolled out *detailed* LLM presence reporting. We’ve been tracking for a while:   → How much traffic comes from LLMs  → From which LLMs exactly  → Organic search vs LLM search ratio  But this month, with Scrunch, we took it way further.  What we did:  → Trained Scrunch on each client’s ICP &amp; pain points → Built primary personas - roles, goals, objections → Created a prompt library tailored for each client  The result? Custom dashboards tracking 50+ prompts per client across 4 LLMs, with insights on exactly how those LLMs present their brand.   Every single client had the same reaction: 'Wow. We need more of this.'  And here’s the truth:   Tracking your LLM presence is now as important (if not more important) than tracking organic search. People who find you through LLMs:  → They're further down the funnel. → They’re not browsing.  → They’re buying.  And if you’re there when they ask?   You win.</t>
  </si>
  <si>
    <t>AI search isn’t just reshaping how people find information. It’s redefining what it means to measure performance.  Scrunch AI just rolled out some major updates that make it easier for brands to track, analyze, and act on their AI visibility. As a partner, I’ve seen firsthand how fast this space is moving and how critical it is to have real data, not guesswork.  Highlights from this month’s release:  - New AI Model Support: Claude 3.5 and Gemini 1.5 Pro are now fully integrated - Improved Sentiment Tracking: More granular tone analysis and source breakdowns - Competitive Visibility Scoring: See how your brand stacks up across categories and platforms - Answer Depth Ratings: Understand not just if you’re mentioned, but how central you are to the AI-generated answer  This is the kind of insight marketers and comms teams need right now. Not impressions. Not traffic. Context. Relevance. Presence in the answers people are actually getting from tools like ChatGPT, Perplexity, and Gemini.  Scrunch AI is doing the hard work of making that visibility measurable and actionable.  If your brand is already showing up in AI, are you tracking how and where? If it’s not, are you building a strategy to get there?  Full update: https://lnkd.in/gfhxSXWV</t>
  </si>
  <si>
    <t>Paid for by OtterlyAI GmbH</t>
  </si>
  <si>
    <t>The #1 AI Search Analytics Tool 🦦 OtterlyAI tracks brand mentions and website citations across ChatGPT, Perplexity,  AI Overviews, AI Mode, Gemini, and Copilot. It's otterly simple.</t>
  </si>
  <si>
    <t>AI Monitoring, GEO Optimization &amp; Search Presence</t>
  </si>
  <si>
    <t>Ran from Sep 2, 2026 to Sep 9, 2026</t>
  </si>
  <si>
    <t>AI SLOP Experiment: What happens if you publish 2,000 articles created by AI? 🤯  We created 2 new websites.  Published 1,000 articles each - with AI. With 1 click.  Here's what happened:  1️⃣ Google killed the first website 2 weeks later. 2️⃣ The second website died 3 months later.  But AI Search?  Citations on Copilot and Claude are still increasing - even after Google de-indexed both pages.  👉 Read the full experiment here: https://lnkd.in/dZqmhCRa</t>
  </si>
  <si>
    <t>Ran from Aug 5, 2026 to Sep 1, 2026</t>
  </si>
  <si>
    <t>The Biggest Launch of OtterlyAI 🤯 to answer this: What's the #1 AI agent on your website?  I’m super excited to introduce 𝗔𝗴𝗲𝗻𝘁 𝗔𝗻𝗮𝗹𝘆𝘁𝗶𝗰𝘀 𝗯𝘆 𝗢𝘁𝘁𝗲𝗿𝗹𝘆𝗔𝗜.  40,000+ marketers on OtterlyAI.  And many told us:  We don't know what the AI agents, bots, and crawlers are doing on our website.  So today, we are changing that.  Full visibility into Agents behavior. 🤖  -&gt; Which AI Agents are coming my website? -&gt; What are they doing on my website? -&gt; Which content / URLs are crawled more or less often?  To set it up, use:  • our Cloudflare worker  • a WordPress plugin  • our Netlify Edge Function  • webhook for any custom stack  • or simple upload your log file  Start tracking Agents on your website. I highly recommend it. Full details here: https://lnkd.in/esRhBkNi  PS: Watching the eclipse yesterday, I realized that sometimes you need special tools to make the invisible visible. The #1 Agent on my site is ChatGPT-User. What's yours??</t>
  </si>
  <si>
    <t>#1 #1</t>
  </si>
  <si>
    <t>Ran from Aug 13, 2026 to Aug 25, 2026</t>
  </si>
  <si>
    <t>ChatGPT Ads: it's a ORGANIC + PAID PLAY ALREADY:  We already see ChatGPT Ads in EVERY single industry. We monitored 16 industries, and everyone had ChatGPT Ads.  &gt; Finance &amp; Insurance &gt; Sports Brands &gt; Transportation &gt; Real Estate &gt; Travel ....  Every single one of them  What does this mean?  If ChatGPT Ads are available in your country, you should give it a try. Competitors might already be running them.  With OtterlyAI, you can easily track how often an Ad appears, which prompt triggered it, and which brand ran it.   Check out the full research here: https://lnkd.in/dzKHF7BJ</t>
  </si>
  <si>
    <t>51% of US software buyers now start their journey with AI. In DACH? Only 25% (so far).  I sat down with Marvin, who's been at OMR Reviews early on, and now leads marketing as VP Marketing, to talk about what that gap means for marketers.  Some raw notes:  1️⃣ Brand Sentiment as the new KPI for AI Search  2️⃣ 51% of software buyers in US start their journey on AI. In DACH it's 'only' 25%  3️⃣ Most AI citations are off-page - hence structured customer reviews, UCG and digital PR shape AI visibility  4️⃣ brands who invested in Mid-funnel / trust content win twice - both Google + AI loves that type (e.g. comparison content)  There so much more great stuff he shared.  👉  Go check out the full video interview here: https://lnkd.in/dXiRJRfd</t>
  </si>
  <si>
    <t>I won an Award for 𝗺𝗼𝘀𝘁 𝗶𝗻𝗳𝗹𝘂𝗲𝗻𝘁𝗶𝗮𝗹 𝗖𝗘𝗢 𝗶𝗻 𝟮𝟬𝟮𝟲 💜  But I want to tell you about the hard things.  Starting a business: The idea is simple. The execution is the hard part.  Here are some facts about the early days of starting OtterlyAI.  👉 We spent over $30,000 of our savings before we even started making $1 in revenue.   👉 We didn't pay ourselves a salary until we had enough cash on bank to pay us and some first employees.  👉 I cut down on personal expenses. No car (which was hard for me living on the country side), no holidays, saving money wherever I could to extend my personal runway.  👉 There were moments of doubt, moments of ....'how long are we doing this'.  But we made it through.   There's no 'recipe' for those early days. Here's what helped me:  1️⃣ Pure belief. Belief in us and that we are working on the right problem in the right market, with the right timing.  2️⃣ Lots of conversations with marketing and SEO pros out there (my peers and our ideal customers)  3️⃣ Dedication and hard work. Do the work. Go all-in.  4️⃣ Experience in the industry we built - we knew it was a problem worth solving  5️⃣ Focus on shipping over perfection. I wasn't particularly proud of the stuff that we shipped, but we shipped it and constantly made it better.  6️⃣ A support network. Having co-founders that get each other through hard times. A family that took note and was always there to support.  If you're going through those early days, keep pushing through it.</t>
  </si>
  <si>
    <t>Ran from Aug 5, 2026 to Aug 31, 2026</t>
  </si>
  <si>
    <t>20%+ of our leads come from ChatGPT + Claude But: ChatGPT is a Brand Channel.  Yes, it is first and foremost a brand channel.  Attributing leads + revenue to AI search engines is a great follow-on effect.  And definitely something we want as a business.  But to get there we need to treat ChatGPT as a brand channel. Because it is one.  Whoever owns AI search in your organization should be measured on Brand KPIs.  Thanks for the conversation Georgie!</t>
  </si>
  <si>
    <t>Ran from Aug 6, 2026 to Aug 26, 2026</t>
  </si>
  <si>
    <t>Why is no one talking about this?  July 6 - ChatGPT Update:  Something 'interesting' happened with ChatGPT around July 6.  Here's what I've noticed across some industries:  👉 Major brands and corporate websites are losing citation share after July 6. 👉 Meanwhile, some media websites and review/comparison sites are gaining citation share  But this isn't happening everywhere: ❌ Some industries don't seem affected. ❌ Some countries don't seem affected. ❌ Some websites (both media and brands) haven't been affected at all.  The exact reason is still unclear to me. It might just be a simple index update.   Here's what I suggest:  1️⃣ Check your OtterlyAI domain performance chart if you're impacted 😊 2️⃣ Take a look at the Citations Report - check if URLs of yours or competitors are increasing/decreasing 3️⃣ Head over Recommendations to see what you can do on-page to improve</t>
  </si>
  <si>
    <t>𝗠𝘆 𝗔𝗜 𝗦𝗹𝗼𝗽 𝗘𝘅𝗽𝗲𝗿𝗶𝗺𝗲𝗻𝘁 went viral last week. 🤯  Here's what people misunderstood or missed   1️⃣ 𝗣𝗲𝗼𝗽𝗹𝗲 𝗼𝘃𝗲𝗿𝘀𝗶𝗺𝗽𝗹𝗶𝗳𝘆 𝗔𝗜 𝘀𝗲𝗮𝗿𝗰𝗵: Not all AI search engines handle AI content the same way. Saying 'GEO is all about AI Slop' is an oversimplification and not true.  2️⃣ 𝗕𝗶𝗻𝗴 𝘃𝘀 𝗖𝗵𝗮𝘁𝗚𝗣𝗧 𝘃𝘀 𝗖𝗼𝗽𝗶𝗹𝗼𝘁: Some believe that ranking well on Bing automatically means you'll be cited by ChatGPT. Our study shows this isn't true.  -&gt; Bing still indexes our AI-generated content. -&gt; Copilot still cites our AI-generated content. -&gt; ChatGPT not so much, rarely.  3️⃣ Some say AI citations are 𝗷𝘂𝘀𝘁 𝗮 𝘃𝗮𝗻𝗶𝘁𝘆 𝗺𝗲𝘁𝗿𝗶𝗰. I disagree. Citations show how 'important' your content is compared to your competitors. Ultimately, we want to influence brand and product mentions, and citations are a great tool for that.  4️⃣ 𝗔𝗴𝗲𝗻𝘁 𝗖𝗿𝗮𝘄𝗹𝘀 𝘃𝘀 𝗖𝗶𝘁𝗮𝘁𝗶𝗼𝗻𝘀: These are not the same thing. Different AI tools have different purposes and behaviors. Just because an AI crawls a site doesn't mean it will cite it.  5️⃣ Google de-indexed one site completely and partially de-indexed another within weeks. Yet, both sites are 𝘀𝘁𝗶𝗹𝗹 𝗯𝗲𝗶𝗻𝗴 𝗰𝗶𝘁𝗲𝗱 𝗯𝘆 𝗔𝗜 𝗢𝘃𝗲𝗿𝘃𝗶𝗲𝘄𝘀 𝗮𝗻𝗱 𝗔𝗜 𝗠𝗼𝗱𝗲 - a bit. Even Google's own ecosystem seems to be inconsistent.  We'll keep monitoring this and already have follow-up experiments planned.</t>
  </si>
  <si>
    <t>25% of our Revenue comes from ChatGPT + Claude  AI Search Now Drives More of Our Revenue Than Google. 🚀📈  Here’s Proof.   Looking at our self-reported attribution report for June – where every new signup tells us, in their own words, where they first heard of us – the ranking is clear:  1️⃣ Claude influenced 18% of our net new MRR  2️⃣ Google influenced 11%  3️⃣ ChatGPT influenced 7%   Add Claude and ChatGPT together and AI search influenced 25% of our net new MRR - more than double what Google contributed.  Full report here: https://lnkd.in/dtzVzMQQ</t>
  </si>
  <si>
    <t>I was nervous. A video team followed me around OMR Festival in Hamburg. 📹  To tell my story. And the bigger one: how AI has changed search, and how businesses are scrambling to keep up.  AI Search is reshaping how every brand gets found.  Huge thanks to everyone who shared their perspective on camera: Tamara, Timo, Marvin, Matthäus, Daniel, Timo, Eugen, Richard, &amp; Linus.   🎥 by MIKU.media</t>
  </si>
  <si>
    <t>The Secret Sauce of AI Search Optimization - does it exist?  According to Richard, head of marketing at chatarmin.com the foundation is to have great content all over the internet.</t>
  </si>
  <si>
    <t>ChatGPT is a brand channel. ChatGPT is a brand channel. ChatGPT is a brand channel.   Yes, ChatGPT also brings highly educated website visitors that convert at a better rate than others.   But first and foremost, it's a brand channel.</t>
  </si>
  <si>
    <t>Do you know which AI bots are crawling your website right now?  I doubt it.  Neither did we, until this morning when we turned on OtterlyAI's new Agent Analytics.  One day in and we've already got some interesting findings. The top bot hitting our site is Perplexity, which we'd never have guessed. Our assumption was Google or ChatGPT, given how dominant they are in the New Zealand market.  Agent Analytics reads your server logs instead of running a script, so that traffic is finally visible. It shows you which bots are crawling, which pages they're scraping, and how many times each one gets hit.  That matters more than it sounds. These are the crawlers feeding what ChatGPT, Perplexity and Gemini say about you to the people asking about your industry. If you're trying to show up in AI search, this is the traffic that decides whether you're even in the running, and until now you couldn't see a single visit of it.  If you've been guessing at your AI visibility, this is the first time you can actually check.</t>
  </si>
  <si>
    <t>𝗪𝗵𝗮𝘁'𝘀 𝘁𝗵𝗲 #𝟭 𝗔𝗜 𝗔𝗴𝗲𝗻𝘁 𝗼𝗻 𝗺𝘆 𝘄𝗲𝗯𝘀𝗶𝘁𝗲?   Over 40,000 marketers use OtterlyAI, and one question has come up again and again:   '𝘞𝘩𝘢𝘵 𝘢𝘳𝘦 𝘈𝘐 𝘢𝘨𝘦𝘯𝘵𝘴, 𝘣𝘰𝘵𝘴, 𝘢𝘯𝘥 𝘤𝘳𝘢𝘸𝘭𝘦𝘳𝘴 𝘢𝘤𝘵𝘶𝘢𝘭𝘭𝘺 𝘥𝘰𝘪𝘯𝘨 𝘰𝘯 𝘰𝘶𝘳 𝘸𝘦𝘣𝘴𝘪𝘵𝘦?'  Until now, there was no clear answer.  With Agent Analytics, that changes.  → Which AI agents are visiting your website? → What actions are they taking? → Which content and URLs are crawled most - and least - frequently?  Setup is flexible:  a Cloudflare Worker,  a WordPress plugin,  a Netlify Edge Function,  a webhook for custom stacks,  or a simple log file upload.   If understanding Agent traffic matters to your business - and increasingly, it does - I encourage you to start tracking today.   Full details below: https://lnkd.in/eN3uEjkw</t>
  </si>
  <si>
    <t>#𝟭</t>
  </si>
  <si>
    <t>Ran from Jul 7, 2026 to Jul 22, 2026</t>
  </si>
  <si>
    <t>How AI Has Changed SEO.  To understand the shift on the ground, OtterlyAI CEO and co-founder Thomas Peham traveled across Germany - meeting marketing leaders, SEO experts, and builders in Hamburg and beyond – to ask one question:   Has anyone actually figured out how to show up as a brand inside AI search?</t>
  </si>
  <si>
    <t>Claude Drives 10.6% of Our Signups. But: Google Analytics Says 0.1%  I decided to share our June conversion KPIs:  -&gt; Google Analytics credits Google Organic Search with 35% of signups, ChatGPT with 7%, and Claude with 0.1%.  -&gt; Self-reported attribution tells a different story:  ChatGPT 11%, Claude 10.6%, Google Search 15.7%.  -&gt; Also: Visitors who did arrive from ChatGPT converted at a 66% higher rate than organic search visitors.  What's the story behind those KPIs?  Our customers start researching on Claude and ChatGPT, and often still on Google, then continue the journey elsewhere before they convert.  Claude is a brand channel - even more so than ChatGPT. While nearly invisible in traffic data, the self-reported leads jumped to 10.6% of all conversions.  Google, ChatGPT, Claude. All 3 are different channels with different user journeys, but for us all 3 are worth optimizing for. And we'll continue to do so.  Full article in comments  Also thx to Ethan &amp; the Graphite team who inspired me to publish those numbers after their n8n analysis.</t>
  </si>
  <si>
    <t>Ran from Jul 7, 2026 to Jul 14, 2026</t>
  </si>
  <si>
    <t>Ran from Jul 7, 2026 to Jul 29, 2026</t>
  </si>
  <si>
    <t>ChatGPT Ads are here 🔥  This week, OtterlyAI added ChatGPT Ad Tracking (as well as Shopping and AI Overview Ad Tracking) to all accounts.  → How often ads show up across your prompts  → Which high-intent queries trigger them  → Who's advertising against you (competitors included)  → What each ad actually claims, and where it links  It's the real paid landscape, mapped to the prompts that matter to your brand.  The best part:   It's live right now, inside every existing brand report, on every plan, at no extra cost. No new setup.  The paid era of AI search just started. The brands that understand it early are the ones who'll win it.  See who's running ads against your prompts → https://lnkd.in/emxwrPdd</t>
  </si>
  <si>
    <t>This is big. We are going big in the USA. 🇺🇸🚀   And it's happening.  OtterlyAI is the Headline Sponsor at brightonSEO San Diego 🇺🇸 and we are making a splash in the market.  With 47% of our customers already based in the USA, we are expanding our footprint in the Americas too.  And we do it the OtterlyAI way:  -&gt; Bootstrapped and growing massively -&gt; With a fully-remote team - we are hiring! -&gt; We are approachable and direct.  -&gt; We share everything we learn. And we'll tell you what works and what doesn't.  And what a great way to kickstart this at BrightonSEO San Diego, the leading SEO conference in the United States.  🦦 Meet the otters on the ground, and DM me if you want a free ticket for the conference.   Get in touch while they last.</t>
  </si>
  <si>
    <t>Ran from Jul 7, 2026 to Jul 24, 2026</t>
  </si>
  <si>
    <t>𝗔𝗜 𝘀𝗲𝗮𝗿𝗰𝗵 𝗲𝗻𝗴𝗶𝗻𝗲𝘀 𝗹𝗼𝘃𝗲 𝗨𝗚𝗖 💜  Ratings &amp; Reviews Customer feedback Questions &amp; Answers Testimonial Statements  I learned a lot from that conversation with Tamara.   Check out the full interview. Link in comments.</t>
  </si>
  <si>
    <t>We just did it!  OtterlyAI just won the AWARD for BEST AI SEARCH SOFTWARE at the European Search Awards!  I'm just proud. Proud of the team. And how far we come.  Bootstrapped Over 30,000 marketing pros on the platform in over 166 countries  Way to go. Let's go.</t>
  </si>
  <si>
    <t>Ran from Jun 24, 2026 to Jul 3, 2026</t>
  </si>
  <si>
    <t>We’re going big in the US 🇺🇸  OtterlyAI is the headline sponsor of brightonSEO San Diego 2026, and we want to see you there.   47% of OtterlyAI customers are based in North America, so it was the obvious next step to increase our foot print in the USA even further.  Join us in San Diego to find:  &gt; Thomas our CEO on stage talking about the latest Experiments in AI Search &gt; The Otters on the ground at the event and hosting their own side event in San Diego. &gt; Some special Otter sights &amp; merch  Get a free ticket Like this post, and DM us to claim a free ticket while they last.</t>
  </si>
  <si>
    <t>Live today ‼️ AI Search Tracking on Claude See how your brand performs on Claude vs ChatGPT  OtterlyAI now supports Claude as a dedicated AI search engine, so you can finally see how visible your brand is in one of the fastest-growing places people ask questions.</t>
  </si>
  <si>
    <t>Live inside OtterlyAI 🔥  -&gt; ChatGPT Ads Tracking -&gt; ChatGPT Shopping Card Tracking -&gt; Google AI Overview Ads Tracking -&gt; Query Fan outs on every prompt -&gt; Query Fan Out Research  The team has been on fire 🔥 shipping.   I'm particularly excited about Ad tracking. AI search is moving from a 100% organic channel to paid + organic. As marketers, we are getting new paid + organic opportunities for getting our brand into AI answers.  Exciting times. And big KUDOS to the team.</t>
  </si>
  <si>
    <t>New Claude Citation Study live ‼️  We analyzed 379K Claude citations.   The finding?   Claude overwhelmingly favors brands over all other source types - and almost never cites social media.  👉 full article here: https://lnkd.in/evWmNvNm</t>
  </si>
  <si>
    <t>The AI Search Attribution Gap:  Why Last-Touch Undercounts ChatGPT and Claude  We decided to share our June Conversions Performance and here's what we found:  -&gt; Claude drove 10.6% of all product signups, but Google Analytics was only capturing 0.1%  -&gt; Visitors who did arrive from ChatGPT converted at a 66% higher rate than organic search visitors.  If we trust self-reported attribution, a large and roughly equal share of our conversions is driven by Google, ChatGPT, and Claude together.  Full insights here: https://lnkd.in/eGcu3--s</t>
  </si>
  <si>
    <t>Available today ‼️ AI Search Tracking on Claude  See how your brand performs on Claude vs ChatGPT vs Gemini vs ....  OtterlyAI now supports Claude as a dedicated AI search engine, so you can finally see how visible your brand is in one of the fastest-growing places people ask questions.  &gt; Daily Tracking on Claude &gt; Competitive Insights on Brand &amp; Website Performance &gt; Find the pages that Claude cites &gt; Use our MCP &amp; API to build custom Claude reports &amp; dashboards   Available on all plans, starting at $29/month</t>
  </si>
  <si>
    <t>Yo. Founders.  Your buyers aren't Googling for the links anymore. They want the AI Overview. And they're opening ChatGPT and Perplexity too.  They're asking for recommendations, lists, and insights. And they're getting an answer.  If your company isn't showing up, you're not in the room.  Fixing this is exactly why we became an official Agency Partner for Otterly.ai.  Here's what the platform actually does: 1. Prompts: Creation, monitoring LLMs and regionas 2. Share of voice and brand ranking trends 3. Competitor reports 4. Citations and mentions  The data alone is valuable. But data without action is just a dashboard.  At purple path, we take that data and build actionable strategy around it. Closing gaps in share of voice. Increasing visibility in AI-generated answers. Improving how your brand is perceived when AI describes you to a buyer.  With Otterly.ai, we shine a light on it. At purple path, we act on it.  Link to the full announcement in the comments.  Annnnnd.... Go get em.</t>
  </si>
  <si>
    <t>Ran from Jul 8, 2026 to Jul 14, 2026</t>
  </si>
  <si>
    <t>What's the role of 𝗨𝘀𝗲𝗿-𝗚𝗲𝗻𝗲𝗿𝗮𝘁𝗲𝗱 𝗖𝗼𝗻𝘁𝗲𝗻𝘁 𝗶𝗻 𝗔𝗜 𝗦𝗲𝗮𝗿𝗰𝗵? 🕵️♂️  User-generated content - reviews, Q&amp;As, photos, videos - is becoming one of the most powerful inputs for GEO.   AI search engines prioritize authentic, trustworthy content when building answers.  We spoke with Tamara Sanderson, Lead Client Success Manager at Bazaarvoice, about why this matters for your content strategy.</t>
  </si>
  <si>
    <t>𝐖𝐡𝐮𝐭?! 😱 64% 𝐨𝐟 18-27 𝐲𝐞𝐚𝐫-𝐨𝐥𝐝𝐬 𝐝𝐨𝐧'𝐭 𝐯𝐞𝐫𝐢𝐟𝐲 𝐢𝐟 𝐚𝐧 𝐀𝐈 𝐫𝐞𝐜𝐨𝐦𝐦𝐞𝐧𝐝𝐚𝐭𝐢𝐨𝐧 𝐢𝐬 𝐚𝐜𝐭𝐮𝐚𝐥𝐥𝐲 𝐠𝐨𝐨𝐝 (𝘙𝘪𝘵𝘩𝘶𝘮, 2026)  So, if your brand doesn't appear in the answer, the conversation is over before it started.  That’s one of the lessons we’ve learned at Webmyday over the past few months. Here are some of our most important learnings so far in 2026 👇  1️⃣ 𝐓𝐡𝐞 𝐆𝐄𝐎 𝐰𝐢𝐧𝐝𝐨𝐰 𝐟𝐨𝐫 𝐞𝐚𝐫𝐥𝐲 𝐚𝐝𝐨𝐩𝐭𝐞𝐫𝐬 𝐡𝐚𝐬 𝐜𝐥𝐨𝐬𝐞𝐝 A year ago GEO was an innovator's game. Today the early majority is signing up out of necessity, not curiosity. Restaurants in our portfolio are the clearest signal: people are searching for places to eat inside ChatGPT. If you're not in the answer, the table stays empty.  2️⃣ 𝐘𝐨𝐮 𝐧𝐞𝐞𝐝 𝐚 𝐑𝐞𝐝𝐝𝐢𝐭 𝐬𝐭𝐫𝐚𝐭𝐞𝐠𝐲. 𝐘𝐞𝐬, 𝐫𝐞𝐚𝐥𝐥𝐲 An OtterlyAI analysis of 5.5M social citations found that 46.4% of all citations AI tools use originate from Reddit. Almost half. We now build Reddit programs around three pillars for clients:   → Join existing threads already being cited  → Post proactively in relevant subreddits  → Monitor brand-related conversations  Become part of the discussion AI tools draw from, or be treated as less relevant.  3️⃣ 𝐒𝐭𝐨𝐩 𝐨𝐩𝐭𝐢𝐦𝐢𝐳𝐢𝐧𝐠 𝐨𝐧𝐥𝐲 𝐟𝐨𝐫 𝐭𝐡𝐞 𝐦𝐨𝐦𝐞𝐧𝐭 𝐨𝐟 𝐩𝐮𝐫𝐜𝐡𝐚𝐬𝐞 Bottom-of-funnel prompts feel like where the money is. But people use AI across the entire decision journey. Optimize only for the buying moment and you skip the authority-building stages that make people trust you when they're finally ready.  𝘛𝘩𝘦 𝘵𝘰𝘰𝘭 𝘵𝘩𝘢𝘵 𝘮𝘢𝘬𝘦𝘴 𝘢𝘭𝘭 𝘰𝘧 𝘵𝘩𝘪𝘴 𝘢𝘤𝘵𝘶𝘢𝘭𝘭𝘺 𝘥𝘰𝘢𝘣𝘭𝘦: OtterlyAI. None of the above works without good data. OtterlyAI shows us which prompts to target, whether brands are being mentioned and cited, and which sources are being pulled into AI answers right now.   GEO is moving at an extraordinary pace. Sometimes I have to pinch myself. It's a great time to be in it.  What's the biggest GEO surprise you've hit so far this year? 😀   #GEO #AIsearch #SEO #Webmyday #OtterlyAI #Learnings</t>
  </si>
  <si>
    <t>#GEO #AIsearch #SEO #Webmyday #OtterlyAI #Learnings</t>
  </si>
  <si>
    <t>Ran from May 29, 2026 to Jun 18, 2026</t>
  </si>
  <si>
    <t>𝗜 𝗵𝗮𝘃𝗲𝗻'𝘁 𝘀𝗹𝗲𝗽𝘁 𝘄𝗲𝗹𝗹 𝘁𝗵𝗲 𝗹𝗮𝘀𝘁 𝘁𝘄𝗼 𝘄𝗲𝗲𝗸𝘀. 😴  The reason?  We released the OtterlyAI API internally, and my mind wouldn't stop.  Every day I found another use case.  Interactive dashboards. PDF reports. n8n workflows. Content briefs. Reddit agents.  I kept building. Then building some more.  This week, we opened the OtterlyAI API to everyone.  Today I want to show you what I've built with it, the use cases I keep coming back to.  Join me at 4pm CET for a live session.  👉 https://luma.com/abpx6ehc   Let's build together.</t>
  </si>
  <si>
    <t>Ran from May 28, 2026 to Jun 12, 2026</t>
  </si>
  <si>
    <t>Ran from Jun 23, 2026 to Jul 7, 2026</t>
  </si>
  <si>
    <t>Active Reddit communities get cited 9x more by AI. 🚀  We ran (the first) Reddit Engagement Experiment:  if two brand-new subreddits post identical content on the same topics at the same time, does engagement actually move the needle on AI citations?  The setup:  - Two new communities, same posts, same topics, same day - One got active engagement (replies, votes, discussion). The other stayed silent. - We tracked both for 60 days.  The results?  👉 9x more AI citations for the active community vs. the dormant one 👉 6.9x more total citations than the median external subreddit 👉 4x more Google keywords ranked 👉 18x more monthly search volume covered  The lesson: AI search doesn't just reward Reddit content. It rewards UGC people actually engage with.  Full experiment 👉 link in comments</t>
  </si>
  <si>
    <t>Ran from May 29, 2026 to Jun 5, 2026</t>
  </si>
  <si>
    <t>ChatGPT vs Claude This is what the early data told me (it surprised me 🤯)  There's hardly any data available on Claude and how websites get cited there. So I took a early look at our own data.  And I was surprised to see little overlap.  1️⃣ 4.2% overlap of top 100 URLs Only 4.2% URLs in the top 100 citations show up both on ChatGPT and Claude.  2️⃣ 7.3% amongst top 1,000 URLs If we take a look at the top 1,000 URLs on both platforms, the overlap grows to 7.3%.  3️⃣ 13% domain overlap If we take a look at the pure domain list, the overlap is bigger. 13% of domains show up on both ChatGPT and Claude.  What does this all mean?   ➡️ These two engines are effectively two separate channels.  They - to some degree - agree on who is credible (domain-level) but disagree on what to show (URL level).  ➡️ They also have different taste in sources.   ChatGPT reaches much harder into public/community content. Reddit is big on ChatGPT, not on Claude. Claude is citing more brand domains, more product pages. These product domains don't show up on ChatGPT.  TLDR: Optimize per engine, not 'for AI' in general.</t>
  </si>
  <si>
    <t>Ran from Jun 24, 2026 to Jul 7, 2026</t>
  </si>
  <si>
    <t>𝗢𝘂𝗿 𝗖𝗵𝗮𝘁𝗚𝗣𝗧 𝗿𝗲𝗳𝗲𝗿𝗿𝗮𝗹 𝘁𝗿𝗮𝗳𝗳𝗶𝗰 𝗷𝘂𝗺𝗽𝗲𝗱 𝗯𝘆 𝟮𝟯𝟱% 𝗠𝗼𝗠 📈  And most importantly:  Product Signups via ChatGPT jumped by 674% MoM  Why did that happen?  The primary reason: ChatGPT started hyperlinking brand mentions on the AI answers back to our home page (I wrote about this ChatGPT update previously)  You might say: Well, this was an external factor, nothing you could influence.  Not true. ❌  Our team has been optimizing for brand mentions for months. We run various on page and off-page experiments to drive our AI visibility.  So us getting mentioned as a brand in the first place is something we influenced. This happened thanks to our execution.   And we keep doubling down.   Let me know if you saw a similar jump in May.</t>
  </si>
  <si>
    <t>Ran from Jun 5, 2026 to Jun 18, 2026</t>
  </si>
  <si>
    <t>Ran from May 28, 2026 to Jun 18, 2026</t>
  </si>
  <si>
    <t>Ran from May 28, 2026 to Jun 16, 2026</t>
  </si>
  <si>
    <t>I love Eugen's honest answers:  -&gt; 5% of traffic from ChatGPT -&gt; But 10% of demo requests from ChatGPT  (side note: you can see here how ChatGPT traffic is converting much higher for them)  But: when comparing marketing attribution with 'Where did you hear about us' form submits people put ChatGPT, Gemini, Grok, Claude,.... although marketing attribution is telling his team they came from organic or paid.  What he also admits:  Win rates per channel is the most important KPI he would care about.  Full video interview in the comments below.</t>
  </si>
  <si>
    <t>Ran from Jun 11, 2026 to Jun 25, 2026</t>
  </si>
  <si>
    <t>Sea otters give rocks to their favorite humans 🗿  So here's the deal:  Yesterday, some people highlighted that one of our VC-funded competitors is giving away $250 amazon gift cards for a single review on G2 (yes $250 for a review).  We'll do something else:  If you write a G2 or OMR Reviews review on OtterlyAI, and you'll send me a proof, I'll package up a little stone/rock that I handpicked in my place, and ship it to you.  Deal?  -&gt; Write a g2 review here: https://lnkd.in/dPF9q_YK  -&gt; write a OMR review here: https://lnkd.in/dpGUEGBQ</t>
  </si>
  <si>
    <t>In how many countries do you have OtterlyAI users?  I was not able to answer this question today in a call.  So I had to look up the answer.  The answer: 166 countries!  OtterlyAI is used by people in 166 countries.   That's mind blowing to me. 🤯  Because that's basically 85% of all countries (the UN is counting 195 countries).  It's a big reminder for us to keep building for all our users in all the different beautiful countries.  And yes: We have some existing Localization Experiments in the pipeline as AI search is getting more and more localized these days! Stay tuned.</t>
  </si>
  <si>
    <t>Ran from May 22, 2026 to May 28, 2026</t>
  </si>
  <si>
    <t>Ran from May 21, 2026 to May 28, 2026</t>
  </si>
  <si>
    <t>Ran from Jun 25, 2026 to Jul 24, 2026</t>
  </si>
  <si>
    <t>Ran from Jun 24, 2026 to Jul 17, 2026</t>
  </si>
  <si>
    <t>Big #ChatGPT Update 🚀  Beginning of May, ChatGPT started adding hyperlinks to brand names in the ai responses.  BEFORE Whenever your brand/product would get mentioned by AI answers, you would not benefit with a direct link back to your website. ChatGPT would just display your name/brand/product as a text.  NOW Every brand mention has a better chance of getting a click. Why? Because ChatGPT started adding hyperlinks (back to the home page) of brands.  Two proof points:  1. from our own citation data - see how the citations for our home page jumped on May 2  2. from our Google Analytics account (see chart in comments) - see how human referral traffic jumped in May  Existing times.   Are you seeing something similar?</t>
  </si>
  <si>
    <t>#ChatGPT</t>
  </si>
  <si>
    <t>Ran from Jun 11, 2026 to Jun 26, 2026</t>
  </si>
  <si>
    <t>More than 20,000 marketers have done it before.  You can do it too.  Get mentioned by AI. With OtterlyAI.</t>
  </si>
  <si>
    <t>Ran from May 2, 2026 to May 10, 2026</t>
  </si>
  <si>
    <t>Tags. Tags. Tags.  If you are not using Tags inside OtterlyAI you're missing out.  Tags are the most flexible and fastest way to organize and categorize your search queries.  We do recommend everyone to establish tags  &gt; by Funnel Stage: Top vs Bottom of Funnel Prompts &gt; by Product Categories or Product Lines &gt; by Strategic Initiatives and Campaigns  AI Search success becomes very real, when you know what to optimize for.</t>
  </si>
  <si>
    <t>Ran from Apr 28, 2026 to May 1, 2026</t>
  </si>
  <si>
    <t>From Data to Done in AI Search  The otter way.  Check out Recommendations - the fastest way to improve your AI Visibility.</t>
  </si>
  <si>
    <t>Ran from May 2, 2026 to May 19, 2026</t>
  </si>
  <si>
    <t>Some people are shocked when I tell them this.  ---  When I tell people that I live in a small village, some people react surprised or even slightly shocked.  'What....you are building OtterlyAI from this tiny place?'  Well yes. I do.  I would even say it helps me succeed. It helps me be a better version of me.  Why?  I live in my happy place.  I have nature right in my garden.  I can walk to the supermarket, kindergarten, to friend's places.   I can go outside and run along the Danube river or take my bike out for a ride, or do a short drive to the cross fit gym.   Everything that I need daily is in walking distance.  And being in a place where there are not a lot of distractions help me focus on the business.  I just get sh*t done.   Sure, I enjoy traveling. Both for work and for private occasions.   Actually, you'll find me in Brighton for brightonSEO 🇬🇧 next week. And at the OMR Festival in Hamburg 🇩🇪the week after. Say hi if you are around.  But being where I am, gives me the drive and energy to keep building and building.  What's your happy place?</t>
  </si>
  <si>
    <t>Ran from May 2, 2026 to May 16, 2026</t>
  </si>
  <si>
    <t>Wish the otters some luck.  We are named a FINALIST for Best AI Search Software Solution at the 2026 European Search Awards  Whoop whoop 🦦💜🦦💜🦦💜</t>
  </si>
  <si>
    <t>Ran from Apr 27, 2026 to May 5, 2026</t>
  </si>
  <si>
    <t>See your brand's visibility across ChatGPT, Perplexity, and Gemini in minutes - with prompt tracking, citation analysis, and competitor benchmarking built in. Try it free → otterly.ai</t>
  </si>
  <si>
    <t>Ran from Apr 23, 2026 to May 2, 2026</t>
  </si>
  <si>
    <t>𝗜 𝘄𝗮𝘀 𝘄𝗿𝗼𝗻𝗴.  I was wrong about Youtube.  Specifically, I was wrong about YouTube.com's visibility on ChatGPT.  On December 22, in our last live webinar of the year, I told attendees that YouTube wasn't that critical for brand visibility on ChatGPT (I did however mention that Youtube is super critical for your Google (AI Overview) performance for example.)  My reasoning seemed solid.   The data I'd analyzed across multiple OtterlyAI accounts showed YouTube.com rarely appearing as a top citation source.  Then December came.  YouTube.com grew in visibility. In some industries we monitor, it's now among the most-cited domains on ChatGPT.  This matters for three reasons:  1)  It's a reminder that AI search platforms are constantly evolving their source preferences. What's true in November can be wrong by January. If you're not tracking these changes in real-time, you're making decisions on outdated assumptions.  2) It changes content strategy. Video content isn't just for brand awareness anymore. It's becoming a citation source for AI engines. That changes how we think about ROI.  3) ChatGPT, Perplexity, and Google AI Overviews don't behave the same way. And none of them stay static.</t>
  </si>
  <si>
    <t>Our partner Webmyday is otterly into AI Search.  AI Search is not just SEO.  It requires a fully GTM playbook. Aligning the different functions and teams in marketing.   And if you're thinking: 'That otterly makes sense.'  Well, you might want to chat with some true AI search experts - like Stefan and his team at Webmyday.</t>
  </si>
  <si>
    <t>Ran from May 9, 2026 to May 13, 2026</t>
  </si>
  <si>
    <t>Ran from May 2, 2026 to May 20, 2026</t>
  </si>
  <si>
    <t>Still thinking it over? Start your free OtterlyAI trial.  See your brand's visibility across ChatGPT, Perplexity, and Gemini in minutes - with prompt tracking, citation analysis, and competitor benchmarking built in. Try it free → otterly.ai</t>
  </si>
  <si>
    <t>Brands going up and to the right in AI search visibility. We can't get enough of it.  Neither can our customers. 📈🦦</t>
  </si>
  <si>
    <t>1 Million URLs studied:  Which URL Structures Gets You Cited The Most on AI Search ??   Shorter URLs? Longer URLs? Descriptive URLs? Comparison patterns? year in URL? Do .com domains have a higher chance of getting cited?  Etc. Etc.  My colleague Rick published another amazing AI Search finding.  The long story short:   URL structure basics alone do not predict citation frequency in AI Search.   The common SEO heuristics around URL length, depth, slug formatting, and domain structure are not visible in AI citation data at this scale.  What matters more?  - Clean URLs - Page Types - The Content itself  And most importantly: There's a heavy power law distribution.  Most URLs are cited once, and only a tiny fraction (less than 1% is cited many times over again).   If we want to be visible as a brand, we also need to be a top performer on a citation level.  Full analysis in comments.</t>
  </si>
  <si>
    <t>𝗜'𝗺 𝗻𝗼𝘁 𝗳𝗮𝗺𝗼𝘂𝘀. But I'm proud. But for other reasons you might think.  Yesterday I received this whatsapp.  Because Marvin mentioned me amongst the AI Visibility Voices in his State of SaaS keynote together with Felix at the OMR Festival.  But I'm not proud because of that.  Exactly 1 year ago the AI Search market was a rather new thing.   There's lots of hype in the category. And as someone mentioned at brightonSEO last week:   Trust only half what you see on linkedin, the other half is bluffing.  Last year, AI Search was one big hype at OMR. This year, Marvin spoke about all the things that work in the category. With an honest take.  I'm glad that there are people like Marvin who have a pragmatic approach. Who share what works in AI Search.  And I'm proud that our team at OtterlyAI is contributing to this pragmatic approach with our continuous #GEO Experiments.  We publish new GEO Experiments weekly.  We share what works and what doesn't.  Thanks Marvin and everyone for educating on AI Search.</t>
  </si>
  <si>
    <t>#GEO</t>
  </si>
  <si>
    <t>Ran from May 7, 2026 to May 10, 2026</t>
  </si>
  <si>
    <t>𝗠𝗮𝗿𝗸𝗱𝗼𝘄𝗻 𝘃𝘀. 𝗛𝗧𝗠𝗟 Which format do AI crawlers prefer?  We ran a test on our own website.  The test:  We placed new HTML and .md URLs were placed in our website footer and had the exact same URL structure, giving all crawlers an equal structural opportunity to discover them.   The result:  The HTML test pages, both the existing page and the newly created one, received a combined 7.4% of all AI bot visits across the 14-day window.   𝗧𝗵𝗲 𝗠𝗮𝗿𝗸𝗱𝗼𝘄𝗻 𝘃𝗲𝗿𝘀𝗶𝗼𝗻𝘀 𝗿𝗲𝗰𝗲𝗶𝘃𝗲𝗱 𝟬%.   Also, No AI search platform cited a .md URL of ours.  What does this all mean?? Our learnings:  1. Don’t create .md mirrors of your pages for GEO purposes. 2. Focus on HTML page quality and structure.  3. Reserve Markdown for its actual use cases.  4. Use OtterlyAI to measure what actually gets cited. Results might differ industry by industry ;-)   DM if you've ran a similar experiment in the past.   We'll keep testing and iterating.  PS: Full article in comments below.</t>
  </si>
  <si>
    <t>Image alt text are for SEO. AI Search reads past it.  Here's what we tested:  We added a fact to an image filename, alt text, and image caption, but didn’t mention it anywhere in the visible body text.  We created 6 different test cases:  1 - file name optimization only 2 - alt text optimization only 3 - fig caption only 4 - OCR image (the answer is on the image) 5 - a control group / no signal 6 - file name + alt text optimization  Can AI search engines pick it up?  No.  ChatGPT was able to answer the question correctly through a combination of file name + alt text (in 75% of all answers).  All other AI engines hallucinated or were not able to retrieve the information.   full findings here: https://lnkd.in/eFBmQPFG</t>
  </si>
  <si>
    <t>The tool that helped us be VISIBLE on AI Search  'OtterlyAI helped us understand and optimize our brand for AI Search.'  That's Julius, Senior Team Manager Product Marketing.  His team had a problem most marketers don't even know they have: they were invisible on ChatGPT, Perplexity, and Google AI Overviews.  Not anymore.  With OtterlyAI, they now track exactly where their brand gets cited, where competitors show up instead, and what content actually drives AI visibility.  No guesswork. No flying blind.  Just clear data on how AI search engines see your brand.  → Try OtterlyAI free and see where you stand in AI search.</t>
  </si>
  <si>
    <t>At OtterlyAI, we recognize that navigating modern marketing challenges requires both insight and dexterity—qualities embodied by our namesake: the otter. Let us help you master disruptions in marketing with tools designed specifically for success in an ever-changing environment.</t>
  </si>
  <si>
    <t>Ran from May 2, 2026 to May 9, 2026</t>
  </si>
  <si>
    <t>How important is YouTube for AI search? 📹  𝗪𝗲 𝗮𝗻𝗮𝗹𝘆𝘇𝗲𝗱 𝟭𝟬𝟬 𝗺𝗶𝗹𝗹𝗶𝗼𝗻+ 𝗰𝗶𝘁𝗮𝘁𝗶𝗼𝗻𝘀 𝘁𝗼 𝗳𝗶𝗻𝗱 𝗼𝘂𝘁.  Here's what we found:  👉 YouTube is the 2 most cited social/video platform in AI search, across ChatGPT, AI Mode, Google AI Overviews,...right after reddit.com  👉 Not all AI engines behave the same. Where YouTube gets cited, and how often, varies significantly by platform  👉 Long-form wins. Shorts don't get cited, (only on AI Mode and Google AI Overviews)  👉 Views, likes, and subscriber count? Almost zero correlation with AI citations  👉 Structure matters more than fame.  Videos with timestamps and clear chapters get cited more consistently  My take: AI engines don't reward popularity. They reward clarity.  If your video content is well-structured, topically specific, and answers real questions directly, it has a shot at being cited regardless of channel size.  Full research article in comments</t>
  </si>
  <si>
    <t>Start optimizing for AI Search. It's Otterly Awesome.</t>
  </si>
  <si>
    <t>Ran from Mar 21, 2026 to Apr 20, 2026</t>
  </si>
  <si>
    <t>Ran from Apr 22, 2026 to May 2, 2026</t>
  </si>
  <si>
    <t>When OtterlyAI 🦦, one of my fav AI visibility tools, asked me to share my thoughts on how to be visible for AI in 2026, this is a part of what I said 👇🏻:  'Large language models don't reward vague marketing. Humans never did either. What both reward is clarity.   Brands that clearly explain WHAT they do, HOW they do it, and WHO they do it for, with strong structure, precise messaging, and real answers,  are far easier to understand, surface, and trust. That means doing the basics well: clear headings, schema, FAQs, comparisons, and case studies.  But visibility doesn't come from structure alone. More from being worth talking about. AI search asks brands to become more precise, more useful, and more worth remembering.'  I'm a long-time fan of OtterlyAI, and founders Thomas Peham and Klaus-M. Schremser.  They actually test, try, and educate rather than just theorize and claim to be the best without the proof. So being included alongside 30+ AI visibility practitioners who bring that same hands-on approach was genuinely something for me 🙏🏻  Alongside others, Imke Walenberg dropped my fav line, nicely and sharply:  'AI does not make marketing less human. It forces organisations to think more sharply about their identity, their expertise, and their relevance.'  Yep, I also see the AI laziness creeping in here... secretly wishing the 'grey world' where all is just AI created, will not happen. So a nice warning by her as well ⛔️ treating AI as a productivity hack, a faster way to write blogs and automate campaigns  is the most dangerous misunderstanding of 2026. Speed without substance is just noise, faster.  Thank you, Rick Tousseyn and the OtterlyAI team, for such a practical and well-crafted piece. 🙌  Link to the article in the comments 👇🏻</t>
  </si>
  <si>
    <t>Ran from Mar 29, 2026 to Apr 28, 2026</t>
  </si>
  <si>
    <t>The Best of the Best:  We are a ROOKIE of the YEAR 💜  G2 evaluated 25,115 software products.  And while the AEO market has grown by 2,000% in the last year (acc. to G2), OtterlyAI is the only AEO / GEO tool in the Top 10 Best List.  And even more exciting:   We made it into Top 10 Rookie of the Year 🙌  Yes, amongst 25,115 software products. Put it differently, we are part of the top 0,03% of software products.  I'm proud, because we've done this our way.  Without VC funding. Without a big team of hundreds of people. Without big marketing spend. Without big hype.  We did it our way.</t>
  </si>
  <si>
    <t>Ran from Mar 5, 2026 to Mar 24, 2026</t>
  </si>
  <si>
    <t>YouTube isn’t just for cat videos anymore. 𝗜𝘁’𝘀 𝗯𝗲𝗰𝗼𝗺𝗶𝗻𝗴 𝗮 𝗰𝗼𝗿𝗲 𝘀𝗼𝘂𝗿𝗰𝗲 𝗳𝗼𝗿 𝗔𝗜 𝗮𝗻𝘀𝘄𝗲𝗿𝘀.  We 🦦 (OtterlyAI) analyzed 100M+ AI citations across ChatGPT, Perplexity, Google AI Overviews, AI Mode, Copilot, and Gemini.  The goal? Understand how often ... and why ... AI systems cite YouTube. Here’s what surprised me 👇  🎥 𝗬𝗼𝘂𝗧𝘂𝗯𝗲 𝗶𝘀 𝘁𝗵𝗲 #𝟮 𝗺𝗼𝘀𝘁 𝗰𝗶𝘁𝗲𝗱 𝘀𝗼𝗰𝗶𝗮𝗹 𝗽𝗹𝗮𝘁𝗳𝗼𝗿𝗺 𝗶𝗻 𝗔𝗜 𝘀𝗲𝗮𝗿𝗰𝗵  Right behind Reddit. Ahead of most “serious” content platforms.  🤖 𝗡𝗼𝘁 𝗮𝗹𝗹 𝗔𝗜 𝗲𝗻𝗴𝗶𝗻𝗲𝘀 𝗯𝗲𝗵𝗮𝘃𝗲 𝘁𝗵𝗲 𝘀𝗮𝗺𝗲  Perplexity and Google AI Overviews cite YouTube heavily.  ChatGPT, Gemini, and Copilot? Much less.  📏 𝗟𝗼𝗻𝗴-𝗳𝗼𝗿𝗺 𝘄𝗶𝗻𝘀. 𝗦𝗵𝗼𝗿𝘁𝘀 𝗱𝗼𝗻’𝘁.  94% of cited videos are long-form.  So much for “just make it short and viral.”  📊 𝗩𝗶𝗲𝘄𝘀, 𝗹𝗶𝗸𝗲𝘀, 𝘀𝘂𝗯𝘀𝗰𝗿𝗶𝗯𝗲𝗿𝘀? Almost no correlation with AI citations. You can have 50k views and still dominate AI answers.  🗂️ 𝗦𝘁𝗿𝘂𝗰𝘁𝘂𝗿𝗲 𝗺𝗮𝘁𝘁𝗲𝗿𝘀 𝗺𝗼𝗿𝗲 𝘁𝗵𝗮𝗻 𝗳𝗮𝗺𝗲 Videos with timestamps and clear sections get cited more often.  AI likes content it can “reference.”  The takeaway: AI doesn’t care how viral you are. It cares how useful and structured your content is.  We’re moving from: “Create content people like” to: “Create content machines can reference.”  If YouTube is part of your strategy, it’s time to think beyond subscribers and start thinking about AI visibility.  Curious how your brand performs across AI search engines? That’s exactly what we built OtterlyAI for. 🦦</t>
  </si>
  <si>
    <t>#𝟮</t>
  </si>
  <si>
    <t>Ran from Mar 4, 2026 to Mar 25, 2026</t>
  </si>
  <si>
    <t>AI visibility and SEO are topics I genuinely care about.  Not as buzzwords, but as real ways to help businesses stay visible and relevant. I see how much difference it can make, especially for smaller companies, when ChatGPT recommends you 🫵🏻  OtterlyAI 🦦 was one of the 1st tools I discovered early, back when AIO suddenly became 🔥 Since the first demo, I’ve followed them closely, used the tool in practice, and mentioned it whenever the question comes up: “what tools do you actually use?”  For me, the main trust factor has always been the thinking behind it. The content and expertise shared by the founders, Thomas Peham and Klaus-M. Schremser  Clear, grounded, and focused on how AI search is really changing. That’s why I’m genuinely excited to share that I’ve become an Otterly.AI Ambassador 🎉  Looking forward to staying close to the updates, learning faster, exchanging ideas with other AI visibility advocates, and diving deeper into the community. AI visibility is a priority for me going into 2026.  So I’m excited to go deeper, follow Otterly’s journey from the early ambassador side and use the tool as an even more experienced user. PS: you can try it out for free too 👇🏻</t>
  </si>
  <si>
    <t>A dream come true.  𝗜'𝗹𝗹 𝗯𝗲 𝘀𝗽𝗲𝗮𝗸𝗶𝗻𝗴 𝗮𝘁 brightonSEO 𝗶𝗻 𝗔𝗽𝗿𝗶𝗹.  In 2009, I wrote my Bachelors thesis about SEO.   Little did I know that 17 years later I would speak at the largest SEO conference in Europe.  I'm excited, and slightly nervous. Day 1, Main stage, a full on deep dive on EVERYTHING I learned about AI Search in the last 2 years.  Will you be there too?  The OtterlyAI team has some fun activities planned. DM me.</t>
  </si>
  <si>
    <t>Ran from Apr 3, 2026 to Apr 21, 2026</t>
  </si>
  <si>
    <t>I'm a naive high performer.  A year ago, many VCs told me that I need lots of money to compete in this quickly growing and increasingly crowded GEO / SEO space.   They said, that my company will be eaten up by the ones who raise the most and the fastest. They said that in a year, I'll be potentially irrelevant.  Well guess what.  12 months later, and we're still standing.   Stronger and better than ever.  Even without all the millions in VC funding.  G2 just recently named us as a Rookie of the Year, actually the only GEO/SEO tool that got that.  And if I look at our industry ranking of AI Search Analytics tools....well, I can't complain being #2 right after Semrush (hey guys 👋)  Being naive sometimes helps I guess. 😅</t>
  </si>
  <si>
    <t>#2</t>
  </si>
  <si>
    <t>Ran from Apr 3, 2026 to Apr 22, 2026</t>
  </si>
  <si>
    <t>What I learned at SMX Munich - the leading SEO conference in Germany (my raw notes)  - Joining a panel discussion with likeminded people can be fun, even if those people work at your competitors :)  - Lots of conversations on KPIs and how we should measure success on AI. While most agree on Brand KPI over Conversion/Traffic KPIs, the question becomes: How do we measure ROI on AI? Self-reported attribution FTW.  - 'Any reasonable prompt has a search volume of zero or 1'. Let's not get obsessed with search volume data on AI search.  - AI search engines prefer well structured HTML files - most important thing to optimize for. Clear HTML, Clear heading, ....the basic but super important things we've been recommending.  - Are Markdown files better than HTML files? Well, no specific benefit over HTML files. I agree.  - your page / URL is not competing as a whole. Your content fragments are competing. Each paragraph matters.  - In times where AI is changing our industry so fast, it's all about DOING + Testing. Stop reading about stuff, test it. We are the architects.  - Vibe coding is great, but the gap of bringing stuff into production is massive. We still need devs and marketing to work together on building great, scalable products. Amen.  - Entity Recognition: Basic but super important: Is our company, brand, products recognized as an entity by AI? Is the entity clear? Are we repeating the same messaging / positioning all over the internet or is it fragmented?  - We are getting less clicks on Google not only because of AIO, but also Ads (thx for the shout-out on this one Aleyda)  It was great meeting familiar colleagues in SEO, as well as new ones. The best part? Randomly running into OtterlyAI users and customers. You are great!</t>
  </si>
  <si>
    <t>𝗖𝗵𝗮𝘁𝗚𝗣𝗧 𝗶𝘀 𝗴𝗼𝗶𝗻𝗴 𝗹𝗼𝗰𝗮𝗹. And most brands are missing it.  12 months ago, I'd run a German query on ChatGPT and get back almost entirely English sources. Wikipedia, Reddit, major US publications.  Today? quite a different picture.  Same German query. Same location.   Now I'm seeing German Wikipedia, OMR Reviews, local agencies, German-language blogs in our own industry for example.   For sure, also EN Content is still there, but less so.  The mix shifted from 90% English to maybe 50/50.  ChatGPT is prioritizing local sources. We're seeing this across various accounts and industries at OtterlyAI.   In Germany, ChatGPT now surfaces OMR instead of always defaulting to G2 or Capterra. Local influencers get cited alongside industry giants. Regional domains are competing with global brands.  Why does it matter?  If you operate in non-english markets, this might be your chance to get AHEAD of your competitors.  I would make the following bet now:  If you have a local website, local content and address your non-english audience with their native language, then you outperform or will outperform your competitors who don't do that on AI Search.  What you need to do:  1) track which local websites show up in which countries 2) localise your website (A modern CMS like Storyblok can easily help, or use Localazy) 3) Get started with local content, community &amp; brand building</t>
  </si>
  <si>
    <t>OtterlyAI was created for marketers like you who seek to understand their brand's presence on AI-driven platforms. With our cutting-edge tools modeled after the precision and adaptability of otters, gain clarity and control over your online strategy today.</t>
  </si>
  <si>
    <t>𝗪𝗮𝗻𝘁 𝘁𝗼 𝗸𝗻𝗼𝘄 𝘄𝗵𝗲𝗿𝗲 𝗺𝗮𝗿𝗸𝗲𝘁𝗶𝗻𝗴 𝗶𝘀 𝗴𝗼𝗶𝗻𝗴? 𝗙𝗼𝗹𝗹𝗼𝘄 𝘁𝗵𝗲 𝗖𝗠𝗢 𝗯𝘂𝗱𝗴𝗲𝘁.  In this survey, AI/Automation ranks #1 (62%) (published by Wynter).  No surprise.  But #𝟮 𝗶𝘀 𝗺𝗼𝗿𝗲 𝗶𝗻𝘁𝗲𝗿𝗲𝘀𝘁𝗶𝗻𝗴: 𝗚𝗘𝗢 / 𝗔𝗘𝗢 (𝟯𝟰%) - optimizing for AI search and generative engines.  That’s ahead of intent data, events, ABM platforms, and even content tools.  For 20+ years we optimized for 𝗚𝗼𝗼𝗴𝗹𝗲’𝘀 𝗯𝗹𝘂𝗲 𝗹𝗶𝗻𝗸𝘀.  Now brands are realizing they also need to optimize for 𝗔𝗜 𝗮𝗻𝘀𝘄𝗲𝗿𝘀 - ChatGPT, Perplexity, Google AI Overviews/AI Mode.  Different discovery model. Different rules.  𝘐𝘴 𝘎𝘌𝘖 𝘢𝘭𝘳𝘦𝘢𝘥𝘺 𝘱𝘢𝘳𝘵 𝘰𝘧 𝘺𝘰𝘶𝘳 2026 𝘮𝘢𝘳𝘬𝘦𝘵𝘪𝘯𝘨 𝘱𝘭𝘢𝘯? 👇</t>
  </si>
  <si>
    <t>#1 #𝟮</t>
  </si>
  <si>
    <t>Ran from Mar 29, 2026 to Mar 29, 2026</t>
  </si>
  <si>
    <t>See exactly how ChatGPT, Perplexity, Gemini, and Google AI Overviews mention your brand — and your competitors. Monitor prompts, analyze citations, and turn GEO into a measurable channel. Start free → otterly.ai</t>
  </si>
  <si>
    <t>Prompt Language Changes Everything  It's Friday Evening and I'm having an AHA moment.  I tested:  Dutch queries in Netherlands English queries in Netherlands Italian queries in Italy English queries in Italy  across AI Mode, ChatGPT, Perplexity.  The results were surprising.  PERPLEXITY: 0% localized Citations on Perplexity when the prompt language is in English.  But when asked in the local language, the number of local citations go up massively.  ChatGPT: Even when you ask an English question in NL 🇳🇱 or Italy 🇮🇹, you get 30-70% localised content (in the local language).  But the increase isn't significant, when you ask in the local language.  My interpretation: ChatGPT is somewhere in the middle. Half EN-dominating content, half local content.  AI Mode: Prompt language matters a lot. When asked in local language, the number of local citations go from 37% to 75%. Same thing for Copilot.  The Takeaway is mixed from my POV.  1. we need to prioritize the local language our audience speaks. Localization helps us get an edge. 2. But ....AI Search Engines are not as local as Organic Google is. There's still lots of English content showing up for local search queries.  Join me next week in our live session for the full deep dive: https://luma.com/dzlqg46m</t>
  </si>
  <si>
    <t>Ran from Mar 29, 2026 to Apr 3, 2026</t>
  </si>
  <si>
    <t>Do YOU have AI Visibility issues? ❌  Most brands optimize their own website.  They should (also) be optimizing their presence across the web.  When I show marketers the Citation Report in OtterlyAI, something clicks.   They see it instantly:   the gap between where they ARE mentioned and where they SHOULD be mentioned.  OtterlyAI analyzes the on-page content of every URL that gets cited by AI Search.   Then it shows you exactly where you're NOT mentioned.  News sites.  Industry blogs.  Review platforms.  Places where your competitors show up and you don't.  Suddenly you have a target list.</t>
  </si>
  <si>
    <t>Ran from Dec 15, 2025 to Jan 4, 2026</t>
  </si>
  <si>
    <t>🎄 All I want for Christmas... is to rank in ChatGPT 🎄  While most marketers are still busy writing SEO wishlists to Santa Google, Thomas Peham is already unwrapping the next big thing:  📦 GEO – Generative Engine Optimization His latest webinar (link below 👇) is the closest thing to a holiday miracle for anyone trying to keep their brand visible in AI search results.  Here’s why you should stop wrapping gifts and start clicking “Register”:  🎁 Google’s AI Overviews are changing everything — and organic traffic is melting faster than snow in April  🦦 OtterlyAI has tracked 100M+ citations in AI-powered searches - and Thomas shares what actually gets you mentioned  ✨ This is not your good ol' SEO - it’s the playbook for showing up in ChatGPT, Perplexity, and AI-powered shopping tools  👉 Join the webinar (in the comments)   🎅 And bring your team. GEO is the new SEO - and the stakes just got higher.</t>
  </si>
  <si>
    <t>Ran from Dec 9, 2025 to Jan 12, 2026</t>
  </si>
  <si>
    <t>ChatGPT breaks into the global top 5 websites  Where will ChatGPT be end of 2026?   (source: Similarweb)</t>
  </si>
  <si>
    <t>HIGH PERFORMER 💜  Could 2025 have gone any better?  I doubt it.  &gt; OtterlyAI named High Performer for Answer Engine Optimization Tools by G2  &gt; OtterlyAI named Top Rated Leader for GEO Tools by OMR Reviews  &gt; OtterlyAI recognized as a Cool Vendor by Gartner  Oh and btw: We just crossed 15,000 marketers.   Big thanks to Josef, Klaus-M., and the entire team and our entire ecosystem. Too many people to thank! You know who you are.  2026 will be even BIGGER!</t>
  </si>
  <si>
    <t>Ran from Dec 6, 2025 to Dec 17, 2025</t>
  </si>
  <si>
    <t>2025 taught me a lot.  One thing stands out:   AI search isn't a trend. It's the new reality.  I spoke about this at #Joyconf a few weeks ago.   The room was packed. The questions kept coming. Marketing teams are waking up to what our data has shown for months.  ChatGPT, Perplexity, Google AI Overviews. They're not replacing Google.   They're changing how people find and trust brands.  Lots of 'theory' and hype here on Linkedin.  But:   Next week, I'm sharing everything I've learned in our latest webinar.   The data. The strategies. What's actually working. Form first-hand experience.  No fluff. Just what's working and what's not.  Bring your questions!  Link in comments.</t>
  </si>
  <si>
    <t>#Joyconf</t>
  </si>
  <si>
    <t>Ran from Dec 17, 2025 to Jan 12, 2026</t>
  </si>
  <si>
    <t>𝗔𝗜 𝗩𝗶𝘀𝗶𝗯𝗶𝗹𝗶𝘁𝘆 𝗜𝘀𝘀𝘂𝗲𝘀?  Most brands optimize their own website.  They should be optimizing their presence across the web.  When I show marketers the Citation Report in OtterlyAI, something clicks.   They see it instantly:  the gap between where they ARE mentioned and where they SHOULD be mentioned.  Take News &amp; Media sites. Your competitors are getting mentioned. You're not.  The Citation Report does something simple but powerful. It analyzes the on-page content of every URL that gets cited by AI Search. Then it shows you exactly where you're NOT mentioned.  Suddenly you have a target list.   News sites. Industry blogs. Review platforms. Places where your competitors show up and you don't.  That's your off-page gap.</t>
  </si>
  <si>
    <t>Ran from Dec 11, 2025 to Jan 12, 2026</t>
  </si>
  <si>
    <t>The state of the AI search in 2025/26   A great talk of my co-founder Thomas Peham at the Joyconf (Storyblok summit).   𝗧𝗵𝗲 𝗦𝘁𝗮𝘁𝗲 𝗼𝗳 𝗔𝗜 𝗦𝗲𝗮𝗿𝗰𝗵 𝗶𝗻 𝟮𝟬𝟮𝟱: 𝗞𝗲𝘆 𝗧𝗮𝗸𝗲𝗮𝘄𝗮𝘆𝘀 𝗳𝗼𝗿 𝗠𝗮𝗿𝗸𝗲𝘁𝗲𝗿𝘀  Search is undergoing a fundamental change, moving beyond just Google. With ChatGPT growing massively and Google rolling out AI views (Hour View), the way consumers discover brands is diversifying.  𝗧𝗵𝗲 𝗖𝗵𝗮𝗹𝗹𝗲𝗻𝗴𝗲: • Organic traffic is facing a projected decline (with some estimates suggesting a drop of up to 50% over the next two years). • In the United States, one-third of all Google search queries already lead to an AI view.  𝗧𝗵𝗲 𝗦𝗵𝗶𝗳𝘁 𝘁𝗼 𝗚𝗲𝗻𝗲𝗿𝗮𝘁𝗶𝘃𝗲 𝗘𝗻𝗴𝗶𝗻𝗲 𝗢𝗽𝘁𝗶𝗺𝗶𝘇𝗮𝘁𝗶𝗼𝗻 (𝗚𝗘𝗢): Marketers must transition their focus from traditional SEO metrics (clicks, impressions) to AI Search KPIs. Success is now measured by brand mentions, share of voice, and citations. This new methodology is known as Generative Engine Optimization (GEO).  𝗪𝗵𝗲𝗿𝗲 𝗔𝗜 𝗦𝗲𝗮𝗿𝗰𝗵 𝗖𝗶𝘁𝗲𝘀 𝗖𝗼𝗻𝘁𝗲𝗻𝘁: Worldwide, corporate and brand websites remain the top cited sources, accounting for 52% of all website citations as of September data. However, AI models increasingly prioritize other types of content: • News and Media Sites: These account for a significant portion, around 20% globally. • Community and Forums: High-trust, user-generated content from sites like Reddit and Wikipedia are highly visible and heavily favored, especially by ChatGPT. • Editorial Content: AI search loves listicles (e.g., 'Best tool for X, Y, Z') and press releases.  𝗦𝗼𝗰𝗶𝗮𝗹 𝗠𝗲𝗱𝗶𝗮 𝗩𝗶𝘀𝗶𝗯𝗶𝗹𝗶𝘁𝘆: Generally, social media is not indexed by AI search, with one critical exception: LinkedIn Pulse. For B2B strategies, the long-form articles published on LinkedIn are one of the few social media components that get picked up by AI search.  𝘌𝘴𝘴𝘦𝘯𝘵𝘪𝘢𝘭 𝘎𝘌𝘖 𝘈𝘤𝘵𝘪𝘰𝘯 𝘐𝘵𝘦𝘮𝘴 (𝘛𝘩𝘦 𝘛𝘩𝘳𝘦𝘦 𝘚𝘵𝘦𝘱𝘴 𝘵𝘰 𝘎𝘦𝘵 𝘠𝘰𝘶𝘳 𝘉𝘳𝘢𝘯𝘥 𝘔𝘦𝘯𝘵𝘪𝘰𝘯𝘦𝘥): To ensure your brand can be cited and found in an AI-first world, marketers should focus on three crucial steps:  1. Technical Readiness: Verify that your Content Delivery Network (CDN) and web host are not blocking AI crawlers. Furthermore, check your site's dynamic versus static content ratio, as AI crawlers still do not interact well with JavaScript.  2. Prompt Research: Move beyond traditional keyword lists. Map out topic clusters by translating keywords into natural language prompts to better understand what customers are researching on AI platforms like ChatGPT.  3. Build Your GEO Playbook: Analyze your current brand visibility to establish a baseline. Then, focus on an off-page earned media strategy and community investment, as the more people talk about your brand online, the better it impacts your visibility on AI search.  https://lnkd.in/erYJP2Yi</t>
  </si>
  <si>
    <t>Building a startup, 𝘁𝗵𝗲 '𝗯𝗼𝗿𝗶𝗻𝗴' 𝘄𝗮𝘆.  We've grown to 12 people. And I can't believe this happened.  Yes, we've grown from 0 to 12 FTEs in the last few months, and today I want to give a glimpse behind the scenes.  No VC money, no big fanfare. Fully focused on execution.  You'll see so many extremes on LinkedIn, which is why I'm calling our approach the 'boring' approach. The approach people don't talk about much.  Because mostly, you'll see on LinkedIn:  (1) VC-backed startups saying things like:  - we work 996 (9am to 9pm, 6 days a week) in office - Our team works 7-days a week, 90h+ shifts - We work hard and play hard  or  lifestyle founders and businesses saying things like:  - I scaled my business to $$$ as a solo entrepreneur with 100+ agents automating everything - I scaled this as a part-time business. I only work a few hours and spend the time traveling, at the beach...  Both extremes work for some people. They're just not for us. We picked things from both worlds to build something sustainable.  For us this means: - We work fully remote to give people flexibility while hiring great talent from anywhere (the talent pool just becomes so much bigger) - We obsess over our customers and product, focusing on real solutions - We learn and work hard, but we don't forget about life (we all have families) - We do things that don't scale; automation comes once we truly understand the problem  Our culture is international, team members bring different perspectives that make us better every day  I'm proud we're building the 'boring way,' and I'm even prouder of the team we have.</t>
  </si>
  <si>
    <t>Ran from Jan 7, 2026 to Jan 12, 2026</t>
  </si>
  <si>
    <t>Microsoft just added something useful to Bing Webmaster Tools 💜  You can now see real 𝗴𝗿𝗼𝘂𝗻𝗱𝗶𝗻𝗴 𝗾𝘂𝗲𝗿𝗶𝗲𝘀 and 𝘄𝗲𝗯𝘀𝗶𝘁𝗲 𝗰𝗶𝘁𝗮𝘁𝗶𝗼𝗻𝘀 for Copilot.  I dug into our own data and found:  -&gt; 5 pages carry 74.6% of all citations. Home page and blog posts dominate, plus a few product pages.  -&gt; 70% non-branded vs 30% branded grounding queries  -&gt; Consideration-stage queries drive most volume  -&gt; Branded queries span the full funnel: pure navigation ('OtterlyAI'), vertical-specific evaluation ('GEO tool for agencies'), competitive comparison ('OtterlyAI vs competitor')  I already adjusted the prompts we monitor in OtterlyAI based on these insights.  But here's what the new report doesn't show:  ❌ Brand mentions in AI responses (only citations)  ❌ Competitor tracking  ❌ Prompt-level analysis  ❌ Anything beyond Copilot  It's a good first step.   More transparency in AI search helps everyone.  But if you need the full picture across ChatGPT, Perplexity, and Google AIO, you'll more.  Full analysis linked in comments.</t>
  </si>
  <si>
    <t>Ran from Feb 11, 2026 to Feb 25, 2026</t>
  </si>
  <si>
    <t>Reddit is back on ChatGPT.  After dropping in September, it's climbing again.  Still the #1 most cited website on ChatGPT worldwide.  Here's what marketers get wrong:  They optimize THEIR website.  They should optimize their presence ACROSS THE WEB.  AI pulls from: - Reddit discussions - Wikipedia - News articles - Forums  Not just your landing page.  On-page = table stakes. Off-page = differentiator.  The internet's perception of you &gt; your marketing copy.  Build presence where conversations happen.  What's your Reddit strategy?</t>
  </si>
  <si>
    <t>Ran from Dec 9, 2025 to Jan 7, 2026</t>
  </si>
  <si>
    <t>To have used that tool (OtterlyAI) has been revolutionary to us. It made a big difference.' 🤯  That's Julius from the interview we did at JoyConf Amsterdam by Storyblok.  And honestly? This is why we built OtterlyAI.  For moments like this.   When someone tells you your product actually changed how they work.  Thanks Julius for the kind words and the great conversation at JoyConf.   This is what keeps us going. 😊</t>
  </si>
  <si>
    <t>Last night, I had to admit something embarrassing in front of 100s of people 🙈  We hosted our final live session of the year on AI Search.   I promised to share everything we learned, tested, and discovered in 2025.  The wins. The data. The strategies that worked.  But also the failures. And the moments that made me want to crawl under my desk.  Like this one: It took us two weeks to realize our website was invisible on ChatGPT.  If you missed it and want the full recording + slide deck, DM me 'AI Search' and I'll send it over.  Fair warning: It's 60 minutes of unfiltered lessons, including the mistakes I wish we'd avoided.</t>
  </si>
  <si>
    <t>Ran from Dec 5, 2025 to Dec 15, 2025</t>
  </si>
  <si>
    <t>𝗛𝗼𝘄 𝗱𝗼 𝗜 𝗳𝗶𝗻𝗱 𝗿𝗲𝗮𝗹 𝗽𝗿𝗼𝗺𝗽𝘁𝘀 𝗳𝗿𝗼𝗺 𝗿𝗲𝗮𝗹 𝗽𝗲𝗼𝗽𝗹𝗲?'  And the skeptic's follow-up:  'Why should I even bother optimizing for estimated prompts?'  These are the two questions I get most often.  Including last week at the GEO conference in Vienna.  So I said to myself: I have some data. Let me share it.  We analyzed hundreds of real prompts for our own business collected from market surveys.  We asked SEO and marketing professionals what they would enter on ChatGPT when researching products in our market category, then compared them against hundreds of estimated prompts generated through our own prompt research and Google Search Console data.  Here's what we found: → Real users write 71% longer prompts than estimated ones (15.1 words vs. 8.8 words on average) → 52.1% of real prompts use personal pronouns ('I,' 'my,' 'me') vs. only 18.8% of estimated prompts → Real prompts are 3x more problem-oriented (21.1% vs. 7.1%), meaning users describe their challenges way more than we expected  This is great stuff, and I'll be using it to adjust the prompts we monitor at OtterlyAI.  But here's what matters most: our AI search performance looked pretty similar across both data sets. That means optimizing for estimated prompts actually works. The effort we put into our initial data set is paying off across the board.  If you've been holding off on AI search optimization because 'we don't know what people type on ChatGPT'... that excuse doesn't hold up anymore.  Full breakdown with all the data 👇 https://lnkd.in/daYSaTSd</t>
  </si>
  <si>
    <t>𝗦𝗼𝗺𝗲𝘁𝗶𝗺𝗲𝘀 𝘄𝗲 𝘄𝗶𝗻, 𝘀𝗼𝗺𝗲𝘁𝗶𝗺𝗲𝘀 𝘄𝗲 ... 𝗹𝗲𝗮𝗿𝗻.   Here's why the LLMs.txt file doesn't work (yet).  In our latest #GEO experiment, we dove deep into the AI bots crawling behavior to see if the LLMs.txt file has some positive benefits.  Here are our newest findings.  Across 90 days of the experiment:  - Total AI bot visits to the site: 62,100+ - Total AI bot visits to /llms.txt: 84 = Share of AI bot traffic that went to /llms.txt: ~0.1%   What else?  llms.txt performed 3x worse than average pages: The site’s average content page received ~265 AI bot visits during the same period, while /llms.txt received only 84 visits.   And most importantly:   No positive correlation between llms.txt presence and increased AI crawler activity: The presence of a correctly implemented llms.txt file did not correlate with any noticeable uptick in overall AI bot activity or shift in crawling patterns.   The takeaways:  It doesn't hurt, but (most likely) it doesn't help either.  👉 Full article here: https://lnkd.in/dpFWUdZJ</t>
  </si>
  <si>
    <t>Ran from Feb 11, 2026 to Feb 16, 2026</t>
  </si>
  <si>
    <t>We're a small team. 12 people. No big VC funding.  𝗔𝗻𝗱 𝘄𝗲'𝗿𝗲 𝗼𝘂𝘁𝗽𝗲𝗿𝗳𝗼𝗿𝗺𝗶𝗻𝗴 𝗽𝘂𝗯𝗹𝗶𝗰 𝗰𝗼𝗺𝗽𝗮𝗻𝗶𝗲𝘀 and Series B scaleups on AI search visibility.  I get this question constantly: 'Thomas, my competitors have 10x the budget. How can I win on AI search?'  Here's the reality from our own data.  We track our brand coverage across AI search engines against our competitors.   The lineup includes:  - The biggest SEO tools on the market - 100M to 500M+ ARR business - Multiple VC-backed startups and scaleups  Our marketing budget is probably 50x to 100x smaller than theirs (probably even more).  Yet on Dec 16, our brand coverage hit 37%., putting us on 3rd position in our peer group. That puts us ahead of legacy SEO tools and VC backed startups.  How?  It's not about budget. It's about understanding what AI search engines actually work. And being focused on execution.  If you want the full breakdown, I'm sharing everything I've learned about GEO and AI Search in a live session on Monday, Dec 22.  Link in comments.</t>
  </si>
  <si>
    <t>“𝗧𝗵𝗲 𝗦𝗘𝗢 𝘄𝗮𝗿 𝗶𝘀 𝗼𝘃𝗲𝗿. 𝗧𝗵𝗲 𝗰𝗶𝘁𝗮𝘁𝗶𝗼𝗻 𝘄𝗮𝗿 𝘀𝘁𝗮𝗿𝘁𝘀 𝗻𝗼𝘄.” 🚀  Earlier this week I dove into our latest study at OtterlyAI ... we analyzed over 𝟭 𝗺𝗶𝗹𝗹𝗶𝗼𝗻 𝗰𝗶𝘁𝗮𝘁𝗶𝗼𝗻𝘀 across AI‑search platforms (ChatGPT, Perplexity, and Google AI Overviews).   The results? A wake‑up call for anyone who’s still treating “rankings” as the end‑game.  Here are the 4 things marketers &amp; founders need to know:  𝟭. 𝗩𝗶𝘀𝗶𝗯𝗶𝗹𝗶𝘁𝘆 = 𝗖𝗹𝗶𝗰𝗸𝘀 𝗮𝗻𝘆𝗺𝗼𝗿𝗲. Brands actually account for ~52.5% of all citations… but that doesn’t necessarily mean users land on your site. You might *be* visible, yet simultaneously invisible.  𝟮. 𝗗𝗶𝗳𝗳𝗲𝗿𝗲𝗻𝘁 𝗔𝗜 𝗲𝗻𝗴𝗶𝗻𝗲𝘀, 𝗱𝗶𝗳𝗳𝗲𝗿𝗲𝗻𝘁 𝗿𝘂𝗹𝗲𝘀.   • ChatGPT favours Reddit + Wikipedia + news sites. Brands? Mentioned often, but rarely linked.   • Perplexity gives more weight to community forums (16.9% of citations) and *does* link.   • Google AI Overviews show the strongest brand preference (59.8%) and more click‑throughs but appears only ~33% of the time.   → 𝘊𝘰𝘯𝘤𝘭𝘶𝘴𝘪𝘰𝘯: Stop one‑sizing your “AI SEO” strategy. You need three separate plays.  𝟯. 𝗜𝗳 𝗔𝗜 𝗰𝗮𝗻’𝘁 𝗰𝗿𝗮𝘄𝗹 𝘆𝗼𝘂, 𝘆𝗼𝘂’𝗿𝗲 𝗶𝗻𝘃𝗶𝘀𝗶𝗯𝗹𝗲. Some content gets skipped altogether, not because it’s bad - but because it’s technically unreadable (blocked by robots.txt, JavaScript rendering issues, etc.). → Fix your tech stack *before* you get excited about content.  𝟰. 𝗖𝗿𝗲𝗮𝘁𝗲 ‘𝗿𝗲𝗳𝗲𝗿𝗲𝗻𝗰𝗲‐𝗴𝗿𝗮𝗱𝗲’ 𝗰𝗼𝗻𝘁𝗲𝗻𝘁, 𝗻𝗼𝘁 𝗷𝘂𝘀𝘁 𝗦𝗘𝗢 𝗰𝗼𝗻𝘁𝗲𝗻𝘁. AI engines favour editorial, frequently updated, discussion‑rich content. They’re less impressed by polished marketing copy chasing keywords. → Ask yourself: could my piece be referenced in a Wikipedia‑style summary? If not, you may be fighting the wrong battle.  𝗪𝗵𝘆 𝘁𝗵𝗶𝘀 𝗺𝗮𝘁𝘁𝗲𝗿𝘀 𝗳𝗼𝗿 𝘆𝗼𝘂 (𝘆𝗲𝘀, 𝘆𝗼𝘂 𝘁𝗵𝗲 𝗺𝗮𝗿𝗸𝗲𝘁𝗲𝗿/𝗯𝗿𝗮𝗻𝗱 𝗺𝗮𝗻𝗮𝗴𝗲𝗿/𝗳𝗼𝘂𝗻𝗱𝗲𝗿): Traditional SEO is still useful - but in this new era of generative search, *𝘣𝘦𝘪𝘯𝘨 𝘤𝘪𝘵𝘦𝘥* matters more than *𝘣𝘦𝘪𝘯𝘨 𝘳𝘢𝘯𝘬𝘦𝘥*. If your brand gets overlooked in AI‑generated answers, you lose mind‑share before you even get a chance to convert.  So budgets, KPIs and org charts must shift: • From “keywords &amp; backlinks” • To “brand mentions + citations + crawlability”  And your 𝘤𝘰𝘯𝘵𝘦𝘯𝘵 𝘵𝘦𝘢𝘮? They must work hand‑in‑glove with tech ops &amp; product to ensure the site is builtin‑for‑AI‑visibility, not just human‑readability.  𝗙𝗶𝗻𝗮𝗹 𝘁𝗵𝗼𝘂𝗴𝗵𝘁: The next frontier isn’t just being seen - it’s being *𝘵𝘳𝘶𝘴𝘵𝘦𝘥*. And in the age of AI‑search, trust comes from being referenced.  📌 What’s the most surprising citation insight you’ve seen lately in your content or brand visibility?</t>
  </si>
  <si>
    <t>Ran from Dec 10, 2025 to Jan 12, 2026</t>
  </si>
  <si>
    <t>SEO is GEO.   GEO is SEO. Kind of.  They overlap - but they’re not the same.  Want to know which brands show up in ChatGPT responses? Which websites AI assistants actually reference?  We built OtterlyAI to track that at scale - so you don’t have to guess anymore.  otterly.ai</t>
  </si>
  <si>
    <t>Ran from Oct 12, 2025 to Oct 26, 2025</t>
  </si>
  <si>
    <t>𝗜𝘁’𝘀 𝗡𝗼𝘁 𝗢𝗻𝗹𝘆 𝗦𝗘𝗢.  Last month, I did the following experiment.   I wanted to increase our brand mentions (of OtterlyAI) on AI Search.  Especially for category based search queries such as:  👉 Top AI Search Monitoring Tool 👉 Best AI Search Monitoring Tool 👉 Award-winning AI search monitoring platforms  You get it.  what we did?  1) We created + distributed a couple of press releases via Press Ranger  2) Within a couple of days the press release was cited on Copilot, ChatGPT and Google AIO - the following URLs started showing up in our reporting: https://lnkd.in/eXYpeKZB, finance.yahoo.com and globenewswire.com   3) Our brand mention count went up. So early sign looks promising. See screenshot to see how OtterlyAI compares with Semrush.   In AI Search I believe it’s about two plays:  1️⃣ Be visible as a brand  AND/OR  2️⃣ be cited as a website / source  With my experiment here, I wanted to understand if we can positively influence brand mentions threw off page activities (such as PR, community, media).  What do you think? Worth continuing?  PS: We just shipped a major product update, making these kind of experiments easy to track. PPS: Want to hear more real-life experiments from me? Let me know.  (full article in the comments)</t>
  </si>
  <si>
    <t>Prompt Research 🔎 is quickly becoming the new SEO Keyword Research  So, what is an IRRELEVANT PROMPT not worth tracking on AI Search?  I think it's a prompt that matches those two criteria.  👉 (1) A prompt that triggers zero brands to get mentioned in the AI response  AND  👉 (2) A prompt that doesn't trigger web search = zero website citations   Here are some examples: -&gt; How to boil an egg -&gt; What is a dinosaur -&gt; how to see if AI mentions your brand -&gt; Explain the concept of time travel in science fiction  Long story short:  These Top-of-Funnel prompts that are not worth tracking and optimizing for. Why?   1. ChatGPT has the answer in their LLM - no web search needed 2. No brands (most often) get recommend for these information / educational queries.  What to do instead?   Monitor prompts that require web search + get brands mentioned. Answer questions that cannot easily be answered by LLM models.  So, how to spot IRRELEVANT prompts?  You can import hundreds or thousands of prompts into OtterlyAI and within minutes you’ll see which ones are irrelevant for you based on 0 brand mentions and 0 web citations.   Here's a screenshot of my own OtterlyAI account:  Need help figuring out IRRELEVANT from RELEVANT prompts -&gt; ping me, and check out the future reads in the comments below.</t>
  </si>
  <si>
    <t>Ran from Nov 29, 2025 to Dec 17, 2025</t>
  </si>
  <si>
    <t>How to do Prompt Research? How to Analyze AI Search? How to Optimize for MORE Visibility?</t>
  </si>
  <si>
    <t>Ran from Nov 29, 2025 to Dec 5, 2025</t>
  </si>
  <si>
    <t>Ran from Oct 24, 2025 to Nov 23, 2025</t>
  </si>
  <si>
    <t>How to Find Real Prompts?  How do we know which prompts our audience uses on ChatGPT?   Every marketer I talk to struggles with these questions:  - Which prompts are my audience actually using on ChatGPT and other AI-powered search engines?  - How do I build a prompt list worth focusing my energy on? The reality?  👉 There’s no Google Search Console for ChatGPT (yet). 👉 OpenAI doesn’t disclose prompt data either.  Great news.  I have two options for you:  (1) Google is indexing shared ChatGPT conversations.  When a user shares a ChatGPT chat, Google can now index it. Your interaction with ChatGPT becomes now public.  And it allow us marketers to do: * Marketing research at scale * Identify real prompts from real users in our industry  Go to google.com - enter: site:chatgpt.com/share 'your keyword'  (2) Use Google Search Console While Google doesn't separate between organic, AI mode and AI Overviews, you'll find real prompts in your search console that real people used to find your brand on AI Mode and AI Overviews.   ➡️ The longer the query, the more likely it came from AI Mode or triggered an AI Overview. These queries are gold for understanding how real users phrase their questions – perfect for SEO and product marketing.  Check out the link in the comments for the full how-to.   How to find real prompts just got a bit easier for us.</t>
  </si>
  <si>
    <t>Ran from Sep 12, 2025 to Oct 12, 2025</t>
  </si>
  <si>
    <t>OtterlyAI Recognized  𝗮𝘀 𝗮 𝗖𝗼𝗼𝗹 𝗩𝗲𝗻𝗱𝗼𝗿  in the 2025 Gartner®  Cool Vendors™ for AI in Marketing  Yep. That's us.  We are one of just five vendors featured in 2025 𝗚𝗮𝗿𝘁𝗻𝗲𝗿 𝟮𝟬𝟮𝟱 𝗖𝗼𝗼𝗹 𝗩𝗲𝗻𝗱𝗼𝗿𝘀 𝗶𝗻 𝗔𝗜 𝗠𝗮𝗿𝗸𝗲𝘁𝗶𝗻𝗴 report.  And we are just getting started.  And yes, 𝗢𝘁𝘁𝗲𝗿𝗹𝘆𝗔𝗜 𝗶𝘀 𝗼𝘁𝘁𝗲𝗿𝗹𝘆 𝗰𝗼𝗼𝗹.  You should give it a try. 😎</t>
  </si>
  <si>
    <t>Ranking #1 on ChatGPT?  Is it just SEO? Or GEO?  Or… something else?  Let’s get something straight.  1️⃣ The consumer/customer journey is different. People use prompts on ChatGPT instead of keywords on Google.  2️⃣ There’s only a 27% overlap between the most visited U.S. websites (across all channels) and the most cited U.S. websites on ChatGPT.   Does this mean we should forget SEO and just do GEO?  No – that’s the wrong question to begin with.   Why?  Because we actually need to change two key things in marketing:  1) Shift from keyword optimization to real customer journey mapping How? By identifying the relevant prompts in the first place. Here’s how to do it: - Customer data: Ask your prospects and customers directly. - Google Search Console: Check the top queries – many are already prompts people use in AI Mode or for AI Overviews - OtterlyAI’s AI Keyword Research Tool: Discover prompts and topics customers care about. - Customer questions: Collect problem-based, category-based, competitor-based, and brand-based questions your customers are asking.  2) Change how we measure success Here’s the hard truth: -&gt; The organic website funnel isn’t coming back. -&gt;  AI Overviews and ChatGPT have extremely low click-through rates.  =&gt; Optimizing for website clicks alone won’t get us far.  What to do instead?  2a) Optimizing for BRAND mentions and influence: Are we showing up when customers research solutions?  2b) Optimizing for website citations: Is our content being cited? Are we creating content that gets crawled and referenced by AI?  Long story short:   AI Search is exciting because it forces us to return to marketing fundamentals: ✅ Strong positioning – what do we want to be known for? ✅ Great content – that solves real customer problems. ✅ Being mentioned and referenced online – everywhere customers are researching. The more brand mentions on the internet, the more brand mentions on ChatGPT.</t>
  </si>
  <si>
    <t>𝗘𝘃𝗲𝗿𝘆 𝘀𝗶𝗻𝗴𝗹𝗲 𝗮𝗴𝗲𝗻𝗰𝘆 𝘁𝗼𝗹𝗱 𝘂𝘀 𝘁𝗵𝗶𝘀.  AI Search is a big opportunity - for brands to show up, and for Agencies to be helpful.  After having onboarded more than 40+ agencies to our partner program, we promised to do better.  Today, we shipped Workspaces.  And this is the biggest update we've built for agencies.  Agencies don't just manage one brand. They manage dozens. Each with its own reports, goals, team access, and AI Search performance data.  Before today, that meant juggling multiple OtterlyAI accounts. Or mixing all client data into one messy workspace.  Not anymore.  With Workspaces, you get one subscription that unlocks unlimited workspaces.   Run dedicated pitches in separate spaces. Set up individual workspaces for each client. Your team can see everything. Each client only sees their data.  No artificial limits on brand reports or team members. No complicated pricing tiers based on how many clients you manage.  Head over to otterly.ai and try it today.  PS: Want one of those hoodies? Leave a comment and I (might) raffle a few away.</t>
  </si>
  <si>
    <t>My favorite community (the SaaS Club Vienna VIPs) met to discuss Generative Engine Optimization last night.   Here are my raw notes:  1. Most are seeing the Great Decoupling on Google - Impressions are up or stable, Clicks &amp; CTR are down.  2. Top of funnel organic traffic is down somewhere between 20 and 40%   3. Some report better performance (CTR) on Google ads (eg in DACH region), while others see a worse CTR (eg in US)  3. For some there is a lead and revenue impact - others don't see an impact (yet)  4. While organic traffic is down, some report an increase in branded search (assumption: people do find brands on ChatGPT ('dark search') and then google for 'brand name' -&gt; attributed towards branded search). While organic traffic decline is real, other acquisition channels are stable and/or growing (diversification is important)  5. It's just a matter of time when ads become widely available in AI Overviews (and ChatGPT) - potentially some great first mover advantage here  6. Reddit is a thing. While we most often think that Reddit is primarily something for our US audience, we shouldn't neglect it. There are subreddits (also in german or french language) for all sorts of b2b topics.  7. You might want to localise your content - also due to ChatGPT becoming more localised. If your audience searches with german/french prompts, you have better chances of getting cited if you have localized content &amp; mentions.  8. Prompts - How do you know which prompts your audience use on ChatGPT? ASK your leads and customers how they found you and which prompts they used. Or use a tool like to OtterlyAI to ideate on prompts.  What are the takeaways?  * Marketers are adopting to new metrics and this new reality (less accuracy in traffic as a KPI -&gt; towards Brand (mentions, share) =&gt; I think this is great, but I also know that these are difficult conversations right now in many businesses  * Lots of content experiments: Content freshness, FAQs, long form content, Schema . org  * Authority -&gt; Both on-site (put your experts up &amp; center) but also off-page (brand building through media/PR)  * Brand mention building -&gt; some are investing into guest posts (on media), reddit/quora, as well as G2, Capterra, OMR Reviews to build out their number of mentions on the internet  Thanks 🏴☠️ Michael Kamleitner for hosting the meetup!   PS: Why I love those small inner circle communities?  Everyone's openly sharing. There's so much value in those conversations and just by being around people who geek out on topics.   That's why Lukas Mehnert and I are putting together an in-person SaaS CMO Bootcamp in Oct - approx 20 B2B SaaS Marketing Leaders in 1 room for 1,5 days. Openly sharing, being mentors for each other, exchanging notes and swap files. No BS, just honest talk, and some nice shared experiences. You can come with your honest challenges and learnings, and hopefully you leave with some new friends.  If you want to join please DM me.</t>
  </si>
  <si>
    <t>𝟮.𝟱 𝗯𝗶𝗹𝗹𝗶𝗼𝗻 𝗽𝗿𝗼𝗺𝗽𝘁𝘀 𝗮 𝗱𝗮𝘆.  That’s how many queries ChatGPT handles - every single day. (And 330 million are from the US alone.)  To put that in perspective:  Google processes around 14-16 𝘣𝘪𝘭𝘭𝘪𝘰𝘯 𝘴𝘦𝘢𝘳𝘤𝘩𝘦𝘴 𝘥𝘢𝘪𝘭𝘺  ChatGPT now handles ~18% of that … just 2 years after launch 🤯  Welcome to the post-Google era of search.  Here’s what that means for marketers:  📉 Organic traffic is in decline 🔍 Google’s AI Overviews are stealing clicks 💬 Consumers are asking AI, not just searching keywords 🧠 Prompts are the new queries 🛠️ Welcome to the world of Generative Engine Optimization (GEO)  GEO = getting your brand mentioned inside AI answers, not just ranked on SERPs.  Because LLMs aren’t just indexing pages—they’re summarizing, synthesizing, and deciding what the best answer is. And spoiler: it might not be you.  If you're still thinking in keywords, you're already behind.  Here’s your 𝗽𝗹𝗮𝘆𝗯𝗼𝗼𝗸:  - Get cited (quotes + stats work wonders) - Be in reputable sources (Reddit, Wikipedia, partner media) - Show up in real-world usage (user-generated content) - Track where LLMs are showing or ignoring you (tools like OtterlyAI)  We're in the Wild West of AI search - and the land grab is happening now.</t>
  </si>
  <si>
    <t>Ran from Sep 9, 2025 to Sep 23, 2025</t>
  </si>
  <si>
    <t>𝗧𝗵𝗶𝗻𝗸 𝗯𝗶𝗴.   Rank 1 on ChatGPT.   (and try OtterlyAI 2.0)</t>
  </si>
  <si>
    <t>10,000 PEOPLE  on OTTERLY.AI  I was on PTO last week. (Side note: people asked me if a startup CEO and co-founder can take time off. Answer: yes, I can. See evidence photo 😜)  And while I was on PTO, we crossed 10,000 USERS on our platform.  This post is to everyone who trusts us. Trusts us with their AI Search efforts.  THANK YOU.  From all the big brands to small ones.  G2 reviews and customer success stories confirm:  OtterlyAI helps marketing teams gain clarity and deep insights on their AI search performance. Clarity to navigate the AI Search Era.  Yet, we are a small startup. Fully bootstrapped. Entirely remote.  We are building what marketing team needs.  And trust me. This is just the beginning.  PS: We still have a few open positions -&gt; https://otterly.ai/careers</t>
  </si>
  <si>
    <t>Ran from Sep 26, 2025 to Oct 26, 2025</t>
  </si>
  <si>
    <t>We’re excited to share that we are a proud Sponsor at #JoyConf!  As a partner in driving innovation and connection, we’ll be on-site with our team, sharing GEO and AI Search Insights, and some surprises you won’t want to miss.   Stop by our booth to chat with us!  REGISTER TODAY FOR FREE:  https://lnkd.in/ecjXaSvd  #Storyblok #JoyConf2025 #Sponsor #HeadlessCMS #DigitalExperience #Developers #Marketers</t>
  </si>
  <si>
    <t>#JoyConf #Storyblok #JoyConf2025 #Sponsor #HeadlessCMS #DigitalExperience #Developers #Marketers</t>
  </si>
  <si>
    <t>Marketers, if you do 1 thing today, do this.  Please.  Your content might be invisible to ChatGPT and its crawlers.  And you don't even know it.  What is happening?  More and more web hosters and CDN providers are blocking ChatGPT bots from crawling your content.   Some give you the option to decide with a simple turn off/turn on toggle (e.g. Cloudflare). But others? They don’t tell you at all - they just block it by default.  Why are they doing it?  it costs them money.  We heard from one web hoster 'OpenAI crawlers are pretty aggressive, that's why we block them'. Well, thanks but wouldn't it be nice to let us know?  Long story short: You might be doing rockstar work on SEO and content…  …but your site could still be invisible to ChatGPT simply because your CDN or hosting provider blocks its bots.  ✅ Action: Call or contact your hosting/CDN provider and double (or triple) check whether you can control this.  PS: You can also check if your site is cited in ChatGPT with a tool like OtterlyAI. If your website is not getting cited, that’s a major red flag.</t>
  </si>
  <si>
    <t>Transform your brand's AI Search Visibility with OtterlyAI. Monitor how you show up on ChatGPT today.</t>
  </si>
  <si>
    <t>Ran from Aug 29, 2025 to Sep 15, 2025</t>
  </si>
  <si>
    <t>Improve your brand's visibility on ChatGPT with OtterlyAI, the essential tool for monitoring AI search platforms.</t>
  </si>
  <si>
    <t>𝗬𝗼𝘂𝗿 𝘄𝗲𝗯𝘀𝗶𝘁𝗲 𝗺𝗶𝗴𝗵𝘁 𝗯𝗲 𝗜𝗡𝗩𝗜𝗦𝗜𝗕𝗟𝗘 𝘁𝗼 𝗔𝗜 𝘀𝗲𝗮𝗿𝗰𝗵 𝗲𝗻𝗴𝗶𝗻𝗲𝘀 🚨  Here's the shocking truth: Your site could have the most authoritative, valuable content in your industry, yet ChatGPT, Claude, and Perplexity might NEVER find it.  Why? Because AI bots might not even be crawling your website - and you probably don't even know it.  The Hidden Crisis:  ✗ Your CDN/hosting provider could be blocking AI bots by default (yes, some don't even tell you!)  ✗ Your robots.txt file might be accidentally blocking the wrong crawlers  ✗ Dynamic content could be invisible to AI search bots  ✗ You're missing out on citations, references, and AI-driven traffic  Quick Reality Check: When was the last time you checked if OAI-SearchBot, PerplexityBot, or ClaudeBot can actually access your content?  The Stakes Are HIGH:  → Lost visibility in AI search results  → Competitors getting cited while you're ignored → Missing the AI search revolution entirely  → Revenue opportunities vanishing into thin air  Take Action NOW:  1️⃣ Check your website logs for AI bot activity  2️⃣ Review your robots.txt file (domain/robots.txt)  3️⃣ Test your site with AI crawler simulation tools  4️⃣ Audit your dynamic vs. static content  The bottom line: 𝗜𝗻 𝘁𝗵𝗲 𝗮𝗴𝗲 𝗼𝗳 𝗔𝗜 𝘀𝗲𝗮𝗿𝗰𝗵, 𝗯𝗲𝗶𝗻𝗴 𝗰𝗿𝗮𝘄𝗹𝗮𝗯𝗹𝗲 𝗶𝘀𝗻'𝘁 𝗼𝗽𝘁𝗶𝗼𝗻𝗮𝗹 - 𝗶𝘁'𝘀 𝘀𝘂𝗿𝘃𝗶𝘃𝗮𝗹.  Don't let your amazing content become AI's best-kept secret.  What's your experience with AI bot crawling? Have you checked your site lately? 👇</t>
  </si>
  <si>
    <t>🔎 𝗙𝗿𝗲𝗲 𝗚𝗘𝗢 𝗔𝘂𝗱𝗶𝘁 to Rank #1 on ChatGPT!  ✅ Check how visible your brand/website is on ChatGPT  ✅ Spot quick-win opportunities and hidden blind spots  ✅ Give clear, actionable steps to boost your AI search visibility  Want a free live audit of your website?  Try OtterlyAI 14 days for free.</t>
  </si>
  <si>
    <t>AthenaHQ</t>
  </si>
  <si>
    <t>Paid for by NuvoTech, Inc</t>
  </si>
  <si>
    <t>Your buyers ask ChatGPT before they ever hit Google. If AI doesn't cite you, your competitor gets the recommendation and you never see the lost deal. Athena shows you every prompt where you're invisible, then fixes it. Built by ex-Google Search PMs.</t>
  </si>
  <si>
    <t>Executive Assistant, Operational Support &amp; Business Productivity</t>
  </si>
  <si>
    <t>We recently analyzed more than one million AI generated responses, and a clear pattern appeared.  AI does not distribute attention evenly. It heavily concentrates on the top competitors in every category.  When AI models assemble answers, the leading brand receives more than thirty two percent of all Share of Voice. The second competitor drops to just twenty percent, and the third falls to thirteen percent.  The curve is steep.  Once a brand pulls ahead, AI keeps amplifying it. Models reuse the same sources, reinforce the same leaders, and rely on the same domain signals. This creates a compounding effect where the top one to two players gain the majority of visibility, while everyone else competes for the remainder.  The takeaway is simple.  AI does not think like a search engine. It behaves more like a compression layer over the internet, pulling the most referenced, most cited, and most repeatedly mentioned brands to the top. If you are not in that cluster, it becomes significantly harder for AI to surface you at all.  A strong presence across both on page and off page signals increases the likelihood that models reference your brand. A weak one means your competitors will dominate the narrative in places you may never see and cannot track through traditional analytics.  This is not a dramatic shift. It is a reminder that AI driven search is becoming more concentrated, more competitive, and more dependent on external validation signals that compound over time. Brands that invest early will shape the answers people read every day.  I am Andrew Yan, Co founder of AthenaHQ (YC 2025). Athena helps more than two hundred brands including SoFi, ZoomInfo, Julius, and Gruns understand how AI models reference them and how to strengthen their presence across GenAI search.</t>
  </si>
  <si>
    <t>🏛️ While some brands are waiting for 'clearer data' on AI search, the early adopters are seeing huge share of voice gains. We analyzed millions of AI responses at AthenaHQ, and the results are clear:  1. Brands optimizing for AEO and GEO are capturing 15–25% Share of Voice in AI answers within just months.  2. This isn't just about ranking # 1 on a list of blue links anymore. It’s about being apart of the recommendation an AI gives to a high-intent buyer.  3. The window for 'Early Adopter' advantage is closing. Are you optimizing for the search landscape of 2026?  Read more about what’s changing and how to get in front of the pack, get our 2026 State of AI Search Report today!   Link - https://lnkd.in/e5i6y_kQ</t>
  </si>
  <si>
    <t>Here's why every AI model has its own source preferences.  🧵 New data from 6 million AI responses:  Google AI Overviews: - Averages 13.89 sources per response - Pulls from authoritative domains - Different citation patterns than traditional search  Claude: - Averages 9.09 sources per response - More academic and technical sources - Different domain preferences entirely  Gemini: - Averages 8.01 sources per response - Unique citation patterns - Different from both ChatGPT and Claude  ChatGPT: - Heavily biases toward Reddit (10.36% of citations) - Pulls from Wikipedia (6.85%) - Cites YouTube (5.93%)  Perplexity: - Indexes new content as fast as 2 days - Much faster than ChatGPT - Different citation patterns  Grok: - Doesn't show the same Reddit bias - Pulls from different sources entirely  📌 What This Means:  If you're optimizing the same way for all models?  You're wasting effort.  Example:  If your users are on Claude and you're only focusing on Reddit because 'that works for ChatGPT'?  You're invisible where it matters.  📌 That's why we designed Athena to be tailored for each vertical.  AI search is hyper-personalized by: - Vertical (B2B SaaS vs healthcare vs finance) - Model (ChatGPT vs Claude vs Perplexity) - Use case (research vs purchase intent vs comparison)  There's no one-size-fits-all approach.  The brands winning AI search right now?  They're not following generic advice. They're being surgical with tools like Athena.  👋 P.S. Want to see which models are driving traffic in YOUR vertical?  Comment 'MODELS' and I'll send you our industry-specific AI model preference breakdown.  --  I'm Andrew Yan (ex Google Search), Co-founder of AthenaHQ (YC 2025). Athena helps 200+ global brands like SoFi, ZoomInfo, Julius, and Paperless Post optimize across all major AI models</t>
  </si>
  <si>
    <t>When we analyzed 1.68 million URLs cited by AI models this month, three types of content made up nearly 74% of everything referenced:  🔹 Comparative / Selection – 'best tools,' 'x vs y,' 'top 10' 🔹 Acquisition / Obtaining – 'get,' 'download,' 'pricing' 🔹 Learning / Education – 'how to,' 'guide,' 'tutorial'  Basically, AI spends most of its time helping people decide, get, or learn - not so different from us on a Friday night googling 'best takeout near me.' Nothing groundbreaking. Just a reminder that the web (and AI) still revolve around curiosity, decisions, and action.  I'm Andrew Yan, Co-founder of AthenaHQ (YC 2025). Athena helps 200+ brands like SoFi, ZoomInfo, Julius, and Gruns understand and grow on GenAI Search. #AIInsights #AthenaHQ #SearchIntelligence #GenAI #DataVisualization</t>
  </si>
  <si>
    <t>#AIInsights #AthenaHQ #SearchIntelligence #GenAI #DataVisualization</t>
  </si>
  <si>
    <t>📣 Our State of AI Search 2026 Report is here!   The search landscape has entered a new era. Success now depends on being visible within the answers AI delivers, not just appearing in search results. Based on 8 million AI responses across leading models, explore Athena’s “State of AI Research 2026” report for industry benchmarks and insights on how visibility and trust are being redefined.   🏛️ What You'll Learn:  - How AI search differs from traditional search: Why clicks are down and answer-share is the new currency - What Generative Engine Optimization (GEO) really is: The strategy that helps brands be part of AI answers - By vertical: How industries are adapting to AI-driven discovery and what teams can do to stay visible in the era of generative search - New success metrics: What matters when AI engines are shaping discovery and decisions - Actionable insights: How to rethink content so it gets referenced by AI systems with real examples  2025 was the year AI search stepped into the spotlight. 2026 is the year it begins to scale. The future of search is not about ranking first. It is about being chosen as the answer. This report is your guide to doing exactly that.</t>
  </si>
  <si>
    <t>We analyzed 50 million AI responses to find who wins visibility in 2026, and why. See your industry's benchmarks in the free State of AI Search report.  What you'll get in this free report:  - Why your traffic is dropping and what's replacing traditional search behavior - The AEO / GEO playbook on how top brands are engineering their content to get cited by AI, not just indexed by Google - Your industry's AI visibility benchmarks so you can see where you stand vs. competitors right now - The new metrics that actually matter, forget rankings; here's what to measure when AI shapes buying decisions - Content strategies with real examples of brands that restructured content and saw AI citation rates climb  2025 was the wake-up call. 2026 is where the gap between AI-visible brands and invisible ones starts to take shape.  👉 Download the State of AI Search report today!</t>
  </si>
  <si>
    <t>Want to grow traffic from AI Search?  Former Google Search product manager-founded startup helps companies achieve business outcomes on AI Search</t>
  </si>
  <si>
    <t>We recently analyzed more than one million AI generated responses, and a clear pattern appeared.  Most of what AI knows about your brand is not coming from your website. It is coming from the rest of the internet.  When AI models assemble answers, only twenty percent of the information they use comes from on page content. The remaining eighty percent comes from five external sources that consistently dominate: Reddit, YouTube, Wikipedia, LinkedIn, and Forbes.  The takeaway is simple.  Your website still matters, but it is no longer the primary place where AI learns who you are. Off page content carries most of the weight because that is where real discussions, comparisons, and opinions live. AI pays attention to those signals because they reflect how the market actually talks.  A strong off page footprint increases the likelihood that AI references your brand. A weak one means you are missing visibility in places you may never check and cannot measure directly.  This is not a dramatic shift. It is a reminder that AI search is becoming more external, more distributed, and more dependent on platforms outside your control. Brands that invest in the spaces where AI collects information will shape the answers people read every day.  I am Andrew Yan, Co founder of AthenaHQ (YC 2025). Athena helps more than two hundred brands including SoFi, ZoomInfo, Julius, and Gruns understand how AI models reference them and how to strengthen their presence across GenAI search.</t>
  </si>
  <si>
    <t>Our customer Grüns 6x Share of Voice in 60 days.  23x citation rate growth.  10,500+ AI search impressions.  Here's the exact playbook we used with Grüns:  📌 The Context:  Grüns is one of the fastest-growing e-commerce brands in the country.  Zero to $500M valuation in 2 years. $100M+ ARR. 4 million gummies shipped per day.  But they had a problem:  Their customers were asking AI health related questions and Grüns wasn't showing up.  📌 What We Did:  Month 1: Shipped ONE high-leverage blog post. Saw immediate movement in citations and brand mentions. Validated the approach.  Month 2: Programmatically shipped 15 targeted posts. Used pillar + cluster architecture. Optimized for entity clarity and AI extraction.  📌 The Results:  Share of Voice: 2.0% → 12.6% (6x) Citation Rate: 0.3% → 7.0% (23x) Brand Mentions: 4.0% → 25.0% (+19%)  70% of their AI citations came from content we created with Athena.  📌 Why It Worked:  We didn't just write blog posts.  We reverse-engineered which prompts had volume. We built content that AI models could easily parse and cite. We focused on entity completeness, not keyword stuffing.  That's the difference between surface-level optimization and going a layer deeper.  👋 P.S. Want the full Grüns playbook?  Comment 'GRUNS' and I'll send you the complete case study with the exact sequence we ran.  --  I'm Andrew Yan (ex Google Search), Co-founder of AthenaHQ (YC 2025). Athena helps 200+ global brands like SoFi, ZoomInfo, Grüns, and Paperless Post take control and grow on GenAI Search</t>
  </si>
  <si>
    <t>Spoke with Andrew Yan this week. And then quickly got started with AthenaHQ, it’s the AI-search platform that I’ve been looking for.  Candidly, I’ve been struggling to wrap my head around AI Search and all of the tooling in the category.   The SEO in me has been a little uncomfortable, if I’m being honest. With SEO, I feel like I know exactly what I need to do, but with AI Search, it feels more like a black box.   But Athena is built differently. Less noise, and more actionable insights.  - prompt generation and iteration - tracking / monitoring - a prescriptive playbook - an integration with our CMS (Webflow)  Going to be digging in a lot more over the next few months. But for starters, feeling excited about Athena!  Disclosure: Andrew hooked me up with some extended functionality and gave me access to a handful of their enterprise features #ad. And I said that I’d be happy to write this post!</t>
  </si>
  <si>
    <t>Your prompt universe is bigger than you think. Start mapping it. See every prompt where your brand wins or loses. Dominate AI Search:  - Every market - Every language - Every LLM  Get a free AI audit in under ten minutes. Try AthenaHQ today!</t>
  </si>
  <si>
    <t>Search looks different than it did a year ago. The brands showing up in AI answers are the ones winning.   Athena's State of AI Search 2026 report analyzed 8 million AI responses across leading models to reveal exactly who's winning visibility and why.  What you'll get in this free report:  - Why your traffic is dropping and what's replacing traditional search behavior - The AEO / GEO playbook on how top brands are engineering their content to get cited by AI, not just indexed by Google - Your industry's AI visibility benchmarks so you can see where you stand vs. competitors right now - The new metrics that actually matter, forget rankings; here's what to measure when AI shapes buying decisions - Content strategies with real examples of brands that restructured content and saw AI citation rates climb  2025 was the wake-up call. 2026 is where the gap between AI-visible brands and invisible ones starts to take shape.   👉 Download the State of AI Search report today!</t>
  </si>
  <si>
    <t>When we compared the types of content eight major AI systems rely on, we noticed something subtle but important.  No matter which model you look at, the mix of content is almost identical.  Informational content made up 33% of their answers. Comparative and selection oriented responses reached 25%. Acquisition and how to queries accounted for 17%. Learning and educational intent stayed near 12%. Everything else combined, including news, research, optimization, and similar categories, added up to only 10%.  Different companies. Different architectures. Different tones, reasoning styles, and personalities.  Yet the underlying content patterns stay nearly the same.  The implication is simple.  AI systems produce different styles of responses, but they all rely on the same types of content. The real competition is not about which model a customer prefers. The real competition is about whether your brand appears inside the content categories that AI depends on the most.  If your informational content is strong, you show up more often. If your comparison or acquisition content is weak, you miss opportunities you never even see.  This is not a dramatic change. It is simply a reminder that AI search is quietly becoming more uniform, and the brands that match what AI consumes will shape the answers people read every day.  I am Andrew Yan, Co founder of AthenaHQ (YC 2025). Athena helps more than two hundred brands such as SoFi, ZoomInfo, Julius, and Gruns understand how AI models reference them and how to strengthen their presence across GenAI search.</t>
  </si>
  <si>
    <t>Our customer Popl has recorded 1,561% ROI.  18-day payback period.  38.85% monthly growth in leads.  All from AI search.  Here's the story:  📌 The Problem:  Popl had a thriving in-person marketing platform.  But they noticed something alarming:  Prospects kept mentioning they found competitors on ChatGPT.  When they searched for 'digital business card solutions,' Popl was invisible.  Traditional SEO metrics looked fine. But leads were slowing.  📌 The Shift:  90% of B2B buyers now use AI in their procurement process.  Not just Google. AI-powered research.  Popl's starting position: 5th place in AI search rankings 11.2% Share of Voice Nearly invisible to AI models  📌 What We Did Together:  We didn't just 'optimize for AI.'  We rewrote their content to answer questions the way AI systems expect. We optimized across ChatGPT, Perplexity, Claude, and Google AI Overviews. We built real tracking to measure which leads came from AI.  📌 The Results After 3 Months:  Position: 5th → 1st Share of Voice: 11.2% → 28.9% (+189%) Brand Mentions: 14.8% → 34.0% (+130%) Total Citations: +821.7%  But here's what really matters:  38.85% MoM growth in AI-driven leads. 1,561% ROI with 18-day payback.  These weren't just more leads.  They were higher intent. They converted faster. They cost less to acquire.  Because AI pre-qualified them before they ever clicked.  👋 P.S. Want to see the full breakdown of how Popl went from 5th to 1st?  Comment 'POPL' and I'll send you the complete case study.  --  I'm Andrew Yan (ex Google Search), Co-founder of AthenaHQ (YC 2025). Athena helps 200+ global brands like Popl, SoFi, ZoomInfo, and Paperless Post dominate AI search</t>
  </si>
  <si>
    <t>With AthenaHQ, Rootly saw $126K in incremental equivalent media value and 2.5x more non-branded mentions. Rootly went from 3% to 30% citation rate in AI search.  That's a 10x increase, not from more content, but from a smarter system: revenue-mapped prompts, citeable sources, and a weekly AEO / GEO optimization rhythm.   Get a free AI Audit today!</t>
  </si>
  <si>
    <t>📣  Our State of AI Search 2026 Report is here!   The search landscape has entered a new era. Success now depends on being visible within the answers AI delivers, not just appearing in search results. Based on 8 million AI responses across leading models, explore Athena’s “State of AI Research 2026” report for industry benchmarks and insights on how visibility and trust are being redefined.   🏛️ What You'll Learn:  - How AI search differs from traditional search: Why clicks are down and answer-share is the new currency - What Generative Engine Optimization (GEO) really is: The strategy that helps brands be part of AI answers - By vertical: How industries are adapting to AI-driven discovery and what teams can do to stay visible in the era of generative search - New success metrics: What matters when AI engines are shaping discovery and decisions - Actionable insights: How to rethink content so it gets referenced by AI systems with real examples  2025 was the year AI search stepped into the spotlight. 2026 is the year it begins to scale. The future of search is not about ranking first. It is about being chosen as the answer. This report is your guide to doing exactly that.   ➡️ Get it now. Link to report:  https://lnkd.in/e9wYAbF6</t>
  </si>
  <si>
    <t>Ran from Jan 22, 2026 to Feb 2, 2026</t>
  </si>
  <si>
    <t>Treating AI search exactly like traditional SEO is the biggest mistake I see.  Let me explain:  SEO and AI search are similar.  But they're not the same game.  Think of it like this:  Put a professional football player on a basketball court?  They'll struggle against someone who's been training basketball their entire life.  The fundamentals transfer. But the specialization matters.  📌 Real example:  ChatGPT biases heavily toward Reddit. Grok doesn't.  We've seen Perplexity index new content as fast as in two days. ChatGPT usually takes longer.  Google AI Overviews cite 13.89 sources per response. Claude averages 9.09. Gemini averages 8.01.  If you're optimizing the same way for all of them?  You're leaving visibility on the table.  The brands winning AI search right now?  They're not just doing 'better SEO.'  They're specializing. They're being surgical. They're treating it as an evolution, not a copy-paste.  👋 P.S. Want the full breakdown of how each AI model behaves differently?  Comment 'PLAYBOOK' and I'll send you our 55-page State of AI Search 2026 report.  --  I'm Andrew Yan (ex Google Search), Co-founder of AthenaHQ (YC 2025). Athena helps 200+ global brands like SoFi, ZoomInfo, Julius, and Paperless Post take control and grow on GenAI Searc6</t>
  </si>
  <si>
    <t>When we looked at brand mentions across AI responses in October, we noticed something interesting:  Most brands barely show up at all.  The typical brand was mentioned in 17.3% of AI answers. Top brands appeared in 55.8%.  The gap is not about size or spend. It is about who AI reaches for first when it needs an example, a recommendation, or a reference.  In AI-driven discovery, the brand that shows up first becomes the default choice. Simple as that.  Nothing dramatic. Just a reminder that influence on AI is already uneven, and the spread is widening each month.  I'm Andrew Yan, Co-founder of AthenaHQ (YC 2025). Athena helps 200+ brands like SoFi, ZoomInfo, Julius, and Gruns understand where they stand in GenAI Search and how to increase their presence across AI answers.</t>
  </si>
  <si>
    <t>AthenaHQ 🤝 Grüns  Gruns grew AI SEO citations by 23X in 60 days.    Using Athena to power their AI SEO, Grüns went from 2% to 12.6% Share of Voice across AI search engines in the last 60 days we partnered.   The results over Q3 2025:  Share of Voice: 2.0% → 12.6% (6X increase) Brand Mention Rate: 4.0% → 25.0% (+19%) Citation Rate: 0.3% → 7.0% (23X increase) Estimated LLM Impressions: 10,500+ Content Output: 15 posts, 70% of citations from Athena content    📌 This is the exact playbook we ran together   I met Connor Dault, CMO at Grüns who partnered with us to grow their AI search presence. We ramped up quickly and launched with this exact sequence:   Step 1: Identified high monthly search prompts using AthenaHQ's Prompt Planner across ChatGPT, Perplexity, and AI Overviews. We tracked volume and mention intelligence to find where the opportunity was.  Step 2: Created a pillar page as the authoritative, AI readable hub. Included definitions, comparisons, specs, use cases, FAQs, and schema markup.  Step 3: Published cluster articles interlinked to the pillar and optimized for entity clarity and AI extraction.  Step 4: Citations increased as structure and entity completeness improved.  Step 5: Brand mentions increased as citation velocity compounded authority signals.  Step 6: Share of Voice increased 6X from 2.0% to 12.6%.    The timeline:  Month 1: Shipped a single high leverage blog and saw immediate movement. Early lifts in citations and brand mentions validated topic entity fit.  Month 2: Programmatically shipped targeted content using AthenaHQ's Action Center and Shopify Integration with human in the loop proofreading. Continuous prompt refinement throughout. Result: 6X SoV, 23X citation rate, +19% brand mentions.    Citation rate performance:  From July 17 to September 20, citation rate rose from 0.3% to 7.0%. That 23X increase generated 10,500+ estimated impressions from LLM responses.   About 70% of citations were attributed to Athena created content.     Brand mention rate growth:  Overall brand mention rate increased from 4.0% to 25.0%. Strongest gains came in three prompt clusters: Alternatives, Super Greens, and Gummy vs Powder.    So...  Why do this work so well?  Prompt led planning, pillar and cluster architecture, and entity first writing aligned with how AI extraction works. This made Grüns easy to parse, cite, and recommend in AI search.  That's what Athena lets you do.   Take it from Connor:  'Athena is our OS for AI search. Their prompt intelligence and editorial pipeline turn answers into a reliable channel. Month after month, they surface the next best moves and ship content the market and the models trust. It's why we consider Athena a long term partner. Athena Enterprise gives us peace of mind; the platform largely runs itself. Growing GEO is a huge focus of ours and the full org is energized by the success we're seeing in the space with Athena'     👋 P.S. Looking to grow your AI search presence?  Shoot me a DM</t>
  </si>
  <si>
    <t>Announcing the launch of Athena Citation Engine (ACE)! Our team has been hard at work the past few weeks delivering the next breakthrough in GEO/AEO.   Built on a proprietary machine learning model trained against millions of AI Search results, ACE predicts the likelihood that any given piece of content will be cited by AI models.  This transforms what was once guesswork into measurable, data-backed foresight and empowers businesses to create content that not only resonates but also earns recognition from the world’s most advanced AI engines.  Now, Athena enterprise customers can access ACE built-into their content workflows!   Read about it here:  https://lnkd.in/dQDq33Sh</t>
  </si>
  <si>
    <t>Learn how Gruns 6x AI Search Share of Voice on targeted prompts with AthenaHQ</t>
  </si>
  <si>
    <t>Hey %FIRSTNAME%,  Great to connect. I'm Andrew Yan (ex Google Search), and co-founder of AthenaHQ. Athena helps 200+ global brands like Popl, SoFi, ZoomInfo, and Paperless Post dominate AI search.  I’d love to do a free audit for %COMPANYNAME%.  We’ve helped businesses like Gruns increase AI SEO citations by 23x in two months. And with Popl, they’ve been growing leads/pipeline from AI search by 39% month over month with Athena.</t>
  </si>
  <si>
    <t>Hey %FIRSTNAME%,  I’m Andrew, co-founder @ Athena, the action platform for AI search.  What if I told you that we could grow %COMPANYNAME%’s AI SEO citations by 23x in 60 days?  That’s what we did for Gruns. And I’d be happy to do a free audit of %COMPANYNAME%’s website.</t>
  </si>
  <si>
    <t>Learn how Popl drove 38% MoM increase in leads from AI Search with Athena.</t>
  </si>
  <si>
    <t>Be the Brand AI Talks About</t>
  </si>
  <si>
    <t>Hey %FIRSTNAME%,  We helped Gruns grow AI SEO citations by 23X in 60 days.  Share of Voice: 2.0% → 12.6% (6X increase)  Brand Mention Rate: 4.0% → 25.0% (+19%)  And with Athena, %COMPANYNAME% can do the same. Athena is the action platform for AI Search.  I’m Andrew, a co-founder at Athena, and I’d love to chat. Would be happy to conduct a free audit of %COMPANYNAME%’s website as well.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</si>
</sst>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
      <u/>
      <color rgb="FF0000FF"/>
    </font>
  </fonts>
  <fills count="7">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7B7B7"/>
        <bgColor rgb="FFB7B7B7"/>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0"/>
    </xf>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readingOrder="0"/>
    </xf>
    <xf quotePrefix="1" borderId="0" fillId="0" fontId="2" numFmtId="0" xfId="0" applyAlignment="1" applyFont="1">
      <alignment readingOrder="0"/>
    </xf>
    <xf borderId="0" fillId="0" fontId="6" numFmtId="0" xfId="0" applyAlignment="1" applyFont="1">
      <alignment readingOrder="0" shrinkToFit="0" wrapText="0"/>
    </xf>
    <xf borderId="0" fillId="0" fontId="2" numFmtId="0" xfId="0" applyAlignment="1" applyFont="1">
      <alignment readingOrder="0"/>
    </xf>
    <xf borderId="0" fillId="2" fontId="2" numFmtId="0" xfId="0" applyAlignment="1" applyFill="1" applyFont="1">
      <alignment readingOrder="0"/>
    </xf>
    <xf borderId="0" fillId="2" fontId="2" numFmtId="0" xfId="0" applyFill="1" applyFont="1"/>
    <xf borderId="0" fillId="3" fontId="2" numFmtId="0" xfId="0" applyAlignment="1" applyFill="1" applyFont="1">
      <alignment readingOrder="0"/>
    </xf>
    <xf borderId="0" fillId="3" fontId="2" numFmtId="0" xfId="0" applyFill="1" applyFont="1"/>
    <xf borderId="0" fillId="4" fontId="2" numFmtId="0" xfId="0" applyAlignment="1" applyFill="1" applyFont="1">
      <alignment readingOrder="0"/>
    </xf>
    <xf borderId="0" fillId="4" fontId="2" numFmtId="0" xfId="0" applyFill="1" applyFont="1"/>
    <xf borderId="0" fillId="5" fontId="2" numFmtId="0" xfId="0" applyAlignment="1" applyFill="1" applyFont="1">
      <alignment readingOrder="0"/>
    </xf>
    <xf borderId="0" fillId="5" fontId="2" numFmtId="0" xfId="0" applyFill="1" applyFont="1"/>
    <xf borderId="0" fillId="5" fontId="2" numFmtId="0" xfId="0" applyAlignment="1" applyFill="1" applyFont="1">
      <alignment shrinkToFit="0" wrapText="0"/>
    </xf>
    <xf borderId="0" fillId="0" fontId="2" numFmtId="0" xfId="0" applyAlignment="1" applyFont="1">
      <alignment shrinkToFit="0" wrapText="0"/>
    </xf>
    <xf borderId="0" fillId="6" fontId="2" numFmtId="0" xfId="0" applyAlignment="1" applyFill="1" applyFont="1">
      <alignment readingOrder="0"/>
    </xf>
    <xf borderId="0" fillId="6" fontId="2" numFmtId="0" xfId="0" applyFill="1" applyFont="1"/>
    <xf borderId="0" fillId="6" fontId="2" numFmtId="0" xfId="0" applyAlignment="1" applyFill="1" applyFont="1">
      <alignment shrinkToFit="0" wrapText="0"/>
    </xf>
    <xf borderId="0" fillId="2" fontId="7" numFmtId="0" xfId="0" applyAlignment="1" applyFill="1" applyFont="1">
      <alignment readingOrder="0"/>
    </xf>
    <xf borderId="0" fillId="2" fontId="2" numFmtId="0" xfId="0" applyAlignment="1" applyFill="1" applyFont="1">
      <alignment readingOrder="0" shrinkToFit="0" wrapText="0"/>
    </xf>
    <xf borderId="0" fillId="3" fontId="2" numFmtId="0" xfId="0" applyAlignment="1" applyFill="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adstransparency.google.com/advertiser/AR01693402396748677121/creative/CR11456010919100809217?region=anywhere" TargetMode="External"/><Relationship Id="rId391" Type="http://schemas.openxmlformats.org/officeDocument/2006/relationships/hyperlink" Target="https://www.tryprofound.com/" TargetMode="External"/><Relationship Id="rId390" Type="http://schemas.openxmlformats.org/officeDocument/2006/relationships/hyperlink" Target="https://adstransparency.google.com/advertiser/AR01693402396748677121/creative/CR13777855876947771393?region=anywhere" TargetMode="External"/><Relationship Id="rId1" Type="http://schemas.openxmlformats.org/officeDocument/2006/relationships/hyperlink" Target="https://www.tryprofound.com/" TargetMode="External"/><Relationship Id="rId2" Type="http://schemas.openxmlformats.org/officeDocument/2006/relationships/hyperlink" Target="https://adstransparency.google.com/advertiser/AR01693402396748677121" TargetMode="External"/><Relationship Id="rId3" Type="http://schemas.openxmlformats.org/officeDocument/2006/relationships/hyperlink" Target="https://www.tryprofound.com/features/aim" TargetMode="External"/><Relationship Id="rId4" Type="http://schemas.openxmlformats.org/officeDocument/2006/relationships/hyperlink" Target="https://adstransparency.google.com/advertiser/AR01693402396748677121?region=anywhere" TargetMode="External"/><Relationship Id="rId2180" Type="http://schemas.openxmlformats.org/officeDocument/2006/relationships/hyperlink" Target="https://www.scrunch.com/ai-search/visibility" TargetMode="External"/><Relationship Id="rId2181" Type="http://schemas.openxmlformats.org/officeDocument/2006/relationships/hyperlink" Target="https://adstransparency.google.com/advertiser/AR01685939160927436801/creative/CR07122813629572841473?region=anywhere" TargetMode="External"/><Relationship Id="rId2182" Type="http://schemas.openxmlformats.org/officeDocument/2006/relationships/hyperlink" Target="https://www.scrunch.com/aeo" TargetMode="External"/><Relationship Id="rId2183" Type="http://schemas.openxmlformats.org/officeDocument/2006/relationships/hyperlink" Target="https://adstransparency.google.com/advertiser/AR01685939160927436801/creative/CR12154151419204599809?region=anywhere" TargetMode="External"/><Relationship Id="rId9" Type="http://schemas.openxmlformats.org/officeDocument/2006/relationships/hyperlink" Target="https://www.tryprofound.com/" TargetMode="External"/><Relationship Id="rId385" Type="http://schemas.openxmlformats.org/officeDocument/2006/relationships/hyperlink" Target="https://www.tryprofound.com/pricing" TargetMode="External"/><Relationship Id="rId2184" Type="http://schemas.openxmlformats.org/officeDocument/2006/relationships/hyperlink" Target="https://scrunch.com/" TargetMode="External"/><Relationship Id="rId384" Type="http://schemas.openxmlformats.org/officeDocument/2006/relationships/hyperlink" Target="https://adstransparency.google.com/advertiser/AR01693402396748677121/creative/CR13247407281085087745?region=anywhere" TargetMode="External"/><Relationship Id="rId2185" Type="http://schemas.openxmlformats.org/officeDocument/2006/relationships/hyperlink" Target="https://adstransparency.google.com/advertiser/AR01685939160927436801/creative/CR02411251617010548737?region=anywhere" TargetMode="External"/><Relationship Id="rId383" Type="http://schemas.openxmlformats.org/officeDocument/2006/relationships/hyperlink" Target="https://www.tryprofound.com/" TargetMode="External"/><Relationship Id="rId2186" Type="http://schemas.openxmlformats.org/officeDocument/2006/relationships/hyperlink" Target="https://www.scrunch.com/ai-search" TargetMode="External"/><Relationship Id="rId382" Type="http://schemas.openxmlformats.org/officeDocument/2006/relationships/hyperlink" Target="https://adstransparency.google.com/advertiser/AR01693402396748677121/creative/CR00414054896241737729?region=anywhere" TargetMode="External"/><Relationship Id="rId2187" Type="http://schemas.openxmlformats.org/officeDocument/2006/relationships/hyperlink" Target="https://adstransparency.google.com/advertiser/AR01685939160927436801/creative/CR13069671595822284801?region=anywhere" TargetMode="External"/><Relationship Id="rId5" Type="http://schemas.openxmlformats.org/officeDocument/2006/relationships/hyperlink" Target="https://www.tryprofound.com/customers/mongodb" TargetMode="External"/><Relationship Id="rId389" Type="http://schemas.openxmlformats.org/officeDocument/2006/relationships/hyperlink" Target="https://www.tryprofound.com/" TargetMode="External"/><Relationship Id="rId2188" Type="http://schemas.openxmlformats.org/officeDocument/2006/relationships/hyperlink" Target="https://www.scrunch.com/chatgpt/visibility" TargetMode="External"/><Relationship Id="rId6" Type="http://schemas.openxmlformats.org/officeDocument/2006/relationships/hyperlink" Target="https://adstransparency.google.com/advertiser/AR01693402396748677121?region=anywhere" TargetMode="External"/><Relationship Id="rId388" Type="http://schemas.openxmlformats.org/officeDocument/2006/relationships/hyperlink" Target="https://adstransparency.google.com/advertiser/AR01693402396748677121/creative/CR04115567594377838593?region=anywhere" TargetMode="External"/><Relationship Id="rId2189" Type="http://schemas.openxmlformats.org/officeDocument/2006/relationships/hyperlink" Target="https://adstransparency.google.com/advertiser/AR01685939160927436801/creative/CR03146520125113368577?region=anywhere" TargetMode="External"/><Relationship Id="rId7" Type="http://schemas.openxmlformats.org/officeDocument/2006/relationships/hyperlink" Target="https://www.tryprofound.com/pricing" TargetMode="External"/><Relationship Id="rId387" Type="http://schemas.openxmlformats.org/officeDocument/2006/relationships/hyperlink" Target="https://www.tryprofound.com/" TargetMode="External"/><Relationship Id="rId8" Type="http://schemas.openxmlformats.org/officeDocument/2006/relationships/hyperlink" Target="https://adstransparency.google.com/advertiser/AR01693402396748677121?region=anywhere" TargetMode="External"/><Relationship Id="rId386" Type="http://schemas.openxmlformats.org/officeDocument/2006/relationships/hyperlink" Target="https://adstransparency.google.com/advertiser/AR01693402396748677121/creative/CR15103675035266580481?region=anywhere" TargetMode="External"/><Relationship Id="rId381" Type="http://schemas.openxmlformats.org/officeDocument/2006/relationships/hyperlink" Target="https://www.tryprofound.com/" TargetMode="External"/><Relationship Id="rId380" Type="http://schemas.openxmlformats.org/officeDocument/2006/relationships/hyperlink" Target="https://adstransparency.google.com/advertiser/AR01693402396748677121/creative/CR05937200319967526913?region=anywhere" TargetMode="External"/><Relationship Id="rId379" Type="http://schemas.openxmlformats.org/officeDocument/2006/relationships/hyperlink" Target="https://www.tryprofound.com/" TargetMode="External"/><Relationship Id="rId2170" Type="http://schemas.openxmlformats.org/officeDocument/2006/relationships/hyperlink" Target="https://www.scrunch.com/chatgpt/visibility" TargetMode="External"/><Relationship Id="rId2171" Type="http://schemas.openxmlformats.org/officeDocument/2006/relationships/hyperlink" Target="https://adstransparency.google.com/advertiser/AR01685939160927436801/creative/CR12315301066051682305?region=anywhere" TargetMode="External"/><Relationship Id="rId2172" Type="http://schemas.openxmlformats.org/officeDocument/2006/relationships/hyperlink" Target="https://scrunch.com/" TargetMode="External"/><Relationship Id="rId374" Type="http://schemas.openxmlformats.org/officeDocument/2006/relationships/hyperlink" Target="https://adstransparency.google.com/advertiser/AR01693402396748677121/creative/CR10292272419099901953?region=anywhere" TargetMode="External"/><Relationship Id="rId2173" Type="http://schemas.openxmlformats.org/officeDocument/2006/relationships/hyperlink" Target="https://adstransparency.google.com/advertiser/AR01685939160927436801/creative/CR09991094838264594433?region=anywhere" TargetMode="External"/><Relationship Id="rId373" Type="http://schemas.openxmlformats.org/officeDocument/2006/relationships/hyperlink" Target="https://www.tryprofound.com/" TargetMode="External"/><Relationship Id="rId2174" Type="http://schemas.openxmlformats.org/officeDocument/2006/relationships/hyperlink" Target="https://scrunch.com/" TargetMode="External"/><Relationship Id="rId372" Type="http://schemas.openxmlformats.org/officeDocument/2006/relationships/hyperlink" Target="https://adstransparency.google.com/advertiser/AR01693402396748677121/creative/CR01114022827620564993?region=anywhere" TargetMode="External"/><Relationship Id="rId2175" Type="http://schemas.openxmlformats.org/officeDocument/2006/relationships/hyperlink" Target="https://adstransparency.google.com/advertiser/AR01685939160927436801/creative/CR09509618696461484033?region=anywhere" TargetMode="External"/><Relationship Id="rId371" Type="http://schemas.openxmlformats.org/officeDocument/2006/relationships/hyperlink" Target="https://www.tryprofound.com/" TargetMode="External"/><Relationship Id="rId2176" Type="http://schemas.openxmlformats.org/officeDocument/2006/relationships/hyperlink" Target="https://www.scrunch.com/aeo/platform" TargetMode="External"/><Relationship Id="rId378" Type="http://schemas.openxmlformats.org/officeDocument/2006/relationships/hyperlink" Target="https://adstransparency.google.com/advertiser/AR01693402396748677121/creative/CR06593200842935894017?region=anywhere" TargetMode="External"/><Relationship Id="rId2177" Type="http://schemas.openxmlformats.org/officeDocument/2006/relationships/hyperlink" Target="https://adstransparency.google.com/advertiser/AR01685939160927436801/creative/CR14453840667996061697?region=anywhere" TargetMode="External"/><Relationship Id="rId377" Type="http://schemas.openxmlformats.org/officeDocument/2006/relationships/hyperlink" Target="https://www.tryprofound.com/" TargetMode="External"/><Relationship Id="rId2178" Type="http://schemas.openxmlformats.org/officeDocument/2006/relationships/hyperlink" Target="https://scrunch.com/" TargetMode="External"/><Relationship Id="rId376" Type="http://schemas.openxmlformats.org/officeDocument/2006/relationships/hyperlink" Target="https://adstransparency.google.com/advertiser/AR01693402396748677121/creative/CR00530538463758385153?region=anywhere" TargetMode="External"/><Relationship Id="rId2179" Type="http://schemas.openxmlformats.org/officeDocument/2006/relationships/hyperlink" Target="https://adstransparency.google.com/advertiser/AR01685939160927436801/creative/CR08189238478567899137?region=anywhere" TargetMode="External"/><Relationship Id="rId375" Type="http://schemas.openxmlformats.org/officeDocument/2006/relationships/hyperlink" Target="https://www.tryprofound.com/" TargetMode="External"/><Relationship Id="rId2190" Type="http://schemas.openxmlformats.org/officeDocument/2006/relationships/hyperlink" Target="https://www.scrunch.com/ai-search/monitoring" TargetMode="External"/><Relationship Id="rId2191" Type="http://schemas.openxmlformats.org/officeDocument/2006/relationships/hyperlink" Target="https://adstransparency.google.com/advertiser/AR01685939160927436801/creative/CR10930872371694796801?region=anywhere" TargetMode="External"/><Relationship Id="rId2192" Type="http://schemas.openxmlformats.org/officeDocument/2006/relationships/hyperlink" Target="https://www.scrunch.com/ai-search/visibility" TargetMode="External"/><Relationship Id="rId2193" Type="http://schemas.openxmlformats.org/officeDocument/2006/relationships/hyperlink" Target="https://adstransparency.google.com/advertiser/AR01685939160927436801/creative/CR11344427282203672577?region=anywhere" TargetMode="External"/><Relationship Id="rId2194" Type="http://schemas.openxmlformats.org/officeDocument/2006/relationships/hyperlink" Target="https://www.scrunch.com/aeo/platform" TargetMode="External"/><Relationship Id="rId396" Type="http://schemas.openxmlformats.org/officeDocument/2006/relationships/hyperlink" Target="https://adstransparency.google.com/advertiser/AR01693402396748677121/creative/CR01117695265176813569?region=anywhere" TargetMode="External"/><Relationship Id="rId2195" Type="http://schemas.openxmlformats.org/officeDocument/2006/relationships/hyperlink" Target="https://adstransparency.google.com/advertiser/AR01685939160927436801/creative/CR18019542445783515137?region=anywhere" TargetMode="External"/><Relationship Id="rId395" Type="http://schemas.openxmlformats.org/officeDocument/2006/relationships/hyperlink" Target="https://www.tryprofound.com/" TargetMode="External"/><Relationship Id="rId2196" Type="http://schemas.openxmlformats.org/officeDocument/2006/relationships/hyperlink" Target="https://scrunch.com/" TargetMode="External"/><Relationship Id="rId394" Type="http://schemas.openxmlformats.org/officeDocument/2006/relationships/hyperlink" Target="https://adstransparency.google.com/advertiser/AR01693402396748677121/creative/CR13068219596228526081?region=anywhere" TargetMode="External"/><Relationship Id="rId2197" Type="http://schemas.openxmlformats.org/officeDocument/2006/relationships/hyperlink" Target="https://adstransparency.google.com/advertiser/AR01685939160927436801/creative/CR01601899089170006017?region=anywhere" TargetMode="External"/><Relationship Id="rId393" Type="http://schemas.openxmlformats.org/officeDocument/2006/relationships/hyperlink" Target="https://www.tryprofound.com/" TargetMode="External"/><Relationship Id="rId2198" Type="http://schemas.openxmlformats.org/officeDocument/2006/relationships/hyperlink" Target="https://www.scrunch.com/ai-search/visibility" TargetMode="External"/><Relationship Id="rId2199" Type="http://schemas.openxmlformats.org/officeDocument/2006/relationships/hyperlink" Target="https://adstransparency.google.com/advertiser/AR01685939160927436801/creative/CR08062308519795228673?region=anywhere" TargetMode="External"/><Relationship Id="rId399" Type="http://schemas.openxmlformats.org/officeDocument/2006/relationships/hyperlink" Target="https://peec.ai/" TargetMode="External"/><Relationship Id="rId398" Type="http://schemas.openxmlformats.org/officeDocument/2006/relationships/hyperlink" Target="https://adstransparency.google.com/advertiser/AR01693402396748677121/creative/CR12077864940237488129?region=anywhere" TargetMode="External"/><Relationship Id="rId397" Type="http://schemas.openxmlformats.org/officeDocument/2006/relationships/hyperlink" Target="https://www.tryprofound.com/" TargetMode="External"/><Relationship Id="rId1730" Type="http://schemas.openxmlformats.org/officeDocument/2006/relationships/hyperlink" Target="https://adstransparency.google.com/advertiser/AR11070511645502472193/creative/CR13311727955395739649?region=anywhere" TargetMode="External"/><Relationship Id="rId1731" Type="http://schemas.openxmlformats.org/officeDocument/2006/relationships/hyperlink" Target="https://www.semrush.com/" TargetMode="External"/><Relationship Id="rId1732" Type="http://schemas.openxmlformats.org/officeDocument/2006/relationships/hyperlink" Target="https://adstransparency.google.com/advertiser/AR11070511645502472193/creative/CR15620748621933182977?region=anywhere" TargetMode="External"/><Relationship Id="rId1733" Type="http://schemas.openxmlformats.org/officeDocument/2006/relationships/hyperlink" Target="https://www.semrush.com/analytics/keywordoverview/" TargetMode="External"/><Relationship Id="rId1734" Type="http://schemas.openxmlformats.org/officeDocument/2006/relationships/hyperlink" Target="https://adstransparency.google.com/advertiser/AR11070511645502472193/creative/CR11173781539974545409?region=anywhere" TargetMode="External"/><Relationship Id="rId1735" Type="http://schemas.openxmlformats.org/officeDocument/2006/relationships/hyperlink" Target="https://www.semrush.com/" TargetMode="External"/><Relationship Id="rId1736" Type="http://schemas.openxmlformats.org/officeDocument/2006/relationships/hyperlink" Target="https://adstransparency.google.com/advertiser/AR11070511645502472193/creative/CR09858967943293960193?region=anywhere" TargetMode="External"/><Relationship Id="rId1737" Type="http://schemas.openxmlformats.org/officeDocument/2006/relationships/hyperlink" Target="https://www.semrush.com/" TargetMode="External"/><Relationship Id="rId1738" Type="http://schemas.openxmlformats.org/officeDocument/2006/relationships/hyperlink" Target="https://adstransparency.google.com/advertiser/AR11070511645502472193/creative/CR14126618972413493249?region=anywhere" TargetMode="External"/><Relationship Id="rId1739" Type="http://schemas.openxmlformats.org/officeDocument/2006/relationships/hyperlink" Target="https://www.semrush.com/analytics/backlinks/overview/" TargetMode="External"/><Relationship Id="rId1720" Type="http://schemas.openxmlformats.org/officeDocument/2006/relationships/hyperlink" Target="https://adstransparency.google.com/advertiser/AR11070511645502472193/creative/CR18195837049259425793?region=anywhere" TargetMode="External"/><Relationship Id="rId1721" Type="http://schemas.openxmlformats.org/officeDocument/2006/relationships/hyperlink" Target="https://www.semrush.com/" TargetMode="External"/><Relationship Id="rId1722" Type="http://schemas.openxmlformats.org/officeDocument/2006/relationships/hyperlink" Target="https://adstransparency.google.com/advertiser/AR11070511645502472193/creative/CR16988014145938915329?region=anywhere" TargetMode="External"/><Relationship Id="rId1723" Type="http://schemas.openxmlformats.org/officeDocument/2006/relationships/hyperlink" Target="https://www.semrush.com/" TargetMode="External"/><Relationship Id="rId1724" Type="http://schemas.openxmlformats.org/officeDocument/2006/relationships/hyperlink" Target="https://adstransparency.google.com/advertiser/AR11070511645502472193/creative/CR11670224234054942721?region=anywhere" TargetMode="External"/><Relationship Id="rId1725" Type="http://schemas.openxmlformats.org/officeDocument/2006/relationships/hyperlink" Target="https://www.semrush.com/" TargetMode="External"/><Relationship Id="rId1726" Type="http://schemas.openxmlformats.org/officeDocument/2006/relationships/hyperlink" Target="https://adstransparency.google.com/advertiser/AR11070511645502472193/creative/CR00127174582929981441?region=anywhere" TargetMode="External"/><Relationship Id="rId1727" Type="http://schemas.openxmlformats.org/officeDocument/2006/relationships/hyperlink" Target="https://www.semrush.com/features/" TargetMode="External"/><Relationship Id="rId1728" Type="http://schemas.openxmlformats.org/officeDocument/2006/relationships/hyperlink" Target="https://adstransparency.google.com/advertiser/AR11070511645502472193/creative/CR06978082002020859905?region=anywhere" TargetMode="External"/><Relationship Id="rId1729" Type="http://schemas.openxmlformats.org/officeDocument/2006/relationships/hyperlink" Target="https://www.semrush.com/kb/demo/" TargetMode="External"/><Relationship Id="rId1752" Type="http://schemas.openxmlformats.org/officeDocument/2006/relationships/hyperlink" Target="https://adstransparency.google.com/advertiser/AR11070511645502472193/creative/CR00647542650030784513?region=anywhere" TargetMode="External"/><Relationship Id="rId1753" Type="http://schemas.openxmlformats.org/officeDocument/2006/relationships/hyperlink" Target="https://www.semrush.com/" TargetMode="External"/><Relationship Id="rId1754" Type="http://schemas.openxmlformats.org/officeDocument/2006/relationships/hyperlink" Target="https://adstransparency.google.com/advertiser/AR11070511645502472193/creative/CR17083150763921768449?region=anywhere" TargetMode="External"/><Relationship Id="rId1755" Type="http://schemas.openxmlformats.org/officeDocument/2006/relationships/hyperlink" Target="https://www.semrush.com/features/" TargetMode="External"/><Relationship Id="rId1756" Type="http://schemas.openxmlformats.org/officeDocument/2006/relationships/hyperlink" Target="https://adstransparency.google.com/advertiser/AR11070511645502472193/creative/CR00003712621270269953?region=anywhere" TargetMode="External"/><Relationship Id="rId1757" Type="http://schemas.openxmlformats.org/officeDocument/2006/relationships/hyperlink" Target="https://www.semrush.com/kb/demo/" TargetMode="External"/><Relationship Id="rId1758" Type="http://schemas.openxmlformats.org/officeDocument/2006/relationships/hyperlink" Target="https://adstransparency.google.com/advertiser/AR11070511645502472193/creative/CR17580820512978763777?region=anywhere" TargetMode="External"/><Relationship Id="rId1759" Type="http://schemas.openxmlformats.org/officeDocument/2006/relationships/hyperlink" Target="https://www.semrush.com/" TargetMode="External"/><Relationship Id="rId808" Type="http://schemas.openxmlformats.org/officeDocument/2006/relationships/hyperlink" Target="https://adstransparency.google.com/advertiser/AR05016556376214732801/creative/CR08220575083945525249?region=anywhere" TargetMode="External"/><Relationship Id="rId807" Type="http://schemas.openxmlformats.org/officeDocument/2006/relationships/hyperlink" Target="https://peec.ai/" TargetMode="External"/><Relationship Id="rId806" Type="http://schemas.openxmlformats.org/officeDocument/2006/relationships/hyperlink" Target="https://adstransparency.google.com/advertiser/AR05016556376214732801/creative/CR06512804827590819841?region=anywhere" TargetMode="External"/><Relationship Id="rId805" Type="http://schemas.openxmlformats.org/officeDocument/2006/relationships/hyperlink" Target="https://peec.ai/for-agencies" TargetMode="External"/><Relationship Id="rId809" Type="http://schemas.openxmlformats.org/officeDocument/2006/relationships/hyperlink" Target="https://peec.ai/visibility/platform" TargetMode="External"/><Relationship Id="rId800" Type="http://schemas.openxmlformats.org/officeDocument/2006/relationships/hyperlink" Target="https://adstransparency.google.com/advertiser/AR05016556376214732801/creative/CR16754462070719643649?region=anywhere" TargetMode="External"/><Relationship Id="rId804" Type="http://schemas.openxmlformats.org/officeDocument/2006/relationships/hyperlink" Target="https://adstransparency.google.com/advertiser/AR05016556376214732801/creative/CR05794697290815897601?region=anywhere" TargetMode="External"/><Relationship Id="rId803" Type="http://schemas.openxmlformats.org/officeDocument/2006/relationships/hyperlink" Target="https://peec.ai/for-agencies" TargetMode="External"/><Relationship Id="rId802" Type="http://schemas.openxmlformats.org/officeDocument/2006/relationships/hyperlink" Target="https://adstransparency.google.com/advertiser/AR05016556376214732801/creative/CR03122711411994656769?region=anywhere" TargetMode="External"/><Relationship Id="rId801" Type="http://schemas.openxmlformats.org/officeDocument/2006/relationships/hyperlink" Target="https://peec.ai/visibility/platform" TargetMode="External"/><Relationship Id="rId1750" Type="http://schemas.openxmlformats.org/officeDocument/2006/relationships/hyperlink" Target="https://adstransparency.google.com/advertiser/AR11070511645502472193/creative/CR00315903554814476289?region=anywhere" TargetMode="External"/><Relationship Id="rId1751" Type="http://schemas.openxmlformats.org/officeDocument/2006/relationships/hyperlink" Target="https://www.semrush.com/" TargetMode="External"/><Relationship Id="rId1741" Type="http://schemas.openxmlformats.org/officeDocument/2006/relationships/hyperlink" Target="https://www.semrush.com/features/" TargetMode="External"/><Relationship Id="rId1742" Type="http://schemas.openxmlformats.org/officeDocument/2006/relationships/hyperlink" Target="https://adstransparency.google.com/advertiser/AR11070511645502472193/creative/CR06876193729808433153?region=anywhere" TargetMode="External"/><Relationship Id="rId1743" Type="http://schemas.openxmlformats.org/officeDocument/2006/relationships/hyperlink" Target="https://www.semrush.com/agencies/" TargetMode="External"/><Relationship Id="rId1744" Type="http://schemas.openxmlformats.org/officeDocument/2006/relationships/hyperlink" Target="https://adstransparency.google.com/advertiser/AR11070511645502472193/creative/CR03941883446254632961?region=anywhere" TargetMode="External"/><Relationship Id="rId1745" Type="http://schemas.openxmlformats.org/officeDocument/2006/relationships/hyperlink" Target="https://www.semrush.com/pricing/" TargetMode="External"/><Relationship Id="rId1746" Type="http://schemas.openxmlformats.org/officeDocument/2006/relationships/hyperlink" Target="https://adstransparency.google.com/advertiser/AR11070511645502472193/creative/CR01548517662202527745?region=anywhere" TargetMode="External"/><Relationship Id="rId1747" Type="http://schemas.openxmlformats.org/officeDocument/2006/relationships/hyperlink" Target="https://www.semrush.com/" TargetMode="External"/><Relationship Id="rId1748" Type="http://schemas.openxmlformats.org/officeDocument/2006/relationships/hyperlink" Target="https://adstransparency.google.com/advertiser/AR11070511645502472193/creative/CR08922770076126412801?region=anywhere" TargetMode="External"/><Relationship Id="rId1749" Type="http://schemas.openxmlformats.org/officeDocument/2006/relationships/hyperlink" Target="https://www.semrush.com/" TargetMode="External"/><Relationship Id="rId1740" Type="http://schemas.openxmlformats.org/officeDocument/2006/relationships/hyperlink" Target="https://adstransparency.google.com/advertiser/AR11070511645502472193/creative/CR02238272092631990273?region=anywhere" TargetMode="External"/><Relationship Id="rId1710" Type="http://schemas.openxmlformats.org/officeDocument/2006/relationships/hyperlink" Target="https://adstransparency.google.com/advertiser/AR11070511645502472193/creative/CR17238703690425040897?region=anywhere" TargetMode="External"/><Relationship Id="rId1711" Type="http://schemas.openxmlformats.org/officeDocument/2006/relationships/hyperlink" Target="https://www.semrush.com/analytics/backlinks/overview/" TargetMode="External"/><Relationship Id="rId1712" Type="http://schemas.openxmlformats.org/officeDocument/2006/relationships/hyperlink" Target="https://adstransparency.google.com/advertiser/AR11070511645502472193/creative/CR17538415304432943105?region=anywhere" TargetMode="External"/><Relationship Id="rId1713" Type="http://schemas.openxmlformats.org/officeDocument/2006/relationships/hyperlink" Target="https://www.semrush.com/features/" TargetMode="External"/><Relationship Id="rId1714" Type="http://schemas.openxmlformats.org/officeDocument/2006/relationships/hyperlink" Target="https://adstransparency.google.com/advertiser/AR11070511645502472193/creative/CR03257052285296967681?region=anywhere" TargetMode="External"/><Relationship Id="rId1715" Type="http://schemas.openxmlformats.org/officeDocument/2006/relationships/hyperlink" Target="https://www.semrush.com/agencies/" TargetMode="External"/><Relationship Id="rId1716" Type="http://schemas.openxmlformats.org/officeDocument/2006/relationships/hyperlink" Target="https://adstransparency.google.com/advertiser/AR11070511645502472193/creative/CR15535898519343726593?region=anywhere" TargetMode="External"/><Relationship Id="rId1717" Type="http://schemas.openxmlformats.org/officeDocument/2006/relationships/hyperlink" Target="https://www.semrush.com/pricing/" TargetMode="External"/><Relationship Id="rId1718" Type="http://schemas.openxmlformats.org/officeDocument/2006/relationships/hyperlink" Target="https://adstransparency.google.com/advertiser/AR11070511645502472193/creative/CR11064578045103833089?region=anywhere" TargetMode="External"/><Relationship Id="rId1719" Type="http://schemas.openxmlformats.org/officeDocument/2006/relationships/hyperlink" Target="https://www.semrush.com/" TargetMode="External"/><Relationship Id="rId1700" Type="http://schemas.openxmlformats.org/officeDocument/2006/relationships/hyperlink" Target="https://adstransparency.google.com/advertiser/AR11070511645502472193/creative/CR12952119002355728385?region=anywhere" TargetMode="External"/><Relationship Id="rId1701" Type="http://schemas.openxmlformats.org/officeDocument/2006/relationships/hyperlink" Target="https://www.semrush.com/kb/demo/" TargetMode="External"/><Relationship Id="rId1702" Type="http://schemas.openxmlformats.org/officeDocument/2006/relationships/hyperlink" Target="https://adstransparency.google.com/advertiser/AR11070511645502472193/creative/CR13707303514328268801?region=anywhere" TargetMode="External"/><Relationship Id="rId1703" Type="http://schemas.openxmlformats.org/officeDocument/2006/relationships/hyperlink" Target="https://www.semrush.com/" TargetMode="External"/><Relationship Id="rId1704" Type="http://schemas.openxmlformats.org/officeDocument/2006/relationships/hyperlink" Target="https://adstransparency.google.com/advertiser/AR11070511645502472193/creative/CR12609064983578279937?region=anywhere" TargetMode="External"/><Relationship Id="rId1705" Type="http://schemas.openxmlformats.org/officeDocument/2006/relationships/hyperlink" Target="https://www.semrush.com/analytics/keywordoverview/" TargetMode="External"/><Relationship Id="rId1706" Type="http://schemas.openxmlformats.org/officeDocument/2006/relationships/hyperlink" Target="https://adstransparency.google.com/advertiser/AR11070511645502472193/creative/CR13233433209850560513?region=anywhere" TargetMode="External"/><Relationship Id="rId1707" Type="http://schemas.openxmlformats.org/officeDocument/2006/relationships/hyperlink" Target="https://www.semrush.com/" TargetMode="External"/><Relationship Id="rId1708" Type="http://schemas.openxmlformats.org/officeDocument/2006/relationships/hyperlink" Target="https://adstransparency.google.com/advertiser/AR11070511645502472193/creative/CR11924136172244172801?region=anywhere" TargetMode="External"/><Relationship Id="rId1709" Type="http://schemas.openxmlformats.org/officeDocument/2006/relationships/hyperlink" Target="https://www.semrush.com/" TargetMode="External"/><Relationship Id="rId40" Type="http://schemas.openxmlformats.org/officeDocument/2006/relationships/hyperlink" Target="https://adstransparency.google.com/advertiser/AR01693402396748677121/creative/CR03069138764493225985?region=anywhere" TargetMode="External"/><Relationship Id="rId1334" Type="http://schemas.openxmlformats.org/officeDocument/2006/relationships/hyperlink" Target="https://adstransparency.google.com/advertiser/AR11070511645502472193/creative/CR10419661286538215425?region=anywhere" TargetMode="External"/><Relationship Id="rId1335" Type="http://schemas.openxmlformats.org/officeDocument/2006/relationships/hyperlink" Target="https://www.semrush.com/features/" TargetMode="External"/><Relationship Id="rId42" Type="http://schemas.openxmlformats.org/officeDocument/2006/relationships/hyperlink" Target="https://adstransparency.google.com/advertiser/AR01693402396748677121/creative/CR02838025543503314945?region=anywhere" TargetMode="External"/><Relationship Id="rId1336" Type="http://schemas.openxmlformats.org/officeDocument/2006/relationships/hyperlink" Target="https://adstransparency.google.com/advertiser/AR11070511645502472193/creative/CR13068042231259070465?region=anywhere" TargetMode="External"/><Relationship Id="rId41" Type="http://schemas.openxmlformats.org/officeDocument/2006/relationships/hyperlink" Target="https://www.tryprofound.com/" TargetMode="External"/><Relationship Id="rId1337" Type="http://schemas.openxmlformats.org/officeDocument/2006/relationships/hyperlink" Target="https://www.semrush.com/kb/demo/" TargetMode="External"/><Relationship Id="rId44" Type="http://schemas.openxmlformats.org/officeDocument/2006/relationships/hyperlink" Target="https://adstransparency.google.com/advertiser/AR01693402396748677121/creative/CR06546054016265093121?region=anywhere" TargetMode="External"/><Relationship Id="rId1338" Type="http://schemas.openxmlformats.org/officeDocument/2006/relationships/hyperlink" Target="https://adstransparency.google.com/advertiser/AR11070511645502472193/creative/CR00000596493648003073?region=anywhere" TargetMode="External"/><Relationship Id="rId43" Type="http://schemas.openxmlformats.org/officeDocument/2006/relationships/hyperlink" Target="https://www.tryprofound.com/" TargetMode="External"/><Relationship Id="rId1339" Type="http://schemas.openxmlformats.org/officeDocument/2006/relationships/hyperlink" Target="https://www.semrush.com/" TargetMode="External"/><Relationship Id="rId46" Type="http://schemas.openxmlformats.org/officeDocument/2006/relationships/hyperlink" Target="https://adstransparency.google.com/advertiser/AR01693402396748677121/creative/CR02446427330445312001?region=anywhere" TargetMode="External"/><Relationship Id="rId45" Type="http://schemas.openxmlformats.org/officeDocument/2006/relationships/hyperlink" Target="https://www.tryprofound.com/" TargetMode="External"/><Relationship Id="rId745" Type="http://schemas.openxmlformats.org/officeDocument/2006/relationships/hyperlink" Target="https://peec.ai/" TargetMode="External"/><Relationship Id="rId744" Type="http://schemas.openxmlformats.org/officeDocument/2006/relationships/hyperlink" Target="https://adstransparency.google.com/advertiser/AR05016556376214732801/creative/CR02601624676606148609?region=anywhere" TargetMode="External"/><Relationship Id="rId743" Type="http://schemas.openxmlformats.org/officeDocument/2006/relationships/hyperlink" Target="https://peec.ai/demo" TargetMode="External"/><Relationship Id="rId742" Type="http://schemas.openxmlformats.org/officeDocument/2006/relationships/hyperlink" Target="https://adstransparency.google.com/advertiser/AR05016556376214732801/creative/CR08346682608020619265?region=anywhere" TargetMode="External"/><Relationship Id="rId749" Type="http://schemas.openxmlformats.org/officeDocument/2006/relationships/hyperlink" Target="https://peec.ai/black-friday" TargetMode="External"/><Relationship Id="rId748" Type="http://schemas.openxmlformats.org/officeDocument/2006/relationships/hyperlink" Target="https://adstransparency.google.com/advertiser/AR05016556376214732801/creative/CR14673917102935506945?region=anywhere" TargetMode="External"/><Relationship Id="rId747" Type="http://schemas.openxmlformats.org/officeDocument/2006/relationships/hyperlink" Target="https://peec.ai/" TargetMode="External"/><Relationship Id="rId746" Type="http://schemas.openxmlformats.org/officeDocument/2006/relationships/hyperlink" Target="https://adstransparency.google.com/advertiser/AR05016556376214732801/creative/CR13702542560260521985?region=anywhere" TargetMode="External"/><Relationship Id="rId48" Type="http://schemas.openxmlformats.org/officeDocument/2006/relationships/hyperlink" Target="https://adstransparency.google.com/advertiser/AR01693402396748677121/creative/CR11321927082411294721?region=anywhere" TargetMode="External"/><Relationship Id="rId47" Type="http://schemas.openxmlformats.org/officeDocument/2006/relationships/hyperlink" Target="https://www.tryprofound.com/" TargetMode="External"/><Relationship Id="rId49" Type="http://schemas.openxmlformats.org/officeDocument/2006/relationships/hyperlink" Target="https://www.tryprofound.com/customers/mongodb" TargetMode="External"/><Relationship Id="rId741" Type="http://schemas.openxmlformats.org/officeDocument/2006/relationships/hyperlink" Target="https://peec.ai/for-agencies" TargetMode="External"/><Relationship Id="rId1330" Type="http://schemas.openxmlformats.org/officeDocument/2006/relationships/hyperlink" Target="https://adstransparency.google.com/advertiser/AR11070511645502472193/creative/CR18342594810453426177?region=anywhere" TargetMode="External"/><Relationship Id="rId740" Type="http://schemas.openxmlformats.org/officeDocument/2006/relationships/hyperlink" Target="https://adstransparency.google.com/advertiser/AR05016556376214732801/creative/CR15248765833753657345?region=anywhere" TargetMode="External"/><Relationship Id="rId1331" Type="http://schemas.openxmlformats.org/officeDocument/2006/relationships/hyperlink" Target="https://www.semrush.com/" TargetMode="External"/><Relationship Id="rId1332" Type="http://schemas.openxmlformats.org/officeDocument/2006/relationships/hyperlink" Target="https://adstransparency.google.com/advertiser/AR11070511645502472193/creative/CR18227401657270927361?region=anywhere" TargetMode="External"/><Relationship Id="rId1333" Type="http://schemas.openxmlformats.org/officeDocument/2006/relationships/hyperlink" Target="https://www.semrush.com/" TargetMode="External"/><Relationship Id="rId1323" Type="http://schemas.openxmlformats.org/officeDocument/2006/relationships/hyperlink" Target="https://www.semrush.com/agencies/" TargetMode="External"/><Relationship Id="rId1324" Type="http://schemas.openxmlformats.org/officeDocument/2006/relationships/hyperlink" Target="https://adstransparency.google.com/advertiser/AR11070511645502472193/creative/CR10170083691905155073?region=anywhere" TargetMode="External"/><Relationship Id="rId31" Type="http://schemas.openxmlformats.org/officeDocument/2006/relationships/hyperlink" Target="https://www.tryprofound.com/" TargetMode="External"/><Relationship Id="rId1325" Type="http://schemas.openxmlformats.org/officeDocument/2006/relationships/hyperlink" Target="https://www.semrush.com/pricing/" TargetMode="External"/><Relationship Id="rId30" Type="http://schemas.openxmlformats.org/officeDocument/2006/relationships/hyperlink" Target="https://adstransparency.google.com/advertiser/AR01693402396748677121/creative/CR02187132526923874305?region=anywhere" TargetMode="External"/><Relationship Id="rId1326" Type="http://schemas.openxmlformats.org/officeDocument/2006/relationships/hyperlink" Target="https://adstransparency.google.com/advertiser/AR11070511645502472193/creative/CR07166745690402455553?region=anywhere" TargetMode="External"/><Relationship Id="rId33" Type="http://schemas.openxmlformats.org/officeDocument/2006/relationships/hyperlink" Target="https://www.tryprofound.com/" TargetMode="External"/><Relationship Id="rId1327" Type="http://schemas.openxmlformats.org/officeDocument/2006/relationships/hyperlink" Target="https://www.semrush.com/" TargetMode="External"/><Relationship Id="rId32" Type="http://schemas.openxmlformats.org/officeDocument/2006/relationships/hyperlink" Target="https://adstransparency.google.com/advertiser/AR01693402396748677121/creative/CR00727154533196627969?region=anywhere" TargetMode="External"/><Relationship Id="rId1328" Type="http://schemas.openxmlformats.org/officeDocument/2006/relationships/hyperlink" Target="https://adstransparency.google.com/advertiser/AR11070511645502472193/creative/CR02016879516504293377?region=anywhere" TargetMode="External"/><Relationship Id="rId35" Type="http://schemas.openxmlformats.org/officeDocument/2006/relationships/hyperlink" Target="https://www.tryprofound.com/" TargetMode="External"/><Relationship Id="rId1329" Type="http://schemas.openxmlformats.org/officeDocument/2006/relationships/hyperlink" Target="https://www.semrush.com/" TargetMode="External"/><Relationship Id="rId34" Type="http://schemas.openxmlformats.org/officeDocument/2006/relationships/hyperlink" Target="https://adstransparency.google.com/advertiser/AR01693402396748677121/creative/CR12635184663980146689?region=anywhere" TargetMode="External"/><Relationship Id="rId739" Type="http://schemas.openxmlformats.org/officeDocument/2006/relationships/hyperlink" Target="https://peec.ai/pricing" TargetMode="External"/><Relationship Id="rId734" Type="http://schemas.openxmlformats.org/officeDocument/2006/relationships/hyperlink" Target="https://adstransparency.google.com/advertiser/AR05016556376214732801/creative/CR17998698290891194369?region=anywhere" TargetMode="External"/><Relationship Id="rId733" Type="http://schemas.openxmlformats.org/officeDocument/2006/relationships/hyperlink" Target="https://peec.ai/" TargetMode="External"/><Relationship Id="rId732" Type="http://schemas.openxmlformats.org/officeDocument/2006/relationships/hyperlink" Target="https://adstransparency.google.com/advertiser/AR05016556376214732801/creative/CR11140373703798292481?region=anywhere" TargetMode="External"/><Relationship Id="rId731" Type="http://schemas.openxmlformats.org/officeDocument/2006/relationships/hyperlink" Target="https://peec.ai/for-agencies" TargetMode="External"/><Relationship Id="rId738" Type="http://schemas.openxmlformats.org/officeDocument/2006/relationships/hyperlink" Target="https://adstransparency.google.com/advertiser/AR05016556376214732801/creative/CR14122936295655211009?region=anywhere" TargetMode="External"/><Relationship Id="rId737" Type="http://schemas.openxmlformats.org/officeDocument/2006/relationships/hyperlink" Target="https://peec.ai/visibility/platform" TargetMode="External"/><Relationship Id="rId736" Type="http://schemas.openxmlformats.org/officeDocument/2006/relationships/hyperlink" Target="https://adstransparency.google.com/advertiser/AR05016556376214732801/creative/CR05905860665163120641?region=anywhere" TargetMode="External"/><Relationship Id="rId735" Type="http://schemas.openxmlformats.org/officeDocument/2006/relationships/hyperlink" Target="https://peec.ai/" TargetMode="External"/><Relationship Id="rId37" Type="http://schemas.openxmlformats.org/officeDocument/2006/relationships/hyperlink" Target="https://www.tryprofound.com/" TargetMode="External"/><Relationship Id="rId36" Type="http://schemas.openxmlformats.org/officeDocument/2006/relationships/hyperlink" Target="https://adstransparency.google.com/advertiser/AR01693402396748677121/creative/CR05172016050388074497?region=anywhere" TargetMode="External"/><Relationship Id="rId39" Type="http://schemas.openxmlformats.org/officeDocument/2006/relationships/hyperlink" Target="https://www.tryprofound.com/" TargetMode="External"/><Relationship Id="rId38" Type="http://schemas.openxmlformats.org/officeDocument/2006/relationships/hyperlink" Target="https://adstransparency.google.com/advertiser/AR01693402396748677121/creative/CR04264440944792698881?region=anywhere" TargetMode="External"/><Relationship Id="rId730" Type="http://schemas.openxmlformats.org/officeDocument/2006/relationships/hyperlink" Target="https://adstransparency.google.com/advertiser/AR05016556376214732801/creative/CR15709499757418250241?region=anywhere" TargetMode="External"/><Relationship Id="rId1320" Type="http://schemas.openxmlformats.org/officeDocument/2006/relationships/hyperlink" Target="https://adstransparency.google.com/advertiser/AR11070511645502472193/creative/CR08508780222869405697?region=anywhere" TargetMode="External"/><Relationship Id="rId1321" Type="http://schemas.openxmlformats.org/officeDocument/2006/relationships/hyperlink" Target="https://www.semrush.com/features/" TargetMode="External"/><Relationship Id="rId1322" Type="http://schemas.openxmlformats.org/officeDocument/2006/relationships/hyperlink" Target="https://adstransparency.google.com/advertiser/AR11070511645502472193/creative/CR17801437177494634497?region=anywhere" TargetMode="External"/><Relationship Id="rId1356" Type="http://schemas.openxmlformats.org/officeDocument/2006/relationships/hyperlink" Target="https://adstransparency.google.com/advertiser/AR11070511645502472193/creative/CR15646979808275988481?region=anywhere" TargetMode="External"/><Relationship Id="rId2203" Type="http://schemas.openxmlformats.org/officeDocument/2006/relationships/hyperlink" Target="https://adstransparency.google.com/advertiser/AR01685939160927436801/creative/CR08938556614969917441?region=anywhere" TargetMode="External"/><Relationship Id="rId1357" Type="http://schemas.openxmlformats.org/officeDocument/2006/relationships/hyperlink" Target="https://www.semrush.com/" TargetMode="External"/><Relationship Id="rId2204" Type="http://schemas.openxmlformats.org/officeDocument/2006/relationships/hyperlink" Target="https://www.scrunch.com/ai-search" TargetMode="External"/><Relationship Id="rId20" Type="http://schemas.openxmlformats.org/officeDocument/2006/relationships/hyperlink" Target="https://adstransparency.google.com/advertiser/AR01693402396748677121/creative/CR05727557494461431809?region=anywhere" TargetMode="External"/><Relationship Id="rId1358" Type="http://schemas.openxmlformats.org/officeDocument/2006/relationships/hyperlink" Target="https://adstransparency.google.com/advertiser/AR11070511645502472193/creative/CR01036490971346370561?region=anywhere" TargetMode="External"/><Relationship Id="rId2205" Type="http://schemas.openxmlformats.org/officeDocument/2006/relationships/hyperlink" Target="https://adstransparency.google.com/advertiser/AR01685939160927436801/creative/CR09285988545451786241?region=anywhere" TargetMode="External"/><Relationship Id="rId1359" Type="http://schemas.openxmlformats.org/officeDocument/2006/relationships/hyperlink" Target="https://www.semrush.com/" TargetMode="External"/><Relationship Id="rId2206" Type="http://schemas.openxmlformats.org/officeDocument/2006/relationships/hyperlink" Target="https://www.scrunch.com/chatgpt/visibility" TargetMode="External"/><Relationship Id="rId22" Type="http://schemas.openxmlformats.org/officeDocument/2006/relationships/hyperlink" Target="https://adstransparency.google.com/advertiser/AR01693402396748677121/creative/CR03874070199028154369?region=anywhere" TargetMode="External"/><Relationship Id="rId2207" Type="http://schemas.openxmlformats.org/officeDocument/2006/relationships/hyperlink" Target="https://adstransparency.google.com/advertiser/AR01685939160927436801/creative/CR05192562005701033985?region=anywhere" TargetMode="External"/><Relationship Id="rId21" Type="http://schemas.openxmlformats.org/officeDocument/2006/relationships/hyperlink" Target="https://www.tryprofound.com/" TargetMode="External"/><Relationship Id="rId2208" Type="http://schemas.openxmlformats.org/officeDocument/2006/relationships/hyperlink" Target="https://www.scrunch.com/ai-search/monitoring" TargetMode="External"/><Relationship Id="rId24" Type="http://schemas.openxmlformats.org/officeDocument/2006/relationships/hyperlink" Target="https://adstransparency.google.com/advertiser/AR01693402396748677121/creative/CR11550465659485814785?region=anywhere" TargetMode="External"/><Relationship Id="rId2209" Type="http://schemas.openxmlformats.org/officeDocument/2006/relationships/hyperlink" Target="https://adstransparency.google.com/advertiser/AR01685939160927436801/creative/CR16418315965671931905?region=anywhere" TargetMode="External"/><Relationship Id="rId23" Type="http://schemas.openxmlformats.org/officeDocument/2006/relationships/hyperlink" Target="https://www.tryprofound.com/" TargetMode="External"/><Relationship Id="rId767" Type="http://schemas.openxmlformats.org/officeDocument/2006/relationships/hyperlink" Target="https://peec.ai/demo" TargetMode="External"/><Relationship Id="rId766" Type="http://schemas.openxmlformats.org/officeDocument/2006/relationships/hyperlink" Target="https://adstransparency.google.com/advertiser/AR05016556376214732801/creative/CR15944768239007956993?region=anywhere" TargetMode="External"/><Relationship Id="rId765" Type="http://schemas.openxmlformats.org/officeDocument/2006/relationships/hyperlink" Target="https://peec.ai/for-agencies" TargetMode="External"/><Relationship Id="rId764" Type="http://schemas.openxmlformats.org/officeDocument/2006/relationships/hyperlink" Target="https://adstransparency.google.com/advertiser/AR05016556376214732801/creative/CR02220782367327387649?region=anywhere" TargetMode="External"/><Relationship Id="rId769" Type="http://schemas.openxmlformats.org/officeDocument/2006/relationships/hyperlink" Target="https://peec.ai/" TargetMode="External"/><Relationship Id="rId768" Type="http://schemas.openxmlformats.org/officeDocument/2006/relationships/hyperlink" Target="https://adstransparency.google.com/advertiser/AR05016556376214732801/creative/CR14888844619411357697?region=anywhere" TargetMode="External"/><Relationship Id="rId26" Type="http://schemas.openxmlformats.org/officeDocument/2006/relationships/hyperlink" Target="https://adstransparency.google.com/advertiser/AR01693402396748677121/creative/CR04939526515718094849?region=anywhere" TargetMode="External"/><Relationship Id="rId25" Type="http://schemas.openxmlformats.org/officeDocument/2006/relationships/hyperlink" Target="https://www.tryprofound.com/pricing" TargetMode="External"/><Relationship Id="rId28" Type="http://schemas.openxmlformats.org/officeDocument/2006/relationships/hyperlink" Target="https://adstransparency.google.com/advertiser/AR01693402396748677121/creative/CR04064468367002566657?region=anywhere" TargetMode="External"/><Relationship Id="rId1350" Type="http://schemas.openxmlformats.org/officeDocument/2006/relationships/hyperlink" Target="https://adstransparency.google.com/advertiser/AR11070511645502472193/creative/CR11381250519323377665?region=anywhere" TargetMode="External"/><Relationship Id="rId27" Type="http://schemas.openxmlformats.org/officeDocument/2006/relationships/hyperlink" Target="https://www.tryprofound.com/" TargetMode="External"/><Relationship Id="rId1351" Type="http://schemas.openxmlformats.org/officeDocument/2006/relationships/hyperlink" Target="https://www.semrush.com/agencies/" TargetMode="External"/><Relationship Id="rId763" Type="http://schemas.openxmlformats.org/officeDocument/2006/relationships/hyperlink" Target="https://peec.ai/pricing" TargetMode="External"/><Relationship Id="rId1352" Type="http://schemas.openxmlformats.org/officeDocument/2006/relationships/hyperlink" Target="https://adstransparency.google.com/advertiser/AR11070511645502472193/creative/CR04189299289358336001?region=anywhere" TargetMode="External"/><Relationship Id="rId29" Type="http://schemas.openxmlformats.org/officeDocument/2006/relationships/hyperlink" Target="https://www.tryprofound.com/" TargetMode="External"/><Relationship Id="rId762" Type="http://schemas.openxmlformats.org/officeDocument/2006/relationships/hyperlink" Target="https://adstransparency.google.com/advertiser/AR05016556376214732801/creative/CR08441738411898830849?region=anywhere" TargetMode="External"/><Relationship Id="rId1353" Type="http://schemas.openxmlformats.org/officeDocument/2006/relationships/hyperlink" Target="https://www.semrush.com/pricing/" TargetMode="External"/><Relationship Id="rId2200" Type="http://schemas.openxmlformats.org/officeDocument/2006/relationships/hyperlink" Target="https://www.scrunch.com/aeo" TargetMode="External"/><Relationship Id="rId761" Type="http://schemas.openxmlformats.org/officeDocument/2006/relationships/hyperlink" Target="https://peec.ai/visibility/platform" TargetMode="External"/><Relationship Id="rId1354" Type="http://schemas.openxmlformats.org/officeDocument/2006/relationships/hyperlink" Target="https://adstransparency.google.com/advertiser/AR11070511645502472193/creative/CR06259451441308499969?region=anywhere" TargetMode="External"/><Relationship Id="rId2201" Type="http://schemas.openxmlformats.org/officeDocument/2006/relationships/hyperlink" Target="https://adstransparency.google.com/advertiser/AR01685939160927436801/creative/CR13060001391055994881?region=anywhere" TargetMode="External"/><Relationship Id="rId760" Type="http://schemas.openxmlformats.org/officeDocument/2006/relationships/hyperlink" Target="https://adstransparency.google.com/advertiser/AR05016556376214732801/creative/CR13640440494256291841?region=anywhere" TargetMode="External"/><Relationship Id="rId1355" Type="http://schemas.openxmlformats.org/officeDocument/2006/relationships/hyperlink" Target="https://www.semrush.com/" TargetMode="External"/><Relationship Id="rId2202" Type="http://schemas.openxmlformats.org/officeDocument/2006/relationships/hyperlink" Target="https://scrunch.com/" TargetMode="External"/><Relationship Id="rId1345" Type="http://schemas.openxmlformats.org/officeDocument/2006/relationships/hyperlink" Target="https://www.semrush.com/" TargetMode="External"/><Relationship Id="rId1346" Type="http://schemas.openxmlformats.org/officeDocument/2006/relationships/hyperlink" Target="https://adstransparency.google.com/advertiser/AR11070511645502472193/creative/CR11350969831655473153?region=anywhere" TargetMode="External"/><Relationship Id="rId1347" Type="http://schemas.openxmlformats.org/officeDocument/2006/relationships/hyperlink" Target="https://www.semrush.com/analytics/backlinks/overview/" TargetMode="External"/><Relationship Id="rId1348" Type="http://schemas.openxmlformats.org/officeDocument/2006/relationships/hyperlink" Target="https://adstransparency.google.com/advertiser/AR11070511645502472193/creative/CR03868508706006106113?region=anywhere" TargetMode="External"/><Relationship Id="rId11" Type="http://schemas.openxmlformats.org/officeDocument/2006/relationships/hyperlink" Target="https://www.tryprofound.com/" TargetMode="External"/><Relationship Id="rId1349" Type="http://schemas.openxmlformats.org/officeDocument/2006/relationships/hyperlink" Target="https://www.semrush.com/features/" TargetMode="External"/><Relationship Id="rId10" Type="http://schemas.openxmlformats.org/officeDocument/2006/relationships/hyperlink" Target="https://adstransparency.google.com/advertiser/AR01693402396748677121?region=anywhere" TargetMode="External"/><Relationship Id="rId13" Type="http://schemas.openxmlformats.org/officeDocument/2006/relationships/hyperlink" Target="https://www.tryprofound.com/" TargetMode="External"/><Relationship Id="rId12" Type="http://schemas.openxmlformats.org/officeDocument/2006/relationships/hyperlink" Target="https://adstransparency.google.com/advertiser/AR01693402396748677121?region=anywhere" TargetMode="External"/><Relationship Id="rId756" Type="http://schemas.openxmlformats.org/officeDocument/2006/relationships/hyperlink" Target="https://adstransparency.google.com/advertiser/AR05016556376214732801/creative/CR08047641696105660417?region=anywhere" TargetMode="External"/><Relationship Id="rId755" Type="http://schemas.openxmlformats.org/officeDocument/2006/relationships/hyperlink" Target="https://peec.ai/for-agencies" TargetMode="External"/><Relationship Id="rId754" Type="http://schemas.openxmlformats.org/officeDocument/2006/relationships/hyperlink" Target="https://adstransparency.google.com/advertiser/AR05016556376214732801/creative/CR02659840381323051009?region=anywhere" TargetMode="External"/><Relationship Id="rId753" Type="http://schemas.openxmlformats.org/officeDocument/2006/relationships/hyperlink" Target="https://peec.ai/visibility/platform" TargetMode="External"/><Relationship Id="rId759" Type="http://schemas.openxmlformats.org/officeDocument/2006/relationships/hyperlink" Target="https://peec.ai/" TargetMode="External"/><Relationship Id="rId758" Type="http://schemas.openxmlformats.org/officeDocument/2006/relationships/hyperlink" Target="https://adstransparency.google.com/advertiser/AR05016556376214732801/creative/CR10091070587309916161?region=anywhere" TargetMode="External"/><Relationship Id="rId757" Type="http://schemas.openxmlformats.org/officeDocument/2006/relationships/hyperlink" Target="https://peec.ai/" TargetMode="External"/><Relationship Id="rId15" Type="http://schemas.openxmlformats.org/officeDocument/2006/relationships/hyperlink" Target="https://hmesus.com/products/glucose-meter" TargetMode="External"/><Relationship Id="rId14" Type="http://schemas.openxmlformats.org/officeDocument/2006/relationships/hyperlink" Target="https://adstransparency.google.com/advertiser/AR01693402396748677121?region=anywhere" TargetMode="External"/><Relationship Id="rId17" Type="http://schemas.openxmlformats.org/officeDocument/2006/relationships/hyperlink" Target="https://www.tryprofound.com/" TargetMode="External"/><Relationship Id="rId16" Type="http://schemas.openxmlformats.org/officeDocument/2006/relationships/hyperlink" Target="https://adstransparency.google.com/advertiser/AR01693402396748677121?region=anywhere" TargetMode="External"/><Relationship Id="rId1340" Type="http://schemas.openxmlformats.org/officeDocument/2006/relationships/hyperlink" Target="https://adstransparency.google.com/advertiser/AR11070511645502472193/creative/CR13604034427310047233?region=anywhere" TargetMode="External"/><Relationship Id="rId19" Type="http://schemas.openxmlformats.org/officeDocument/2006/relationships/hyperlink" Target="https://www.tryprofound.com/" TargetMode="External"/><Relationship Id="rId752" Type="http://schemas.openxmlformats.org/officeDocument/2006/relationships/hyperlink" Target="https://adstransparency.google.com/advertiser/AR05016556376214732801/creative/CR11181116794360299521?region=anywhere" TargetMode="External"/><Relationship Id="rId1341" Type="http://schemas.openxmlformats.org/officeDocument/2006/relationships/hyperlink" Target="https://www.semrush.com/analytics/keywordoverview/" TargetMode="External"/><Relationship Id="rId18" Type="http://schemas.openxmlformats.org/officeDocument/2006/relationships/hyperlink" Target="https://adstransparency.google.com/advertiser/AR01693402396748677121/creative/CR15387676578028716033?region=anywhere" TargetMode="External"/><Relationship Id="rId751" Type="http://schemas.openxmlformats.org/officeDocument/2006/relationships/hyperlink" Target="https://peec.ai/" TargetMode="External"/><Relationship Id="rId1342" Type="http://schemas.openxmlformats.org/officeDocument/2006/relationships/hyperlink" Target="https://adstransparency.google.com/advertiser/AR11070511645502472193/creative/CR12472796185356140545?region=anywhere" TargetMode="External"/><Relationship Id="rId750" Type="http://schemas.openxmlformats.org/officeDocument/2006/relationships/hyperlink" Target="https://adstransparency.google.com/advertiser/AR05016556376214732801/creative/CR14859607986753503233?region=anywhere" TargetMode="External"/><Relationship Id="rId1343" Type="http://schemas.openxmlformats.org/officeDocument/2006/relationships/hyperlink" Target="https://www.semrush.com/" TargetMode="External"/><Relationship Id="rId1344" Type="http://schemas.openxmlformats.org/officeDocument/2006/relationships/hyperlink" Target="https://adstransparency.google.com/advertiser/AR11070511645502472193/creative/CR06408935338504355841?region=anywhere" TargetMode="External"/><Relationship Id="rId84" Type="http://schemas.openxmlformats.org/officeDocument/2006/relationships/hyperlink" Target="https://adstransparency.google.com/advertiser/AR01693402396748677121/creative/CR16511273145450102785?region=anywhere" TargetMode="External"/><Relationship Id="rId1774" Type="http://schemas.openxmlformats.org/officeDocument/2006/relationships/hyperlink" Target="https://adstransparency.google.com/advertiser/AR11070511645502472193/creative/CR04556417296930701313?region=anywhere" TargetMode="External"/><Relationship Id="rId83" Type="http://schemas.openxmlformats.org/officeDocument/2006/relationships/hyperlink" Target="https://www.tryprofound.com/" TargetMode="External"/><Relationship Id="rId1775" Type="http://schemas.openxmlformats.org/officeDocument/2006/relationships/hyperlink" Target="https://www.semrush.com/" TargetMode="External"/><Relationship Id="rId86" Type="http://schemas.openxmlformats.org/officeDocument/2006/relationships/hyperlink" Target="https://adstransparency.google.com/advertiser/AR01693402396748677121/creative/CR10679961825371488257?region=anywhere" TargetMode="External"/><Relationship Id="rId1776" Type="http://schemas.openxmlformats.org/officeDocument/2006/relationships/hyperlink" Target="https://adstransparency.google.com/advertiser/AR11070511645502472193/creative/CR12456044026195345409?region=anywhere" TargetMode="External"/><Relationship Id="rId85" Type="http://schemas.openxmlformats.org/officeDocument/2006/relationships/hyperlink" Target="https://www.tryprofound.com/" TargetMode="External"/><Relationship Id="rId1777" Type="http://schemas.openxmlformats.org/officeDocument/2006/relationships/hyperlink" Target="https://www.semrush.com/" TargetMode="External"/><Relationship Id="rId88" Type="http://schemas.openxmlformats.org/officeDocument/2006/relationships/hyperlink" Target="https://adstransparency.google.com/advertiser/AR01693402396748677121/creative/CR04511338204955148289?region=anywhere" TargetMode="External"/><Relationship Id="rId1778" Type="http://schemas.openxmlformats.org/officeDocument/2006/relationships/hyperlink" Target="https://adstransparency.google.com/advertiser/AR11070511645502472193/creative/CR05242640096011747329?region=anywhere" TargetMode="External"/><Relationship Id="rId87" Type="http://schemas.openxmlformats.org/officeDocument/2006/relationships/hyperlink" Target="https://www.tryprofound.com/" TargetMode="External"/><Relationship Id="rId1779" Type="http://schemas.openxmlformats.org/officeDocument/2006/relationships/hyperlink" Target="https://www.semrush.com/" TargetMode="External"/><Relationship Id="rId89" Type="http://schemas.openxmlformats.org/officeDocument/2006/relationships/hyperlink" Target="https://www.tryprofound.com/" TargetMode="External"/><Relationship Id="rId709" Type="http://schemas.openxmlformats.org/officeDocument/2006/relationships/hyperlink" Target="https://peec.ai/" TargetMode="External"/><Relationship Id="rId708" Type="http://schemas.openxmlformats.org/officeDocument/2006/relationships/hyperlink" Target="https://adstransparency.google.com/advertiser/AR05016556376214732801/creative/CR10089395343906045953?region=anywhere" TargetMode="External"/><Relationship Id="rId707" Type="http://schemas.openxmlformats.org/officeDocument/2006/relationships/hyperlink" Target="https://peec.ai/for-agencies" TargetMode="External"/><Relationship Id="rId706" Type="http://schemas.openxmlformats.org/officeDocument/2006/relationships/hyperlink" Target="https://adstransparency.google.com/advertiser/AR05016556376214732801/creative/CR13924622537314009089?region=anywhere" TargetMode="External"/><Relationship Id="rId80" Type="http://schemas.openxmlformats.org/officeDocument/2006/relationships/hyperlink" Target="https://adstransparency.google.com/advertiser/AR01693402396748677121/creative/CR12684558989539672065?region=anywhere" TargetMode="External"/><Relationship Id="rId82" Type="http://schemas.openxmlformats.org/officeDocument/2006/relationships/hyperlink" Target="https://adstransparency.google.com/advertiser/AR01693402396748677121/creative/CR14513259100994797569?region=anywhere" TargetMode="External"/><Relationship Id="rId81" Type="http://schemas.openxmlformats.org/officeDocument/2006/relationships/hyperlink" Target="https://www.tryprofound.com/" TargetMode="External"/><Relationship Id="rId701" Type="http://schemas.openxmlformats.org/officeDocument/2006/relationships/hyperlink" Target="https://peec.ai/black-friday" TargetMode="External"/><Relationship Id="rId700" Type="http://schemas.openxmlformats.org/officeDocument/2006/relationships/hyperlink" Target="https://adstransparency.google.com/advertiser/AR05016556376214732801/creative/CR01469010490339360769?region=anywhere" TargetMode="External"/><Relationship Id="rId705" Type="http://schemas.openxmlformats.org/officeDocument/2006/relationships/hyperlink" Target="https://peec.ai/visibility/platform" TargetMode="External"/><Relationship Id="rId704" Type="http://schemas.openxmlformats.org/officeDocument/2006/relationships/hyperlink" Target="https://adstransparency.google.com/advertiser/AR05016556376214732801/creative/CR12117501441065615361?region=anywhere" TargetMode="External"/><Relationship Id="rId703" Type="http://schemas.openxmlformats.org/officeDocument/2006/relationships/hyperlink" Target="https://peec.ai/" TargetMode="External"/><Relationship Id="rId702" Type="http://schemas.openxmlformats.org/officeDocument/2006/relationships/hyperlink" Target="https://adstransparency.google.com/advertiser/AR05016556376214732801/creative/CR01898027326063509505?region=anywhere" TargetMode="External"/><Relationship Id="rId1770" Type="http://schemas.openxmlformats.org/officeDocument/2006/relationships/hyperlink" Target="https://adstransparency.google.com/advertiser/AR11070511645502472193/creative/CR08798130915470475265?region=anywhere" TargetMode="External"/><Relationship Id="rId1771" Type="http://schemas.openxmlformats.org/officeDocument/2006/relationships/hyperlink" Target="https://www.semrush.com/agencies/" TargetMode="External"/><Relationship Id="rId1772" Type="http://schemas.openxmlformats.org/officeDocument/2006/relationships/hyperlink" Target="https://adstransparency.google.com/advertiser/AR11070511645502472193/creative/CR09790502762981621761?region=anywhere" TargetMode="External"/><Relationship Id="rId1773" Type="http://schemas.openxmlformats.org/officeDocument/2006/relationships/hyperlink" Target="https://www.semrush.com/pricing/" TargetMode="External"/><Relationship Id="rId73" Type="http://schemas.openxmlformats.org/officeDocument/2006/relationships/hyperlink" Target="https://www.tryprofound.com/" TargetMode="External"/><Relationship Id="rId1763" Type="http://schemas.openxmlformats.org/officeDocument/2006/relationships/hyperlink" Target="https://www.semrush.com/" TargetMode="External"/><Relationship Id="rId72" Type="http://schemas.openxmlformats.org/officeDocument/2006/relationships/hyperlink" Target="https://adstransparency.google.com/advertiser/AR01693402396748677121/creative/CR14779284221348282369?region=anywhere" TargetMode="External"/><Relationship Id="rId1764" Type="http://schemas.openxmlformats.org/officeDocument/2006/relationships/hyperlink" Target="https://adstransparency.google.com/advertiser/AR11070511645502472193/creative/CR07268240406171615233?region=anywhere" TargetMode="External"/><Relationship Id="rId75" Type="http://schemas.openxmlformats.org/officeDocument/2006/relationships/hyperlink" Target="https://www.tryprofound.com/" TargetMode="External"/><Relationship Id="rId1765" Type="http://schemas.openxmlformats.org/officeDocument/2006/relationships/hyperlink" Target="https://www.semrush.com/" TargetMode="External"/><Relationship Id="rId74" Type="http://schemas.openxmlformats.org/officeDocument/2006/relationships/hyperlink" Target="https://adstransparency.google.com/advertiser/AR01693402396748677121/creative/CR05149462318123319297?region=anywhere" TargetMode="External"/><Relationship Id="rId1766" Type="http://schemas.openxmlformats.org/officeDocument/2006/relationships/hyperlink" Target="https://adstransparency.google.com/advertiser/AR11070511645502472193/creative/CR16616743119739682817?region=anywhere" TargetMode="External"/><Relationship Id="rId77" Type="http://schemas.openxmlformats.org/officeDocument/2006/relationships/hyperlink" Target="https://www.tryprofound.com/" TargetMode="External"/><Relationship Id="rId1767" Type="http://schemas.openxmlformats.org/officeDocument/2006/relationships/hyperlink" Target="https://www.semrush.com/analytics/backlinks/overview/" TargetMode="External"/><Relationship Id="rId76" Type="http://schemas.openxmlformats.org/officeDocument/2006/relationships/hyperlink" Target="https://adstransparency.google.com/advertiser/AR01693402396748677121/creative/CR08972781457005084673?region=anywhere" TargetMode="External"/><Relationship Id="rId1768" Type="http://schemas.openxmlformats.org/officeDocument/2006/relationships/hyperlink" Target="https://adstransparency.google.com/advertiser/AR11070511645502472193/creative/CR17946319893406154753?region=anywhere" TargetMode="External"/><Relationship Id="rId79" Type="http://schemas.openxmlformats.org/officeDocument/2006/relationships/hyperlink" Target="https://www.tryprofound.com/" TargetMode="External"/><Relationship Id="rId1769" Type="http://schemas.openxmlformats.org/officeDocument/2006/relationships/hyperlink" Target="https://www.semrush.com/features/" TargetMode="External"/><Relationship Id="rId78" Type="http://schemas.openxmlformats.org/officeDocument/2006/relationships/hyperlink" Target="https://adstransparency.google.com/advertiser/AR01693402396748677121/creative/CR04765412570217578497?region=anywhere" TargetMode="External"/><Relationship Id="rId71" Type="http://schemas.openxmlformats.org/officeDocument/2006/relationships/hyperlink" Target="https://www.tryprofound.com/" TargetMode="External"/><Relationship Id="rId70" Type="http://schemas.openxmlformats.org/officeDocument/2006/relationships/hyperlink" Target="https://adstransparency.google.com/advertiser/AR01693402396748677121/creative/CR18205662345294774273?region=anywhere" TargetMode="External"/><Relationship Id="rId1760" Type="http://schemas.openxmlformats.org/officeDocument/2006/relationships/hyperlink" Target="https://adstransparency.google.com/advertiser/AR11070511645502472193/creative/CR01033117738391830529?region=anywhere" TargetMode="External"/><Relationship Id="rId1761" Type="http://schemas.openxmlformats.org/officeDocument/2006/relationships/hyperlink" Target="https://www.semrush.com/analytics/keywordoverview/" TargetMode="External"/><Relationship Id="rId1762" Type="http://schemas.openxmlformats.org/officeDocument/2006/relationships/hyperlink" Target="https://adstransparency.google.com/advertiser/AR11070511645502472193/creative/CR12464725048453758977?region=anywhere" TargetMode="External"/><Relationship Id="rId62" Type="http://schemas.openxmlformats.org/officeDocument/2006/relationships/hyperlink" Target="https://adstransparency.google.com/advertiser/AR01693402396748677121/creative/CR11685880686928986113?region=anywhere" TargetMode="External"/><Relationship Id="rId1312" Type="http://schemas.openxmlformats.org/officeDocument/2006/relationships/hyperlink" Target="https://adstransparency.google.com/advertiser/AR11070511645502472193/creative/CR13867899213473382401?region=anywhere" TargetMode="External"/><Relationship Id="rId1796" Type="http://schemas.openxmlformats.org/officeDocument/2006/relationships/hyperlink" Target="https://adstransparency.google.com/advertiser/AR11070511645502472193/creative/CR13516962898915622913?region=anywhere" TargetMode="External"/><Relationship Id="rId61" Type="http://schemas.openxmlformats.org/officeDocument/2006/relationships/hyperlink" Target="https://www.tryprofound.com/" TargetMode="External"/><Relationship Id="rId1313" Type="http://schemas.openxmlformats.org/officeDocument/2006/relationships/hyperlink" Target="https://www.semrush.com/analytics/keywordoverview/" TargetMode="External"/><Relationship Id="rId1797" Type="http://schemas.openxmlformats.org/officeDocument/2006/relationships/hyperlink" Target="https://www.semrush.com/features/" TargetMode="External"/><Relationship Id="rId64" Type="http://schemas.openxmlformats.org/officeDocument/2006/relationships/hyperlink" Target="https://adstransparency.google.com/advertiser/AR01693402396748677121/creative/CR13024239363045720065?region=anywhere" TargetMode="External"/><Relationship Id="rId1314" Type="http://schemas.openxmlformats.org/officeDocument/2006/relationships/hyperlink" Target="https://adstransparency.google.com/advertiser/AR11070511645502472193/creative/CR17773707975278460929?region=anywhere" TargetMode="External"/><Relationship Id="rId1798" Type="http://schemas.openxmlformats.org/officeDocument/2006/relationships/hyperlink" Target="https://adstransparency.google.com/advertiser/AR11070511645502472193/creative/CR17421217913351700481?region=anywhere" TargetMode="External"/><Relationship Id="rId63" Type="http://schemas.openxmlformats.org/officeDocument/2006/relationships/hyperlink" Target="https://www.tryprofound.com/" TargetMode="External"/><Relationship Id="rId1315" Type="http://schemas.openxmlformats.org/officeDocument/2006/relationships/hyperlink" Target="https://www.semrush.com/" TargetMode="External"/><Relationship Id="rId1799" Type="http://schemas.openxmlformats.org/officeDocument/2006/relationships/hyperlink" Target="https://www.semrush.com/agencies/" TargetMode="External"/><Relationship Id="rId66" Type="http://schemas.openxmlformats.org/officeDocument/2006/relationships/hyperlink" Target="https://adstransparency.google.com/advertiser/AR01693402396748677121/creative/CR00931357481974628353?region=anywhere" TargetMode="External"/><Relationship Id="rId1316" Type="http://schemas.openxmlformats.org/officeDocument/2006/relationships/hyperlink" Target="https://adstransparency.google.com/advertiser/AR11070511645502472193/creative/CR13549732915268550657?region=anywhere" TargetMode="External"/><Relationship Id="rId65" Type="http://schemas.openxmlformats.org/officeDocument/2006/relationships/hyperlink" Target="https://www.tryprofound.com/" TargetMode="External"/><Relationship Id="rId1317" Type="http://schemas.openxmlformats.org/officeDocument/2006/relationships/hyperlink" Target="https://www.semrush.com/" TargetMode="External"/><Relationship Id="rId68" Type="http://schemas.openxmlformats.org/officeDocument/2006/relationships/hyperlink" Target="https://adstransparency.google.com/advertiser/AR01693402396748677121/creative/CR03810105216729088001?region=anywhere" TargetMode="External"/><Relationship Id="rId1318" Type="http://schemas.openxmlformats.org/officeDocument/2006/relationships/hyperlink" Target="https://adstransparency.google.com/advertiser/AR11070511645502472193/creative/CR16990077542717194241?region=anywhere" TargetMode="External"/><Relationship Id="rId67" Type="http://schemas.openxmlformats.org/officeDocument/2006/relationships/hyperlink" Target="https://www.tryprofound.com/" TargetMode="External"/><Relationship Id="rId1319" Type="http://schemas.openxmlformats.org/officeDocument/2006/relationships/hyperlink" Target="https://www.semrush.com/analytics/backlinks/overview/" TargetMode="External"/><Relationship Id="rId729" Type="http://schemas.openxmlformats.org/officeDocument/2006/relationships/hyperlink" Target="https://peec.ai/visibility/platform" TargetMode="External"/><Relationship Id="rId728" Type="http://schemas.openxmlformats.org/officeDocument/2006/relationships/hyperlink" Target="https://adstransparency.google.com/advertiser/AR05016556376214732801/creative/CR13046507677553786881?region=anywhere" TargetMode="External"/><Relationship Id="rId60" Type="http://schemas.openxmlformats.org/officeDocument/2006/relationships/hyperlink" Target="https://adstransparency.google.com/advertiser/AR01693402396748677121/creative/CR04321292567896391681?region=anywhere" TargetMode="External"/><Relationship Id="rId723" Type="http://schemas.openxmlformats.org/officeDocument/2006/relationships/hyperlink" Target="https://peec.ai/" TargetMode="External"/><Relationship Id="rId722" Type="http://schemas.openxmlformats.org/officeDocument/2006/relationships/hyperlink" Target="https://adstransparency.google.com/advertiser/AR05016556376214732801/creative/CR09030537059055435777?region=anywhere" TargetMode="External"/><Relationship Id="rId721" Type="http://schemas.openxmlformats.org/officeDocument/2006/relationships/hyperlink" Target="https://peec.ai/" TargetMode="External"/><Relationship Id="rId720" Type="http://schemas.openxmlformats.org/officeDocument/2006/relationships/hyperlink" Target="https://adstransparency.google.com/advertiser/AR05016556376214732801/creative/CR15631845992792326145?region=anywhere" TargetMode="External"/><Relationship Id="rId727" Type="http://schemas.openxmlformats.org/officeDocument/2006/relationships/hyperlink" Target="https://peec.ai/" TargetMode="External"/><Relationship Id="rId726" Type="http://schemas.openxmlformats.org/officeDocument/2006/relationships/hyperlink" Target="https://adstransparency.google.com/advertiser/AR05016556376214732801/creative/CR12295112151370039297?region=anywhere" TargetMode="External"/><Relationship Id="rId725" Type="http://schemas.openxmlformats.org/officeDocument/2006/relationships/hyperlink" Target="https://peec.ai/black-friday" TargetMode="External"/><Relationship Id="rId724" Type="http://schemas.openxmlformats.org/officeDocument/2006/relationships/hyperlink" Target="https://adstransparency.google.com/advertiser/AR05016556376214732801/creative/CR00425387150272364545?region=anywhere" TargetMode="External"/><Relationship Id="rId69" Type="http://schemas.openxmlformats.org/officeDocument/2006/relationships/hyperlink" Target="https://www.tryprofound.com/" TargetMode="External"/><Relationship Id="rId1790" Type="http://schemas.openxmlformats.org/officeDocument/2006/relationships/hyperlink" Target="https://adstransparency.google.com/advertiser/AR11070511645502472193/creative/CR02377492529818894337?region=anywhere" TargetMode="External"/><Relationship Id="rId1791" Type="http://schemas.openxmlformats.org/officeDocument/2006/relationships/hyperlink" Target="https://www.semrush.com/" TargetMode="External"/><Relationship Id="rId1792" Type="http://schemas.openxmlformats.org/officeDocument/2006/relationships/hyperlink" Target="https://adstransparency.google.com/advertiser/AR11070511645502472193/creative/CR16901542985252995073?region=anywhere" TargetMode="External"/><Relationship Id="rId1793" Type="http://schemas.openxmlformats.org/officeDocument/2006/relationships/hyperlink" Target="https://www.semrush.com/" TargetMode="External"/><Relationship Id="rId1310" Type="http://schemas.openxmlformats.org/officeDocument/2006/relationships/hyperlink" Target="https://adstransparency.google.com/advertiser/AR11070511645502472193/creative/CR09031798886087262209?region=anywhere" TargetMode="External"/><Relationship Id="rId1794" Type="http://schemas.openxmlformats.org/officeDocument/2006/relationships/hyperlink" Target="https://adstransparency.google.com/advertiser/AR11070511645502472193/creative/CR05458267279839985665?region=anywhere" TargetMode="External"/><Relationship Id="rId1311" Type="http://schemas.openxmlformats.org/officeDocument/2006/relationships/hyperlink" Target="https://www.semrush.com/" TargetMode="External"/><Relationship Id="rId1795" Type="http://schemas.openxmlformats.org/officeDocument/2006/relationships/hyperlink" Target="https://www.semrush.com/analytics/backlinks/overview/" TargetMode="External"/><Relationship Id="rId51" Type="http://schemas.openxmlformats.org/officeDocument/2006/relationships/hyperlink" Target="https://www.tryprofound.com/" TargetMode="External"/><Relationship Id="rId1301" Type="http://schemas.openxmlformats.org/officeDocument/2006/relationships/hyperlink" Target="https://www.semrush.com/" TargetMode="External"/><Relationship Id="rId1785" Type="http://schemas.openxmlformats.org/officeDocument/2006/relationships/hyperlink" Target="https://www.semrush.com/kb/demo/" TargetMode="External"/><Relationship Id="rId50" Type="http://schemas.openxmlformats.org/officeDocument/2006/relationships/hyperlink" Target="https://adstransparency.google.com/advertiser/AR01693402396748677121/creative/CR17355288782378631169?region=anywhere" TargetMode="External"/><Relationship Id="rId1302" Type="http://schemas.openxmlformats.org/officeDocument/2006/relationships/hyperlink" Target="https://adstransparency.google.com/advertiser/AR11070511645502472193/creative/CR12209864678406356993?region=anywhere" TargetMode="External"/><Relationship Id="rId1786" Type="http://schemas.openxmlformats.org/officeDocument/2006/relationships/hyperlink" Target="https://adstransparency.google.com/advertiser/AR11070511645502472193/creative/CR15286433521573298177?region=anywhere" TargetMode="External"/><Relationship Id="rId53" Type="http://schemas.openxmlformats.org/officeDocument/2006/relationships/hyperlink" Target="https://www.tryprofound.com/customers/mongodb" TargetMode="External"/><Relationship Id="rId1303" Type="http://schemas.openxmlformats.org/officeDocument/2006/relationships/hyperlink" Target="https://www.semrush.com/" TargetMode="External"/><Relationship Id="rId1787" Type="http://schemas.openxmlformats.org/officeDocument/2006/relationships/hyperlink" Target="https://www.semrush.com/" TargetMode="External"/><Relationship Id="rId52" Type="http://schemas.openxmlformats.org/officeDocument/2006/relationships/hyperlink" Target="https://adstransparency.google.com/advertiser/AR01693402396748677121/creative/CR10217646322949816321?region=anywhere" TargetMode="External"/><Relationship Id="rId1304" Type="http://schemas.openxmlformats.org/officeDocument/2006/relationships/hyperlink" Target="https://adstransparency.google.com/advertiser/AR11070511645502472193/creative/CR02338767592849670145?region=anywhere" TargetMode="External"/><Relationship Id="rId1788" Type="http://schemas.openxmlformats.org/officeDocument/2006/relationships/hyperlink" Target="https://adstransparency.google.com/advertiser/AR11070511645502472193/creative/CR17853858559012372481?region=anywhere" TargetMode="External"/><Relationship Id="rId55" Type="http://schemas.openxmlformats.org/officeDocument/2006/relationships/hyperlink" Target="https://www.tryprofound.com/" TargetMode="External"/><Relationship Id="rId1305" Type="http://schemas.openxmlformats.org/officeDocument/2006/relationships/hyperlink" Target="https://www.semrush.com/" TargetMode="External"/><Relationship Id="rId1789" Type="http://schemas.openxmlformats.org/officeDocument/2006/relationships/hyperlink" Target="https://www.semrush.com/analytics/keywordoverview/" TargetMode="External"/><Relationship Id="rId54" Type="http://schemas.openxmlformats.org/officeDocument/2006/relationships/hyperlink" Target="https://adstransparency.google.com/advertiser/AR01693402396748677121/creative/CR13114570840337285121?region=anywhere" TargetMode="External"/><Relationship Id="rId1306" Type="http://schemas.openxmlformats.org/officeDocument/2006/relationships/hyperlink" Target="https://adstransparency.google.com/advertiser/AR11070511645502472193/creative/CR00480775976234516481?region=anywhere" TargetMode="External"/><Relationship Id="rId57" Type="http://schemas.openxmlformats.org/officeDocument/2006/relationships/hyperlink" Target="https://www.tryprofound.com/" TargetMode="External"/><Relationship Id="rId1307" Type="http://schemas.openxmlformats.org/officeDocument/2006/relationships/hyperlink" Target="https://www.semrush.com/features/" TargetMode="External"/><Relationship Id="rId56" Type="http://schemas.openxmlformats.org/officeDocument/2006/relationships/hyperlink" Target="https://adstransparency.google.com/advertiser/AR01693402396748677121/creative/CR17139634969753157633?region=anywhere" TargetMode="External"/><Relationship Id="rId1308" Type="http://schemas.openxmlformats.org/officeDocument/2006/relationships/hyperlink" Target="https://adstransparency.google.com/advertiser/AR11070511645502472193/creative/CR05216080121332498433?region=anywhere" TargetMode="External"/><Relationship Id="rId1309" Type="http://schemas.openxmlformats.org/officeDocument/2006/relationships/hyperlink" Target="https://www.semrush.com/kb/demo/" TargetMode="External"/><Relationship Id="rId719" Type="http://schemas.openxmlformats.org/officeDocument/2006/relationships/hyperlink" Target="https://peec.ai/demo" TargetMode="External"/><Relationship Id="rId718" Type="http://schemas.openxmlformats.org/officeDocument/2006/relationships/hyperlink" Target="https://adstransparency.google.com/advertiser/AR05016556376214732801/creative/CR06267852740936859649?region=anywhere" TargetMode="External"/><Relationship Id="rId717" Type="http://schemas.openxmlformats.org/officeDocument/2006/relationships/hyperlink" Target="https://peec.ai/for-agencies" TargetMode="External"/><Relationship Id="rId712" Type="http://schemas.openxmlformats.org/officeDocument/2006/relationships/hyperlink" Target="https://adstransparency.google.com/advertiser/AR05016556376214732801/creative/CR01491003995659960321?region=anywhere" TargetMode="External"/><Relationship Id="rId711" Type="http://schemas.openxmlformats.org/officeDocument/2006/relationships/hyperlink" Target="https://peec.ai/" TargetMode="External"/><Relationship Id="rId710" Type="http://schemas.openxmlformats.org/officeDocument/2006/relationships/hyperlink" Target="https://adstransparency.google.com/advertiser/AR05016556376214732801/creative/CR00088017675329994753?region=anywhere" TargetMode="External"/><Relationship Id="rId716" Type="http://schemas.openxmlformats.org/officeDocument/2006/relationships/hyperlink" Target="https://adstransparency.google.com/advertiser/AR05016556376214732801/creative/CR11479383306491920385?region=anywhere" TargetMode="External"/><Relationship Id="rId715" Type="http://schemas.openxmlformats.org/officeDocument/2006/relationships/hyperlink" Target="https://peec.ai/pricing" TargetMode="External"/><Relationship Id="rId714" Type="http://schemas.openxmlformats.org/officeDocument/2006/relationships/hyperlink" Target="https://adstransparency.google.com/advertiser/AR05016556376214732801/creative/CR03776656810291757057?region=anywhere" TargetMode="External"/><Relationship Id="rId713" Type="http://schemas.openxmlformats.org/officeDocument/2006/relationships/hyperlink" Target="https://peec.ai/visibility/platform" TargetMode="External"/><Relationship Id="rId59" Type="http://schemas.openxmlformats.org/officeDocument/2006/relationships/hyperlink" Target="https://www.tryprofound.com/customers/mongodb" TargetMode="External"/><Relationship Id="rId58" Type="http://schemas.openxmlformats.org/officeDocument/2006/relationships/hyperlink" Target="https://adstransparency.google.com/advertiser/AR01693402396748677121/creative/CR03593266336727302145?region=anywhere" TargetMode="External"/><Relationship Id="rId1780" Type="http://schemas.openxmlformats.org/officeDocument/2006/relationships/hyperlink" Target="https://adstransparency.google.com/advertiser/AR11070511645502472193/creative/CR00322130948156030977?region=anywhere" TargetMode="External"/><Relationship Id="rId1781" Type="http://schemas.openxmlformats.org/officeDocument/2006/relationships/hyperlink" Target="https://www.semrush.com/" TargetMode="External"/><Relationship Id="rId1782" Type="http://schemas.openxmlformats.org/officeDocument/2006/relationships/hyperlink" Target="https://adstransparency.google.com/advertiser/AR11070511645502472193/creative/CR17897473573946130433?region=anywhere" TargetMode="External"/><Relationship Id="rId1783" Type="http://schemas.openxmlformats.org/officeDocument/2006/relationships/hyperlink" Target="https://www.semrush.com/features/" TargetMode="External"/><Relationship Id="rId1300" Type="http://schemas.openxmlformats.org/officeDocument/2006/relationships/hyperlink" Target="https://adstransparency.google.com/advertiser/AR11070511645502472193/creative/CR15384980781675839489?region=anywhere" TargetMode="External"/><Relationship Id="rId1784" Type="http://schemas.openxmlformats.org/officeDocument/2006/relationships/hyperlink" Target="https://adstransparency.google.com/advertiser/AR11070511645502472193/creative/CR04496419627462557697?region=anywhere" TargetMode="External"/><Relationship Id="rId2269" Type="http://schemas.openxmlformats.org/officeDocument/2006/relationships/hyperlink" Target="https://adstransparency.google.com/advertiser/AR13288297259528617985/creative/CR15177782050259206145?region=anywhere" TargetMode="External"/><Relationship Id="rId349" Type="http://schemas.openxmlformats.org/officeDocument/2006/relationships/hyperlink" Target="https://www.tryprofound.com/" TargetMode="External"/><Relationship Id="rId348" Type="http://schemas.openxmlformats.org/officeDocument/2006/relationships/hyperlink" Target="https://adstransparency.google.com/advertiser/AR01693402396748677121/creative/CR14974916270829338625?region=anywhere" TargetMode="External"/><Relationship Id="rId347" Type="http://schemas.openxmlformats.org/officeDocument/2006/relationships/hyperlink" Target="https://www.tryprofound.com/" TargetMode="External"/><Relationship Id="rId346" Type="http://schemas.openxmlformats.org/officeDocument/2006/relationships/hyperlink" Target="https://adstransparency.google.com/advertiser/AR01693402396748677121/creative/CR17609764220277096449?region=anywhere" TargetMode="External"/><Relationship Id="rId2260" Type="http://schemas.openxmlformats.org/officeDocument/2006/relationships/hyperlink" Target="https://otterly.ai/" TargetMode="External"/><Relationship Id="rId341" Type="http://schemas.openxmlformats.org/officeDocument/2006/relationships/hyperlink" Target="https://www.tryprofound.com/" TargetMode="External"/><Relationship Id="rId2261" Type="http://schemas.openxmlformats.org/officeDocument/2006/relationships/hyperlink" Target="https://adstransparency.google.com/advertiser/AR13288297259528617985/creative/CR00072050704910385153?region=anywhere" TargetMode="External"/><Relationship Id="rId340" Type="http://schemas.openxmlformats.org/officeDocument/2006/relationships/hyperlink" Target="https://adstransparency.google.com/advertiser/AR01693402396748677121/creative/CR07616369968191373313?region=anywhere" TargetMode="External"/><Relationship Id="rId2262" Type="http://schemas.openxmlformats.org/officeDocument/2006/relationships/hyperlink" Target="https://otterly.ai/" TargetMode="External"/><Relationship Id="rId2263" Type="http://schemas.openxmlformats.org/officeDocument/2006/relationships/hyperlink" Target="https://adstransparency.google.com/advertiser/AR13288297259528617985/creative/CR06938318464650051585?region=anywhere" TargetMode="External"/><Relationship Id="rId2264" Type="http://schemas.openxmlformats.org/officeDocument/2006/relationships/hyperlink" Target="https://otterly.ai/" TargetMode="External"/><Relationship Id="rId345" Type="http://schemas.openxmlformats.org/officeDocument/2006/relationships/hyperlink" Target="https://www.tryprofound.com/pricing" TargetMode="External"/><Relationship Id="rId2265" Type="http://schemas.openxmlformats.org/officeDocument/2006/relationships/hyperlink" Target="https://adstransparency.google.com/advertiser/AR13288297259528617985/creative/CR05811052483329392641?region=anywhere" TargetMode="External"/><Relationship Id="rId344" Type="http://schemas.openxmlformats.org/officeDocument/2006/relationships/hyperlink" Target="https://adstransparency.google.com/advertiser/AR01693402396748677121/creative/CR02254996377455034369?region=anywhere" TargetMode="External"/><Relationship Id="rId2266" Type="http://schemas.openxmlformats.org/officeDocument/2006/relationships/hyperlink" Target="https://otterly.ai/" TargetMode="External"/><Relationship Id="rId343" Type="http://schemas.openxmlformats.org/officeDocument/2006/relationships/hyperlink" Target="https://www.tryprofound.com/" TargetMode="External"/><Relationship Id="rId2267" Type="http://schemas.openxmlformats.org/officeDocument/2006/relationships/hyperlink" Target="https://adstransparency.google.com/advertiser/AR13288297259528617985/creative/CR14521479711349014529?region=anywhere" TargetMode="External"/><Relationship Id="rId342" Type="http://schemas.openxmlformats.org/officeDocument/2006/relationships/hyperlink" Target="https://adstransparency.google.com/advertiser/AR01693402396748677121/creative/CR00668603408713777153?region=anywhere" TargetMode="External"/><Relationship Id="rId2268" Type="http://schemas.openxmlformats.org/officeDocument/2006/relationships/hyperlink" Target="https://otterly.ai/" TargetMode="External"/><Relationship Id="rId2258" Type="http://schemas.openxmlformats.org/officeDocument/2006/relationships/hyperlink" Target="https://otterly.ai/" TargetMode="External"/><Relationship Id="rId2259" Type="http://schemas.openxmlformats.org/officeDocument/2006/relationships/hyperlink" Target="https://adstransparency.google.com/advertiser/AR13288297259528617985/creative/CR10874498142795988993?region=anywhere" TargetMode="External"/><Relationship Id="rId338" Type="http://schemas.openxmlformats.org/officeDocument/2006/relationships/hyperlink" Target="https://adstransparency.google.com/advertiser/AR01693402396748677121/creative/CR15281918746441023489?region=anywhere" TargetMode="External"/><Relationship Id="rId337" Type="http://schemas.openxmlformats.org/officeDocument/2006/relationships/hyperlink" Target="https://www.tryprofound.com/" TargetMode="External"/><Relationship Id="rId336" Type="http://schemas.openxmlformats.org/officeDocument/2006/relationships/hyperlink" Target="https://adstransparency.google.com/advertiser/AR01693402396748677121/creative/CR10830720881177657345?region=anywhere" TargetMode="External"/><Relationship Id="rId335" Type="http://schemas.openxmlformats.org/officeDocument/2006/relationships/hyperlink" Target="https://www.tryprofound.com/" TargetMode="External"/><Relationship Id="rId339" Type="http://schemas.openxmlformats.org/officeDocument/2006/relationships/hyperlink" Target="https://www.tryprofound.com/" TargetMode="External"/><Relationship Id="rId330" Type="http://schemas.openxmlformats.org/officeDocument/2006/relationships/hyperlink" Target="https://adstransparency.google.com/advertiser/AR01693402396748677121/creative/CR03871675943739195393?region=anywhere" TargetMode="External"/><Relationship Id="rId2250" Type="http://schemas.openxmlformats.org/officeDocument/2006/relationships/hyperlink" Target="https://otterly.ai/" TargetMode="External"/><Relationship Id="rId2251" Type="http://schemas.openxmlformats.org/officeDocument/2006/relationships/hyperlink" Target="https://adstransparency.google.com/advertiser/AR13288297259528617985/creative/CR10031143312355753985?region=anywhere" TargetMode="External"/><Relationship Id="rId2252" Type="http://schemas.openxmlformats.org/officeDocument/2006/relationships/hyperlink" Target="https://otterly.ai/" TargetMode="External"/><Relationship Id="rId2253" Type="http://schemas.openxmlformats.org/officeDocument/2006/relationships/hyperlink" Target="https://adstransparency.google.com/advertiser/AR13288297259528617985/creative/CR06892088398748581889?region=anywhere" TargetMode="External"/><Relationship Id="rId334" Type="http://schemas.openxmlformats.org/officeDocument/2006/relationships/hyperlink" Target="https://adstransparency.google.com/advertiser/AR01693402396748677121/creative/CR01458351824619700225?region=anywhere" TargetMode="External"/><Relationship Id="rId2254" Type="http://schemas.openxmlformats.org/officeDocument/2006/relationships/hyperlink" Target="https://otterly.ai/" TargetMode="External"/><Relationship Id="rId333" Type="http://schemas.openxmlformats.org/officeDocument/2006/relationships/hyperlink" Target="https://www.tryprofound.com/" TargetMode="External"/><Relationship Id="rId2255" Type="http://schemas.openxmlformats.org/officeDocument/2006/relationships/hyperlink" Target="https://adstransparency.google.com/advertiser/AR13288297259528617985/creative/CR03870825059178250241?region=anywhere" TargetMode="External"/><Relationship Id="rId332" Type="http://schemas.openxmlformats.org/officeDocument/2006/relationships/hyperlink" Target="https://adstransparency.google.com/advertiser/AR01693402396748677121/creative/CR12036278206429396993?region=anywhere" TargetMode="External"/><Relationship Id="rId2256" Type="http://schemas.openxmlformats.org/officeDocument/2006/relationships/hyperlink" Target="https://otterly.ai/" TargetMode="External"/><Relationship Id="rId331" Type="http://schemas.openxmlformats.org/officeDocument/2006/relationships/hyperlink" Target="https://www.tryprofound.com/" TargetMode="External"/><Relationship Id="rId2257" Type="http://schemas.openxmlformats.org/officeDocument/2006/relationships/hyperlink" Target="https://adstransparency.google.com/advertiser/AR13288297259528617985/creative/CR06706657343272124417?region=anywhere" TargetMode="External"/><Relationship Id="rId370" Type="http://schemas.openxmlformats.org/officeDocument/2006/relationships/hyperlink" Target="https://adstransparency.google.com/advertiser/AR01693402396748677121/creative/CR01269360043686363137?region=anywhere" TargetMode="External"/><Relationship Id="rId369" Type="http://schemas.openxmlformats.org/officeDocument/2006/relationships/hyperlink" Target="https://www.tryprofound.com/" TargetMode="External"/><Relationship Id="rId368" Type="http://schemas.openxmlformats.org/officeDocument/2006/relationships/hyperlink" Target="https://adstransparency.google.com/advertiser/AR01693402396748677121/creative/CR11172432576646217729?region=anywhere" TargetMode="External"/><Relationship Id="rId2280" Type="http://schemas.openxmlformats.org/officeDocument/2006/relationships/hyperlink" Target="https://otterly.ai/" TargetMode="External"/><Relationship Id="rId2281" Type="http://schemas.openxmlformats.org/officeDocument/2006/relationships/hyperlink" Target="https://adstransparency.google.com/advertiser/AR13288297259528617985/creative/CR14302112530128961537?region=anywhere" TargetMode="External"/><Relationship Id="rId2282" Type="http://schemas.openxmlformats.org/officeDocument/2006/relationships/hyperlink" Target="https://otterly.ai/" TargetMode="External"/><Relationship Id="rId363" Type="http://schemas.openxmlformats.org/officeDocument/2006/relationships/hyperlink" Target="https://hmesus.com/products/glucose-meter" TargetMode="External"/><Relationship Id="rId2283" Type="http://schemas.openxmlformats.org/officeDocument/2006/relationships/hyperlink" Target="https://adstransparency.google.com/advertiser/AR13288297259528617985/creative/CR02542878895615508481?region=anywhere" TargetMode="External"/><Relationship Id="rId362" Type="http://schemas.openxmlformats.org/officeDocument/2006/relationships/hyperlink" Target="https://adstransparency.google.com/advertiser/AR01693402396748677121/creative/CR01663896701569597441?region=anywhere" TargetMode="External"/><Relationship Id="rId2284" Type="http://schemas.openxmlformats.org/officeDocument/2006/relationships/hyperlink" Target="https://otterly.ai/" TargetMode="External"/><Relationship Id="rId361" Type="http://schemas.openxmlformats.org/officeDocument/2006/relationships/hyperlink" Target="https://www.tryprofound.com/" TargetMode="External"/><Relationship Id="rId2285" Type="http://schemas.openxmlformats.org/officeDocument/2006/relationships/hyperlink" Target="https://adstransparency.google.com/advertiser/AR13288297259528617985/creative/CR03779732006875693057?region=anywhere" TargetMode="External"/><Relationship Id="rId360" Type="http://schemas.openxmlformats.org/officeDocument/2006/relationships/hyperlink" Target="https://adstransparency.google.com/advertiser/AR01693402396748677121/creative/CR08963800688979083265?region=anywhere" TargetMode="External"/><Relationship Id="rId2286" Type="http://schemas.openxmlformats.org/officeDocument/2006/relationships/hyperlink" Target="https://otterly.ai/" TargetMode="External"/><Relationship Id="rId367" Type="http://schemas.openxmlformats.org/officeDocument/2006/relationships/hyperlink" Target="https://www.tryprofound.com/" TargetMode="External"/><Relationship Id="rId2287" Type="http://schemas.openxmlformats.org/officeDocument/2006/relationships/hyperlink" Target="https://adstransparency.google.com/advertiser/AR13288297259528617985/creative/CR04802831244423331841?region=anywhere" TargetMode="External"/><Relationship Id="rId366" Type="http://schemas.openxmlformats.org/officeDocument/2006/relationships/hyperlink" Target="https://adstransparency.google.com/advertiser/AR01693402396748677121/creative/CR11409546382344716289?region=anywhere" TargetMode="External"/><Relationship Id="rId2288" Type="http://schemas.openxmlformats.org/officeDocument/2006/relationships/hyperlink" Target="https://otterly.ai/" TargetMode="External"/><Relationship Id="rId365" Type="http://schemas.openxmlformats.org/officeDocument/2006/relationships/hyperlink" Target="https://hmesus.com/products/glucose-meter" TargetMode="External"/><Relationship Id="rId2289" Type="http://schemas.openxmlformats.org/officeDocument/2006/relationships/hyperlink" Target="https://adstransparency.google.com/advertiser/AR13288297259528617985/creative/CR00426208485458313217?region=anywhere" TargetMode="External"/><Relationship Id="rId364" Type="http://schemas.openxmlformats.org/officeDocument/2006/relationships/hyperlink" Target="https://adstransparency.google.com/advertiser/AR01693402396748677121/creative/CR04966302690461089793?region=anywhere" TargetMode="External"/><Relationship Id="rId95" Type="http://schemas.openxmlformats.org/officeDocument/2006/relationships/hyperlink" Target="https://www.tryprofound.com/" TargetMode="External"/><Relationship Id="rId94" Type="http://schemas.openxmlformats.org/officeDocument/2006/relationships/hyperlink" Target="https://adstransparency.google.com/advertiser/AR01693402396748677121/creative/CR03785380155157905409?region=anywhere" TargetMode="External"/><Relationship Id="rId97" Type="http://schemas.openxmlformats.org/officeDocument/2006/relationships/hyperlink" Target="https://www.tryprofound.com/" TargetMode="External"/><Relationship Id="rId96" Type="http://schemas.openxmlformats.org/officeDocument/2006/relationships/hyperlink" Target="https://adstransparency.google.com/advertiser/AR01693402396748677121/creative/CR17616439836405661697?region=anywhere" TargetMode="External"/><Relationship Id="rId99" Type="http://schemas.openxmlformats.org/officeDocument/2006/relationships/hyperlink" Target="https://www.tryprofound.com/" TargetMode="External"/><Relationship Id="rId98" Type="http://schemas.openxmlformats.org/officeDocument/2006/relationships/hyperlink" Target="https://adstransparency.google.com/advertiser/AR01693402396748677121/creative/CR11383007152357507073?region=anywhere" TargetMode="External"/><Relationship Id="rId91" Type="http://schemas.openxmlformats.org/officeDocument/2006/relationships/hyperlink" Target="https://www.tryprofound.com/" TargetMode="External"/><Relationship Id="rId90" Type="http://schemas.openxmlformats.org/officeDocument/2006/relationships/hyperlink" Target="https://adstransparency.google.com/advertiser/AR01693402396748677121/creative/CR15627384269096091649?region=anywhere" TargetMode="External"/><Relationship Id="rId93" Type="http://schemas.openxmlformats.org/officeDocument/2006/relationships/hyperlink" Target="https://www.tryprofound.com/" TargetMode="External"/><Relationship Id="rId92" Type="http://schemas.openxmlformats.org/officeDocument/2006/relationships/hyperlink" Target="https://adstransparency.google.com/advertiser/AR01693402396748677121/creative/CR02840804559142518785?region=anywhere" TargetMode="External"/><Relationship Id="rId359" Type="http://schemas.openxmlformats.org/officeDocument/2006/relationships/hyperlink" Target="https://www.tryprofound.com/" TargetMode="External"/><Relationship Id="rId358" Type="http://schemas.openxmlformats.org/officeDocument/2006/relationships/hyperlink" Target="https://adstransparency.google.com/advertiser/AR01693402396748677121/creative/CR06514224709419139073?region=anywhere" TargetMode="External"/><Relationship Id="rId357" Type="http://schemas.openxmlformats.org/officeDocument/2006/relationships/hyperlink" Target="https://www.tryprofound.com/" TargetMode="External"/><Relationship Id="rId2270" Type="http://schemas.openxmlformats.org/officeDocument/2006/relationships/hyperlink" Target="https://otterly.ai/" TargetMode="External"/><Relationship Id="rId2271" Type="http://schemas.openxmlformats.org/officeDocument/2006/relationships/hyperlink" Target="https://adstransparency.google.com/advertiser/AR13288297259528617985/creative/CR07693143298881355777?region=anywhere" TargetMode="External"/><Relationship Id="rId352" Type="http://schemas.openxmlformats.org/officeDocument/2006/relationships/hyperlink" Target="https://adstransparency.google.com/advertiser/AR01693402396748677121/creative/CR05985645102935048193?region=anywhere" TargetMode="External"/><Relationship Id="rId2272" Type="http://schemas.openxmlformats.org/officeDocument/2006/relationships/hyperlink" Target="https://otterly.ai/" TargetMode="External"/><Relationship Id="rId351" Type="http://schemas.openxmlformats.org/officeDocument/2006/relationships/hyperlink" Target="https://www.tryprofound.com/" TargetMode="External"/><Relationship Id="rId2273" Type="http://schemas.openxmlformats.org/officeDocument/2006/relationships/hyperlink" Target="https://adstransparency.google.com/advertiser/AR13288297259528617985/creative/CR14890108576746962945?region=anywhere" TargetMode="External"/><Relationship Id="rId350" Type="http://schemas.openxmlformats.org/officeDocument/2006/relationships/hyperlink" Target="https://adstransparency.google.com/advertiser/AR01693402396748677121/creative/CR12106977903607021569?region=anywhere" TargetMode="External"/><Relationship Id="rId2274" Type="http://schemas.openxmlformats.org/officeDocument/2006/relationships/hyperlink" Target="https://otterly.ai/" TargetMode="External"/><Relationship Id="rId2275" Type="http://schemas.openxmlformats.org/officeDocument/2006/relationships/hyperlink" Target="https://adstransparency.google.com/advertiser/AR13288297259528617985/creative/CR09325426378272669697?region=anywhere" TargetMode="External"/><Relationship Id="rId356" Type="http://schemas.openxmlformats.org/officeDocument/2006/relationships/hyperlink" Target="https://adstransparency.google.com/advertiser/AR01693402396748677121/creative/CR04123763998296375297?region=anywhere" TargetMode="External"/><Relationship Id="rId2276" Type="http://schemas.openxmlformats.org/officeDocument/2006/relationships/hyperlink" Target="https://otterly.ai/" TargetMode="External"/><Relationship Id="rId355" Type="http://schemas.openxmlformats.org/officeDocument/2006/relationships/hyperlink" Target="https://www.tryprofound.com/" TargetMode="External"/><Relationship Id="rId2277" Type="http://schemas.openxmlformats.org/officeDocument/2006/relationships/hyperlink" Target="https://adstransparency.google.com/advertiser/AR13288297259528617985/creative/CR11347744302626242561?region=anywhere" TargetMode="External"/><Relationship Id="rId354" Type="http://schemas.openxmlformats.org/officeDocument/2006/relationships/hyperlink" Target="https://adstransparency.google.com/advertiser/AR01693402396748677121/creative/CR17909872319895961601?region=anywhere" TargetMode="External"/><Relationship Id="rId2278" Type="http://schemas.openxmlformats.org/officeDocument/2006/relationships/hyperlink" Target="https://otterly.ai/" TargetMode="External"/><Relationship Id="rId353" Type="http://schemas.openxmlformats.org/officeDocument/2006/relationships/hyperlink" Target="https://www.tryprofound.com/" TargetMode="External"/><Relationship Id="rId2279" Type="http://schemas.openxmlformats.org/officeDocument/2006/relationships/hyperlink" Target="https://adstransparency.google.com/advertiser/AR13288297259528617985/creative/CR01350943119272574977?region=anywhere" TargetMode="External"/><Relationship Id="rId1378" Type="http://schemas.openxmlformats.org/officeDocument/2006/relationships/hyperlink" Target="https://adstransparency.google.com/advertiser/AR11070511645502472193/creative/CR16905966767208136705?region=anywhere" TargetMode="External"/><Relationship Id="rId2225" Type="http://schemas.openxmlformats.org/officeDocument/2006/relationships/hyperlink" Target="https://adstransparency.google.com/advertiser/AR01685939160927436801/creative/CR05816130234184892417?region=anywhere" TargetMode="External"/><Relationship Id="rId1379" Type="http://schemas.openxmlformats.org/officeDocument/2006/relationships/hyperlink" Target="https://www.semrush.com/agencies/" TargetMode="External"/><Relationship Id="rId2226" Type="http://schemas.openxmlformats.org/officeDocument/2006/relationships/hyperlink" Target="https://www.scrunch.com/ai-search/monitoring" TargetMode="External"/><Relationship Id="rId2227" Type="http://schemas.openxmlformats.org/officeDocument/2006/relationships/hyperlink" Target="https://adstransparency.google.com/advertiser/AR01685939160927436801/creative/CR12854880143910371329?region=anywhere" TargetMode="External"/><Relationship Id="rId2228" Type="http://schemas.openxmlformats.org/officeDocument/2006/relationships/hyperlink" Target="https://www.scrunch.com/ai-search/visibility" TargetMode="External"/><Relationship Id="rId2229" Type="http://schemas.openxmlformats.org/officeDocument/2006/relationships/hyperlink" Target="https://adstransparency.google.com/advertiser/AR01685939160927436801/creative/CR02958719415920623617?region=anywhere" TargetMode="External"/><Relationship Id="rId305" Type="http://schemas.openxmlformats.org/officeDocument/2006/relationships/hyperlink" Target="https://www.tryprofound.com/" TargetMode="External"/><Relationship Id="rId789" Type="http://schemas.openxmlformats.org/officeDocument/2006/relationships/hyperlink" Target="https://peec.ai/visibility/platform" TargetMode="External"/><Relationship Id="rId304" Type="http://schemas.openxmlformats.org/officeDocument/2006/relationships/hyperlink" Target="https://adstransparency.google.com/advertiser/AR01693402396748677121/creative/CR10895245721053691905?region=anywhere" TargetMode="External"/><Relationship Id="rId788" Type="http://schemas.openxmlformats.org/officeDocument/2006/relationships/hyperlink" Target="https://adstransparency.google.com/advertiser/AR05016556376214732801/creative/CR06694124190615732225?region=anywhere" TargetMode="External"/><Relationship Id="rId303" Type="http://schemas.openxmlformats.org/officeDocument/2006/relationships/hyperlink" Target="https://www.tryprofound.com/" TargetMode="External"/><Relationship Id="rId787" Type="http://schemas.openxmlformats.org/officeDocument/2006/relationships/hyperlink" Target="https://peec.ai/" TargetMode="External"/><Relationship Id="rId302" Type="http://schemas.openxmlformats.org/officeDocument/2006/relationships/hyperlink" Target="https://adstransparency.google.com/advertiser/AR01693402396748677121/creative/CR16038883436458409985?region=anywhere" TargetMode="External"/><Relationship Id="rId786" Type="http://schemas.openxmlformats.org/officeDocument/2006/relationships/hyperlink" Target="https://adstransparency.google.com/advertiser/AR05016556376214732801/creative/CR03509118555780022273?region=anywhere" TargetMode="External"/><Relationship Id="rId309" Type="http://schemas.openxmlformats.org/officeDocument/2006/relationships/hyperlink" Target="https://www.tryprofound.com/" TargetMode="External"/><Relationship Id="rId308" Type="http://schemas.openxmlformats.org/officeDocument/2006/relationships/hyperlink" Target="https://adstransparency.google.com/advertiser/AR01693402396748677121/creative/CR18057657978433044481?region=anywhere" TargetMode="External"/><Relationship Id="rId307" Type="http://schemas.openxmlformats.org/officeDocument/2006/relationships/hyperlink" Target="https://www.tryprofound.com/" TargetMode="External"/><Relationship Id="rId306" Type="http://schemas.openxmlformats.org/officeDocument/2006/relationships/hyperlink" Target="https://adstransparency.google.com/advertiser/AR01693402396748677121/creative/CR02183876666835599361?region=anywhere" TargetMode="External"/><Relationship Id="rId781" Type="http://schemas.openxmlformats.org/officeDocument/2006/relationships/hyperlink" Target="https://peec.ai/" TargetMode="External"/><Relationship Id="rId1370" Type="http://schemas.openxmlformats.org/officeDocument/2006/relationships/hyperlink" Target="https://adstransparency.google.com/advertiser/AR11070511645502472193/creative/CR15792720005818220545?region=anywhere" TargetMode="External"/><Relationship Id="rId780" Type="http://schemas.openxmlformats.org/officeDocument/2006/relationships/hyperlink" Target="https://adstransparency.google.com/advertiser/AR05016556376214732801/creative/CR05056663579688697857?region=anywhere" TargetMode="External"/><Relationship Id="rId1371" Type="http://schemas.openxmlformats.org/officeDocument/2006/relationships/hyperlink" Target="https://www.semrush.com/" TargetMode="External"/><Relationship Id="rId1372" Type="http://schemas.openxmlformats.org/officeDocument/2006/relationships/hyperlink" Target="https://adstransparency.google.com/advertiser/AR11070511645502472193/creative/CR16699343896416616449?region=anywhere" TargetMode="External"/><Relationship Id="rId1373" Type="http://schemas.openxmlformats.org/officeDocument/2006/relationships/hyperlink" Target="https://www.semrush.com/" TargetMode="External"/><Relationship Id="rId2220" Type="http://schemas.openxmlformats.org/officeDocument/2006/relationships/hyperlink" Target="https://scrunch.com/" TargetMode="External"/><Relationship Id="rId301" Type="http://schemas.openxmlformats.org/officeDocument/2006/relationships/hyperlink" Target="https://www.tryprofound.com/" TargetMode="External"/><Relationship Id="rId785" Type="http://schemas.openxmlformats.org/officeDocument/2006/relationships/hyperlink" Target="https://peec.ai/visibility/platform" TargetMode="External"/><Relationship Id="rId1374" Type="http://schemas.openxmlformats.org/officeDocument/2006/relationships/hyperlink" Target="https://adstransparency.google.com/advertiser/AR11070511645502472193/creative/CR10045301835255775233?region=anywhere" TargetMode="External"/><Relationship Id="rId2221" Type="http://schemas.openxmlformats.org/officeDocument/2006/relationships/hyperlink" Target="https://adstransparency.google.com/advertiser/AR01685939160927436801/creative/CR17581008005481103361?region=anywhere" TargetMode="External"/><Relationship Id="rId300" Type="http://schemas.openxmlformats.org/officeDocument/2006/relationships/hyperlink" Target="https://adstransparency.google.com/advertiser/AR01693402396748677121/creative/CR14693750531763994625?region=anywhere" TargetMode="External"/><Relationship Id="rId784" Type="http://schemas.openxmlformats.org/officeDocument/2006/relationships/hyperlink" Target="https://adstransparency.google.com/advertiser/AR05016556376214732801/creative/CR15474043671657054209?region=anywhere" TargetMode="External"/><Relationship Id="rId1375" Type="http://schemas.openxmlformats.org/officeDocument/2006/relationships/hyperlink" Target="https://www.semrush.com/analytics/backlinks/overview/" TargetMode="External"/><Relationship Id="rId2222" Type="http://schemas.openxmlformats.org/officeDocument/2006/relationships/hyperlink" Target="https://www.scrunch.com/ai-search" TargetMode="External"/><Relationship Id="rId783" Type="http://schemas.openxmlformats.org/officeDocument/2006/relationships/hyperlink" Target="https://peec.ai/" TargetMode="External"/><Relationship Id="rId1376" Type="http://schemas.openxmlformats.org/officeDocument/2006/relationships/hyperlink" Target="https://adstransparency.google.com/advertiser/AR11070511645502472193/creative/CR09606440247294427137?region=anywhere" TargetMode="External"/><Relationship Id="rId2223" Type="http://schemas.openxmlformats.org/officeDocument/2006/relationships/hyperlink" Target="https://adstransparency.google.com/advertiser/AR01685939160927436801/creative/CR00934014932859486209?region=anywhere" TargetMode="External"/><Relationship Id="rId782" Type="http://schemas.openxmlformats.org/officeDocument/2006/relationships/hyperlink" Target="https://adstransparency.google.com/advertiser/AR05016556376214732801/creative/CR05174513634000240641?region=anywhere" TargetMode="External"/><Relationship Id="rId1377" Type="http://schemas.openxmlformats.org/officeDocument/2006/relationships/hyperlink" Target="https://www.semrush.com/features/" TargetMode="External"/><Relationship Id="rId2224" Type="http://schemas.openxmlformats.org/officeDocument/2006/relationships/hyperlink" Target="https://www.scrunch.com/chatgpt/visibility" TargetMode="External"/><Relationship Id="rId1367" Type="http://schemas.openxmlformats.org/officeDocument/2006/relationships/hyperlink" Target="https://www.semrush.com/" TargetMode="External"/><Relationship Id="rId2214" Type="http://schemas.openxmlformats.org/officeDocument/2006/relationships/hyperlink" Target="https://scrunch.com/" TargetMode="External"/><Relationship Id="rId1368" Type="http://schemas.openxmlformats.org/officeDocument/2006/relationships/hyperlink" Target="https://adstransparency.google.com/advertiser/AR11070511645502472193/creative/CR10660413101335117825?region=anywhere" TargetMode="External"/><Relationship Id="rId2215" Type="http://schemas.openxmlformats.org/officeDocument/2006/relationships/hyperlink" Target="https://adstransparency.google.com/advertiser/AR01685939160927436801/creative/CR06921803250245042177?region=anywhere" TargetMode="External"/><Relationship Id="rId1369" Type="http://schemas.openxmlformats.org/officeDocument/2006/relationships/hyperlink" Target="https://www.semrush.com/analytics/keywordoverview/" TargetMode="External"/><Relationship Id="rId2216" Type="http://schemas.openxmlformats.org/officeDocument/2006/relationships/hyperlink" Target="https://www.scrunch.com/ai-search/visibility" TargetMode="External"/><Relationship Id="rId2217" Type="http://schemas.openxmlformats.org/officeDocument/2006/relationships/hyperlink" Target="https://adstransparency.google.com/advertiser/AR01685939160927436801/creative/CR15368473126413271041?region=anywhere" TargetMode="External"/><Relationship Id="rId2218" Type="http://schemas.openxmlformats.org/officeDocument/2006/relationships/hyperlink" Target="https://www.scrunch.com/aeo" TargetMode="External"/><Relationship Id="rId2219" Type="http://schemas.openxmlformats.org/officeDocument/2006/relationships/hyperlink" Target="https://adstransparency.google.com/advertiser/AR01685939160927436801/creative/CR10473084357508595713?region=anywhere" TargetMode="External"/><Relationship Id="rId778" Type="http://schemas.openxmlformats.org/officeDocument/2006/relationships/hyperlink" Target="https://adstransparency.google.com/advertiser/AR05016556376214732801/creative/CR17085141017406996481?region=anywhere" TargetMode="External"/><Relationship Id="rId777" Type="http://schemas.openxmlformats.org/officeDocument/2006/relationships/hyperlink" Target="https://peec.ai/visibility/platform" TargetMode="External"/><Relationship Id="rId776" Type="http://schemas.openxmlformats.org/officeDocument/2006/relationships/hyperlink" Target="https://adstransparency.google.com/advertiser/AR05016556376214732801/creative/CR13172290845698686977?region=anywhere" TargetMode="External"/><Relationship Id="rId775" Type="http://schemas.openxmlformats.org/officeDocument/2006/relationships/hyperlink" Target="https://peec.ai/" TargetMode="External"/><Relationship Id="rId779" Type="http://schemas.openxmlformats.org/officeDocument/2006/relationships/hyperlink" Target="https://peec.ai/for-agencies" TargetMode="External"/><Relationship Id="rId770" Type="http://schemas.openxmlformats.org/officeDocument/2006/relationships/hyperlink" Target="https://adstransparency.google.com/advertiser/AR05016556376214732801/creative/CR13311547841647214593?region=anywhere" TargetMode="External"/><Relationship Id="rId1360" Type="http://schemas.openxmlformats.org/officeDocument/2006/relationships/hyperlink" Target="https://adstransparency.google.com/advertiser/AR11070511645502472193/creative/CR05444840043841585153?region=anywhere" TargetMode="External"/><Relationship Id="rId1361" Type="http://schemas.openxmlformats.org/officeDocument/2006/relationships/hyperlink" Target="https://www.semrush.com/" TargetMode="External"/><Relationship Id="rId1362" Type="http://schemas.openxmlformats.org/officeDocument/2006/relationships/hyperlink" Target="https://adstransparency.google.com/advertiser/AR11070511645502472193/creative/CR09759734184208760833?region=anywhere" TargetMode="External"/><Relationship Id="rId774" Type="http://schemas.openxmlformats.org/officeDocument/2006/relationships/hyperlink" Target="https://adstransparency.google.com/advertiser/AR05016556376214732801/creative/CR03895038547194806273?region=anywhere" TargetMode="External"/><Relationship Id="rId1363" Type="http://schemas.openxmlformats.org/officeDocument/2006/relationships/hyperlink" Target="https://www.semrush.com/features/" TargetMode="External"/><Relationship Id="rId2210" Type="http://schemas.openxmlformats.org/officeDocument/2006/relationships/hyperlink" Target="https://www.scrunch.com/ai-search/visibility" TargetMode="External"/><Relationship Id="rId773" Type="http://schemas.openxmlformats.org/officeDocument/2006/relationships/hyperlink" Target="https://peec.ai/black-friday" TargetMode="External"/><Relationship Id="rId1364" Type="http://schemas.openxmlformats.org/officeDocument/2006/relationships/hyperlink" Target="https://adstransparency.google.com/advertiser/AR11070511645502472193/creative/CR07496503821871349761?region=anywhere" TargetMode="External"/><Relationship Id="rId2211" Type="http://schemas.openxmlformats.org/officeDocument/2006/relationships/hyperlink" Target="https://adstransparency.google.com/advertiser/AR01685939160927436801/creative/CR15472178625058439169?region=anywhere" TargetMode="External"/><Relationship Id="rId772" Type="http://schemas.openxmlformats.org/officeDocument/2006/relationships/hyperlink" Target="https://adstransparency.google.com/advertiser/AR05016556376214732801/creative/CR10409330825039446017?region=anywhere" TargetMode="External"/><Relationship Id="rId1365" Type="http://schemas.openxmlformats.org/officeDocument/2006/relationships/hyperlink" Target="https://www.semrush.com/kb/demo/" TargetMode="External"/><Relationship Id="rId2212" Type="http://schemas.openxmlformats.org/officeDocument/2006/relationships/hyperlink" Target="https://www.scrunch.com/aeo/platform" TargetMode="External"/><Relationship Id="rId771" Type="http://schemas.openxmlformats.org/officeDocument/2006/relationships/hyperlink" Target="https://peec.ai/" TargetMode="External"/><Relationship Id="rId1366" Type="http://schemas.openxmlformats.org/officeDocument/2006/relationships/hyperlink" Target="https://adstransparency.google.com/advertiser/AR11070511645502472193/creative/CR00879982088202223617?region=anywhere" TargetMode="External"/><Relationship Id="rId2213" Type="http://schemas.openxmlformats.org/officeDocument/2006/relationships/hyperlink" Target="https://adstransparency.google.com/advertiser/AR01685939160927436801/creative/CR16614962907335098369?region=anywhere" TargetMode="External"/><Relationship Id="rId2247" Type="http://schemas.openxmlformats.org/officeDocument/2006/relationships/hyperlink" Target="https://adstransparency.google.com/advertiser/AR13288297259528617985/creative/CR02101498481133748225?region=anywhere" TargetMode="External"/><Relationship Id="rId2248" Type="http://schemas.openxmlformats.org/officeDocument/2006/relationships/hyperlink" Target="https://otterly.ai/" TargetMode="External"/><Relationship Id="rId2249" Type="http://schemas.openxmlformats.org/officeDocument/2006/relationships/hyperlink" Target="https://adstransparency.google.com/advertiser/AR13288297259528617985/creative/CR10313232959016009729?region=anywhere" TargetMode="External"/><Relationship Id="rId327" Type="http://schemas.openxmlformats.org/officeDocument/2006/relationships/hyperlink" Target="https://www.tryprofound.com/" TargetMode="External"/><Relationship Id="rId326" Type="http://schemas.openxmlformats.org/officeDocument/2006/relationships/hyperlink" Target="https://adstransparency.google.com/advertiser/AR01693402396748677121/creative/CR15938755585441267713?region=anywhere" TargetMode="External"/><Relationship Id="rId325" Type="http://schemas.openxmlformats.org/officeDocument/2006/relationships/hyperlink" Target="https://www.tryprofound.com/pricing" TargetMode="External"/><Relationship Id="rId324" Type="http://schemas.openxmlformats.org/officeDocument/2006/relationships/hyperlink" Target="https://adstransparency.google.com/advertiser/AR01693402396748677121/creative/CR04213668452759502849?region=anywhere" TargetMode="External"/><Relationship Id="rId329" Type="http://schemas.openxmlformats.org/officeDocument/2006/relationships/hyperlink" Target="https://www.tryprofound.com/" TargetMode="External"/><Relationship Id="rId1390" Type="http://schemas.openxmlformats.org/officeDocument/2006/relationships/hyperlink" Target="https://adstransparency.google.com/advertiser/AR11070511645502472193/creative/CR01273957926435815425?region=anywhere" TargetMode="External"/><Relationship Id="rId328" Type="http://schemas.openxmlformats.org/officeDocument/2006/relationships/hyperlink" Target="https://adstransparency.google.com/advertiser/AR01693402396748677121/creative/CR01987036297025290241?region=anywhere" TargetMode="External"/><Relationship Id="rId1391" Type="http://schemas.openxmlformats.org/officeDocument/2006/relationships/hyperlink" Target="https://www.semrush.com/features/" TargetMode="External"/><Relationship Id="rId1392" Type="http://schemas.openxmlformats.org/officeDocument/2006/relationships/hyperlink" Target="https://adstransparency.google.com/advertiser/AR11070511645502472193/creative/CR08374339611836547073?region=anywhere" TargetMode="External"/><Relationship Id="rId1393" Type="http://schemas.openxmlformats.org/officeDocument/2006/relationships/hyperlink" Target="https://www.semrush.com/kb/demo/" TargetMode="External"/><Relationship Id="rId2240" Type="http://schemas.openxmlformats.org/officeDocument/2006/relationships/hyperlink" Target="https://otterly.ai/" TargetMode="External"/><Relationship Id="rId1394" Type="http://schemas.openxmlformats.org/officeDocument/2006/relationships/hyperlink" Target="https://adstransparency.google.com/advertiser/AR11070511645502472193/creative/CR15781005877655371777?region=anywhere" TargetMode="External"/><Relationship Id="rId2241" Type="http://schemas.openxmlformats.org/officeDocument/2006/relationships/hyperlink" Target="https://adstransparency.google.com/advertiser/AR13288297259528617985/creative/CR01953369663299649537?region=anywhere" TargetMode="External"/><Relationship Id="rId1395" Type="http://schemas.openxmlformats.org/officeDocument/2006/relationships/hyperlink" Target="https://www.semrush.com/" TargetMode="External"/><Relationship Id="rId2242" Type="http://schemas.openxmlformats.org/officeDocument/2006/relationships/hyperlink" Target="https://otterly.ai/" TargetMode="External"/><Relationship Id="rId323" Type="http://schemas.openxmlformats.org/officeDocument/2006/relationships/hyperlink" Target="https://www.tryprofound.com/" TargetMode="External"/><Relationship Id="rId1396" Type="http://schemas.openxmlformats.org/officeDocument/2006/relationships/hyperlink" Target="https://adstransparency.google.com/advertiser/AR11070511645502472193/creative/CR16557498512657350657?region=anywhere" TargetMode="External"/><Relationship Id="rId2243" Type="http://schemas.openxmlformats.org/officeDocument/2006/relationships/hyperlink" Target="https://adstransparency.google.com/advertiser/AR13288297259528617985/creative/CR16505806511075753985?region=anywhere" TargetMode="External"/><Relationship Id="rId322" Type="http://schemas.openxmlformats.org/officeDocument/2006/relationships/hyperlink" Target="https://adstransparency.google.com/advertiser/AR01693402396748677121/creative/CR06322570650057703425?region=anywhere" TargetMode="External"/><Relationship Id="rId1397" Type="http://schemas.openxmlformats.org/officeDocument/2006/relationships/hyperlink" Target="https://www.semrush.com/analytics/keywordoverview/" TargetMode="External"/><Relationship Id="rId2244" Type="http://schemas.openxmlformats.org/officeDocument/2006/relationships/hyperlink" Target="https://otterly.ai/" TargetMode="External"/><Relationship Id="rId321" Type="http://schemas.openxmlformats.org/officeDocument/2006/relationships/hyperlink" Target="https://www.tryprofound.com/" TargetMode="External"/><Relationship Id="rId1398" Type="http://schemas.openxmlformats.org/officeDocument/2006/relationships/hyperlink" Target="https://adstransparency.google.com/advertiser/AR11070511645502472193/creative/CR03279864265355296769?region=anywhere" TargetMode="External"/><Relationship Id="rId2245" Type="http://schemas.openxmlformats.org/officeDocument/2006/relationships/hyperlink" Target="https://adstransparency.google.com/advertiser/AR13288297259528617985/creative/CR10778135844226072577?region=anywhere" TargetMode="External"/><Relationship Id="rId320" Type="http://schemas.openxmlformats.org/officeDocument/2006/relationships/hyperlink" Target="https://adstransparency.google.com/advertiser/AR01693402396748677121/creative/CR15043358120879325185?region=anywhere" TargetMode="External"/><Relationship Id="rId1399" Type="http://schemas.openxmlformats.org/officeDocument/2006/relationships/hyperlink" Target="https://www.semrush.com/" TargetMode="External"/><Relationship Id="rId2246" Type="http://schemas.openxmlformats.org/officeDocument/2006/relationships/hyperlink" Target="https://otterly.ai/" TargetMode="External"/><Relationship Id="rId1389" Type="http://schemas.openxmlformats.org/officeDocument/2006/relationships/hyperlink" Target="https://www.semrush.com/" TargetMode="External"/><Relationship Id="rId2236" Type="http://schemas.openxmlformats.org/officeDocument/2006/relationships/hyperlink" Target="https://www.scrunch.com/aeo" TargetMode="External"/><Relationship Id="rId2237" Type="http://schemas.openxmlformats.org/officeDocument/2006/relationships/hyperlink" Target="https://adstransparency.google.com/advertiser/AR01685939160927436801/creative/CR08755261017233031169?region=anywhere" TargetMode="External"/><Relationship Id="rId2238" Type="http://schemas.openxmlformats.org/officeDocument/2006/relationships/hyperlink" Target="https://otterly.ai/" TargetMode="External"/><Relationship Id="rId2239" Type="http://schemas.openxmlformats.org/officeDocument/2006/relationships/hyperlink" Target="https://adstransparency.google.com/advertiser/AR13288297259528617985/creative/CR13585705181927964673?region=anywhere" TargetMode="External"/><Relationship Id="rId316" Type="http://schemas.openxmlformats.org/officeDocument/2006/relationships/hyperlink" Target="https://adstransparency.google.com/advertiser/AR01693402396748677121/creative/CR16742914750496636929?region=anywhere" TargetMode="External"/><Relationship Id="rId315" Type="http://schemas.openxmlformats.org/officeDocument/2006/relationships/hyperlink" Target="https://www.tryprofound.com/" TargetMode="External"/><Relationship Id="rId799" Type="http://schemas.openxmlformats.org/officeDocument/2006/relationships/hyperlink" Target="https://peec.ai/" TargetMode="External"/><Relationship Id="rId314" Type="http://schemas.openxmlformats.org/officeDocument/2006/relationships/hyperlink" Target="https://adstransparency.google.com/advertiser/AR01693402396748677121/creative/CR16118858338850045953?region=anywhere" TargetMode="External"/><Relationship Id="rId798" Type="http://schemas.openxmlformats.org/officeDocument/2006/relationships/hyperlink" Target="https://adstransparency.google.com/advertiser/AR05016556376214732801/creative/CR14478657719176790017?region=anywhere" TargetMode="External"/><Relationship Id="rId313" Type="http://schemas.openxmlformats.org/officeDocument/2006/relationships/hyperlink" Target="https://www.tryprofound.com/" TargetMode="External"/><Relationship Id="rId797" Type="http://schemas.openxmlformats.org/officeDocument/2006/relationships/hyperlink" Target="https://peec.ai/black-friday" TargetMode="External"/><Relationship Id="rId319" Type="http://schemas.openxmlformats.org/officeDocument/2006/relationships/hyperlink" Target="https://www.tryprofound.com/" TargetMode="External"/><Relationship Id="rId318" Type="http://schemas.openxmlformats.org/officeDocument/2006/relationships/hyperlink" Target="https://adstransparency.google.com/advertiser/AR01693402396748677121/creative/CR08495215109830868993?region=anywhere" TargetMode="External"/><Relationship Id="rId317" Type="http://schemas.openxmlformats.org/officeDocument/2006/relationships/hyperlink" Target="https://www.tryprofound.com/" TargetMode="External"/><Relationship Id="rId1380" Type="http://schemas.openxmlformats.org/officeDocument/2006/relationships/hyperlink" Target="https://adstransparency.google.com/advertiser/AR11070511645502472193/creative/CR11506438439360790529?region=anywhere" TargetMode="External"/><Relationship Id="rId792" Type="http://schemas.openxmlformats.org/officeDocument/2006/relationships/hyperlink" Target="https://adstransparency.google.com/advertiser/AR05016556376214732801/creative/CR08203903189133557761?region=anywhere" TargetMode="External"/><Relationship Id="rId1381" Type="http://schemas.openxmlformats.org/officeDocument/2006/relationships/hyperlink" Target="https://www.semrush.com/pricing/" TargetMode="External"/><Relationship Id="rId791" Type="http://schemas.openxmlformats.org/officeDocument/2006/relationships/hyperlink" Target="https://peec.ai/demo" TargetMode="External"/><Relationship Id="rId1382" Type="http://schemas.openxmlformats.org/officeDocument/2006/relationships/hyperlink" Target="https://adstransparency.google.com/advertiser/AR11070511645502472193/creative/CR01375834207099551745?region=anywhere" TargetMode="External"/><Relationship Id="rId790" Type="http://schemas.openxmlformats.org/officeDocument/2006/relationships/hyperlink" Target="https://adstransparency.google.com/advertiser/AR05016556376214732801/creative/CR10600982573708476417?region=anywhere" TargetMode="External"/><Relationship Id="rId1383" Type="http://schemas.openxmlformats.org/officeDocument/2006/relationships/hyperlink" Target="https://www.semrush.com/" TargetMode="External"/><Relationship Id="rId2230" Type="http://schemas.openxmlformats.org/officeDocument/2006/relationships/hyperlink" Target="https://www.scrunch.com/aeo/platform" TargetMode="External"/><Relationship Id="rId1384" Type="http://schemas.openxmlformats.org/officeDocument/2006/relationships/hyperlink" Target="https://adstransparency.google.com/advertiser/AR11070511645502472193/creative/CR12317922413441449985?region=anywhere" TargetMode="External"/><Relationship Id="rId2231" Type="http://schemas.openxmlformats.org/officeDocument/2006/relationships/hyperlink" Target="https://adstransparency.google.com/advertiser/AR01685939160927436801/creative/CR00646324528586162177?region=anywhere" TargetMode="External"/><Relationship Id="rId312" Type="http://schemas.openxmlformats.org/officeDocument/2006/relationships/hyperlink" Target="https://adstransparency.google.com/advertiser/AR01693402396748677121/creative/CR15214197763701997569?region=anywhere" TargetMode="External"/><Relationship Id="rId796" Type="http://schemas.openxmlformats.org/officeDocument/2006/relationships/hyperlink" Target="https://adstransparency.google.com/advertiser/AR05016556376214732801/creative/CR11274059611767832577?region=anywhere" TargetMode="External"/><Relationship Id="rId1385" Type="http://schemas.openxmlformats.org/officeDocument/2006/relationships/hyperlink" Target="https://www.semrush.com/" TargetMode="External"/><Relationship Id="rId2232" Type="http://schemas.openxmlformats.org/officeDocument/2006/relationships/hyperlink" Target="https://scrunch.com/" TargetMode="External"/><Relationship Id="rId311" Type="http://schemas.openxmlformats.org/officeDocument/2006/relationships/hyperlink" Target="https://www.tryprofound.com/" TargetMode="External"/><Relationship Id="rId795" Type="http://schemas.openxmlformats.org/officeDocument/2006/relationships/hyperlink" Target="https://peec.ai/" TargetMode="External"/><Relationship Id="rId1386" Type="http://schemas.openxmlformats.org/officeDocument/2006/relationships/hyperlink" Target="https://adstransparency.google.com/advertiser/AR11070511645502472193/creative/CR09988987048704344065?region=anywhere" TargetMode="External"/><Relationship Id="rId2233" Type="http://schemas.openxmlformats.org/officeDocument/2006/relationships/hyperlink" Target="https://adstransparency.google.com/advertiser/AR01685939160927436801/creative/CR03049339789892386817?region=anywhere" TargetMode="External"/><Relationship Id="rId310" Type="http://schemas.openxmlformats.org/officeDocument/2006/relationships/hyperlink" Target="https://adstransparency.google.com/advertiser/AR01693402396748677121/creative/CR14509384422018514945?region=anywhere" TargetMode="External"/><Relationship Id="rId794" Type="http://schemas.openxmlformats.org/officeDocument/2006/relationships/hyperlink" Target="https://adstransparency.google.com/advertiser/AR05016556376214732801/creative/CR11804261710867464193?region=anywhere" TargetMode="External"/><Relationship Id="rId1387" Type="http://schemas.openxmlformats.org/officeDocument/2006/relationships/hyperlink" Target="https://www.semrush.com/" TargetMode="External"/><Relationship Id="rId2234" Type="http://schemas.openxmlformats.org/officeDocument/2006/relationships/hyperlink" Target="https://www.scrunch.com/ai-search/visibility" TargetMode="External"/><Relationship Id="rId793" Type="http://schemas.openxmlformats.org/officeDocument/2006/relationships/hyperlink" Target="https://peec.ai/for-agencies" TargetMode="External"/><Relationship Id="rId1388" Type="http://schemas.openxmlformats.org/officeDocument/2006/relationships/hyperlink" Target="https://adstransparency.google.com/advertiser/AR11070511645502472193/creative/CR12580076359511965697?region=anywhere" TargetMode="External"/><Relationship Id="rId2235" Type="http://schemas.openxmlformats.org/officeDocument/2006/relationships/hyperlink" Target="https://adstransparency.google.com/advertiser/AR01685939160927436801/creative/CR06843287262344511489?region=anywhere" TargetMode="External"/><Relationship Id="rId297" Type="http://schemas.openxmlformats.org/officeDocument/2006/relationships/hyperlink" Target="https://www.tryprofound.com/" TargetMode="External"/><Relationship Id="rId296" Type="http://schemas.openxmlformats.org/officeDocument/2006/relationships/hyperlink" Target="https://adstransparency.google.com/advertiser/AR01693402396748677121/creative/CR10674780445545070593?region=anywhere" TargetMode="External"/><Relationship Id="rId295" Type="http://schemas.openxmlformats.org/officeDocument/2006/relationships/hyperlink" Target="https://www.tryprofound.com/" TargetMode="External"/><Relationship Id="rId294" Type="http://schemas.openxmlformats.org/officeDocument/2006/relationships/hyperlink" Target="https://adstransparency.google.com/advertiser/AR01693402396748677121/creative/CR11030916659828228097?region=anywhere" TargetMode="External"/><Relationship Id="rId299" Type="http://schemas.openxmlformats.org/officeDocument/2006/relationships/hyperlink" Target="https://www.tryprofound.com/" TargetMode="External"/><Relationship Id="rId298" Type="http://schemas.openxmlformats.org/officeDocument/2006/relationships/hyperlink" Target="https://adstransparency.google.com/advertiser/AR01693402396748677121/creative/CR17019296789347434497?region=anywhere" TargetMode="External"/><Relationship Id="rId271" Type="http://schemas.openxmlformats.org/officeDocument/2006/relationships/hyperlink" Target="https://www.tryprofound.com/" TargetMode="External"/><Relationship Id="rId270" Type="http://schemas.openxmlformats.org/officeDocument/2006/relationships/hyperlink" Target="https://adstransparency.google.com/advertiser/AR01693402396748677121/creative/CR13297424640558235649?region=anywhere" TargetMode="External"/><Relationship Id="rId269" Type="http://schemas.openxmlformats.org/officeDocument/2006/relationships/hyperlink" Target="https://www.tryprofound.com/" TargetMode="External"/><Relationship Id="rId264" Type="http://schemas.openxmlformats.org/officeDocument/2006/relationships/hyperlink" Target="https://adstransparency.google.com/advertiser/AR01693402396748677121/creative/CR03053507626156425217?region=anywhere" TargetMode="External"/><Relationship Id="rId263" Type="http://schemas.openxmlformats.org/officeDocument/2006/relationships/hyperlink" Target="https://www.tryprofound.com/" TargetMode="External"/><Relationship Id="rId262" Type="http://schemas.openxmlformats.org/officeDocument/2006/relationships/hyperlink" Target="https://adstransparency.google.com/advertiser/AR01693402396748677121/creative/CR17156796877383925761?region=anywhere" TargetMode="External"/><Relationship Id="rId261" Type="http://schemas.openxmlformats.org/officeDocument/2006/relationships/hyperlink" Target="https://www.tryprofound.com/" TargetMode="External"/><Relationship Id="rId268" Type="http://schemas.openxmlformats.org/officeDocument/2006/relationships/hyperlink" Target="https://adstransparency.google.com/advertiser/AR01693402396748677121/creative/CR08723661851914665985?region=anywhere" TargetMode="External"/><Relationship Id="rId267" Type="http://schemas.openxmlformats.org/officeDocument/2006/relationships/hyperlink" Target="https://www.tryprofound.com/" TargetMode="External"/><Relationship Id="rId266" Type="http://schemas.openxmlformats.org/officeDocument/2006/relationships/hyperlink" Target="https://adstransparency.google.com/advertiser/AR01693402396748677121/creative/CR05942927976684322817?region=anywhere" TargetMode="External"/><Relationship Id="rId265" Type="http://schemas.openxmlformats.org/officeDocument/2006/relationships/hyperlink" Target="https://www.tryprofound.com/pricing" TargetMode="External"/><Relationship Id="rId260" Type="http://schemas.openxmlformats.org/officeDocument/2006/relationships/hyperlink" Target="https://adstransparency.google.com/advertiser/AR01693402396748677121/creative/CR04601542276336844801?region=anywhere" TargetMode="External"/><Relationship Id="rId259" Type="http://schemas.openxmlformats.org/officeDocument/2006/relationships/hyperlink" Target="https://www.tryprofound.com/" TargetMode="External"/><Relationship Id="rId258" Type="http://schemas.openxmlformats.org/officeDocument/2006/relationships/hyperlink" Target="https://adstransparency.google.com/advertiser/AR01693402396748677121/creative/CR12348112073572483073?region=anywhere" TargetMode="External"/><Relationship Id="rId2290" Type="http://schemas.openxmlformats.org/officeDocument/2006/relationships/hyperlink" Target="https://otterly.ai/" TargetMode="External"/><Relationship Id="rId2291" Type="http://schemas.openxmlformats.org/officeDocument/2006/relationships/hyperlink" Target="https://adstransparency.google.com/advertiser/AR13288297259528617985/creative/CR10409984484702158849?region=anywhere" TargetMode="External"/><Relationship Id="rId2292" Type="http://schemas.openxmlformats.org/officeDocument/2006/relationships/hyperlink" Target="https://otterly.ai/" TargetMode="External"/><Relationship Id="rId2293" Type="http://schemas.openxmlformats.org/officeDocument/2006/relationships/hyperlink" Target="https://adstransparency.google.com/advertiser/AR13288297259528617985/creative/CR17650077264353689601?region=anywhere" TargetMode="External"/><Relationship Id="rId253" Type="http://schemas.openxmlformats.org/officeDocument/2006/relationships/hyperlink" Target="https://www.tryprofound.com/" TargetMode="External"/><Relationship Id="rId2294" Type="http://schemas.openxmlformats.org/officeDocument/2006/relationships/hyperlink" Target="https://otterly.ai/" TargetMode="External"/><Relationship Id="rId252" Type="http://schemas.openxmlformats.org/officeDocument/2006/relationships/hyperlink" Target="https://adstransparency.google.com/advertiser/AR01693402396748677121/creative/CR16431350993846796289?region=anywhere" TargetMode="External"/><Relationship Id="rId2295" Type="http://schemas.openxmlformats.org/officeDocument/2006/relationships/hyperlink" Target="https://adstransparency.google.com/advertiser/AR13288297259528617985/creative/CR01167316663025008641?region=anywhere" TargetMode="External"/><Relationship Id="rId251" Type="http://schemas.openxmlformats.org/officeDocument/2006/relationships/hyperlink" Target="https://www.tryprofound.com/" TargetMode="External"/><Relationship Id="rId2296" Type="http://schemas.openxmlformats.org/officeDocument/2006/relationships/hyperlink" Target="https://otterly.ai/" TargetMode="External"/><Relationship Id="rId250" Type="http://schemas.openxmlformats.org/officeDocument/2006/relationships/hyperlink" Target="https://adstransparency.google.com/advertiser/AR01693402396748677121/creative/CR07426566086251773953?region=anywhere" TargetMode="External"/><Relationship Id="rId2297" Type="http://schemas.openxmlformats.org/officeDocument/2006/relationships/hyperlink" Target="https://adstransparency.google.com/advertiser/AR13288297259528617985/creative/CR02189641749897412609?region=anywhere" TargetMode="External"/><Relationship Id="rId257" Type="http://schemas.openxmlformats.org/officeDocument/2006/relationships/hyperlink" Target="https://www.tryprofound.com/" TargetMode="External"/><Relationship Id="rId2298" Type="http://schemas.openxmlformats.org/officeDocument/2006/relationships/hyperlink" Target="https://otterly.ai/" TargetMode="External"/><Relationship Id="rId256" Type="http://schemas.openxmlformats.org/officeDocument/2006/relationships/hyperlink" Target="https://adstransparency.google.com/advertiser/AR01693402396748677121/creative/CR07663457859320938497?region=anywhere" TargetMode="External"/><Relationship Id="rId2299" Type="http://schemas.openxmlformats.org/officeDocument/2006/relationships/hyperlink" Target="https://adstransparency.google.com/advertiser/AR13288297259528617985/creative/CR17483589969590091777?region=anywhere" TargetMode="External"/><Relationship Id="rId255" Type="http://schemas.openxmlformats.org/officeDocument/2006/relationships/hyperlink" Target="https://www.tryprofound.com/" TargetMode="External"/><Relationship Id="rId254" Type="http://schemas.openxmlformats.org/officeDocument/2006/relationships/hyperlink" Target="https://adstransparency.google.com/advertiser/AR01693402396748677121/creative/CR17314572561132027905?region=anywhere" TargetMode="External"/><Relationship Id="rId293" Type="http://schemas.openxmlformats.org/officeDocument/2006/relationships/hyperlink" Target="https://www.tryprofound.com/" TargetMode="External"/><Relationship Id="rId292" Type="http://schemas.openxmlformats.org/officeDocument/2006/relationships/hyperlink" Target="https://adstransparency.google.com/advertiser/AR01693402396748677121/creative/CR01380828558280097793?region=anywhere" TargetMode="External"/><Relationship Id="rId291" Type="http://schemas.openxmlformats.org/officeDocument/2006/relationships/hyperlink" Target="https://www.tryprofound.com/" TargetMode="External"/><Relationship Id="rId290" Type="http://schemas.openxmlformats.org/officeDocument/2006/relationships/hyperlink" Target="https://adstransparency.google.com/advertiser/AR01693402396748677121/creative/CR05861029753577799681?region=anywhere" TargetMode="External"/><Relationship Id="rId286" Type="http://schemas.openxmlformats.org/officeDocument/2006/relationships/hyperlink" Target="https://adstransparency.google.com/advertiser/AR01693402396748677121/creative/CR16547814907593097217?region=anywhere" TargetMode="External"/><Relationship Id="rId285" Type="http://schemas.openxmlformats.org/officeDocument/2006/relationships/hyperlink" Target="https://www.tryprofound.com/pricing" TargetMode="External"/><Relationship Id="rId284" Type="http://schemas.openxmlformats.org/officeDocument/2006/relationships/hyperlink" Target="https://adstransparency.google.com/advertiser/AR01693402396748677121/creative/CR03299414020183818241?region=anywhere" TargetMode="External"/><Relationship Id="rId283" Type="http://schemas.openxmlformats.org/officeDocument/2006/relationships/hyperlink" Target="https://www.tryprofound.com/" TargetMode="External"/><Relationship Id="rId289" Type="http://schemas.openxmlformats.org/officeDocument/2006/relationships/hyperlink" Target="https://www.tryprofound.com/" TargetMode="External"/><Relationship Id="rId288" Type="http://schemas.openxmlformats.org/officeDocument/2006/relationships/hyperlink" Target="https://adstransparency.google.com/advertiser/AR01693402396748677121/creative/CR17300299044777623553?region=anywhere" TargetMode="External"/><Relationship Id="rId287" Type="http://schemas.openxmlformats.org/officeDocument/2006/relationships/hyperlink" Target="https://www.tryprofound.com/" TargetMode="External"/><Relationship Id="rId282" Type="http://schemas.openxmlformats.org/officeDocument/2006/relationships/hyperlink" Target="https://adstransparency.google.com/advertiser/AR01693402396748677121/creative/CR03640791558606815233?region=anywhere" TargetMode="External"/><Relationship Id="rId281" Type="http://schemas.openxmlformats.org/officeDocument/2006/relationships/hyperlink" Target="https://www.tryprofound.com/" TargetMode="External"/><Relationship Id="rId280" Type="http://schemas.openxmlformats.org/officeDocument/2006/relationships/hyperlink" Target="https://adstransparency.google.com/advertiser/AR01693402396748677121/creative/CR05387930241110900737?region=anywhere" TargetMode="External"/><Relationship Id="rId275" Type="http://schemas.openxmlformats.org/officeDocument/2006/relationships/hyperlink" Target="https://www.tryprofound.com/" TargetMode="External"/><Relationship Id="rId274" Type="http://schemas.openxmlformats.org/officeDocument/2006/relationships/hyperlink" Target="https://adstransparency.google.com/advertiser/AR01693402396748677121/creative/CR10069680988750872577?region=anywhere" TargetMode="External"/><Relationship Id="rId273" Type="http://schemas.openxmlformats.org/officeDocument/2006/relationships/hyperlink" Target="https://www.tryprofound.com/" TargetMode="External"/><Relationship Id="rId272" Type="http://schemas.openxmlformats.org/officeDocument/2006/relationships/hyperlink" Target="https://adstransparency.google.com/advertiser/AR01693402396748677121/creative/CR13973995651692756993?region=anywhere" TargetMode="External"/><Relationship Id="rId279" Type="http://schemas.openxmlformats.org/officeDocument/2006/relationships/hyperlink" Target="https://www.tryprofound.com/" TargetMode="External"/><Relationship Id="rId278" Type="http://schemas.openxmlformats.org/officeDocument/2006/relationships/hyperlink" Target="https://adstransparency.google.com/advertiser/AR01693402396748677121/creative/CR04342375497200566273?region=anywhere" TargetMode="External"/><Relationship Id="rId277" Type="http://schemas.openxmlformats.org/officeDocument/2006/relationships/hyperlink" Target="https://www.tryprofound.com/" TargetMode="External"/><Relationship Id="rId276" Type="http://schemas.openxmlformats.org/officeDocument/2006/relationships/hyperlink" Target="https://adstransparency.google.com/advertiser/AR01693402396748677121/creative/CR02818283056312352769?region=anywhere" TargetMode="External"/><Relationship Id="rId1851" Type="http://schemas.openxmlformats.org/officeDocument/2006/relationships/hyperlink" Target="https://www.semrush.com/analytics/backlinks/overview/" TargetMode="External"/><Relationship Id="rId1852" Type="http://schemas.openxmlformats.org/officeDocument/2006/relationships/hyperlink" Target="https://adstransparency.google.com/advertiser/AR11070511645502472193/creative/CR12249444829263560705?region=anywhere" TargetMode="External"/><Relationship Id="rId1853" Type="http://schemas.openxmlformats.org/officeDocument/2006/relationships/hyperlink" Target="https://www.semrush.com/features/" TargetMode="External"/><Relationship Id="rId1854" Type="http://schemas.openxmlformats.org/officeDocument/2006/relationships/hyperlink" Target="https://adstransparency.google.com/advertiser/AR11070511645502472193/creative/CR02223775890813222913?region=anywhere" TargetMode="External"/><Relationship Id="rId1855" Type="http://schemas.openxmlformats.org/officeDocument/2006/relationships/hyperlink" Target="https://www.semrush.com/agencies/" TargetMode="External"/><Relationship Id="rId1856" Type="http://schemas.openxmlformats.org/officeDocument/2006/relationships/hyperlink" Target="https://adstransparency.google.com/advertiser/AR11070511645502472193/creative/CR08376417319445856257?region=anywhere" TargetMode="External"/><Relationship Id="rId1857" Type="http://schemas.openxmlformats.org/officeDocument/2006/relationships/hyperlink" Target="https://www.semrush.com/pricing/" TargetMode="External"/><Relationship Id="rId1858" Type="http://schemas.openxmlformats.org/officeDocument/2006/relationships/hyperlink" Target="https://adstransparency.google.com/advertiser/AR11070511645502472193/creative/CR05259401463582425089?region=anywhere" TargetMode="External"/><Relationship Id="rId1859" Type="http://schemas.openxmlformats.org/officeDocument/2006/relationships/hyperlink" Target="https://www.semrush.com/" TargetMode="External"/><Relationship Id="rId1850" Type="http://schemas.openxmlformats.org/officeDocument/2006/relationships/hyperlink" Target="https://adstransparency.google.com/advertiser/AR11070511645502472193/creative/CR03078670370664873985?region=anywhere" TargetMode="External"/><Relationship Id="rId1840" Type="http://schemas.openxmlformats.org/officeDocument/2006/relationships/hyperlink" Target="https://adstransparency.google.com/advertiser/AR11070511645502472193/creative/CR17778617947531509761?region=anywhere" TargetMode="External"/><Relationship Id="rId1841" Type="http://schemas.openxmlformats.org/officeDocument/2006/relationships/hyperlink" Target="https://www.semrush.com/kb/demo/" TargetMode="External"/><Relationship Id="rId1842" Type="http://schemas.openxmlformats.org/officeDocument/2006/relationships/hyperlink" Target="https://adstransparency.google.com/advertiser/AR11070511645502472193/creative/CR07053370545336745985?region=anywhere" TargetMode="External"/><Relationship Id="rId1843" Type="http://schemas.openxmlformats.org/officeDocument/2006/relationships/hyperlink" Target="https://www.semrush.com/" TargetMode="External"/><Relationship Id="rId1844" Type="http://schemas.openxmlformats.org/officeDocument/2006/relationships/hyperlink" Target="https://adstransparency.google.com/advertiser/AR11070511645502472193/creative/CR00111334399944949761?region=anywhere" TargetMode="External"/><Relationship Id="rId1845" Type="http://schemas.openxmlformats.org/officeDocument/2006/relationships/hyperlink" Target="https://www.semrush.com/analytics/keywordoverview/" TargetMode="External"/><Relationship Id="rId1846" Type="http://schemas.openxmlformats.org/officeDocument/2006/relationships/hyperlink" Target="https://adstransparency.google.com/advertiser/AR11070511645502472193/creative/CR16752996318640603137?region=anywhere" TargetMode="External"/><Relationship Id="rId1847" Type="http://schemas.openxmlformats.org/officeDocument/2006/relationships/hyperlink" Target="https://www.semrush.com/" TargetMode="External"/><Relationship Id="rId1848" Type="http://schemas.openxmlformats.org/officeDocument/2006/relationships/hyperlink" Target="https://adstransparency.google.com/advertiser/AR11070511645502472193/creative/CR02748416900617732097?region=anywhere" TargetMode="External"/><Relationship Id="rId1849" Type="http://schemas.openxmlformats.org/officeDocument/2006/relationships/hyperlink" Target="https://www.semrush.com/" TargetMode="External"/><Relationship Id="rId1873" Type="http://schemas.openxmlformats.org/officeDocument/2006/relationships/hyperlink" Target="https://www.semrush.com/analytics/keywordoverview/" TargetMode="External"/><Relationship Id="rId1874" Type="http://schemas.openxmlformats.org/officeDocument/2006/relationships/hyperlink" Target="https://adstransparency.google.com/advertiser/AR11070511645502472193/creative/CR08323665191086587905?region=anywhere" TargetMode="External"/><Relationship Id="rId1875" Type="http://schemas.openxmlformats.org/officeDocument/2006/relationships/hyperlink" Target="https://www.semrush.com/" TargetMode="External"/><Relationship Id="rId1876" Type="http://schemas.openxmlformats.org/officeDocument/2006/relationships/hyperlink" Target="https://adstransparency.google.com/advertiser/AR11070511645502472193/creative/CR15004638449540005889?region=anywhere" TargetMode="External"/><Relationship Id="rId1877" Type="http://schemas.openxmlformats.org/officeDocument/2006/relationships/hyperlink" Target="https://www.semrush.com/" TargetMode="External"/><Relationship Id="rId1878" Type="http://schemas.openxmlformats.org/officeDocument/2006/relationships/hyperlink" Target="https://adstransparency.google.com/advertiser/AR11070511645502472193/creative/CR11841954824893497345?region=anywhere" TargetMode="External"/><Relationship Id="rId1879" Type="http://schemas.openxmlformats.org/officeDocument/2006/relationships/hyperlink" Target="https://www.semrush.com/analytics/backlinks/overview/" TargetMode="External"/><Relationship Id="rId1870" Type="http://schemas.openxmlformats.org/officeDocument/2006/relationships/hyperlink" Target="https://adstransparency.google.com/advertiser/AR11070511645502472193/creative/CR18294139333017337857?region=anywhere" TargetMode="External"/><Relationship Id="rId1871" Type="http://schemas.openxmlformats.org/officeDocument/2006/relationships/hyperlink" Target="https://www.semrush.com/" TargetMode="External"/><Relationship Id="rId1872" Type="http://schemas.openxmlformats.org/officeDocument/2006/relationships/hyperlink" Target="https://adstransparency.google.com/advertiser/AR11070511645502472193/creative/CR08748060633410306049?region=anywhere" TargetMode="External"/><Relationship Id="rId1862" Type="http://schemas.openxmlformats.org/officeDocument/2006/relationships/hyperlink" Target="https://adstransparency.google.com/advertiser/AR11070511645502472193/creative/CR02879096640717717505?region=anywhere" TargetMode="External"/><Relationship Id="rId1863" Type="http://schemas.openxmlformats.org/officeDocument/2006/relationships/hyperlink" Target="https://www.semrush.com/" TargetMode="External"/><Relationship Id="rId1864" Type="http://schemas.openxmlformats.org/officeDocument/2006/relationships/hyperlink" Target="https://adstransparency.google.com/advertiser/AR11070511645502472193/creative/CR16565052157540171777?region=anywhere" TargetMode="External"/><Relationship Id="rId1865" Type="http://schemas.openxmlformats.org/officeDocument/2006/relationships/hyperlink" Target="https://www.semrush.com/" TargetMode="External"/><Relationship Id="rId1866" Type="http://schemas.openxmlformats.org/officeDocument/2006/relationships/hyperlink" Target="https://adstransparency.google.com/advertiser/AR11070511645502472193/creative/CR07022860918732095489?region=anywhere" TargetMode="External"/><Relationship Id="rId1867" Type="http://schemas.openxmlformats.org/officeDocument/2006/relationships/hyperlink" Target="https://www.semrush.com/features/" TargetMode="External"/><Relationship Id="rId1868" Type="http://schemas.openxmlformats.org/officeDocument/2006/relationships/hyperlink" Target="https://adstransparency.google.com/advertiser/AR11070511645502472193/creative/CR11406254204012986369?region=anywhere" TargetMode="External"/><Relationship Id="rId1869" Type="http://schemas.openxmlformats.org/officeDocument/2006/relationships/hyperlink" Target="https://www.semrush.com/kb/demo/" TargetMode="External"/><Relationship Id="rId1860" Type="http://schemas.openxmlformats.org/officeDocument/2006/relationships/hyperlink" Target="https://adstransparency.google.com/advertiser/AR11070511645502472193/creative/CR12125193005938245633?region=anywhere" TargetMode="External"/><Relationship Id="rId1861" Type="http://schemas.openxmlformats.org/officeDocument/2006/relationships/hyperlink" Target="https://www.semrush.com/" TargetMode="External"/><Relationship Id="rId1810" Type="http://schemas.openxmlformats.org/officeDocument/2006/relationships/hyperlink" Target="https://adstransparency.google.com/advertiser/AR11070511645502472193/creative/CR15186659541501607937?region=anywhere" TargetMode="External"/><Relationship Id="rId1811" Type="http://schemas.openxmlformats.org/officeDocument/2006/relationships/hyperlink" Target="https://www.semrush.com/features/" TargetMode="External"/><Relationship Id="rId1812" Type="http://schemas.openxmlformats.org/officeDocument/2006/relationships/hyperlink" Target="https://adstransparency.google.com/advertiser/AR11070511645502472193/creative/CR16140497732707024897?region=anywhere" TargetMode="External"/><Relationship Id="rId1813" Type="http://schemas.openxmlformats.org/officeDocument/2006/relationships/hyperlink" Target="https://www.semrush.com/kb/demo/" TargetMode="External"/><Relationship Id="rId1814" Type="http://schemas.openxmlformats.org/officeDocument/2006/relationships/hyperlink" Target="https://adstransparency.google.com/advertiser/AR11070511645502472193/creative/CR17007776767936561153?region=anywhere" TargetMode="External"/><Relationship Id="rId1815" Type="http://schemas.openxmlformats.org/officeDocument/2006/relationships/hyperlink" Target="https://www.semrush.com/" TargetMode="External"/><Relationship Id="rId1816" Type="http://schemas.openxmlformats.org/officeDocument/2006/relationships/hyperlink" Target="https://adstransparency.google.com/advertiser/AR11070511645502472193/creative/CR04299303065485312001?region=anywhere" TargetMode="External"/><Relationship Id="rId1817" Type="http://schemas.openxmlformats.org/officeDocument/2006/relationships/hyperlink" Target="https://www.semrush.com/analytics/keywordoverview/" TargetMode="External"/><Relationship Id="rId1818" Type="http://schemas.openxmlformats.org/officeDocument/2006/relationships/hyperlink" Target="https://adstransparency.google.com/advertiser/AR11070511645502472193/creative/CR10083838343419789313?region=anywhere" TargetMode="External"/><Relationship Id="rId1819" Type="http://schemas.openxmlformats.org/officeDocument/2006/relationships/hyperlink" Target="https://www.semrush.com/" TargetMode="External"/><Relationship Id="rId1800" Type="http://schemas.openxmlformats.org/officeDocument/2006/relationships/hyperlink" Target="https://adstransparency.google.com/advertiser/AR11070511645502472193/creative/CR16750526884244094977?region=anywhere" TargetMode="External"/><Relationship Id="rId1801" Type="http://schemas.openxmlformats.org/officeDocument/2006/relationships/hyperlink" Target="https://www.semrush.com/pricing/" TargetMode="External"/><Relationship Id="rId1802" Type="http://schemas.openxmlformats.org/officeDocument/2006/relationships/hyperlink" Target="https://adstransparency.google.com/advertiser/AR11070511645502472193/creative/CR05978175716720640001?region=anywhere" TargetMode="External"/><Relationship Id="rId1803" Type="http://schemas.openxmlformats.org/officeDocument/2006/relationships/hyperlink" Target="https://www.semrush.com/" TargetMode="External"/><Relationship Id="rId1804" Type="http://schemas.openxmlformats.org/officeDocument/2006/relationships/hyperlink" Target="https://adstransparency.google.com/advertiser/AR11070511645502472193/creative/CR18225740948036386817?region=anywhere" TargetMode="External"/><Relationship Id="rId1805" Type="http://schemas.openxmlformats.org/officeDocument/2006/relationships/hyperlink" Target="https://www.semrush.com/" TargetMode="External"/><Relationship Id="rId1806" Type="http://schemas.openxmlformats.org/officeDocument/2006/relationships/hyperlink" Target="https://adstransparency.google.com/advertiser/AR11070511645502472193/creative/CR15841171738042826753?region=anywhere" TargetMode="External"/><Relationship Id="rId1807" Type="http://schemas.openxmlformats.org/officeDocument/2006/relationships/hyperlink" Target="https://www.semrush.com/" TargetMode="External"/><Relationship Id="rId1808" Type="http://schemas.openxmlformats.org/officeDocument/2006/relationships/hyperlink" Target="https://adstransparency.google.com/advertiser/AR11070511645502472193/creative/CR04883337288240594945?region=anywhere" TargetMode="External"/><Relationship Id="rId1809" Type="http://schemas.openxmlformats.org/officeDocument/2006/relationships/hyperlink" Target="https://www.semrush.com/" TargetMode="External"/><Relationship Id="rId1830" Type="http://schemas.openxmlformats.org/officeDocument/2006/relationships/hyperlink" Target="https://adstransparency.google.com/advertiser/AR11070511645502472193/creative/CR09375463992811585537?region=anywhere" TargetMode="External"/><Relationship Id="rId1831" Type="http://schemas.openxmlformats.org/officeDocument/2006/relationships/hyperlink" Target="https://www.semrush.com/" TargetMode="External"/><Relationship Id="rId1832" Type="http://schemas.openxmlformats.org/officeDocument/2006/relationships/hyperlink" Target="https://adstransparency.google.com/advertiser/AR11070511645502472193/creative/CR14992088864338739201?region=anywhere" TargetMode="External"/><Relationship Id="rId1833" Type="http://schemas.openxmlformats.org/officeDocument/2006/relationships/hyperlink" Target="https://www.semrush.com/" TargetMode="External"/><Relationship Id="rId1834" Type="http://schemas.openxmlformats.org/officeDocument/2006/relationships/hyperlink" Target="https://adstransparency.google.com/advertiser/AR11070511645502472193/creative/CR14257887294831722497?region=anywhere" TargetMode="External"/><Relationship Id="rId1835" Type="http://schemas.openxmlformats.org/officeDocument/2006/relationships/hyperlink" Target="https://www.semrush.com/" TargetMode="External"/><Relationship Id="rId1836" Type="http://schemas.openxmlformats.org/officeDocument/2006/relationships/hyperlink" Target="https://adstransparency.google.com/advertiser/AR11070511645502472193/creative/CR10853731675272118273?region=anywhere" TargetMode="External"/><Relationship Id="rId1837" Type="http://schemas.openxmlformats.org/officeDocument/2006/relationships/hyperlink" Target="https://www.semrush.com/" TargetMode="External"/><Relationship Id="rId1838" Type="http://schemas.openxmlformats.org/officeDocument/2006/relationships/hyperlink" Target="https://adstransparency.google.com/advertiser/AR11070511645502472193/creative/CR05904275684791943169?region=anywhere" TargetMode="External"/><Relationship Id="rId1839" Type="http://schemas.openxmlformats.org/officeDocument/2006/relationships/hyperlink" Target="https://www.semrush.com/features/" TargetMode="External"/><Relationship Id="rId1820" Type="http://schemas.openxmlformats.org/officeDocument/2006/relationships/hyperlink" Target="https://adstransparency.google.com/advertiser/AR11070511645502472193/creative/CR04940425753020858369?region=anywhere" TargetMode="External"/><Relationship Id="rId1821" Type="http://schemas.openxmlformats.org/officeDocument/2006/relationships/hyperlink" Target="https://www.semrush.com/" TargetMode="External"/><Relationship Id="rId1822" Type="http://schemas.openxmlformats.org/officeDocument/2006/relationships/hyperlink" Target="https://adstransparency.google.com/advertiser/AR11070511645502472193/creative/CR17631200170123198465?region=anywhere" TargetMode="External"/><Relationship Id="rId1823" Type="http://schemas.openxmlformats.org/officeDocument/2006/relationships/hyperlink" Target="https://www.semrush.com/analytics/backlinks/overview/" TargetMode="External"/><Relationship Id="rId1824" Type="http://schemas.openxmlformats.org/officeDocument/2006/relationships/hyperlink" Target="https://adstransparency.google.com/advertiser/AR11070511645502472193/creative/CR16274488858232487937?region=anywhere" TargetMode="External"/><Relationship Id="rId1825" Type="http://schemas.openxmlformats.org/officeDocument/2006/relationships/hyperlink" Target="https://www.semrush.com/features/" TargetMode="External"/><Relationship Id="rId1826" Type="http://schemas.openxmlformats.org/officeDocument/2006/relationships/hyperlink" Target="https://adstransparency.google.com/advertiser/AR11070511645502472193/creative/CR08296851641538183169?region=anywhere" TargetMode="External"/><Relationship Id="rId1827" Type="http://schemas.openxmlformats.org/officeDocument/2006/relationships/hyperlink" Target="https://www.semrush.com/agencies/" TargetMode="External"/><Relationship Id="rId1828" Type="http://schemas.openxmlformats.org/officeDocument/2006/relationships/hyperlink" Target="https://adstransparency.google.com/advertiser/AR11070511645502472193/creative/CR16615073580052381697?region=anywhere" TargetMode="External"/><Relationship Id="rId1829" Type="http://schemas.openxmlformats.org/officeDocument/2006/relationships/hyperlink" Target="https://www.semrush.com/pricing/" TargetMode="External"/><Relationship Id="rId1455" Type="http://schemas.openxmlformats.org/officeDocument/2006/relationships/hyperlink" Target="https://www.semrush.com/" TargetMode="External"/><Relationship Id="rId2302" Type="http://schemas.openxmlformats.org/officeDocument/2006/relationships/hyperlink" Target="https://otterly.ai/" TargetMode="External"/><Relationship Id="rId1456" Type="http://schemas.openxmlformats.org/officeDocument/2006/relationships/hyperlink" Target="https://adstransparency.google.com/advertiser/AR11070511645502472193/creative/CR10678286762356244481?region=anywhere" TargetMode="External"/><Relationship Id="rId2303" Type="http://schemas.openxmlformats.org/officeDocument/2006/relationships/hyperlink" Target="https://adstransparency.google.com/advertiser/AR13288297259528617985/creative/CR17207978963268272129?region=anywhere" TargetMode="External"/><Relationship Id="rId1457" Type="http://schemas.openxmlformats.org/officeDocument/2006/relationships/hyperlink" Target="https://www.semrush.com/" TargetMode="External"/><Relationship Id="rId2304" Type="http://schemas.openxmlformats.org/officeDocument/2006/relationships/hyperlink" Target="https://otterly.ai/" TargetMode="External"/><Relationship Id="rId1458" Type="http://schemas.openxmlformats.org/officeDocument/2006/relationships/hyperlink" Target="https://adstransparency.google.com/advertiser/AR11070511645502472193/creative/CR07552498349891387393?region=anywhere" TargetMode="External"/><Relationship Id="rId2305" Type="http://schemas.openxmlformats.org/officeDocument/2006/relationships/hyperlink" Target="https://adstransparency.google.com/advertiser/AR13288297259528617985/creative/CR12415117617839210497?region=anywhere" TargetMode="External"/><Relationship Id="rId1459" Type="http://schemas.openxmlformats.org/officeDocument/2006/relationships/hyperlink" Target="https://www.semrush.com/analytics/backlinks/overview/" TargetMode="External"/><Relationship Id="rId2306" Type="http://schemas.openxmlformats.org/officeDocument/2006/relationships/hyperlink" Target="https://otterly.ai/" TargetMode="External"/><Relationship Id="rId2307" Type="http://schemas.openxmlformats.org/officeDocument/2006/relationships/hyperlink" Target="https://adstransparency.google.com/advertiser/AR13288297259528617985/creative/CR17589437754972831745?region=anywhere" TargetMode="External"/><Relationship Id="rId2308" Type="http://schemas.openxmlformats.org/officeDocument/2006/relationships/hyperlink" Target="https://otterly.ai/" TargetMode="External"/><Relationship Id="rId2309" Type="http://schemas.openxmlformats.org/officeDocument/2006/relationships/hyperlink" Target="https://adstransparency.google.com/advertiser/AR13288297259528617985/creative/CR15397169898861887489?region=anywhere" TargetMode="External"/><Relationship Id="rId629" Type="http://schemas.openxmlformats.org/officeDocument/2006/relationships/hyperlink" Target="https://peec.ai/black-friday" TargetMode="External"/><Relationship Id="rId624" Type="http://schemas.openxmlformats.org/officeDocument/2006/relationships/hyperlink" Target="https://adstransparency.google.com/advertiser/AR05016556376214732801/creative/CR04783556049674174465?region=anywhere" TargetMode="External"/><Relationship Id="rId623" Type="http://schemas.openxmlformats.org/officeDocument/2006/relationships/hyperlink" Target="https://peec.ai/demo" TargetMode="External"/><Relationship Id="rId622" Type="http://schemas.openxmlformats.org/officeDocument/2006/relationships/hyperlink" Target="https://adstransparency.google.com/advertiser/AR05016556376214732801/creative/CR01140574135055810561?region=anywhere" TargetMode="External"/><Relationship Id="rId621" Type="http://schemas.openxmlformats.org/officeDocument/2006/relationships/hyperlink" Target="https://peec.ai/for-agencies" TargetMode="External"/><Relationship Id="rId628" Type="http://schemas.openxmlformats.org/officeDocument/2006/relationships/hyperlink" Target="https://adstransparency.google.com/advertiser/AR05016556376214732801/creative/CR05573575220318437377?region=anywhere" TargetMode="External"/><Relationship Id="rId627" Type="http://schemas.openxmlformats.org/officeDocument/2006/relationships/hyperlink" Target="https://peec.ai/" TargetMode="External"/><Relationship Id="rId626" Type="http://schemas.openxmlformats.org/officeDocument/2006/relationships/hyperlink" Target="https://adstransparency.google.com/advertiser/AR05016556376214732801/creative/CR01245615978415390721?region=anywhere" TargetMode="External"/><Relationship Id="rId625" Type="http://schemas.openxmlformats.org/officeDocument/2006/relationships/hyperlink" Target="https://peec.ai/" TargetMode="External"/><Relationship Id="rId1450" Type="http://schemas.openxmlformats.org/officeDocument/2006/relationships/hyperlink" Target="https://adstransparency.google.com/advertiser/AR11070511645502472193/creative/CR01852378833093656577?region=anywhere" TargetMode="External"/><Relationship Id="rId620" Type="http://schemas.openxmlformats.org/officeDocument/2006/relationships/hyperlink" Target="https://adstransparency.google.com/advertiser/AR05016556376214732801/creative/CR17970234846835900417?region=anywhere" TargetMode="External"/><Relationship Id="rId1451" Type="http://schemas.openxmlformats.org/officeDocument/2006/relationships/hyperlink" Target="https://www.semrush.com/" TargetMode="External"/><Relationship Id="rId1452" Type="http://schemas.openxmlformats.org/officeDocument/2006/relationships/hyperlink" Target="https://adstransparency.google.com/advertiser/AR11070511645502472193/creative/CR11657819681309327361?region=anywhere" TargetMode="External"/><Relationship Id="rId1453" Type="http://schemas.openxmlformats.org/officeDocument/2006/relationships/hyperlink" Target="https://www.semrush.com/analytics/keywordoverview/" TargetMode="External"/><Relationship Id="rId2300" Type="http://schemas.openxmlformats.org/officeDocument/2006/relationships/hyperlink" Target="https://otterly.ai/" TargetMode="External"/><Relationship Id="rId1454" Type="http://schemas.openxmlformats.org/officeDocument/2006/relationships/hyperlink" Target="https://adstransparency.google.com/advertiser/AR11070511645502472193/creative/CR14677397606993231873?region=anywhere" TargetMode="External"/><Relationship Id="rId2301" Type="http://schemas.openxmlformats.org/officeDocument/2006/relationships/hyperlink" Target="https://adstransparency.google.com/advertiser/AR13288297259528617985/creative/CR11724449218369159169?region=anywhere" TargetMode="External"/><Relationship Id="rId1444" Type="http://schemas.openxmlformats.org/officeDocument/2006/relationships/hyperlink" Target="https://adstransparency.google.com/advertiser/AR11070511645502472193/creative/CR03122372487535394817?region=anywhere" TargetMode="External"/><Relationship Id="rId1445" Type="http://schemas.openxmlformats.org/officeDocument/2006/relationships/hyperlink" Target="https://www.semrush.com/" TargetMode="External"/><Relationship Id="rId1446" Type="http://schemas.openxmlformats.org/officeDocument/2006/relationships/hyperlink" Target="https://adstransparency.google.com/advertiser/AR11070511645502472193/creative/CR12192622137059573761?region=anywhere" TargetMode="External"/><Relationship Id="rId1447" Type="http://schemas.openxmlformats.org/officeDocument/2006/relationships/hyperlink" Target="https://www.semrush.com/features/" TargetMode="External"/><Relationship Id="rId1448" Type="http://schemas.openxmlformats.org/officeDocument/2006/relationships/hyperlink" Target="https://adstransparency.google.com/advertiser/AR11070511645502472193/creative/CR11540640466529681409?region=anywhere" TargetMode="External"/><Relationship Id="rId1449" Type="http://schemas.openxmlformats.org/officeDocument/2006/relationships/hyperlink" Target="https://www.semrush.com/kb/demo/" TargetMode="External"/><Relationship Id="rId619" Type="http://schemas.openxmlformats.org/officeDocument/2006/relationships/hyperlink" Target="https://peec.ai/pricing" TargetMode="External"/><Relationship Id="rId618" Type="http://schemas.openxmlformats.org/officeDocument/2006/relationships/hyperlink" Target="https://adstransparency.google.com/advertiser/AR05016556376214732801/creative/CR15615681273488474113?region=anywhere" TargetMode="External"/><Relationship Id="rId613" Type="http://schemas.openxmlformats.org/officeDocument/2006/relationships/hyperlink" Target="https://peec.ai/" TargetMode="External"/><Relationship Id="rId612" Type="http://schemas.openxmlformats.org/officeDocument/2006/relationships/hyperlink" Target="https://adstransparency.google.com/advertiser/AR05016556376214732801/creative/CR10838512982644752385?region=anywhere" TargetMode="External"/><Relationship Id="rId611" Type="http://schemas.openxmlformats.org/officeDocument/2006/relationships/hyperlink" Target="https://peec.ai/for-agencies" TargetMode="External"/><Relationship Id="rId610" Type="http://schemas.openxmlformats.org/officeDocument/2006/relationships/hyperlink" Target="https://adstransparency.google.com/advertiser/AR05016556376214732801/creative/CR07103511565508280321?region=anywhere" TargetMode="External"/><Relationship Id="rId617" Type="http://schemas.openxmlformats.org/officeDocument/2006/relationships/hyperlink" Target="https://peec.ai/visibility/platform" TargetMode="External"/><Relationship Id="rId616" Type="http://schemas.openxmlformats.org/officeDocument/2006/relationships/hyperlink" Target="https://adstransparency.google.com/advertiser/AR05016556376214732801/creative/CR01452026196786151425?region=anywhere" TargetMode="External"/><Relationship Id="rId615" Type="http://schemas.openxmlformats.org/officeDocument/2006/relationships/hyperlink" Target="https://peec.ai/" TargetMode="External"/><Relationship Id="rId614" Type="http://schemas.openxmlformats.org/officeDocument/2006/relationships/hyperlink" Target="https://adstransparency.google.com/advertiser/AR05016556376214732801/creative/CR05188027344870178817?region=anywhere" TargetMode="External"/><Relationship Id="rId1440" Type="http://schemas.openxmlformats.org/officeDocument/2006/relationships/hyperlink" Target="https://adstransparency.google.com/advertiser/AR11070511645502472193/creative/CR07587471375229517825?region=anywhere" TargetMode="External"/><Relationship Id="rId1441" Type="http://schemas.openxmlformats.org/officeDocument/2006/relationships/hyperlink" Target="https://www.semrush.com/" TargetMode="External"/><Relationship Id="rId1442" Type="http://schemas.openxmlformats.org/officeDocument/2006/relationships/hyperlink" Target="https://adstransparency.google.com/advertiser/AR11070511645502472193/creative/CR06083629980019851265?region=anywhere" TargetMode="External"/><Relationship Id="rId1443" Type="http://schemas.openxmlformats.org/officeDocument/2006/relationships/hyperlink" Target="https://www.semrush.com/" TargetMode="External"/><Relationship Id="rId1477" Type="http://schemas.openxmlformats.org/officeDocument/2006/relationships/hyperlink" Target="https://www.semrush.com/kb/demo/" TargetMode="External"/><Relationship Id="rId2324" Type="http://schemas.openxmlformats.org/officeDocument/2006/relationships/hyperlink" Target="https://otterly.ai/" TargetMode="External"/><Relationship Id="rId1478" Type="http://schemas.openxmlformats.org/officeDocument/2006/relationships/hyperlink" Target="https://adstransparency.google.com/advertiser/AR11070511645502472193/creative/CR01872272365694484481?region=anywhere" TargetMode="External"/><Relationship Id="rId2325" Type="http://schemas.openxmlformats.org/officeDocument/2006/relationships/hyperlink" Target="https://adstransparency.google.com/advertiser/AR06026558866907463681/creative/CR10651535945100165121?region=anywhere" TargetMode="External"/><Relationship Id="rId1479" Type="http://schemas.openxmlformats.org/officeDocument/2006/relationships/hyperlink" Target="https://www.semrush.com/" TargetMode="External"/><Relationship Id="rId2326" Type="http://schemas.openxmlformats.org/officeDocument/2006/relationships/hyperlink" Target="https://otterly.ai/" TargetMode="External"/><Relationship Id="rId2327" Type="http://schemas.openxmlformats.org/officeDocument/2006/relationships/hyperlink" Target="https://adstransparency.google.com/advertiser/AR13852934980478435329/creative/CR02992695562169483265?region=anywhere" TargetMode="External"/><Relationship Id="rId2328" Type="http://schemas.openxmlformats.org/officeDocument/2006/relationships/hyperlink" Target="https://otterly.ai/" TargetMode="External"/><Relationship Id="rId2329" Type="http://schemas.openxmlformats.org/officeDocument/2006/relationships/hyperlink" Target="https://adstransparency.google.com/advertiser/AR12720725560519557121/creative/CR08825465358652538881?region=anywhere" TargetMode="External"/><Relationship Id="rId646" Type="http://schemas.openxmlformats.org/officeDocument/2006/relationships/hyperlink" Target="https://adstransparency.google.com/advertiser/AR05016556376214732801/creative/CR03832011748961943553?region=anywhere" TargetMode="External"/><Relationship Id="rId645" Type="http://schemas.openxmlformats.org/officeDocument/2006/relationships/hyperlink" Target="https://peec.ai/for-agencies" TargetMode="External"/><Relationship Id="rId644" Type="http://schemas.openxmlformats.org/officeDocument/2006/relationships/hyperlink" Target="https://adstransparency.google.com/advertiser/AR05016556376214732801/creative/CR16729574513355784193?region=anywhere" TargetMode="External"/><Relationship Id="rId643" Type="http://schemas.openxmlformats.org/officeDocument/2006/relationships/hyperlink" Target="https://peec.ai/pricing" TargetMode="External"/><Relationship Id="rId649" Type="http://schemas.openxmlformats.org/officeDocument/2006/relationships/hyperlink" Target="https://peec.ai/" TargetMode="External"/><Relationship Id="rId648" Type="http://schemas.openxmlformats.org/officeDocument/2006/relationships/hyperlink" Target="https://adstransparency.google.com/advertiser/AR05016556376214732801/creative/CR10033190121970335745?region=anywhere" TargetMode="External"/><Relationship Id="rId647" Type="http://schemas.openxmlformats.org/officeDocument/2006/relationships/hyperlink" Target="https://peec.ai/demo" TargetMode="External"/><Relationship Id="rId1470" Type="http://schemas.openxmlformats.org/officeDocument/2006/relationships/hyperlink" Target="https://adstransparency.google.com/advertiser/AR11070511645502472193/creative/CR01415444594526519297?region=anywhere" TargetMode="External"/><Relationship Id="rId1471" Type="http://schemas.openxmlformats.org/officeDocument/2006/relationships/hyperlink" Target="https://www.semrush.com/" TargetMode="External"/><Relationship Id="rId1472" Type="http://schemas.openxmlformats.org/officeDocument/2006/relationships/hyperlink" Target="https://adstransparency.google.com/advertiser/AR11070511645502472193/creative/CR13925669959578419201?region=anywhere" TargetMode="External"/><Relationship Id="rId642" Type="http://schemas.openxmlformats.org/officeDocument/2006/relationships/hyperlink" Target="https://adstransparency.google.com/advertiser/AR05016556376214732801/creative/CR01686138610618728449?region=anywhere" TargetMode="External"/><Relationship Id="rId1473" Type="http://schemas.openxmlformats.org/officeDocument/2006/relationships/hyperlink" Target="https://www.semrush.com/" TargetMode="External"/><Relationship Id="rId2320" Type="http://schemas.openxmlformats.org/officeDocument/2006/relationships/hyperlink" Target="https://otterly.ai/" TargetMode="External"/><Relationship Id="rId641" Type="http://schemas.openxmlformats.org/officeDocument/2006/relationships/hyperlink" Target="https://peec.ai/visibility/platform" TargetMode="External"/><Relationship Id="rId1474" Type="http://schemas.openxmlformats.org/officeDocument/2006/relationships/hyperlink" Target="https://adstransparency.google.com/advertiser/AR11070511645502472193/creative/CR12264927877127995393?region=anywhere" TargetMode="External"/><Relationship Id="rId2321" Type="http://schemas.openxmlformats.org/officeDocument/2006/relationships/hyperlink" Target="https://adstransparency.google.com/advertiser/AR13288297259528617985/creative/CR06019398254481899521?region=anywhere" TargetMode="External"/><Relationship Id="rId640" Type="http://schemas.openxmlformats.org/officeDocument/2006/relationships/hyperlink" Target="https://adstransparency.google.com/advertiser/AR05016556376214732801/creative/CR18191343061768863745?region=anywhere" TargetMode="External"/><Relationship Id="rId1475" Type="http://schemas.openxmlformats.org/officeDocument/2006/relationships/hyperlink" Target="https://www.semrush.com/features/" TargetMode="External"/><Relationship Id="rId2322" Type="http://schemas.openxmlformats.org/officeDocument/2006/relationships/hyperlink" Target="https://otterly.ai/" TargetMode="External"/><Relationship Id="rId1476" Type="http://schemas.openxmlformats.org/officeDocument/2006/relationships/hyperlink" Target="https://adstransparency.google.com/advertiser/AR11070511645502472193/creative/CR15195219686200442881?region=anywhere" TargetMode="External"/><Relationship Id="rId2323" Type="http://schemas.openxmlformats.org/officeDocument/2006/relationships/hyperlink" Target="https://adstransparency.google.com/advertiser/AR12720725560519557121/creative/CR12216991326230544385?region=anywhere" TargetMode="External"/><Relationship Id="rId1466" Type="http://schemas.openxmlformats.org/officeDocument/2006/relationships/hyperlink" Target="https://adstransparency.google.com/advertiser/AR11070511645502472193/creative/CR02241529533268230145?region=anywhere" TargetMode="External"/><Relationship Id="rId2313" Type="http://schemas.openxmlformats.org/officeDocument/2006/relationships/hyperlink" Target="https://adstransparency.google.com/advertiser/AR13288297259528617985/creative/CR03772874997098348545?region=anywhere" TargetMode="External"/><Relationship Id="rId1467" Type="http://schemas.openxmlformats.org/officeDocument/2006/relationships/hyperlink" Target="https://www.semrush.com/" TargetMode="External"/><Relationship Id="rId2314" Type="http://schemas.openxmlformats.org/officeDocument/2006/relationships/hyperlink" Target="https://otterly.ai/" TargetMode="External"/><Relationship Id="rId1468" Type="http://schemas.openxmlformats.org/officeDocument/2006/relationships/hyperlink" Target="https://adstransparency.google.com/advertiser/AR11070511645502472193/creative/CR12249957407840534529?region=anywhere" TargetMode="External"/><Relationship Id="rId2315" Type="http://schemas.openxmlformats.org/officeDocument/2006/relationships/hyperlink" Target="https://adstransparency.google.com/advertiser/AR13288297259528617985/creative/CR14275034032638001153?region=anywhere" TargetMode="External"/><Relationship Id="rId1469" Type="http://schemas.openxmlformats.org/officeDocument/2006/relationships/hyperlink" Target="https://www.semrush.com/" TargetMode="External"/><Relationship Id="rId2316" Type="http://schemas.openxmlformats.org/officeDocument/2006/relationships/hyperlink" Target="https://otterly.ai/" TargetMode="External"/><Relationship Id="rId2317" Type="http://schemas.openxmlformats.org/officeDocument/2006/relationships/hyperlink" Target="https://adstransparency.google.com/advertiser/AR13288297259528617985/creative/CR16277523295576784897?region=anywhere" TargetMode="External"/><Relationship Id="rId2318" Type="http://schemas.openxmlformats.org/officeDocument/2006/relationships/hyperlink" Target="https://otterly.ai/" TargetMode="External"/><Relationship Id="rId2319" Type="http://schemas.openxmlformats.org/officeDocument/2006/relationships/hyperlink" Target="https://adstransparency.google.com/advertiser/AR13288297259528617985/creative/CR09687367945231007745?region=anywhere" TargetMode="External"/><Relationship Id="rId635" Type="http://schemas.openxmlformats.org/officeDocument/2006/relationships/hyperlink" Target="https://peec.ai/for-agencies" TargetMode="External"/><Relationship Id="rId634" Type="http://schemas.openxmlformats.org/officeDocument/2006/relationships/hyperlink" Target="https://adstransparency.google.com/advertiser/AR05016556376214732801/creative/CR11450008573455630337?region=anywhere" TargetMode="External"/><Relationship Id="rId633" Type="http://schemas.openxmlformats.org/officeDocument/2006/relationships/hyperlink" Target="https://peec.ai/visibility/platform" TargetMode="External"/><Relationship Id="rId632" Type="http://schemas.openxmlformats.org/officeDocument/2006/relationships/hyperlink" Target="https://adstransparency.google.com/advertiser/AR05016556376214732801/creative/CR16728894740291911681?region=anywhere" TargetMode="External"/><Relationship Id="rId639" Type="http://schemas.openxmlformats.org/officeDocument/2006/relationships/hyperlink" Target="https://peec.ai/" TargetMode="External"/><Relationship Id="rId638" Type="http://schemas.openxmlformats.org/officeDocument/2006/relationships/hyperlink" Target="https://adstransparency.google.com/advertiser/AR05016556376214732801/creative/CR02973953974157180929?region=anywhere" TargetMode="External"/><Relationship Id="rId637" Type="http://schemas.openxmlformats.org/officeDocument/2006/relationships/hyperlink" Target="https://peec.ai/" TargetMode="External"/><Relationship Id="rId636" Type="http://schemas.openxmlformats.org/officeDocument/2006/relationships/hyperlink" Target="https://adstransparency.google.com/advertiser/AR05016556376214732801/creative/CR00855878139031584769?region=anywhere" TargetMode="External"/><Relationship Id="rId1460" Type="http://schemas.openxmlformats.org/officeDocument/2006/relationships/hyperlink" Target="https://adstransparency.google.com/advertiser/AR11070511645502472193/creative/CR11407298155943821313?region=anywhere" TargetMode="External"/><Relationship Id="rId1461" Type="http://schemas.openxmlformats.org/officeDocument/2006/relationships/hyperlink" Target="https://www.semrush.com/features/" TargetMode="External"/><Relationship Id="rId631" Type="http://schemas.openxmlformats.org/officeDocument/2006/relationships/hyperlink" Target="https://peec.ai/" TargetMode="External"/><Relationship Id="rId1462" Type="http://schemas.openxmlformats.org/officeDocument/2006/relationships/hyperlink" Target="https://adstransparency.google.com/advertiser/AR11070511645502472193/creative/CR12056275479670292481?region=anywhere" TargetMode="External"/><Relationship Id="rId630" Type="http://schemas.openxmlformats.org/officeDocument/2006/relationships/hyperlink" Target="https://adstransparency.google.com/advertiser/AR05016556376214732801/creative/CR12892717362679119873?region=anywhere" TargetMode="External"/><Relationship Id="rId1463" Type="http://schemas.openxmlformats.org/officeDocument/2006/relationships/hyperlink" Target="https://www.semrush.com/agencies/" TargetMode="External"/><Relationship Id="rId2310" Type="http://schemas.openxmlformats.org/officeDocument/2006/relationships/hyperlink" Target="https://otterly.ai/" TargetMode="External"/><Relationship Id="rId1464" Type="http://schemas.openxmlformats.org/officeDocument/2006/relationships/hyperlink" Target="https://adstransparency.google.com/advertiser/AR11070511645502472193/creative/CR09034936479956074497?region=anywhere" TargetMode="External"/><Relationship Id="rId2311" Type="http://schemas.openxmlformats.org/officeDocument/2006/relationships/hyperlink" Target="https://adstransparency.google.com/advertiser/AR13288297259528617985/creative/CR15799337442319794177?region=anywhere" TargetMode="External"/><Relationship Id="rId1465" Type="http://schemas.openxmlformats.org/officeDocument/2006/relationships/hyperlink" Target="https://www.semrush.com/pricing/" TargetMode="External"/><Relationship Id="rId2312" Type="http://schemas.openxmlformats.org/officeDocument/2006/relationships/hyperlink" Target="https://otterly.ai/" TargetMode="External"/><Relationship Id="rId1411" Type="http://schemas.openxmlformats.org/officeDocument/2006/relationships/hyperlink" Target="https://www.semrush.com/" TargetMode="External"/><Relationship Id="rId1895" Type="http://schemas.openxmlformats.org/officeDocument/2006/relationships/hyperlink" Target="https://www.semrush.com/features/" TargetMode="External"/><Relationship Id="rId1412" Type="http://schemas.openxmlformats.org/officeDocument/2006/relationships/hyperlink" Target="https://adstransparency.google.com/advertiser/AR11070511645502472193/creative/CR15044625797656608769?region=anywhere" TargetMode="External"/><Relationship Id="rId1896" Type="http://schemas.openxmlformats.org/officeDocument/2006/relationships/hyperlink" Target="https://adstransparency.google.com/advertiser/AR11070511645502472193/creative/CR13343771400721137665?region=anywhere" TargetMode="External"/><Relationship Id="rId1413" Type="http://schemas.openxmlformats.org/officeDocument/2006/relationships/hyperlink" Target="https://www.semrush.com/" TargetMode="External"/><Relationship Id="rId1897" Type="http://schemas.openxmlformats.org/officeDocument/2006/relationships/hyperlink" Target="https://www.semrush.com/kb/demo/" TargetMode="External"/><Relationship Id="rId1414" Type="http://schemas.openxmlformats.org/officeDocument/2006/relationships/hyperlink" Target="https://adstransparency.google.com/advertiser/AR11070511645502472193/creative/CR05106927203996663809?region=anywhere" TargetMode="External"/><Relationship Id="rId1898" Type="http://schemas.openxmlformats.org/officeDocument/2006/relationships/hyperlink" Target="https://adstransparency.google.com/advertiser/AR11070511645502472193/creative/CR13996012762153615361?region=anywhere" TargetMode="External"/><Relationship Id="rId1415" Type="http://schemas.openxmlformats.org/officeDocument/2006/relationships/hyperlink" Target="https://www.semrush.com/" TargetMode="External"/><Relationship Id="rId1899" Type="http://schemas.openxmlformats.org/officeDocument/2006/relationships/hyperlink" Target="https://www.semrush.com/" TargetMode="External"/><Relationship Id="rId1416" Type="http://schemas.openxmlformats.org/officeDocument/2006/relationships/hyperlink" Target="https://adstransparency.google.com/advertiser/AR11070511645502472193/creative/CR01523172407353802753?region=anywhere" TargetMode="External"/><Relationship Id="rId1417" Type="http://schemas.openxmlformats.org/officeDocument/2006/relationships/hyperlink" Target="https://www.semrush.com/" TargetMode="External"/><Relationship Id="rId1418" Type="http://schemas.openxmlformats.org/officeDocument/2006/relationships/hyperlink" Target="https://adstransparency.google.com/advertiser/AR11070511645502472193/creative/CR09825406587806679041?region=anywhere" TargetMode="External"/><Relationship Id="rId1419" Type="http://schemas.openxmlformats.org/officeDocument/2006/relationships/hyperlink" Target="https://www.semrush.com/features/" TargetMode="External"/><Relationship Id="rId1890" Type="http://schemas.openxmlformats.org/officeDocument/2006/relationships/hyperlink" Target="https://adstransparency.google.com/advertiser/AR11070511645502472193/creative/CR16737864221143859201?region=anywhere" TargetMode="External"/><Relationship Id="rId1891" Type="http://schemas.openxmlformats.org/officeDocument/2006/relationships/hyperlink" Target="https://www.semrush.com/" TargetMode="External"/><Relationship Id="rId1892" Type="http://schemas.openxmlformats.org/officeDocument/2006/relationships/hyperlink" Target="https://adstransparency.google.com/advertiser/AR11070511645502472193/creative/CR01317989415758331905?region=anywhere" TargetMode="External"/><Relationship Id="rId1893" Type="http://schemas.openxmlformats.org/officeDocument/2006/relationships/hyperlink" Target="https://www.semrush.com/" TargetMode="External"/><Relationship Id="rId1410" Type="http://schemas.openxmlformats.org/officeDocument/2006/relationships/hyperlink" Target="https://adstransparency.google.com/advertiser/AR11070511645502472193/creative/CR04740053090437169153?region=anywhere" TargetMode="External"/><Relationship Id="rId1894" Type="http://schemas.openxmlformats.org/officeDocument/2006/relationships/hyperlink" Target="https://adstransparency.google.com/advertiser/AR11070511645502472193/creative/CR13475189909555773441?region=anywhere" TargetMode="External"/><Relationship Id="rId1400" Type="http://schemas.openxmlformats.org/officeDocument/2006/relationships/hyperlink" Target="https://adstransparency.google.com/advertiser/AR11070511645502472193/creative/CR07476823293878599681?region=anywhere" TargetMode="External"/><Relationship Id="rId1884" Type="http://schemas.openxmlformats.org/officeDocument/2006/relationships/hyperlink" Target="https://adstransparency.google.com/advertiser/AR11070511645502472193/creative/CR01425920191560155137?region=anywhere" TargetMode="External"/><Relationship Id="rId1401" Type="http://schemas.openxmlformats.org/officeDocument/2006/relationships/hyperlink" Target="https://www.semrush.com/" TargetMode="External"/><Relationship Id="rId1885" Type="http://schemas.openxmlformats.org/officeDocument/2006/relationships/hyperlink" Target="https://www.semrush.com/pricing/" TargetMode="External"/><Relationship Id="rId1402" Type="http://schemas.openxmlformats.org/officeDocument/2006/relationships/hyperlink" Target="https://adstransparency.google.com/advertiser/AR11070511645502472193/creative/CR07867510561552990209?region=anywhere" TargetMode="External"/><Relationship Id="rId1886" Type="http://schemas.openxmlformats.org/officeDocument/2006/relationships/hyperlink" Target="https://adstransparency.google.com/advertiser/AR11070511645502472193/creative/CR13723421186560360449?region=anywhere" TargetMode="External"/><Relationship Id="rId1403" Type="http://schemas.openxmlformats.org/officeDocument/2006/relationships/hyperlink" Target="https://www.semrush.com/analytics/backlinks/overview/" TargetMode="External"/><Relationship Id="rId1887" Type="http://schemas.openxmlformats.org/officeDocument/2006/relationships/hyperlink" Target="https://www.semrush.com/" TargetMode="External"/><Relationship Id="rId1404" Type="http://schemas.openxmlformats.org/officeDocument/2006/relationships/hyperlink" Target="https://adstransparency.google.com/advertiser/AR11070511645502472193/creative/CR01874178231662280705?region=anywhere" TargetMode="External"/><Relationship Id="rId1888" Type="http://schemas.openxmlformats.org/officeDocument/2006/relationships/hyperlink" Target="https://adstransparency.google.com/advertiser/AR11070511645502472193/creative/CR04697841361578098689?region=anywhere" TargetMode="External"/><Relationship Id="rId1405" Type="http://schemas.openxmlformats.org/officeDocument/2006/relationships/hyperlink" Target="https://www.semrush.com/features/" TargetMode="External"/><Relationship Id="rId1889" Type="http://schemas.openxmlformats.org/officeDocument/2006/relationships/hyperlink" Target="https://www.semrush.com/" TargetMode="External"/><Relationship Id="rId1406" Type="http://schemas.openxmlformats.org/officeDocument/2006/relationships/hyperlink" Target="https://adstransparency.google.com/advertiser/AR11070511645502472193/creative/CR09348088317943480321?region=anywhere" TargetMode="External"/><Relationship Id="rId1407" Type="http://schemas.openxmlformats.org/officeDocument/2006/relationships/hyperlink" Target="https://www.semrush.com/agencies/" TargetMode="External"/><Relationship Id="rId1408" Type="http://schemas.openxmlformats.org/officeDocument/2006/relationships/hyperlink" Target="https://adstransparency.google.com/advertiser/AR11070511645502472193/creative/CR08717831073033093121?region=anywhere" TargetMode="External"/><Relationship Id="rId1409" Type="http://schemas.openxmlformats.org/officeDocument/2006/relationships/hyperlink" Target="https://www.semrush.com/pricing/" TargetMode="External"/><Relationship Id="rId1880" Type="http://schemas.openxmlformats.org/officeDocument/2006/relationships/hyperlink" Target="https://adstransparency.google.com/advertiser/AR11070511645502472193/creative/CR11855760980086620161?region=anywhere" TargetMode="External"/><Relationship Id="rId1881" Type="http://schemas.openxmlformats.org/officeDocument/2006/relationships/hyperlink" Target="https://www.semrush.com/features/" TargetMode="External"/><Relationship Id="rId1882" Type="http://schemas.openxmlformats.org/officeDocument/2006/relationships/hyperlink" Target="https://adstransparency.google.com/advertiser/AR11070511645502472193/creative/CR18382262441204514817?region=anywhere" TargetMode="External"/><Relationship Id="rId1883" Type="http://schemas.openxmlformats.org/officeDocument/2006/relationships/hyperlink" Target="https://www.semrush.com/agencies/" TargetMode="External"/><Relationship Id="rId1433" Type="http://schemas.openxmlformats.org/officeDocument/2006/relationships/hyperlink" Target="https://www.semrush.com/features/" TargetMode="External"/><Relationship Id="rId1434" Type="http://schemas.openxmlformats.org/officeDocument/2006/relationships/hyperlink" Target="https://adstransparency.google.com/advertiser/AR11070511645502472193/creative/CR08246905913529597953?region=anywhere" TargetMode="External"/><Relationship Id="rId1435" Type="http://schemas.openxmlformats.org/officeDocument/2006/relationships/hyperlink" Target="https://www.semrush.com/agencies/" TargetMode="External"/><Relationship Id="rId1436" Type="http://schemas.openxmlformats.org/officeDocument/2006/relationships/hyperlink" Target="https://adstransparency.google.com/advertiser/AR11070511645502472193/creative/CR13404081640729214977?region=anywhere" TargetMode="External"/><Relationship Id="rId1437" Type="http://schemas.openxmlformats.org/officeDocument/2006/relationships/hyperlink" Target="https://www.semrush.com/pricing/" TargetMode="External"/><Relationship Id="rId1438" Type="http://schemas.openxmlformats.org/officeDocument/2006/relationships/hyperlink" Target="https://adstransparency.google.com/advertiser/AR11070511645502472193/creative/CR06550728907778162689?region=anywhere" TargetMode="External"/><Relationship Id="rId1439" Type="http://schemas.openxmlformats.org/officeDocument/2006/relationships/hyperlink" Target="https://www.semrush.com/" TargetMode="External"/><Relationship Id="rId609" Type="http://schemas.openxmlformats.org/officeDocument/2006/relationships/hyperlink" Target="https://peec.ai/visibility/platform" TargetMode="External"/><Relationship Id="rId608" Type="http://schemas.openxmlformats.org/officeDocument/2006/relationships/hyperlink" Target="https://adstransparency.google.com/advertiser/AR05016556376214732801/creative/CR15920686211350396929?region=anywhere" TargetMode="External"/><Relationship Id="rId607" Type="http://schemas.openxmlformats.org/officeDocument/2006/relationships/hyperlink" Target="https://peec.ai/" TargetMode="External"/><Relationship Id="rId602" Type="http://schemas.openxmlformats.org/officeDocument/2006/relationships/hyperlink" Target="https://adstransparency.google.com/advertiser/AR05016556376214732801/creative/CR08409708976756752385?region=anywhere" TargetMode="External"/><Relationship Id="rId601" Type="http://schemas.openxmlformats.org/officeDocument/2006/relationships/hyperlink" Target="https://peec.ai/" TargetMode="External"/><Relationship Id="rId600" Type="http://schemas.openxmlformats.org/officeDocument/2006/relationships/hyperlink" Target="https://adstransparency.google.com/advertiser/AR05016556376214732801/creative/CR05428805547946147841?region=anywhere" TargetMode="External"/><Relationship Id="rId606" Type="http://schemas.openxmlformats.org/officeDocument/2006/relationships/hyperlink" Target="https://adstransparency.google.com/advertiser/AR05016556376214732801/creative/CR17630686414725185537?region=anywhere" TargetMode="External"/><Relationship Id="rId605" Type="http://schemas.openxmlformats.org/officeDocument/2006/relationships/hyperlink" Target="https://peec.ai/black-friday" TargetMode="External"/><Relationship Id="rId604" Type="http://schemas.openxmlformats.org/officeDocument/2006/relationships/hyperlink" Target="https://adstransparency.google.com/advertiser/AR05016556376214732801/creative/CR02089256681878847489?region=anywhere" TargetMode="External"/><Relationship Id="rId603" Type="http://schemas.openxmlformats.org/officeDocument/2006/relationships/hyperlink" Target="https://peec.ai/" TargetMode="External"/><Relationship Id="rId1430" Type="http://schemas.openxmlformats.org/officeDocument/2006/relationships/hyperlink" Target="https://adstransparency.google.com/advertiser/AR11070511645502472193/creative/CR08292686966370074625?region=anywhere" TargetMode="External"/><Relationship Id="rId1431" Type="http://schemas.openxmlformats.org/officeDocument/2006/relationships/hyperlink" Target="https://www.semrush.com/analytics/backlinks/overview/" TargetMode="External"/><Relationship Id="rId1432" Type="http://schemas.openxmlformats.org/officeDocument/2006/relationships/hyperlink" Target="https://adstransparency.google.com/advertiser/AR11070511645502472193/creative/CR06561864417946894337?region=anywhere" TargetMode="External"/><Relationship Id="rId1422" Type="http://schemas.openxmlformats.org/officeDocument/2006/relationships/hyperlink" Target="https://adstransparency.google.com/advertiser/AR11070511645502472193/creative/CR00138574937962053633?region=anywhere" TargetMode="External"/><Relationship Id="rId1423" Type="http://schemas.openxmlformats.org/officeDocument/2006/relationships/hyperlink" Target="https://www.semrush.com/" TargetMode="External"/><Relationship Id="rId1424" Type="http://schemas.openxmlformats.org/officeDocument/2006/relationships/hyperlink" Target="https://adstransparency.google.com/advertiser/AR11070511645502472193/creative/CR12997972073207824385?region=anywhere" TargetMode="External"/><Relationship Id="rId1425" Type="http://schemas.openxmlformats.org/officeDocument/2006/relationships/hyperlink" Target="https://www.semrush.com/analytics/keywordoverview/" TargetMode="External"/><Relationship Id="rId1426" Type="http://schemas.openxmlformats.org/officeDocument/2006/relationships/hyperlink" Target="https://adstransparency.google.com/advertiser/AR11070511645502472193/creative/CR14047885040692494337?region=anywhere" TargetMode="External"/><Relationship Id="rId1427" Type="http://schemas.openxmlformats.org/officeDocument/2006/relationships/hyperlink" Target="https://www.semrush.com/" TargetMode="External"/><Relationship Id="rId1428" Type="http://schemas.openxmlformats.org/officeDocument/2006/relationships/hyperlink" Target="https://adstransparency.google.com/advertiser/AR11070511645502472193/creative/CR02214677019776516097?region=anywhere" TargetMode="External"/><Relationship Id="rId1429" Type="http://schemas.openxmlformats.org/officeDocument/2006/relationships/hyperlink" Target="https://www.semrush.com/" TargetMode="External"/><Relationship Id="rId1420" Type="http://schemas.openxmlformats.org/officeDocument/2006/relationships/hyperlink" Target="https://adstransparency.google.com/advertiser/AR11070511645502472193/creative/CR11636449023556059137?region=anywhere" TargetMode="External"/><Relationship Id="rId1421" Type="http://schemas.openxmlformats.org/officeDocument/2006/relationships/hyperlink" Target="https://www.semrush.com/kb/demo/" TargetMode="External"/><Relationship Id="rId1059" Type="http://schemas.openxmlformats.org/officeDocument/2006/relationships/hyperlink" Target="https://peec.ai/" TargetMode="External"/><Relationship Id="rId228" Type="http://schemas.openxmlformats.org/officeDocument/2006/relationships/hyperlink" Target="https://adstransparency.google.com/advertiser/AR01693402396748677121/creative/CR16144782898887655425?region=anywhere" TargetMode="External"/><Relationship Id="rId227" Type="http://schemas.openxmlformats.org/officeDocument/2006/relationships/hyperlink" Target="https://www.tryprofound.com/" TargetMode="External"/><Relationship Id="rId226" Type="http://schemas.openxmlformats.org/officeDocument/2006/relationships/hyperlink" Target="https://adstransparency.google.com/advertiser/AR01693402396748677121/creative/CR00504146499609821185?region=anywhere" TargetMode="External"/><Relationship Id="rId225" Type="http://schemas.openxmlformats.org/officeDocument/2006/relationships/hyperlink" Target="https://www.tryprofound.com/" TargetMode="External"/><Relationship Id="rId229" Type="http://schemas.openxmlformats.org/officeDocument/2006/relationships/hyperlink" Target="https://www.tryprofound.com/" TargetMode="External"/><Relationship Id="rId1050" Type="http://schemas.openxmlformats.org/officeDocument/2006/relationships/hyperlink" Target="https://adstransparency.google.com/advertiser/AR05016556376214732801/creative/CR03799716249185812481?region=anywhere" TargetMode="External"/><Relationship Id="rId220" Type="http://schemas.openxmlformats.org/officeDocument/2006/relationships/hyperlink" Target="https://adstransparency.google.com/advertiser/AR01693402396748677121/creative/CR18045208002113306625?region=anywhere" TargetMode="External"/><Relationship Id="rId1051" Type="http://schemas.openxmlformats.org/officeDocument/2006/relationships/hyperlink" Target="https://peec.ai/pricing" TargetMode="External"/><Relationship Id="rId1052" Type="http://schemas.openxmlformats.org/officeDocument/2006/relationships/hyperlink" Target="https://adstransparency.google.com/advertiser/AR05016556376214732801/creative/CR07288710529541996545?region=anywhere" TargetMode="External"/><Relationship Id="rId1053" Type="http://schemas.openxmlformats.org/officeDocument/2006/relationships/hyperlink" Target="https://peec.ai/for-agencies" TargetMode="External"/><Relationship Id="rId1054" Type="http://schemas.openxmlformats.org/officeDocument/2006/relationships/hyperlink" Target="https://adstransparency.google.com/advertiser/AR05016556376214732801/creative/CR13652901328253353985?region=anywhere" TargetMode="External"/><Relationship Id="rId224" Type="http://schemas.openxmlformats.org/officeDocument/2006/relationships/hyperlink" Target="https://adstransparency.google.com/advertiser/AR01693402396748677121/creative/CR00639076023949852673?region=anywhere" TargetMode="External"/><Relationship Id="rId1055" Type="http://schemas.openxmlformats.org/officeDocument/2006/relationships/hyperlink" Target="https://peec.ai/demo" TargetMode="External"/><Relationship Id="rId223" Type="http://schemas.openxmlformats.org/officeDocument/2006/relationships/hyperlink" Target="https://www.tryprofound.com/" TargetMode="External"/><Relationship Id="rId1056" Type="http://schemas.openxmlformats.org/officeDocument/2006/relationships/hyperlink" Target="https://adstransparency.google.com/advertiser/AR05016556376214732801/creative/CR07319587839706923009?region=anywhere" TargetMode="External"/><Relationship Id="rId222" Type="http://schemas.openxmlformats.org/officeDocument/2006/relationships/hyperlink" Target="https://adstransparency.google.com/advertiser/AR01693402396748677121/creative/CR01529700577255096321?region=anywhere" TargetMode="External"/><Relationship Id="rId1057" Type="http://schemas.openxmlformats.org/officeDocument/2006/relationships/hyperlink" Target="https://peec.ai/" TargetMode="External"/><Relationship Id="rId221" Type="http://schemas.openxmlformats.org/officeDocument/2006/relationships/hyperlink" Target="https://www.tryprofound.com/" TargetMode="External"/><Relationship Id="rId1058" Type="http://schemas.openxmlformats.org/officeDocument/2006/relationships/hyperlink" Target="https://adstransparency.google.com/advertiser/AR05016556376214732801/creative/CR03544807191389143041?region=anywhere" TargetMode="External"/><Relationship Id="rId1048" Type="http://schemas.openxmlformats.org/officeDocument/2006/relationships/hyperlink" Target="https://adstransparency.google.com/advertiser/AR05016556376214732801/creative/CR02898694576489365505?region=anywhere" TargetMode="External"/><Relationship Id="rId1049" Type="http://schemas.openxmlformats.org/officeDocument/2006/relationships/hyperlink" Target="https://peec.ai/visibility/platform" TargetMode="External"/><Relationship Id="rId217" Type="http://schemas.openxmlformats.org/officeDocument/2006/relationships/hyperlink" Target="https://www.tryprofound.com/" TargetMode="External"/><Relationship Id="rId216" Type="http://schemas.openxmlformats.org/officeDocument/2006/relationships/hyperlink" Target="https://adstransparency.google.com/advertiser/AR01693402396748677121/creative/CR14666114375719321601?region=anywhere" TargetMode="External"/><Relationship Id="rId215" Type="http://schemas.openxmlformats.org/officeDocument/2006/relationships/hyperlink" Target="https://www.tryprofound.com/" TargetMode="External"/><Relationship Id="rId699" Type="http://schemas.openxmlformats.org/officeDocument/2006/relationships/hyperlink" Target="https://peec.ai/" TargetMode="External"/><Relationship Id="rId214" Type="http://schemas.openxmlformats.org/officeDocument/2006/relationships/hyperlink" Target="https://adstransparency.google.com/advertiser/AR01693402396748677121/creative/CR18400655097483755521?region=anywhere" TargetMode="External"/><Relationship Id="rId698" Type="http://schemas.openxmlformats.org/officeDocument/2006/relationships/hyperlink" Target="https://adstransparency.google.com/advertiser/AR05016556376214732801/creative/CR07256421884533669889?region=anywhere" TargetMode="External"/><Relationship Id="rId219" Type="http://schemas.openxmlformats.org/officeDocument/2006/relationships/hyperlink" Target="https://www.tryprofound.com/" TargetMode="External"/><Relationship Id="rId218" Type="http://schemas.openxmlformats.org/officeDocument/2006/relationships/hyperlink" Target="https://adstransparency.google.com/advertiser/AR01693402396748677121/creative/CR04422433893756436481?region=anywhere" TargetMode="External"/><Relationship Id="rId693" Type="http://schemas.openxmlformats.org/officeDocument/2006/relationships/hyperlink" Target="https://peec.ai/for-agencies" TargetMode="External"/><Relationship Id="rId1040" Type="http://schemas.openxmlformats.org/officeDocument/2006/relationships/hyperlink" Target="https://adstransparency.google.com/advertiser/AR05016556376214732801/creative/CR01201383287054925825?region=anywhere" TargetMode="External"/><Relationship Id="rId692" Type="http://schemas.openxmlformats.org/officeDocument/2006/relationships/hyperlink" Target="https://adstransparency.google.com/advertiser/AR05016556376214732801/creative/CR16158149661746528257?region=anywhere" TargetMode="External"/><Relationship Id="rId1041" Type="http://schemas.openxmlformats.org/officeDocument/2006/relationships/hyperlink" Target="https://peec.ai/visibility/platform" TargetMode="External"/><Relationship Id="rId691" Type="http://schemas.openxmlformats.org/officeDocument/2006/relationships/hyperlink" Target="https://peec.ai/" TargetMode="External"/><Relationship Id="rId1042" Type="http://schemas.openxmlformats.org/officeDocument/2006/relationships/hyperlink" Target="https://adstransparency.google.com/advertiser/AR05016556376214732801/creative/CR03114711640268865537?region=anywhere" TargetMode="External"/><Relationship Id="rId690" Type="http://schemas.openxmlformats.org/officeDocument/2006/relationships/hyperlink" Target="https://adstransparency.google.com/advertiser/AR05016556376214732801/creative/CR08393350167880794113?region=anywhere" TargetMode="External"/><Relationship Id="rId1043" Type="http://schemas.openxmlformats.org/officeDocument/2006/relationships/hyperlink" Target="https://peec.ai/black-friday" TargetMode="External"/><Relationship Id="rId213" Type="http://schemas.openxmlformats.org/officeDocument/2006/relationships/hyperlink" Target="https://www.tryprofound.com/" TargetMode="External"/><Relationship Id="rId697" Type="http://schemas.openxmlformats.org/officeDocument/2006/relationships/hyperlink" Target="https://peec.ai/" TargetMode="External"/><Relationship Id="rId1044" Type="http://schemas.openxmlformats.org/officeDocument/2006/relationships/hyperlink" Target="https://adstransparency.google.com/advertiser/AR05016556376214732801/creative/CR16822822282031267841?region=anywhere" TargetMode="External"/><Relationship Id="rId212" Type="http://schemas.openxmlformats.org/officeDocument/2006/relationships/hyperlink" Target="https://adstransparency.google.com/advertiser/AR01693402396748677121/creative/CR04864716981514797057?region=anywhere" TargetMode="External"/><Relationship Id="rId696" Type="http://schemas.openxmlformats.org/officeDocument/2006/relationships/hyperlink" Target="https://adstransparency.google.com/advertiser/AR05016556376214732801/creative/CR10935706924322127873?region=anywhere" TargetMode="External"/><Relationship Id="rId1045" Type="http://schemas.openxmlformats.org/officeDocument/2006/relationships/hyperlink" Target="https://peec.ai/" TargetMode="External"/><Relationship Id="rId211" Type="http://schemas.openxmlformats.org/officeDocument/2006/relationships/hyperlink" Target="https://www.tryprofound.com/" TargetMode="External"/><Relationship Id="rId695" Type="http://schemas.openxmlformats.org/officeDocument/2006/relationships/hyperlink" Target="https://peec.ai/demo" TargetMode="External"/><Relationship Id="rId1046" Type="http://schemas.openxmlformats.org/officeDocument/2006/relationships/hyperlink" Target="https://adstransparency.google.com/advertiser/AR05016556376214732801/creative/CR01482174367533105153?region=anywhere" TargetMode="External"/><Relationship Id="rId210" Type="http://schemas.openxmlformats.org/officeDocument/2006/relationships/hyperlink" Target="https://adstransparency.google.com/advertiser/AR01693402396748677121/creative/CR17524162223532933121?region=anywhere" TargetMode="External"/><Relationship Id="rId694" Type="http://schemas.openxmlformats.org/officeDocument/2006/relationships/hyperlink" Target="https://adstransparency.google.com/advertiser/AR05016556376214732801/creative/CR10839020269822017537?region=anywhere" TargetMode="External"/><Relationship Id="rId1047" Type="http://schemas.openxmlformats.org/officeDocument/2006/relationships/hyperlink" Target="https://peec.ai/" TargetMode="External"/><Relationship Id="rId249" Type="http://schemas.openxmlformats.org/officeDocument/2006/relationships/hyperlink" Target="https://www.tryprofound.com/" TargetMode="External"/><Relationship Id="rId248" Type="http://schemas.openxmlformats.org/officeDocument/2006/relationships/hyperlink" Target="https://adstransparency.google.com/advertiser/AR01693402396748677121/creative/CR18131561351846297601?region=anywhere" TargetMode="External"/><Relationship Id="rId247" Type="http://schemas.openxmlformats.org/officeDocument/2006/relationships/hyperlink" Target="https://www.tryprofound.com/" TargetMode="External"/><Relationship Id="rId1070" Type="http://schemas.openxmlformats.org/officeDocument/2006/relationships/hyperlink" Target="https://adstransparency.google.com/advertiser/AR05016556376214732801/creative/CR12053172589137231873?region=anywhere" TargetMode="External"/><Relationship Id="rId1071" Type="http://schemas.openxmlformats.org/officeDocument/2006/relationships/hyperlink" Target="https://peec.ai/" TargetMode="External"/><Relationship Id="rId1072" Type="http://schemas.openxmlformats.org/officeDocument/2006/relationships/hyperlink" Target="https://adstransparency.google.com/advertiser/AR05016556376214732801/creative/CR05653859609463488513?region=anywhere" TargetMode="External"/><Relationship Id="rId242" Type="http://schemas.openxmlformats.org/officeDocument/2006/relationships/hyperlink" Target="https://adstransparency.google.com/advertiser/AR01693402396748677121/creative/CR07756697175500783617?region=anywhere" TargetMode="External"/><Relationship Id="rId1073" Type="http://schemas.openxmlformats.org/officeDocument/2006/relationships/hyperlink" Target="https://peec.ai/visibility/platform" TargetMode="External"/><Relationship Id="rId241" Type="http://schemas.openxmlformats.org/officeDocument/2006/relationships/hyperlink" Target="https://www.tryprofound.com/" TargetMode="External"/><Relationship Id="rId1074" Type="http://schemas.openxmlformats.org/officeDocument/2006/relationships/hyperlink" Target="https://adstransparency.google.com/advertiser/AR05016556376214732801/creative/CR11767973222945914881?region=anywhere" TargetMode="External"/><Relationship Id="rId240" Type="http://schemas.openxmlformats.org/officeDocument/2006/relationships/hyperlink" Target="https://adstransparency.google.com/advertiser/AR01693402396748677121/creative/CR13833214157102514177?region=anywhere" TargetMode="External"/><Relationship Id="rId1075" Type="http://schemas.openxmlformats.org/officeDocument/2006/relationships/hyperlink" Target="https://peec.ai/pricing" TargetMode="External"/><Relationship Id="rId1076" Type="http://schemas.openxmlformats.org/officeDocument/2006/relationships/hyperlink" Target="https://adstransparency.google.com/advertiser/AR05016556376214732801/creative/CR04126241584540811265?region=anywhere" TargetMode="External"/><Relationship Id="rId246" Type="http://schemas.openxmlformats.org/officeDocument/2006/relationships/hyperlink" Target="https://adstransparency.google.com/advertiser/AR01693402396748677121/creative/CR09110064047897706497?region=anywhere" TargetMode="External"/><Relationship Id="rId1077" Type="http://schemas.openxmlformats.org/officeDocument/2006/relationships/hyperlink" Target="https://peec.ai/for-agencies" TargetMode="External"/><Relationship Id="rId245" Type="http://schemas.openxmlformats.org/officeDocument/2006/relationships/hyperlink" Target="https://www.tryprofound.com/pricing" TargetMode="External"/><Relationship Id="rId1078" Type="http://schemas.openxmlformats.org/officeDocument/2006/relationships/hyperlink" Target="https://adstransparency.google.com/advertiser/AR05016556376214732801/creative/CR11349843038395432961?region=anywhere" TargetMode="External"/><Relationship Id="rId244" Type="http://schemas.openxmlformats.org/officeDocument/2006/relationships/hyperlink" Target="https://adstransparency.google.com/advertiser/AR01693402396748677121/creative/CR12675393228682297345?region=anywhere" TargetMode="External"/><Relationship Id="rId1079" Type="http://schemas.openxmlformats.org/officeDocument/2006/relationships/hyperlink" Target="https://peec.ai/demo" TargetMode="External"/><Relationship Id="rId243" Type="http://schemas.openxmlformats.org/officeDocument/2006/relationships/hyperlink" Target="https://www.tryprofound.com/" TargetMode="External"/><Relationship Id="rId239" Type="http://schemas.openxmlformats.org/officeDocument/2006/relationships/hyperlink" Target="https://www.tryprofound.com/" TargetMode="External"/><Relationship Id="rId238" Type="http://schemas.openxmlformats.org/officeDocument/2006/relationships/hyperlink" Target="https://adstransparency.google.com/advertiser/AR01693402396748677121/creative/CR01955830327372939265?region=anywhere" TargetMode="External"/><Relationship Id="rId237" Type="http://schemas.openxmlformats.org/officeDocument/2006/relationships/hyperlink" Target="https://www.tryprofound.com/" TargetMode="External"/><Relationship Id="rId236" Type="http://schemas.openxmlformats.org/officeDocument/2006/relationships/hyperlink" Target="https://adstransparency.google.com/advertiser/AR01693402396748677121/creative/CR12290870192560406529?region=anywhere" TargetMode="External"/><Relationship Id="rId1060" Type="http://schemas.openxmlformats.org/officeDocument/2006/relationships/hyperlink" Target="https://adstransparency.google.com/advertiser/AR05016556376214732801/creative/CR07197475940887166977?region=anywhere" TargetMode="External"/><Relationship Id="rId1061" Type="http://schemas.openxmlformats.org/officeDocument/2006/relationships/hyperlink" Target="https://peec.ai/black-friday" TargetMode="External"/><Relationship Id="rId231" Type="http://schemas.openxmlformats.org/officeDocument/2006/relationships/hyperlink" Target="https://www.tryprofound.com/" TargetMode="External"/><Relationship Id="rId1062" Type="http://schemas.openxmlformats.org/officeDocument/2006/relationships/hyperlink" Target="https://adstransparency.google.com/advertiser/AR05016556376214732801/creative/CR15106750575447900161?region=anywhere" TargetMode="External"/><Relationship Id="rId230" Type="http://schemas.openxmlformats.org/officeDocument/2006/relationships/hyperlink" Target="https://adstransparency.google.com/advertiser/AR01693402396748677121/creative/CR00037405230958116865?region=anywhere" TargetMode="External"/><Relationship Id="rId1063" Type="http://schemas.openxmlformats.org/officeDocument/2006/relationships/hyperlink" Target="https://peec.ai/" TargetMode="External"/><Relationship Id="rId1064" Type="http://schemas.openxmlformats.org/officeDocument/2006/relationships/hyperlink" Target="https://adstransparency.google.com/advertiser/AR05016556376214732801/creative/CR06459199100251275265?region=anywhere" TargetMode="External"/><Relationship Id="rId1065" Type="http://schemas.openxmlformats.org/officeDocument/2006/relationships/hyperlink" Target="https://peec.ai/visibility/platform" TargetMode="External"/><Relationship Id="rId235" Type="http://schemas.openxmlformats.org/officeDocument/2006/relationships/hyperlink" Target="https://www.tryprofound.com/" TargetMode="External"/><Relationship Id="rId1066" Type="http://schemas.openxmlformats.org/officeDocument/2006/relationships/hyperlink" Target="https://adstransparency.google.com/advertiser/AR05016556376214732801/creative/CR05642047556046290945?region=anywhere" TargetMode="External"/><Relationship Id="rId234" Type="http://schemas.openxmlformats.org/officeDocument/2006/relationships/hyperlink" Target="https://adstransparency.google.com/advertiser/AR01693402396748677121/creative/CR16340010328089690113?region=anywhere" TargetMode="External"/><Relationship Id="rId1067" Type="http://schemas.openxmlformats.org/officeDocument/2006/relationships/hyperlink" Target="https://peec.ai/for-agencies" TargetMode="External"/><Relationship Id="rId233" Type="http://schemas.openxmlformats.org/officeDocument/2006/relationships/hyperlink" Target="https://www.tryprofound.com/" TargetMode="External"/><Relationship Id="rId1068" Type="http://schemas.openxmlformats.org/officeDocument/2006/relationships/hyperlink" Target="https://adstransparency.google.com/advertiser/AR05016556376214732801/creative/CR06116940303258615809?region=anywhere" TargetMode="External"/><Relationship Id="rId232" Type="http://schemas.openxmlformats.org/officeDocument/2006/relationships/hyperlink" Target="https://adstransparency.google.com/advertiser/AR01693402396748677121/creative/CR11051095515696463873?region=anywhere" TargetMode="External"/><Relationship Id="rId1069" Type="http://schemas.openxmlformats.org/officeDocument/2006/relationships/hyperlink" Target="https://peec.ai/" TargetMode="External"/><Relationship Id="rId1015" Type="http://schemas.openxmlformats.org/officeDocument/2006/relationships/hyperlink" Target="https://peec.ai/" TargetMode="External"/><Relationship Id="rId1499" Type="http://schemas.openxmlformats.org/officeDocument/2006/relationships/hyperlink" Target="https://www.semrush.com/" TargetMode="External"/><Relationship Id="rId2346" Type="http://schemas.openxmlformats.org/officeDocument/2006/relationships/hyperlink" Target="https://otterly.ai/" TargetMode="External"/><Relationship Id="rId1016" Type="http://schemas.openxmlformats.org/officeDocument/2006/relationships/hyperlink" Target="https://adstransparency.google.com/advertiser/AR05016556376214732801/creative/CR13571562000651124737?region=anywhere" TargetMode="External"/><Relationship Id="rId2347" Type="http://schemas.openxmlformats.org/officeDocument/2006/relationships/hyperlink" Target="https://adstransparency.google.com/advertiser/AR13288297259528617985/creative/CR00405919815866253313?region=anywhere" TargetMode="External"/><Relationship Id="rId1017" Type="http://schemas.openxmlformats.org/officeDocument/2006/relationships/hyperlink" Target="https://peec.ai/visibility/platform" TargetMode="External"/><Relationship Id="rId2348" Type="http://schemas.openxmlformats.org/officeDocument/2006/relationships/hyperlink" Target="https://otterly.ai/" TargetMode="External"/><Relationship Id="rId1018" Type="http://schemas.openxmlformats.org/officeDocument/2006/relationships/hyperlink" Target="https://adstransparency.google.com/advertiser/AR05016556376214732801/creative/CR17705810108606316545?region=anywhere" TargetMode="External"/><Relationship Id="rId2349" Type="http://schemas.openxmlformats.org/officeDocument/2006/relationships/hyperlink" Target="https://adstransparency.google.com/advertiser/AR13288297259528617985/creative/CR09595648171300618241?region=anywhere" TargetMode="External"/><Relationship Id="rId1019" Type="http://schemas.openxmlformats.org/officeDocument/2006/relationships/hyperlink" Target="https://peec.ai/for-agencies" TargetMode="External"/><Relationship Id="rId668" Type="http://schemas.openxmlformats.org/officeDocument/2006/relationships/hyperlink" Target="https://adstransparency.google.com/advertiser/AR05016556376214732801/creative/CR01650891841245020161?region=anywhere" TargetMode="External"/><Relationship Id="rId667" Type="http://schemas.openxmlformats.org/officeDocument/2006/relationships/hyperlink" Target="https://peec.ai/pricing" TargetMode="External"/><Relationship Id="rId666" Type="http://schemas.openxmlformats.org/officeDocument/2006/relationships/hyperlink" Target="https://adstransparency.google.com/advertiser/AR05016556376214732801/creative/CR04628538928931012609?region=anywhere" TargetMode="External"/><Relationship Id="rId665" Type="http://schemas.openxmlformats.org/officeDocument/2006/relationships/hyperlink" Target="https://peec.ai/visibility/platform" TargetMode="External"/><Relationship Id="rId669" Type="http://schemas.openxmlformats.org/officeDocument/2006/relationships/hyperlink" Target="https://peec.ai/for-agencies" TargetMode="External"/><Relationship Id="rId1490" Type="http://schemas.openxmlformats.org/officeDocument/2006/relationships/hyperlink" Target="https://adstransparency.google.com/advertiser/AR11070511645502472193/creative/CR16288576247884152833?region=anywhere" TargetMode="External"/><Relationship Id="rId660" Type="http://schemas.openxmlformats.org/officeDocument/2006/relationships/hyperlink" Target="https://adstransparency.google.com/advertiser/AR05016556376214732801/creative/CR07102246577380524033?region=anywhere" TargetMode="External"/><Relationship Id="rId1491" Type="http://schemas.openxmlformats.org/officeDocument/2006/relationships/hyperlink" Target="https://www.semrush.com/agencies/" TargetMode="External"/><Relationship Id="rId1492" Type="http://schemas.openxmlformats.org/officeDocument/2006/relationships/hyperlink" Target="https://adstransparency.google.com/advertiser/AR11070511645502472193/creative/CR17600897732740907009?region=anywhere" TargetMode="External"/><Relationship Id="rId1493" Type="http://schemas.openxmlformats.org/officeDocument/2006/relationships/hyperlink" Target="https://www.semrush.com/pricing/" TargetMode="External"/><Relationship Id="rId2340" Type="http://schemas.openxmlformats.org/officeDocument/2006/relationships/hyperlink" Target="https://otterly.ai/" TargetMode="External"/><Relationship Id="rId1010" Type="http://schemas.openxmlformats.org/officeDocument/2006/relationships/hyperlink" Target="https://adstransparency.google.com/advertiser/AR05016556376214732801/creative/CR16418936476777054209?region=anywhere" TargetMode="External"/><Relationship Id="rId1494" Type="http://schemas.openxmlformats.org/officeDocument/2006/relationships/hyperlink" Target="https://adstransparency.google.com/advertiser/AR11070511645502472193/creative/CR00554209574714867713?region=anywhere" TargetMode="External"/><Relationship Id="rId2341" Type="http://schemas.openxmlformats.org/officeDocument/2006/relationships/hyperlink" Target="https://adstransparency.google.com/advertiser/AR13288297259528617985/creative/CR07346852223382454273?region=anywhere" TargetMode="External"/><Relationship Id="rId664" Type="http://schemas.openxmlformats.org/officeDocument/2006/relationships/hyperlink" Target="https://adstransparency.google.com/advertiser/AR05016556376214732801/creative/CR14808517692910206977?region=anywhere" TargetMode="External"/><Relationship Id="rId1011" Type="http://schemas.openxmlformats.org/officeDocument/2006/relationships/hyperlink" Target="https://peec.ai/" TargetMode="External"/><Relationship Id="rId1495" Type="http://schemas.openxmlformats.org/officeDocument/2006/relationships/hyperlink" Target="https://www.semrush.com/" TargetMode="External"/><Relationship Id="rId2342" Type="http://schemas.openxmlformats.org/officeDocument/2006/relationships/hyperlink" Target="https://otterly.ai/" TargetMode="External"/><Relationship Id="rId663" Type="http://schemas.openxmlformats.org/officeDocument/2006/relationships/hyperlink" Target="https://peec.ai/" TargetMode="External"/><Relationship Id="rId1012" Type="http://schemas.openxmlformats.org/officeDocument/2006/relationships/hyperlink" Target="https://adstransparency.google.com/advertiser/AR05016556376214732801/creative/CR02028070895607611393?region=anywhere" TargetMode="External"/><Relationship Id="rId1496" Type="http://schemas.openxmlformats.org/officeDocument/2006/relationships/hyperlink" Target="https://adstransparency.google.com/advertiser/AR11070511645502472193/creative/CR02575581575471169537?region=anywhere" TargetMode="External"/><Relationship Id="rId2343" Type="http://schemas.openxmlformats.org/officeDocument/2006/relationships/hyperlink" Target="https://adstransparency.google.com/advertiser/AR13288297259528617985/creative/CR13519526169757614081?region=anywhere" TargetMode="External"/><Relationship Id="rId662" Type="http://schemas.openxmlformats.org/officeDocument/2006/relationships/hyperlink" Target="https://adstransparency.google.com/advertiser/AR05016556376214732801/creative/CR18254742551493869569?region=anywhere" TargetMode="External"/><Relationship Id="rId1013" Type="http://schemas.openxmlformats.org/officeDocument/2006/relationships/hyperlink" Target="https://peec.ai/black-friday" TargetMode="External"/><Relationship Id="rId1497" Type="http://schemas.openxmlformats.org/officeDocument/2006/relationships/hyperlink" Target="https://www.semrush.com/" TargetMode="External"/><Relationship Id="rId2344" Type="http://schemas.openxmlformats.org/officeDocument/2006/relationships/hyperlink" Target="https://otterly.ai/" TargetMode="External"/><Relationship Id="rId661" Type="http://schemas.openxmlformats.org/officeDocument/2006/relationships/hyperlink" Target="https://peec.ai/" TargetMode="External"/><Relationship Id="rId1014" Type="http://schemas.openxmlformats.org/officeDocument/2006/relationships/hyperlink" Target="https://adstransparency.google.com/advertiser/AR05016556376214732801/creative/CR06961984189717544961?region=anywhere" TargetMode="External"/><Relationship Id="rId1498" Type="http://schemas.openxmlformats.org/officeDocument/2006/relationships/hyperlink" Target="https://adstransparency.google.com/advertiser/AR11070511645502472193/creative/CR14430363595072077825?region=anywhere" TargetMode="External"/><Relationship Id="rId2345" Type="http://schemas.openxmlformats.org/officeDocument/2006/relationships/hyperlink" Target="https://adstransparency.google.com/advertiser/AR13288297259528617985/creative/CR03916512009285271553?region=anywhere" TargetMode="External"/><Relationship Id="rId1004" Type="http://schemas.openxmlformats.org/officeDocument/2006/relationships/hyperlink" Target="https://adstransparency.google.com/advertiser/AR05016556376214732801/creative/CR17698724855676928001?region=anywhere" TargetMode="External"/><Relationship Id="rId1488" Type="http://schemas.openxmlformats.org/officeDocument/2006/relationships/hyperlink" Target="https://adstransparency.google.com/advertiser/AR11070511645502472193/creative/CR11519692570997293057?region=anywhere" TargetMode="External"/><Relationship Id="rId2335" Type="http://schemas.openxmlformats.org/officeDocument/2006/relationships/hyperlink" Target="https://adstransparency.google.com/advertiser/AR13288297259528617985/creative/CR08493621754273464321?region=anywhere" TargetMode="External"/><Relationship Id="rId1005" Type="http://schemas.openxmlformats.org/officeDocument/2006/relationships/hyperlink" Target="https://peec.ai/for-agencies" TargetMode="External"/><Relationship Id="rId1489" Type="http://schemas.openxmlformats.org/officeDocument/2006/relationships/hyperlink" Target="https://www.semrush.com/features/" TargetMode="External"/><Relationship Id="rId2336" Type="http://schemas.openxmlformats.org/officeDocument/2006/relationships/hyperlink" Target="https://otterly.ai/" TargetMode="External"/><Relationship Id="rId1006" Type="http://schemas.openxmlformats.org/officeDocument/2006/relationships/hyperlink" Target="https://adstransparency.google.com/advertiser/AR05016556376214732801/creative/CR12389332738728001537?region=anywhere" TargetMode="External"/><Relationship Id="rId2337" Type="http://schemas.openxmlformats.org/officeDocument/2006/relationships/hyperlink" Target="https://adstransparency.google.com/advertiser/AR13288297259528617985/creative/CR02328642602586341377?region=anywhere" TargetMode="External"/><Relationship Id="rId1007" Type="http://schemas.openxmlformats.org/officeDocument/2006/relationships/hyperlink" Target="https://peec.ai/demo" TargetMode="External"/><Relationship Id="rId2338" Type="http://schemas.openxmlformats.org/officeDocument/2006/relationships/hyperlink" Target="https://otterly.ai/" TargetMode="External"/><Relationship Id="rId1008" Type="http://schemas.openxmlformats.org/officeDocument/2006/relationships/hyperlink" Target="https://adstransparency.google.com/advertiser/AR05016556376214732801/creative/CR04002011751448051713?region=anywhere" TargetMode="External"/><Relationship Id="rId2339" Type="http://schemas.openxmlformats.org/officeDocument/2006/relationships/hyperlink" Target="https://adstransparency.google.com/advertiser/AR13288297259528617985/creative/CR05490352472247500801?region=anywhere" TargetMode="External"/><Relationship Id="rId1009" Type="http://schemas.openxmlformats.org/officeDocument/2006/relationships/hyperlink" Target="https://peec.ai/" TargetMode="External"/><Relationship Id="rId657" Type="http://schemas.openxmlformats.org/officeDocument/2006/relationships/hyperlink" Target="https://peec.ai/visibility/platform" TargetMode="External"/><Relationship Id="rId656" Type="http://schemas.openxmlformats.org/officeDocument/2006/relationships/hyperlink" Target="https://adstransparency.google.com/advertiser/AR05016556376214732801/creative/CR17235742800100720641?region=anywhere" TargetMode="External"/><Relationship Id="rId655" Type="http://schemas.openxmlformats.org/officeDocument/2006/relationships/hyperlink" Target="https://peec.ai/" TargetMode="External"/><Relationship Id="rId654" Type="http://schemas.openxmlformats.org/officeDocument/2006/relationships/hyperlink" Target="https://adstransparency.google.com/advertiser/AR05016556376214732801/creative/CR11437523756361187329?region=anywhere" TargetMode="External"/><Relationship Id="rId659" Type="http://schemas.openxmlformats.org/officeDocument/2006/relationships/hyperlink" Target="https://peec.ai/for-agencies" TargetMode="External"/><Relationship Id="rId658" Type="http://schemas.openxmlformats.org/officeDocument/2006/relationships/hyperlink" Target="https://adstransparency.google.com/advertiser/AR05016556376214732801/creative/CR16053171864939266049?region=anywhere" TargetMode="External"/><Relationship Id="rId1480" Type="http://schemas.openxmlformats.org/officeDocument/2006/relationships/hyperlink" Target="https://adstransparency.google.com/advertiser/AR11070511645502472193/creative/CR16781140827014430721?region=anywhere" TargetMode="External"/><Relationship Id="rId1481" Type="http://schemas.openxmlformats.org/officeDocument/2006/relationships/hyperlink" Target="https://www.semrush.com/analytics/keywordoverview/" TargetMode="External"/><Relationship Id="rId1482" Type="http://schemas.openxmlformats.org/officeDocument/2006/relationships/hyperlink" Target="https://adstransparency.google.com/advertiser/AR11070511645502472193/creative/CR09229180602165493761?region=anywhere" TargetMode="External"/><Relationship Id="rId1483" Type="http://schemas.openxmlformats.org/officeDocument/2006/relationships/hyperlink" Target="https://www.semrush.com/" TargetMode="External"/><Relationship Id="rId2330" Type="http://schemas.openxmlformats.org/officeDocument/2006/relationships/hyperlink" Target="https://otterly.ai/" TargetMode="External"/><Relationship Id="rId653" Type="http://schemas.openxmlformats.org/officeDocument/2006/relationships/hyperlink" Target="https://peec.ai/black-friday" TargetMode="External"/><Relationship Id="rId1000" Type="http://schemas.openxmlformats.org/officeDocument/2006/relationships/hyperlink" Target="https://adstransparency.google.com/advertiser/AR05016556376214732801/creative/CR06901511050189864961?region=anywhere" TargetMode="External"/><Relationship Id="rId1484" Type="http://schemas.openxmlformats.org/officeDocument/2006/relationships/hyperlink" Target="https://adstransparency.google.com/advertiser/AR11070511645502472193/creative/CR05349338869034647553?region=anywhere" TargetMode="External"/><Relationship Id="rId2331" Type="http://schemas.openxmlformats.org/officeDocument/2006/relationships/hyperlink" Target="https://adstransparency.google.com/advertiser/AR13288297259528617985/creative/CR03469681616312336385?region=anywhere" TargetMode="External"/><Relationship Id="rId652" Type="http://schemas.openxmlformats.org/officeDocument/2006/relationships/hyperlink" Target="https://adstransparency.google.com/advertiser/AR05016556376214732801/creative/CR04213899487640289281?region=anywhere" TargetMode="External"/><Relationship Id="rId1001" Type="http://schemas.openxmlformats.org/officeDocument/2006/relationships/hyperlink" Target="https://peec.ai/visibility/platform" TargetMode="External"/><Relationship Id="rId1485" Type="http://schemas.openxmlformats.org/officeDocument/2006/relationships/hyperlink" Target="https://www.semrush.com/" TargetMode="External"/><Relationship Id="rId2332" Type="http://schemas.openxmlformats.org/officeDocument/2006/relationships/hyperlink" Target="https://otterly.ai/" TargetMode="External"/><Relationship Id="rId651" Type="http://schemas.openxmlformats.org/officeDocument/2006/relationships/hyperlink" Target="https://peec.ai/" TargetMode="External"/><Relationship Id="rId1002" Type="http://schemas.openxmlformats.org/officeDocument/2006/relationships/hyperlink" Target="https://adstransparency.google.com/advertiser/AR05016556376214732801/creative/CR11218203321565184001?region=anywhere" TargetMode="External"/><Relationship Id="rId1486" Type="http://schemas.openxmlformats.org/officeDocument/2006/relationships/hyperlink" Target="https://adstransparency.google.com/advertiser/AR11070511645502472193/creative/CR11093066872415846401?region=anywhere" TargetMode="External"/><Relationship Id="rId2333" Type="http://schemas.openxmlformats.org/officeDocument/2006/relationships/hyperlink" Target="https://adstransparency.google.com/advertiser/AR13288297259528617985/creative/CR13651654825664839681?region=anywhere" TargetMode="External"/><Relationship Id="rId650" Type="http://schemas.openxmlformats.org/officeDocument/2006/relationships/hyperlink" Target="https://adstransparency.google.com/advertiser/AR05016556376214732801/creative/CR11354127998417633281?region=anywhere" TargetMode="External"/><Relationship Id="rId1003" Type="http://schemas.openxmlformats.org/officeDocument/2006/relationships/hyperlink" Target="https://peec.ai/pricing" TargetMode="External"/><Relationship Id="rId1487" Type="http://schemas.openxmlformats.org/officeDocument/2006/relationships/hyperlink" Target="https://www.semrush.com/analytics/backlinks/overview/" TargetMode="External"/><Relationship Id="rId2334" Type="http://schemas.openxmlformats.org/officeDocument/2006/relationships/hyperlink" Target="https://otterly.ai/" TargetMode="External"/><Relationship Id="rId1037" Type="http://schemas.openxmlformats.org/officeDocument/2006/relationships/hyperlink" Target="https://peec.ai/visibility/platform" TargetMode="External"/><Relationship Id="rId1038" Type="http://schemas.openxmlformats.org/officeDocument/2006/relationships/hyperlink" Target="https://adstransparency.google.com/advertiser/AR05016556376214732801/creative/CR08943495457993129985?region=anywhere" TargetMode="External"/><Relationship Id="rId1039" Type="http://schemas.openxmlformats.org/officeDocument/2006/relationships/hyperlink" Target="https://peec.ai/" TargetMode="External"/><Relationship Id="rId206" Type="http://schemas.openxmlformats.org/officeDocument/2006/relationships/hyperlink" Target="https://adstransparency.google.com/advertiser/AR01693402396748677121/creative/CR08050313054094622721?region=anywhere" TargetMode="External"/><Relationship Id="rId205" Type="http://schemas.openxmlformats.org/officeDocument/2006/relationships/hyperlink" Target="https://www.tryprofound.com/" TargetMode="External"/><Relationship Id="rId689" Type="http://schemas.openxmlformats.org/officeDocument/2006/relationships/hyperlink" Target="https://peec.ai/visibility/platform" TargetMode="External"/><Relationship Id="rId204" Type="http://schemas.openxmlformats.org/officeDocument/2006/relationships/hyperlink" Target="https://adstransparency.google.com/advertiser/AR01693402396748677121/creative/CR02755701122202075137?region=anywhere" TargetMode="External"/><Relationship Id="rId688" Type="http://schemas.openxmlformats.org/officeDocument/2006/relationships/hyperlink" Target="https://adstransparency.google.com/advertiser/AR05016556376214732801/creative/CR17284113039615852545?region=anywhere" TargetMode="External"/><Relationship Id="rId203" Type="http://schemas.openxmlformats.org/officeDocument/2006/relationships/hyperlink" Target="https://www.tryprofound.com/" TargetMode="External"/><Relationship Id="rId687" Type="http://schemas.openxmlformats.org/officeDocument/2006/relationships/hyperlink" Target="https://peec.ai/" TargetMode="External"/><Relationship Id="rId209" Type="http://schemas.openxmlformats.org/officeDocument/2006/relationships/hyperlink" Target="https://www.tryprofound.com/" TargetMode="External"/><Relationship Id="rId208" Type="http://schemas.openxmlformats.org/officeDocument/2006/relationships/hyperlink" Target="https://adstransparency.google.com/advertiser/AR01693402396748677121/creative/CR01647437656746885121?region=anywhere" TargetMode="External"/><Relationship Id="rId207" Type="http://schemas.openxmlformats.org/officeDocument/2006/relationships/hyperlink" Target="https://www.tryprofound.com/" TargetMode="External"/><Relationship Id="rId682" Type="http://schemas.openxmlformats.org/officeDocument/2006/relationships/hyperlink" Target="https://adstransparency.google.com/advertiser/AR05016556376214732801/creative/CR15273014901279293441?region=anywhere" TargetMode="External"/><Relationship Id="rId681" Type="http://schemas.openxmlformats.org/officeDocument/2006/relationships/hyperlink" Target="https://peec.ai/visibility/platform" TargetMode="External"/><Relationship Id="rId1030" Type="http://schemas.openxmlformats.org/officeDocument/2006/relationships/hyperlink" Target="https://adstransparency.google.com/advertiser/AR05016556376214732801/creative/CR14943128814144716801?region=anywhere" TargetMode="External"/><Relationship Id="rId680" Type="http://schemas.openxmlformats.org/officeDocument/2006/relationships/hyperlink" Target="https://adstransparency.google.com/advertiser/AR05016556376214732801/creative/CR02721651239954677761?region=anywhere" TargetMode="External"/><Relationship Id="rId1031" Type="http://schemas.openxmlformats.org/officeDocument/2006/relationships/hyperlink" Target="https://peec.ai/demo" TargetMode="External"/><Relationship Id="rId1032" Type="http://schemas.openxmlformats.org/officeDocument/2006/relationships/hyperlink" Target="https://adstransparency.google.com/advertiser/AR05016556376214732801/creative/CR02755301904991911937?region=anywhere" TargetMode="External"/><Relationship Id="rId202" Type="http://schemas.openxmlformats.org/officeDocument/2006/relationships/hyperlink" Target="https://adstransparency.google.com/advertiser/AR01693402396748677121/creative/CR13162151656273477633?region=anywhere" TargetMode="External"/><Relationship Id="rId686" Type="http://schemas.openxmlformats.org/officeDocument/2006/relationships/hyperlink" Target="https://adstransparency.google.com/advertiser/AR05016556376214732801/creative/CR03229560465923244033?region=anywhere" TargetMode="External"/><Relationship Id="rId1033" Type="http://schemas.openxmlformats.org/officeDocument/2006/relationships/hyperlink" Target="https://peec.ai/for-agencies" TargetMode="External"/><Relationship Id="rId201" Type="http://schemas.openxmlformats.org/officeDocument/2006/relationships/hyperlink" Target="https://www.tryprofound.com/" TargetMode="External"/><Relationship Id="rId685" Type="http://schemas.openxmlformats.org/officeDocument/2006/relationships/hyperlink" Target="https://peec.ai/" TargetMode="External"/><Relationship Id="rId1034" Type="http://schemas.openxmlformats.org/officeDocument/2006/relationships/hyperlink" Target="https://adstransparency.google.com/advertiser/AR05016556376214732801/creative/CR01399543869682483201?region=anywhere" TargetMode="External"/><Relationship Id="rId200" Type="http://schemas.openxmlformats.org/officeDocument/2006/relationships/hyperlink" Target="https://adstransparency.google.com/advertiser/AR01693402396748677121/creative/CR16209746512622649345?region=anywhere" TargetMode="External"/><Relationship Id="rId684" Type="http://schemas.openxmlformats.org/officeDocument/2006/relationships/hyperlink" Target="https://adstransparency.google.com/advertiser/AR05016556376214732801/creative/CR02062002262527442945?region=anywhere" TargetMode="External"/><Relationship Id="rId1035" Type="http://schemas.openxmlformats.org/officeDocument/2006/relationships/hyperlink" Target="https://peec.ai/" TargetMode="External"/><Relationship Id="rId683" Type="http://schemas.openxmlformats.org/officeDocument/2006/relationships/hyperlink" Target="https://peec.ai/for-agencies" TargetMode="External"/><Relationship Id="rId1036" Type="http://schemas.openxmlformats.org/officeDocument/2006/relationships/hyperlink" Target="https://adstransparency.google.com/advertiser/AR05016556376214732801/creative/CR11336312035987161089?region=anywhere" TargetMode="External"/><Relationship Id="rId1026" Type="http://schemas.openxmlformats.org/officeDocument/2006/relationships/hyperlink" Target="https://adstransparency.google.com/advertiser/AR05016556376214732801/creative/CR10668899681834106881?region=anywhere" TargetMode="External"/><Relationship Id="rId1027" Type="http://schemas.openxmlformats.org/officeDocument/2006/relationships/hyperlink" Target="https://peec.ai/pricing" TargetMode="External"/><Relationship Id="rId1028" Type="http://schemas.openxmlformats.org/officeDocument/2006/relationships/hyperlink" Target="https://adstransparency.google.com/advertiser/AR05016556376214732801/creative/CR15139272067813212161?region=anywhere" TargetMode="External"/><Relationship Id="rId1029" Type="http://schemas.openxmlformats.org/officeDocument/2006/relationships/hyperlink" Target="https://peec.ai/for-agencies" TargetMode="External"/><Relationship Id="rId679" Type="http://schemas.openxmlformats.org/officeDocument/2006/relationships/hyperlink" Target="https://peec.ai/" TargetMode="External"/><Relationship Id="rId678" Type="http://schemas.openxmlformats.org/officeDocument/2006/relationships/hyperlink" Target="https://adstransparency.google.com/advertiser/AR05016556376214732801/creative/CR05631932074840555521?region=anywhere" TargetMode="External"/><Relationship Id="rId677" Type="http://schemas.openxmlformats.org/officeDocument/2006/relationships/hyperlink" Target="https://peec.ai/black-friday" TargetMode="External"/><Relationship Id="rId676" Type="http://schemas.openxmlformats.org/officeDocument/2006/relationships/hyperlink" Target="https://adstransparency.google.com/advertiser/AR05016556376214732801/creative/CR11363958869320531969?region=anywhere" TargetMode="External"/><Relationship Id="rId671" Type="http://schemas.openxmlformats.org/officeDocument/2006/relationships/hyperlink" Target="https://peec.ai/demo" TargetMode="External"/><Relationship Id="rId670" Type="http://schemas.openxmlformats.org/officeDocument/2006/relationships/hyperlink" Target="https://adstransparency.google.com/advertiser/AR05016556376214732801/creative/CR05789499787682250753?region=anywhere" TargetMode="External"/><Relationship Id="rId2350" Type="http://schemas.openxmlformats.org/officeDocument/2006/relationships/drawing" Target="../drawings/drawing1.xml"/><Relationship Id="rId1020" Type="http://schemas.openxmlformats.org/officeDocument/2006/relationships/hyperlink" Target="https://adstransparency.google.com/advertiser/AR05016556376214732801/creative/CR11678155423742951425?region=anywhere" TargetMode="External"/><Relationship Id="rId1021" Type="http://schemas.openxmlformats.org/officeDocument/2006/relationships/hyperlink" Target="https://peec.ai/" TargetMode="External"/><Relationship Id="rId675" Type="http://schemas.openxmlformats.org/officeDocument/2006/relationships/hyperlink" Target="https://peec.ai/" TargetMode="External"/><Relationship Id="rId1022" Type="http://schemas.openxmlformats.org/officeDocument/2006/relationships/hyperlink" Target="https://adstransparency.google.com/advertiser/AR05016556376214732801/creative/CR10060069307208957953?region=anywhere" TargetMode="External"/><Relationship Id="rId674" Type="http://schemas.openxmlformats.org/officeDocument/2006/relationships/hyperlink" Target="https://adstransparency.google.com/advertiser/AR05016556376214732801/creative/CR02501960020632010753?region=anywhere" TargetMode="External"/><Relationship Id="rId1023" Type="http://schemas.openxmlformats.org/officeDocument/2006/relationships/hyperlink" Target="https://peec.ai/" TargetMode="External"/><Relationship Id="rId673" Type="http://schemas.openxmlformats.org/officeDocument/2006/relationships/hyperlink" Target="https://peec.ai/" TargetMode="External"/><Relationship Id="rId1024" Type="http://schemas.openxmlformats.org/officeDocument/2006/relationships/hyperlink" Target="https://adstransparency.google.com/advertiser/AR05016556376214732801/creative/CR17537122210039201793?region=anywhere" TargetMode="External"/><Relationship Id="rId672" Type="http://schemas.openxmlformats.org/officeDocument/2006/relationships/hyperlink" Target="https://adstransparency.google.com/advertiser/AR05016556376214732801/creative/CR04494943318353903617?region=anywhere" TargetMode="External"/><Relationship Id="rId1025" Type="http://schemas.openxmlformats.org/officeDocument/2006/relationships/hyperlink" Target="https://peec.ai/visibility/platform" TargetMode="External"/><Relationship Id="rId190" Type="http://schemas.openxmlformats.org/officeDocument/2006/relationships/hyperlink" Target="https://adstransparency.google.com/advertiser/AR01693402396748677121/creative/CR03958266676314636289?region=anywhere" TargetMode="External"/><Relationship Id="rId194" Type="http://schemas.openxmlformats.org/officeDocument/2006/relationships/hyperlink" Target="https://adstransparency.google.com/advertiser/AR01693402396748677121/creative/CR12200053143446224897?region=anywhere" TargetMode="External"/><Relationship Id="rId193" Type="http://schemas.openxmlformats.org/officeDocument/2006/relationships/hyperlink" Target="https://www.tryprofound.com/" TargetMode="External"/><Relationship Id="rId192" Type="http://schemas.openxmlformats.org/officeDocument/2006/relationships/hyperlink" Target="https://adstransparency.google.com/advertiser/AR01693402396748677121/creative/CR05515424936543387649?region=anywhere" TargetMode="External"/><Relationship Id="rId191" Type="http://schemas.openxmlformats.org/officeDocument/2006/relationships/hyperlink" Target="https://www.tryprofound.com/" TargetMode="External"/><Relationship Id="rId187" Type="http://schemas.openxmlformats.org/officeDocument/2006/relationships/hyperlink" Target="https://www.tryprofound.com/" TargetMode="External"/><Relationship Id="rId186" Type="http://schemas.openxmlformats.org/officeDocument/2006/relationships/hyperlink" Target="https://adstransparency.google.com/advertiser/AR01693402396748677121/creative/CR13956194214841679873?region=anywhere" TargetMode="External"/><Relationship Id="rId185" Type="http://schemas.openxmlformats.org/officeDocument/2006/relationships/hyperlink" Target="https://www.tryprofound.com/" TargetMode="External"/><Relationship Id="rId184" Type="http://schemas.openxmlformats.org/officeDocument/2006/relationships/hyperlink" Target="https://adstransparency.google.com/advertiser/AR01693402396748677121/creative/CR17646071674774224897?region=anywhere" TargetMode="External"/><Relationship Id="rId189" Type="http://schemas.openxmlformats.org/officeDocument/2006/relationships/hyperlink" Target="https://www.tryprofound.com/" TargetMode="External"/><Relationship Id="rId188" Type="http://schemas.openxmlformats.org/officeDocument/2006/relationships/hyperlink" Target="https://adstransparency.google.com/advertiser/AR01693402396748677121/creative/CR17677604018991398913?region=anywhere" TargetMode="External"/><Relationship Id="rId183" Type="http://schemas.openxmlformats.org/officeDocument/2006/relationships/hyperlink" Target="https://www.tryprofound.com/" TargetMode="External"/><Relationship Id="rId182" Type="http://schemas.openxmlformats.org/officeDocument/2006/relationships/hyperlink" Target="https://adstransparency.google.com/advertiser/AR01693402396748677121/creative/CR02678739843743219713?region=anywhere" TargetMode="External"/><Relationship Id="rId181" Type="http://schemas.openxmlformats.org/officeDocument/2006/relationships/hyperlink" Target="https://www.tryprofound.com/" TargetMode="External"/><Relationship Id="rId180" Type="http://schemas.openxmlformats.org/officeDocument/2006/relationships/hyperlink" Target="https://adstransparency.google.com/advertiser/AR01693402396748677121/creative/CR03880906275134898177?region=anywhere" TargetMode="External"/><Relationship Id="rId176" Type="http://schemas.openxmlformats.org/officeDocument/2006/relationships/hyperlink" Target="https://adstransparency.google.com/advertiser/AR01693402396748677121/creative/CR09403963050735697921?region=anywhere" TargetMode="External"/><Relationship Id="rId175" Type="http://schemas.openxmlformats.org/officeDocument/2006/relationships/hyperlink" Target="https://www.tryprofound.com/" TargetMode="External"/><Relationship Id="rId174" Type="http://schemas.openxmlformats.org/officeDocument/2006/relationships/hyperlink" Target="https://adstransparency.google.com/advertiser/AR01693402396748677121/creative/CR05492363710942937089?region=anywhere" TargetMode="External"/><Relationship Id="rId173" Type="http://schemas.openxmlformats.org/officeDocument/2006/relationships/hyperlink" Target="https://www.tryprofound.com/" TargetMode="External"/><Relationship Id="rId179" Type="http://schemas.openxmlformats.org/officeDocument/2006/relationships/hyperlink" Target="https://www.tryprofound.com/" TargetMode="External"/><Relationship Id="rId178" Type="http://schemas.openxmlformats.org/officeDocument/2006/relationships/hyperlink" Target="https://adstransparency.google.com/advertiser/AR01693402396748677121/creative/CR01009422532668817409?region=anywhere" TargetMode="External"/><Relationship Id="rId177" Type="http://schemas.openxmlformats.org/officeDocument/2006/relationships/hyperlink" Target="https://www.tryprofound.com/" TargetMode="External"/><Relationship Id="rId1910" Type="http://schemas.openxmlformats.org/officeDocument/2006/relationships/hyperlink" Target="https://adstransparency.google.com/advertiser/AR11070511645502472193/creative/CR09809118250754113537?region=anywhere" TargetMode="External"/><Relationship Id="rId1911" Type="http://schemas.openxmlformats.org/officeDocument/2006/relationships/hyperlink" Target="https://www.semrush.com/agencies/" TargetMode="External"/><Relationship Id="rId1912" Type="http://schemas.openxmlformats.org/officeDocument/2006/relationships/hyperlink" Target="https://adstransparency.google.com/advertiser/AR11070511645502472193/creative/CR03731511069013704705?region=anywhere" TargetMode="External"/><Relationship Id="rId1913" Type="http://schemas.openxmlformats.org/officeDocument/2006/relationships/hyperlink" Target="https://www.semrush.com/pricing/" TargetMode="External"/><Relationship Id="rId1914" Type="http://schemas.openxmlformats.org/officeDocument/2006/relationships/hyperlink" Target="https://adstransparency.google.com/advertiser/AR11070511645502472193/creative/CR07016545461381103617?region=anywhere" TargetMode="External"/><Relationship Id="rId1915" Type="http://schemas.openxmlformats.org/officeDocument/2006/relationships/hyperlink" Target="https://www.semrush.com/" TargetMode="External"/><Relationship Id="rId1916" Type="http://schemas.openxmlformats.org/officeDocument/2006/relationships/hyperlink" Target="https://adstransparency.google.com/advertiser/AR11070511645502472193/creative/CR17915550369740488705?region=anywhere" TargetMode="External"/><Relationship Id="rId1917" Type="http://schemas.openxmlformats.org/officeDocument/2006/relationships/hyperlink" Target="https://www.semrush.com/" TargetMode="External"/><Relationship Id="rId1918" Type="http://schemas.openxmlformats.org/officeDocument/2006/relationships/hyperlink" Target="https://adstransparency.google.com/advertiser/AR11070511645502472193/creative/CR06056337558797811713?region=anywhere" TargetMode="External"/><Relationship Id="rId1919" Type="http://schemas.openxmlformats.org/officeDocument/2006/relationships/hyperlink" Target="https://www.semrush.com/" TargetMode="External"/><Relationship Id="rId1900" Type="http://schemas.openxmlformats.org/officeDocument/2006/relationships/hyperlink" Target="https://adstransparency.google.com/advertiser/AR11070511645502472193/creative/CR06956907091697074177?region=anywhere" TargetMode="External"/><Relationship Id="rId1901" Type="http://schemas.openxmlformats.org/officeDocument/2006/relationships/hyperlink" Target="https://www.semrush.com/analytics/keywordoverview/" TargetMode="External"/><Relationship Id="rId1902" Type="http://schemas.openxmlformats.org/officeDocument/2006/relationships/hyperlink" Target="https://adstransparency.google.com/advertiser/AR11070511645502472193/creative/CR13955985419301552129?region=anywhere" TargetMode="External"/><Relationship Id="rId1903" Type="http://schemas.openxmlformats.org/officeDocument/2006/relationships/hyperlink" Target="https://www.semrush.com/" TargetMode="External"/><Relationship Id="rId1904" Type="http://schemas.openxmlformats.org/officeDocument/2006/relationships/hyperlink" Target="https://adstransparency.google.com/advertiser/AR11070511645502472193/creative/CR10804507467409522689?region=anywhere" TargetMode="External"/><Relationship Id="rId1905" Type="http://schemas.openxmlformats.org/officeDocument/2006/relationships/hyperlink" Target="https://www.semrush.com/" TargetMode="External"/><Relationship Id="rId1906" Type="http://schemas.openxmlformats.org/officeDocument/2006/relationships/hyperlink" Target="https://adstransparency.google.com/advertiser/AR11070511645502472193/creative/CR09880940377505005569?region=anywhere" TargetMode="External"/><Relationship Id="rId1907" Type="http://schemas.openxmlformats.org/officeDocument/2006/relationships/hyperlink" Target="https://www.semrush.com/analytics/backlinks/overview/" TargetMode="External"/><Relationship Id="rId1908" Type="http://schemas.openxmlformats.org/officeDocument/2006/relationships/hyperlink" Target="https://adstransparency.google.com/advertiser/AR11070511645502472193/creative/CR10547103549009952769?region=anywhere" TargetMode="External"/><Relationship Id="rId1909" Type="http://schemas.openxmlformats.org/officeDocument/2006/relationships/hyperlink" Target="https://www.semrush.com/features/" TargetMode="External"/><Relationship Id="rId198" Type="http://schemas.openxmlformats.org/officeDocument/2006/relationships/hyperlink" Target="https://adstransparency.google.com/advertiser/AR01693402396748677121/creative/CR14865356740349657089?region=anywhere" TargetMode="External"/><Relationship Id="rId197" Type="http://schemas.openxmlformats.org/officeDocument/2006/relationships/hyperlink" Target="https://www.tryprofound.com/" TargetMode="External"/><Relationship Id="rId196" Type="http://schemas.openxmlformats.org/officeDocument/2006/relationships/hyperlink" Target="https://adstransparency.google.com/advertiser/AR01693402396748677121/creative/CR14050557051516485633?region=anywhere" TargetMode="External"/><Relationship Id="rId195" Type="http://schemas.openxmlformats.org/officeDocument/2006/relationships/hyperlink" Target="https://www.tryprofound.com/" TargetMode="External"/><Relationship Id="rId199" Type="http://schemas.openxmlformats.org/officeDocument/2006/relationships/hyperlink" Target="https://www.tryprofound.com/" TargetMode="External"/><Relationship Id="rId150" Type="http://schemas.openxmlformats.org/officeDocument/2006/relationships/hyperlink" Target="https://adstransparency.google.com/advertiser/AR01693402396748677121/creative/CR12053678458975289345?region=anywhere" TargetMode="External"/><Relationship Id="rId149" Type="http://schemas.openxmlformats.org/officeDocument/2006/relationships/hyperlink" Target="https://www.tryprofound.com/" TargetMode="External"/><Relationship Id="rId148" Type="http://schemas.openxmlformats.org/officeDocument/2006/relationships/hyperlink" Target="https://adstransparency.google.com/advertiser/AR01693402396748677121/creative/CR11826517844848279553?region=anywhere" TargetMode="External"/><Relationship Id="rId1090" Type="http://schemas.openxmlformats.org/officeDocument/2006/relationships/hyperlink" Target="https://adstransparency.google.com/advertiser/AR05016556376214732801/creative/CR03161098455296770049?region=anywhere" TargetMode="External"/><Relationship Id="rId1091" Type="http://schemas.openxmlformats.org/officeDocument/2006/relationships/hyperlink" Target="https://peec.ai/for-agencies" TargetMode="External"/><Relationship Id="rId1092" Type="http://schemas.openxmlformats.org/officeDocument/2006/relationships/hyperlink" Target="https://adstransparency.google.com/advertiser/AR05016556376214732801/creative/CR06065437460626669569?region=anywhere" TargetMode="External"/><Relationship Id="rId1093" Type="http://schemas.openxmlformats.org/officeDocument/2006/relationships/hyperlink" Target="https://peec.ai/" TargetMode="External"/><Relationship Id="rId1094" Type="http://schemas.openxmlformats.org/officeDocument/2006/relationships/hyperlink" Target="https://adstransparency.google.com/advertiser/AR05016556376214732801/creative/CR12653729825958133761?region=anywhere" TargetMode="External"/><Relationship Id="rId143" Type="http://schemas.openxmlformats.org/officeDocument/2006/relationships/hyperlink" Target="https://www.tryprofound.com/" TargetMode="External"/><Relationship Id="rId1095" Type="http://schemas.openxmlformats.org/officeDocument/2006/relationships/hyperlink" Target="https://peec.ai/" TargetMode="External"/><Relationship Id="rId142" Type="http://schemas.openxmlformats.org/officeDocument/2006/relationships/hyperlink" Target="https://adstransparency.google.com/advertiser/AR01693402396748677121/creative/CR01156005299715309569?region=anywhere" TargetMode="External"/><Relationship Id="rId1096" Type="http://schemas.openxmlformats.org/officeDocument/2006/relationships/hyperlink" Target="https://adstransparency.google.com/advertiser/AR05016556376214732801/creative/CR00769293359280816129?region=anywhere" TargetMode="External"/><Relationship Id="rId141" Type="http://schemas.openxmlformats.org/officeDocument/2006/relationships/hyperlink" Target="https://www.tryprofound.com/" TargetMode="External"/><Relationship Id="rId1097" Type="http://schemas.openxmlformats.org/officeDocument/2006/relationships/hyperlink" Target="https://peec.ai/visibility/platform" TargetMode="External"/><Relationship Id="rId140" Type="http://schemas.openxmlformats.org/officeDocument/2006/relationships/hyperlink" Target="https://adstransparency.google.com/advertiser/AR01693402396748677121/creative/CR06609746525838901249?region=anywhere" TargetMode="External"/><Relationship Id="rId1098" Type="http://schemas.openxmlformats.org/officeDocument/2006/relationships/hyperlink" Target="https://adstransparency.google.com/advertiser/AR05016556376214732801/creative/CR15753878726774882305?region=anywhere" TargetMode="External"/><Relationship Id="rId147" Type="http://schemas.openxmlformats.org/officeDocument/2006/relationships/hyperlink" Target="https://www.tryprofound.com/" TargetMode="External"/><Relationship Id="rId1099" Type="http://schemas.openxmlformats.org/officeDocument/2006/relationships/hyperlink" Target="https://peec.ai/pricing" TargetMode="External"/><Relationship Id="rId146" Type="http://schemas.openxmlformats.org/officeDocument/2006/relationships/hyperlink" Target="https://adstransparency.google.com/advertiser/AR01693402396748677121/creative/CR00818376065150877697?region=anywhere" TargetMode="External"/><Relationship Id="rId145" Type="http://schemas.openxmlformats.org/officeDocument/2006/relationships/hyperlink" Target="https://www.tryprofound.com/" TargetMode="External"/><Relationship Id="rId144" Type="http://schemas.openxmlformats.org/officeDocument/2006/relationships/hyperlink" Target="https://adstransparency.google.com/advertiser/AR01693402396748677121/creative/CR10285197912178688001?region=anywhere" TargetMode="External"/><Relationship Id="rId139" Type="http://schemas.openxmlformats.org/officeDocument/2006/relationships/hyperlink" Target="https://www.tryprofound.com/" TargetMode="External"/><Relationship Id="rId138" Type="http://schemas.openxmlformats.org/officeDocument/2006/relationships/hyperlink" Target="https://adstransparency.google.com/advertiser/AR01693402396748677121/creative/CR14136941419503288321?region=anywhere" TargetMode="External"/><Relationship Id="rId137" Type="http://schemas.openxmlformats.org/officeDocument/2006/relationships/hyperlink" Target="https://www.tryprofound.com/" TargetMode="External"/><Relationship Id="rId1080" Type="http://schemas.openxmlformats.org/officeDocument/2006/relationships/hyperlink" Target="https://adstransparency.google.com/advertiser/AR05016556376214732801/creative/CR17349893109453946881?region=anywhere" TargetMode="External"/><Relationship Id="rId1081" Type="http://schemas.openxmlformats.org/officeDocument/2006/relationships/hyperlink" Target="https://peec.ai/" TargetMode="External"/><Relationship Id="rId1082" Type="http://schemas.openxmlformats.org/officeDocument/2006/relationships/hyperlink" Target="https://adstransparency.google.com/advertiser/AR05016556376214732801/creative/CR11386588373398323201?region=anywhere" TargetMode="External"/><Relationship Id="rId1083" Type="http://schemas.openxmlformats.org/officeDocument/2006/relationships/hyperlink" Target="https://peec.ai/" TargetMode="External"/><Relationship Id="rId132" Type="http://schemas.openxmlformats.org/officeDocument/2006/relationships/hyperlink" Target="https://adstransparency.google.com/advertiser/AR01693402396748677121/creative/CR15650275139113713665?region=anywhere" TargetMode="External"/><Relationship Id="rId1084" Type="http://schemas.openxmlformats.org/officeDocument/2006/relationships/hyperlink" Target="https://adstransparency.google.com/advertiser/AR05016556376214732801/creative/CR00091082014236606465?region=anywhere" TargetMode="External"/><Relationship Id="rId131" Type="http://schemas.openxmlformats.org/officeDocument/2006/relationships/hyperlink" Target="https://www.tryprofound.com/" TargetMode="External"/><Relationship Id="rId1085" Type="http://schemas.openxmlformats.org/officeDocument/2006/relationships/hyperlink" Target="https://peec.ai/black-friday" TargetMode="External"/><Relationship Id="rId130" Type="http://schemas.openxmlformats.org/officeDocument/2006/relationships/hyperlink" Target="https://adstransparency.google.com/advertiser/AR01693402396748677121/creative/CR13710177388615172097?region=anywhere" TargetMode="External"/><Relationship Id="rId1086" Type="http://schemas.openxmlformats.org/officeDocument/2006/relationships/hyperlink" Target="https://adstransparency.google.com/advertiser/AR05016556376214732801/creative/CR12290415106415656961?region=anywhere" TargetMode="External"/><Relationship Id="rId1087" Type="http://schemas.openxmlformats.org/officeDocument/2006/relationships/hyperlink" Target="https://peec.ai/" TargetMode="External"/><Relationship Id="rId136" Type="http://schemas.openxmlformats.org/officeDocument/2006/relationships/hyperlink" Target="https://adstransparency.google.com/advertiser/AR01693402396748677121/creative/CR12090125757607575553?region=anywhere" TargetMode="External"/><Relationship Id="rId1088" Type="http://schemas.openxmlformats.org/officeDocument/2006/relationships/hyperlink" Target="https://adstransparency.google.com/advertiser/AR05016556376214732801/creative/CR11172818917544427521?region=anywhere" TargetMode="External"/><Relationship Id="rId135" Type="http://schemas.openxmlformats.org/officeDocument/2006/relationships/hyperlink" Target="https://www.tryprofound.com/" TargetMode="External"/><Relationship Id="rId1089" Type="http://schemas.openxmlformats.org/officeDocument/2006/relationships/hyperlink" Target="https://peec.ai/visibility/platform" TargetMode="External"/><Relationship Id="rId134" Type="http://schemas.openxmlformats.org/officeDocument/2006/relationships/hyperlink" Target="https://adstransparency.google.com/advertiser/AR01693402396748677121/creative/CR05485526535324565505?region=anywhere" TargetMode="External"/><Relationship Id="rId133" Type="http://schemas.openxmlformats.org/officeDocument/2006/relationships/hyperlink" Target="https://www.tryprofound.com/" TargetMode="External"/><Relationship Id="rId172" Type="http://schemas.openxmlformats.org/officeDocument/2006/relationships/hyperlink" Target="https://adstransparency.google.com/advertiser/AR01693402396748677121/creative/CR10838247244428214273?region=anywhere" TargetMode="External"/><Relationship Id="rId171" Type="http://schemas.openxmlformats.org/officeDocument/2006/relationships/hyperlink" Target="https://www.tryprofound.com/" TargetMode="External"/><Relationship Id="rId170" Type="http://schemas.openxmlformats.org/officeDocument/2006/relationships/hyperlink" Target="https://adstransparency.google.com/advertiser/AR01693402396748677121/creative/CR11854265051567357953?region=anywhere" TargetMode="External"/><Relationship Id="rId165" Type="http://schemas.openxmlformats.org/officeDocument/2006/relationships/hyperlink" Target="https://www.tryprofound.com/pricing" TargetMode="External"/><Relationship Id="rId164" Type="http://schemas.openxmlformats.org/officeDocument/2006/relationships/hyperlink" Target="https://adstransparency.google.com/advertiser/AR01693402396748677121/creative/CR11969251908880695297?region=anywhere" TargetMode="External"/><Relationship Id="rId163" Type="http://schemas.openxmlformats.org/officeDocument/2006/relationships/hyperlink" Target="https://tryprofound.com/features/aim" TargetMode="External"/><Relationship Id="rId162" Type="http://schemas.openxmlformats.org/officeDocument/2006/relationships/hyperlink" Target="https://adstransparency.google.com/advertiser/AR01693402396748677121/creative/CR00020225181385490433?region=anywhere" TargetMode="External"/><Relationship Id="rId169" Type="http://schemas.openxmlformats.org/officeDocument/2006/relationships/hyperlink" Target="https://www.tryprofound.com/" TargetMode="External"/><Relationship Id="rId168" Type="http://schemas.openxmlformats.org/officeDocument/2006/relationships/hyperlink" Target="https://adstransparency.google.com/advertiser/AR01693402396748677121/creative/CR17760527261812916225?region=anywhere" TargetMode="External"/><Relationship Id="rId167" Type="http://schemas.openxmlformats.org/officeDocument/2006/relationships/hyperlink" Target="https://www.tryprofound.com/" TargetMode="External"/><Relationship Id="rId166" Type="http://schemas.openxmlformats.org/officeDocument/2006/relationships/hyperlink" Target="https://adstransparency.google.com/advertiser/AR01693402396748677121/creative/CR12288295548645015553?region=anywhere" TargetMode="External"/><Relationship Id="rId161" Type="http://schemas.openxmlformats.org/officeDocument/2006/relationships/hyperlink" Target="https://www.tryprofound.com/" TargetMode="External"/><Relationship Id="rId160" Type="http://schemas.openxmlformats.org/officeDocument/2006/relationships/hyperlink" Target="https://adstransparency.google.com/advertiser/AR01693402396748677121/creative/CR07543249352567816193?region=anywhere" TargetMode="External"/><Relationship Id="rId159" Type="http://schemas.openxmlformats.org/officeDocument/2006/relationships/hyperlink" Target="https://www.tryprofound.com/" TargetMode="External"/><Relationship Id="rId154" Type="http://schemas.openxmlformats.org/officeDocument/2006/relationships/hyperlink" Target="https://adstransparency.google.com/advertiser/AR01693402396748677121/creative/CR05781273172963753985?region=anywhere" TargetMode="External"/><Relationship Id="rId153" Type="http://schemas.openxmlformats.org/officeDocument/2006/relationships/hyperlink" Target="https://www.tryprofound.com/" TargetMode="External"/><Relationship Id="rId152" Type="http://schemas.openxmlformats.org/officeDocument/2006/relationships/hyperlink" Target="https://adstransparency.google.com/advertiser/AR01693402396748677121/creative/CR12433819829591343105?region=anywhere" TargetMode="External"/><Relationship Id="rId151" Type="http://schemas.openxmlformats.org/officeDocument/2006/relationships/hyperlink" Target="https://www.tryprofound.com/" TargetMode="External"/><Relationship Id="rId158" Type="http://schemas.openxmlformats.org/officeDocument/2006/relationships/hyperlink" Target="https://adstransparency.google.com/advertiser/AR01693402396748677121/creative/CR05779390946495954945?region=anywhere" TargetMode="External"/><Relationship Id="rId157" Type="http://schemas.openxmlformats.org/officeDocument/2006/relationships/hyperlink" Target="https://www.tryprofound.com/" TargetMode="External"/><Relationship Id="rId156" Type="http://schemas.openxmlformats.org/officeDocument/2006/relationships/hyperlink" Target="https://adstransparency.google.com/advertiser/AR01693402396748677121/creative/CR04176038285774159873?region=anywhere" TargetMode="External"/><Relationship Id="rId155" Type="http://schemas.openxmlformats.org/officeDocument/2006/relationships/hyperlink" Target="https://www.tryprofound.com/" TargetMode="External"/><Relationship Id="rId1972" Type="http://schemas.openxmlformats.org/officeDocument/2006/relationships/hyperlink" Target="https://adstransparency.google.com/advertiser/AR11070511645502472193/creative/CR13325210854170296321?region=anywhere" TargetMode="External"/><Relationship Id="rId1973" Type="http://schemas.openxmlformats.org/officeDocument/2006/relationships/hyperlink" Target="https://www.semrush.com/" TargetMode="External"/><Relationship Id="rId1974" Type="http://schemas.openxmlformats.org/officeDocument/2006/relationships/hyperlink" Target="https://adstransparency.google.com/advertiser/AR11070511645502472193/creative/CR05641650907226570753?region=anywhere" TargetMode="External"/><Relationship Id="rId1975" Type="http://schemas.openxmlformats.org/officeDocument/2006/relationships/hyperlink" Target="https://www.semrush.com/" TargetMode="External"/><Relationship Id="rId1976" Type="http://schemas.openxmlformats.org/officeDocument/2006/relationships/hyperlink" Target="https://adstransparency.google.com/advertiser/AR11070511645502472193/creative/CR01335320364711936001?region=anywhere" TargetMode="External"/><Relationship Id="rId1977" Type="http://schemas.openxmlformats.org/officeDocument/2006/relationships/hyperlink" Target="https://www.semrush.com/" TargetMode="External"/><Relationship Id="rId1978" Type="http://schemas.openxmlformats.org/officeDocument/2006/relationships/hyperlink" Target="https://adstransparency.google.com/advertiser/AR11070511645502472193/creative/CR12072792893098557441?region=anywhere" TargetMode="External"/><Relationship Id="rId1979" Type="http://schemas.openxmlformats.org/officeDocument/2006/relationships/hyperlink" Target="https://www.semrush.com/features/" TargetMode="External"/><Relationship Id="rId1970" Type="http://schemas.openxmlformats.org/officeDocument/2006/relationships/hyperlink" Target="https://adstransparency.google.com/advertiser/AR11070511645502472193/creative/CR07990005262217904129?region=anywhere" TargetMode="External"/><Relationship Id="rId1971" Type="http://schemas.openxmlformats.org/officeDocument/2006/relationships/hyperlink" Target="https://www.semrush.com/" TargetMode="External"/><Relationship Id="rId1961" Type="http://schemas.openxmlformats.org/officeDocument/2006/relationships/hyperlink" Target="https://www.semrush.com/" TargetMode="External"/><Relationship Id="rId1962" Type="http://schemas.openxmlformats.org/officeDocument/2006/relationships/hyperlink" Target="https://adstransparency.google.com/advertiser/AR11070511645502472193/creative/CR16024363981686702081?region=anywhere" TargetMode="External"/><Relationship Id="rId1963" Type="http://schemas.openxmlformats.org/officeDocument/2006/relationships/hyperlink" Target="https://www.semrush.com/analytics/backlinks/overview/" TargetMode="External"/><Relationship Id="rId1964" Type="http://schemas.openxmlformats.org/officeDocument/2006/relationships/hyperlink" Target="https://adstransparency.google.com/advertiser/AR11070511645502472193/creative/CR16331909753481461761?region=anywhere" TargetMode="External"/><Relationship Id="rId1965" Type="http://schemas.openxmlformats.org/officeDocument/2006/relationships/hyperlink" Target="https://www.semrush.com/features/" TargetMode="External"/><Relationship Id="rId1966" Type="http://schemas.openxmlformats.org/officeDocument/2006/relationships/hyperlink" Target="https://adstransparency.google.com/advertiser/AR11070511645502472193/creative/CR11443361656298536961?region=anywhere" TargetMode="External"/><Relationship Id="rId1967" Type="http://schemas.openxmlformats.org/officeDocument/2006/relationships/hyperlink" Target="https://www.semrush.com/agencies/" TargetMode="External"/><Relationship Id="rId1968" Type="http://schemas.openxmlformats.org/officeDocument/2006/relationships/hyperlink" Target="https://adstransparency.google.com/advertiser/AR11070511645502472193/creative/CR03998802173927358465?region=anywhere" TargetMode="External"/><Relationship Id="rId1969" Type="http://schemas.openxmlformats.org/officeDocument/2006/relationships/hyperlink" Target="https://www.semrush.com/pricing/" TargetMode="External"/><Relationship Id="rId1960" Type="http://schemas.openxmlformats.org/officeDocument/2006/relationships/hyperlink" Target="https://adstransparency.google.com/advertiser/AR11070511645502472193/creative/CR08625619293419077633?region=anywhere" TargetMode="External"/><Relationship Id="rId1510" Type="http://schemas.openxmlformats.org/officeDocument/2006/relationships/hyperlink" Target="https://adstransparency.google.com/advertiser/AR11070511645502472193/creative/CR04610598446808694785?region=anywhere" TargetMode="External"/><Relationship Id="rId1994" Type="http://schemas.openxmlformats.org/officeDocument/2006/relationships/hyperlink" Target="https://adstransparency.google.com/advertiser/AR11070511645502472193/creative/CR17667677911483678721?region=anywhere" TargetMode="External"/><Relationship Id="rId1511" Type="http://schemas.openxmlformats.org/officeDocument/2006/relationships/hyperlink" Target="https://www.semrush.com/" TargetMode="External"/><Relationship Id="rId1995" Type="http://schemas.openxmlformats.org/officeDocument/2006/relationships/hyperlink" Target="https://www.semrush.com/agencies/" TargetMode="External"/><Relationship Id="rId1512" Type="http://schemas.openxmlformats.org/officeDocument/2006/relationships/hyperlink" Target="https://adstransparency.google.com/advertiser/AR11070511645502472193/creative/CR09969093584822992897?region=anywhere" TargetMode="External"/><Relationship Id="rId1996" Type="http://schemas.openxmlformats.org/officeDocument/2006/relationships/hyperlink" Target="https://adstransparency.google.com/advertiser/AR11070511645502472193/creative/CR15557928403037323265?region=anywhere" TargetMode="External"/><Relationship Id="rId1513" Type="http://schemas.openxmlformats.org/officeDocument/2006/relationships/hyperlink" Target="https://www.semrush.com/" TargetMode="External"/><Relationship Id="rId1997" Type="http://schemas.openxmlformats.org/officeDocument/2006/relationships/hyperlink" Target="https://www.semrush.com/pricing/" TargetMode="External"/><Relationship Id="rId1514" Type="http://schemas.openxmlformats.org/officeDocument/2006/relationships/hyperlink" Target="https://adstransparency.google.com/advertiser/AR11070511645502472193/creative/CR12685358858479075329?region=anywhere" TargetMode="External"/><Relationship Id="rId1998" Type="http://schemas.openxmlformats.org/officeDocument/2006/relationships/hyperlink" Target="https://adstransparency.google.com/advertiser/AR11070511645502472193/creative/CR09957132032184156161?region=anywhere" TargetMode="External"/><Relationship Id="rId1515" Type="http://schemas.openxmlformats.org/officeDocument/2006/relationships/hyperlink" Target="https://www.semrush.com/analytics/backlinks/overview/" TargetMode="External"/><Relationship Id="rId1999" Type="http://schemas.openxmlformats.org/officeDocument/2006/relationships/hyperlink" Target="https://www.semrush.com/" TargetMode="External"/><Relationship Id="rId1516" Type="http://schemas.openxmlformats.org/officeDocument/2006/relationships/hyperlink" Target="https://adstransparency.google.com/advertiser/AR11070511645502472193/creative/CR15303701420406996993?region=anywhere" TargetMode="External"/><Relationship Id="rId1517" Type="http://schemas.openxmlformats.org/officeDocument/2006/relationships/hyperlink" Target="https://www.semrush.com/features/" TargetMode="External"/><Relationship Id="rId1518" Type="http://schemas.openxmlformats.org/officeDocument/2006/relationships/hyperlink" Target="https://adstransparency.google.com/advertiser/AR11070511645502472193/creative/CR13218089834322591745?region=anywhere" TargetMode="External"/><Relationship Id="rId1519" Type="http://schemas.openxmlformats.org/officeDocument/2006/relationships/hyperlink" Target="https://www.semrush.com/agencies/" TargetMode="External"/><Relationship Id="rId1990" Type="http://schemas.openxmlformats.org/officeDocument/2006/relationships/hyperlink" Target="https://adstransparency.google.com/advertiser/AR11070511645502472193/creative/CR07249351552320667649?region=anywhere" TargetMode="External"/><Relationship Id="rId1991" Type="http://schemas.openxmlformats.org/officeDocument/2006/relationships/hyperlink" Target="https://www.semrush.com/analytics/backlinks/overview/" TargetMode="External"/><Relationship Id="rId1992" Type="http://schemas.openxmlformats.org/officeDocument/2006/relationships/hyperlink" Target="https://adstransparency.google.com/advertiser/AR11070511645502472193/creative/CR13712553922869067777?region=anywhere" TargetMode="External"/><Relationship Id="rId1993" Type="http://schemas.openxmlformats.org/officeDocument/2006/relationships/hyperlink" Target="https://www.semrush.com/features/" TargetMode="External"/><Relationship Id="rId1983" Type="http://schemas.openxmlformats.org/officeDocument/2006/relationships/hyperlink" Target="https://www.semrush.com/" TargetMode="External"/><Relationship Id="rId1500" Type="http://schemas.openxmlformats.org/officeDocument/2006/relationships/hyperlink" Target="https://adstransparency.google.com/advertiser/AR11070511645502472193/creative/CR08038620821675048961?region=anywhere" TargetMode="External"/><Relationship Id="rId1984" Type="http://schemas.openxmlformats.org/officeDocument/2006/relationships/hyperlink" Target="https://adstransparency.google.com/advertiser/AR11070511645502472193/creative/CR10995233702165872641?region=anywhere" TargetMode="External"/><Relationship Id="rId1501" Type="http://schemas.openxmlformats.org/officeDocument/2006/relationships/hyperlink" Target="https://www.semrush.com/" TargetMode="External"/><Relationship Id="rId1985" Type="http://schemas.openxmlformats.org/officeDocument/2006/relationships/hyperlink" Target="https://www.semrush.com/analytics/keywordoverview/" TargetMode="External"/><Relationship Id="rId1502" Type="http://schemas.openxmlformats.org/officeDocument/2006/relationships/hyperlink" Target="https://adstransparency.google.com/advertiser/AR11070511645502472193/creative/CR01149822582623567873?region=anywhere" TargetMode="External"/><Relationship Id="rId1986" Type="http://schemas.openxmlformats.org/officeDocument/2006/relationships/hyperlink" Target="https://adstransparency.google.com/advertiser/AR11070511645502472193/creative/CR09062578133558886401?region=anywhere" TargetMode="External"/><Relationship Id="rId1503" Type="http://schemas.openxmlformats.org/officeDocument/2006/relationships/hyperlink" Target="https://www.semrush.com/features/" TargetMode="External"/><Relationship Id="rId1987" Type="http://schemas.openxmlformats.org/officeDocument/2006/relationships/hyperlink" Target="https://www.semrush.com/" TargetMode="External"/><Relationship Id="rId1504" Type="http://schemas.openxmlformats.org/officeDocument/2006/relationships/hyperlink" Target="https://adstransparency.google.com/advertiser/AR11070511645502472193/creative/CR01005355825704730625?region=anywhere" TargetMode="External"/><Relationship Id="rId1988" Type="http://schemas.openxmlformats.org/officeDocument/2006/relationships/hyperlink" Target="https://adstransparency.google.com/advertiser/AR11070511645502472193/creative/CR17136723059235880961?region=anywhere" TargetMode="External"/><Relationship Id="rId1505" Type="http://schemas.openxmlformats.org/officeDocument/2006/relationships/hyperlink" Target="https://www.semrush.com/kb/demo/" TargetMode="External"/><Relationship Id="rId1989" Type="http://schemas.openxmlformats.org/officeDocument/2006/relationships/hyperlink" Target="https://www.semrush.com/" TargetMode="External"/><Relationship Id="rId1506" Type="http://schemas.openxmlformats.org/officeDocument/2006/relationships/hyperlink" Target="https://adstransparency.google.com/advertiser/AR11070511645502472193/creative/CR01976846435575922689?region=anywhere" TargetMode="External"/><Relationship Id="rId1507" Type="http://schemas.openxmlformats.org/officeDocument/2006/relationships/hyperlink" Target="https://www.semrush.com/" TargetMode="External"/><Relationship Id="rId1508" Type="http://schemas.openxmlformats.org/officeDocument/2006/relationships/hyperlink" Target="https://adstransparency.google.com/advertiser/AR11070511645502472193/creative/CR13688346834353782785?region=anywhere" TargetMode="External"/><Relationship Id="rId1509" Type="http://schemas.openxmlformats.org/officeDocument/2006/relationships/hyperlink" Target="https://www.semrush.com/analytics/keywordoverview/" TargetMode="External"/><Relationship Id="rId1980" Type="http://schemas.openxmlformats.org/officeDocument/2006/relationships/hyperlink" Target="https://adstransparency.google.com/advertiser/AR11070511645502472193/creative/CR02924431326197055489?region=anywhere" TargetMode="External"/><Relationship Id="rId1981" Type="http://schemas.openxmlformats.org/officeDocument/2006/relationships/hyperlink" Target="https://www.semrush.com/kb/demo/" TargetMode="External"/><Relationship Id="rId1982" Type="http://schemas.openxmlformats.org/officeDocument/2006/relationships/hyperlink" Target="https://adstransparency.google.com/advertiser/AR11070511645502472193/creative/CR05296652986250952705?region=anywhere" TargetMode="External"/><Relationship Id="rId1930" Type="http://schemas.openxmlformats.org/officeDocument/2006/relationships/hyperlink" Target="https://adstransparency.google.com/advertiser/AR11070511645502472193/creative/CR11780459380070154241?region=anywhere" TargetMode="External"/><Relationship Id="rId1931" Type="http://schemas.openxmlformats.org/officeDocument/2006/relationships/hyperlink" Target="https://www.semrush.com/" TargetMode="External"/><Relationship Id="rId1932" Type="http://schemas.openxmlformats.org/officeDocument/2006/relationships/hyperlink" Target="https://adstransparency.google.com/advertiser/AR11070511645502472193/creative/CR07778814023692189697?region=anywhere" TargetMode="External"/><Relationship Id="rId1933" Type="http://schemas.openxmlformats.org/officeDocument/2006/relationships/hyperlink" Target="https://www.semrush.com/" TargetMode="External"/><Relationship Id="rId1934" Type="http://schemas.openxmlformats.org/officeDocument/2006/relationships/hyperlink" Target="https://adstransparency.google.com/advertiser/AR11070511645502472193/creative/CR06435452707108028417?region=anywhere" TargetMode="External"/><Relationship Id="rId1935" Type="http://schemas.openxmlformats.org/officeDocument/2006/relationships/hyperlink" Target="https://www.semrush.com/analytics/backlinks/overview/" TargetMode="External"/><Relationship Id="rId1936" Type="http://schemas.openxmlformats.org/officeDocument/2006/relationships/hyperlink" Target="https://adstransparency.google.com/advertiser/AR11070511645502472193/creative/CR17806000150749904897?region=anywhere" TargetMode="External"/><Relationship Id="rId1937" Type="http://schemas.openxmlformats.org/officeDocument/2006/relationships/hyperlink" Target="https://www.semrush.com/features/" TargetMode="External"/><Relationship Id="rId1938" Type="http://schemas.openxmlformats.org/officeDocument/2006/relationships/hyperlink" Target="https://adstransparency.google.com/advertiser/AR11070511645502472193/creative/CR09021166127610331137?region=anywhere" TargetMode="External"/><Relationship Id="rId1939" Type="http://schemas.openxmlformats.org/officeDocument/2006/relationships/hyperlink" Target="https://www.semrush.com/agencies/" TargetMode="External"/><Relationship Id="rId1920" Type="http://schemas.openxmlformats.org/officeDocument/2006/relationships/hyperlink" Target="https://adstransparency.google.com/advertiser/AR11070511645502472193/creative/CR04784680308903510017?region=anywhere" TargetMode="External"/><Relationship Id="rId1921" Type="http://schemas.openxmlformats.org/officeDocument/2006/relationships/hyperlink" Target="https://www.semrush.com/" TargetMode="External"/><Relationship Id="rId1922" Type="http://schemas.openxmlformats.org/officeDocument/2006/relationships/hyperlink" Target="https://adstransparency.google.com/advertiser/AR11070511645502472193/creative/CR12238469229317193729?region=anywhere" TargetMode="External"/><Relationship Id="rId1923" Type="http://schemas.openxmlformats.org/officeDocument/2006/relationships/hyperlink" Target="https://www.semrush.com/features/" TargetMode="External"/><Relationship Id="rId1924" Type="http://schemas.openxmlformats.org/officeDocument/2006/relationships/hyperlink" Target="https://adstransparency.google.com/advertiser/AR11070511645502472193/creative/CR13312965696250970113?region=anywhere" TargetMode="External"/><Relationship Id="rId1925" Type="http://schemas.openxmlformats.org/officeDocument/2006/relationships/hyperlink" Target="https://www.semrush.com/kb/demo/" TargetMode="External"/><Relationship Id="rId1926" Type="http://schemas.openxmlformats.org/officeDocument/2006/relationships/hyperlink" Target="https://adstransparency.google.com/advertiser/AR11070511645502472193/creative/CR05051256250222772225?region=anywhere" TargetMode="External"/><Relationship Id="rId1927" Type="http://schemas.openxmlformats.org/officeDocument/2006/relationships/hyperlink" Target="https://www.semrush.com/" TargetMode="External"/><Relationship Id="rId1928" Type="http://schemas.openxmlformats.org/officeDocument/2006/relationships/hyperlink" Target="https://adstransparency.google.com/advertiser/AR11070511645502472193/creative/CR11677419816104230913?region=anywhere" TargetMode="External"/><Relationship Id="rId1929" Type="http://schemas.openxmlformats.org/officeDocument/2006/relationships/hyperlink" Target="https://www.semrush.com/analytics/keywordoverview/" TargetMode="External"/><Relationship Id="rId1950" Type="http://schemas.openxmlformats.org/officeDocument/2006/relationships/hyperlink" Target="https://adstransparency.google.com/advertiser/AR11070511645502472193/creative/CR10724569398657417217?region=anywhere" TargetMode="External"/><Relationship Id="rId1951" Type="http://schemas.openxmlformats.org/officeDocument/2006/relationships/hyperlink" Target="https://www.semrush.com/features/" TargetMode="External"/><Relationship Id="rId1952" Type="http://schemas.openxmlformats.org/officeDocument/2006/relationships/hyperlink" Target="https://adstransparency.google.com/advertiser/AR11070511645502472193/creative/CR11776635038110580737?region=anywhere" TargetMode="External"/><Relationship Id="rId1953" Type="http://schemas.openxmlformats.org/officeDocument/2006/relationships/hyperlink" Target="https://www.semrush.com/kb/demo/" TargetMode="External"/><Relationship Id="rId1954" Type="http://schemas.openxmlformats.org/officeDocument/2006/relationships/hyperlink" Target="https://adstransparency.google.com/advertiser/AR11070511645502472193/creative/CR14828721708696862721?region=anywhere" TargetMode="External"/><Relationship Id="rId1955" Type="http://schemas.openxmlformats.org/officeDocument/2006/relationships/hyperlink" Target="https://www.semrush.com/" TargetMode="External"/><Relationship Id="rId1956" Type="http://schemas.openxmlformats.org/officeDocument/2006/relationships/hyperlink" Target="https://adstransparency.google.com/advertiser/AR11070511645502472193/creative/CR01433030630177767425?region=anywhere" TargetMode="External"/><Relationship Id="rId1957" Type="http://schemas.openxmlformats.org/officeDocument/2006/relationships/hyperlink" Target="https://www.semrush.com/analytics/keywordoverview/" TargetMode="External"/><Relationship Id="rId1958" Type="http://schemas.openxmlformats.org/officeDocument/2006/relationships/hyperlink" Target="https://adstransparency.google.com/advertiser/AR11070511645502472193/creative/CR01571331669485420545?region=anywhere" TargetMode="External"/><Relationship Id="rId1959" Type="http://schemas.openxmlformats.org/officeDocument/2006/relationships/hyperlink" Target="https://www.semrush.com/" TargetMode="External"/><Relationship Id="rId1940" Type="http://schemas.openxmlformats.org/officeDocument/2006/relationships/hyperlink" Target="https://adstransparency.google.com/advertiser/AR11070511645502472193/creative/CR00107832833367605249?region=anywhere" TargetMode="External"/><Relationship Id="rId1941" Type="http://schemas.openxmlformats.org/officeDocument/2006/relationships/hyperlink" Target="https://www.semrush.com/pricing/" TargetMode="External"/><Relationship Id="rId1942" Type="http://schemas.openxmlformats.org/officeDocument/2006/relationships/hyperlink" Target="https://adstransparency.google.com/advertiser/AR11070511645502472193/creative/CR13411109238017622017?region=anywhere" TargetMode="External"/><Relationship Id="rId1943" Type="http://schemas.openxmlformats.org/officeDocument/2006/relationships/hyperlink" Target="https://www.semrush.com/" TargetMode="External"/><Relationship Id="rId1944" Type="http://schemas.openxmlformats.org/officeDocument/2006/relationships/hyperlink" Target="https://adstransparency.google.com/advertiser/AR11070511645502472193/creative/CR09611199251447021569?region=anywhere" TargetMode="External"/><Relationship Id="rId1945" Type="http://schemas.openxmlformats.org/officeDocument/2006/relationships/hyperlink" Target="https://www.semrush.com/" TargetMode="External"/><Relationship Id="rId1946" Type="http://schemas.openxmlformats.org/officeDocument/2006/relationships/hyperlink" Target="https://adstransparency.google.com/advertiser/AR11070511645502472193/creative/CR17213456154672234497?region=anywhere" TargetMode="External"/><Relationship Id="rId1947" Type="http://schemas.openxmlformats.org/officeDocument/2006/relationships/hyperlink" Target="https://www.semrush.com/" TargetMode="External"/><Relationship Id="rId1948" Type="http://schemas.openxmlformats.org/officeDocument/2006/relationships/hyperlink" Target="https://adstransparency.google.com/advertiser/AR11070511645502472193/creative/CR17439792822273179649?region=anywhere" TargetMode="External"/><Relationship Id="rId1949" Type="http://schemas.openxmlformats.org/officeDocument/2006/relationships/hyperlink" Target="https://www.semrush.com/" TargetMode="External"/><Relationship Id="rId1576" Type="http://schemas.openxmlformats.org/officeDocument/2006/relationships/hyperlink" Target="https://adstransparency.google.com/advertiser/AR11070511645502472193/creative/CR09749971294048223233?region=anywhere" TargetMode="External"/><Relationship Id="rId1577" Type="http://schemas.openxmlformats.org/officeDocument/2006/relationships/hyperlink" Target="https://www.semrush.com/pricing/" TargetMode="External"/><Relationship Id="rId1578" Type="http://schemas.openxmlformats.org/officeDocument/2006/relationships/hyperlink" Target="https://adstransparency.google.com/advertiser/AR11070511645502472193/creative/CR11516411422141579265?region=anywhere" TargetMode="External"/><Relationship Id="rId1579" Type="http://schemas.openxmlformats.org/officeDocument/2006/relationships/hyperlink" Target="https://www.semrush.com/" TargetMode="External"/><Relationship Id="rId509" Type="http://schemas.openxmlformats.org/officeDocument/2006/relationships/hyperlink" Target="https://peec.ai/black-friday" TargetMode="External"/><Relationship Id="rId508" Type="http://schemas.openxmlformats.org/officeDocument/2006/relationships/hyperlink" Target="https://adstransparency.google.com/advertiser/AR05016556376214732801/creative/CR01899007978766336001?region=anywhere" TargetMode="External"/><Relationship Id="rId503" Type="http://schemas.openxmlformats.org/officeDocument/2006/relationships/hyperlink" Target="https://peec.ai/demo" TargetMode="External"/><Relationship Id="rId987" Type="http://schemas.openxmlformats.org/officeDocument/2006/relationships/hyperlink" Target="https://peec.ai/" TargetMode="External"/><Relationship Id="rId502" Type="http://schemas.openxmlformats.org/officeDocument/2006/relationships/hyperlink" Target="https://adstransparency.google.com/advertiser/AR05016556376214732801/creative/CR17795802068733132801?region=anywhere" TargetMode="External"/><Relationship Id="rId986" Type="http://schemas.openxmlformats.org/officeDocument/2006/relationships/hyperlink" Target="https://adstransparency.google.com/advertiser/AR05016556376214732801/creative/CR13382635116673630209?region=anywhere" TargetMode="External"/><Relationship Id="rId501" Type="http://schemas.openxmlformats.org/officeDocument/2006/relationships/hyperlink" Target="https://peec.ai/for-agencies" TargetMode="External"/><Relationship Id="rId985" Type="http://schemas.openxmlformats.org/officeDocument/2006/relationships/hyperlink" Target="https://peec.ai/for-agencies" TargetMode="External"/><Relationship Id="rId500" Type="http://schemas.openxmlformats.org/officeDocument/2006/relationships/hyperlink" Target="https://adstransparency.google.com/advertiser/AR05016556376214732801/creative/CR02090198800135094273?region=anywhere" TargetMode="External"/><Relationship Id="rId984" Type="http://schemas.openxmlformats.org/officeDocument/2006/relationships/hyperlink" Target="https://adstransparency.google.com/advertiser/AR05016556376214732801/creative/CR14195253374437294081?region=anywhere" TargetMode="External"/><Relationship Id="rId507" Type="http://schemas.openxmlformats.org/officeDocument/2006/relationships/hyperlink" Target="https://peec.ai/" TargetMode="External"/><Relationship Id="rId506" Type="http://schemas.openxmlformats.org/officeDocument/2006/relationships/hyperlink" Target="https://adstransparency.google.com/advertiser/AR05016556376214732801/creative/CR00714493107046973441?region=anywhere" TargetMode="External"/><Relationship Id="rId505" Type="http://schemas.openxmlformats.org/officeDocument/2006/relationships/hyperlink" Target="https://peec.ai/" TargetMode="External"/><Relationship Id="rId989" Type="http://schemas.openxmlformats.org/officeDocument/2006/relationships/hyperlink" Target="https://peec.ai/visibility/platform" TargetMode="External"/><Relationship Id="rId504" Type="http://schemas.openxmlformats.org/officeDocument/2006/relationships/hyperlink" Target="https://adstransparency.google.com/advertiser/AR05016556376214732801/creative/CR01363372093202235393?region=anywhere" TargetMode="External"/><Relationship Id="rId988" Type="http://schemas.openxmlformats.org/officeDocument/2006/relationships/hyperlink" Target="https://adstransparency.google.com/advertiser/AR05016556376214732801/creative/CR16392308504175575041?region=anywhere" TargetMode="External"/><Relationship Id="rId1570" Type="http://schemas.openxmlformats.org/officeDocument/2006/relationships/hyperlink" Target="https://adstransparency.google.com/advertiser/AR11070511645502472193/creative/CR14175110115258007553?region=anywhere" TargetMode="External"/><Relationship Id="rId1571" Type="http://schemas.openxmlformats.org/officeDocument/2006/relationships/hyperlink" Target="https://www.semrush.com/analytics/backlinks/overview/" TargetMode="External"/><Relationship Id="rId983" Type="http://schemas.openxmlformats.org/officeDocument/2006/relationships/hyperlink" Target="https://peec.ai/black-friday" TargetMode="External"/><Relationship Id="rId1572" Type="http://schemas.openxmlformats.org/officeDocument/2006/relationships/hyperlink" Target="https://adstransparency.google.com/advertiser/AR11070511645502472193/creative/CR17892646546101501953?region=anywhere" TargetMode="External"/><Relationship Id="rId982" Type="http://schemas.openxmlformats.org/officeDocument/2006/relationships/hyperlink" Target="https://adstransparency.google.com/advertiser/AR05016556376214732801/creative/CR12448701143947673601?region=anywhere" TargetMode="External"/><Relationship Id="rId1573" Type="http://schemas.openxmlformats.org/officeDocument/2006/relationships/hyperlink" Target="https://www.semrush.com/features/" TargetMode="External"/><Relationship Id="rId981" Type="http://schemas.openxmlformats.org/officeDocument/2006/relationships/hyperlink" Target="https://peec.ai/visibility/platform" TargetMode="External"/><Relationship Id="rId1574" Type="http://schemas.openxmlformats.org/officeDocument/2006/relationships/hyperlink" Target="https://adstransparency.google.com/advertiser/AR11070511645502472193/creative/CR08489605100858245121?region=anywhere" TargetMode="External"/><Relationship Id="rId980" Type="http://schemas.openxmlformats.org/officeDocument/2006/relationships/hyperlink" Target="https://adstransparency.google.com/advertiser/AR05016556376214732801/creative/CR07978548660294123521?region=anywhere" TargetMode="External"/><Relationship Id="rId1575" Type="http://schemas.openxmlformats.org/officeDocument/2006/relationships/hyperlink" Target="https://www.semrush.com/agencies/" TargetMode="External"/><Relationship Id="rId1565" Type="http://schemas.openxmlformats.org/officeDocument/2006/relationships/hyperlink" Target="https://www.semrush.com/analytics/keywordoverview/" TargetMode="External"/><Relationship Id="rId1566" Type="http://schemas.openxmlformats.org/officeDocument/2006/relationships/hyperlink" Target="https://adstransparency.google.com/advertiser/AR11070511645502472193/creative/CR17407242948763975681?region=anywhere" TargetMode="External"/><Relationship Id="rId1567" Type="http://schemas.openxmlformats.org/officeDocument/2006/relationships/hyperlink" Target="https://www.semrush.com/" TargetMode="External"/><Relationship Id="rId1568" Type="http://schemas.openxmlformats.org/officeDocument/2006/relationships/hyperlink" Target="https://adstransparency.google.com/advertiser/AR11070511645502472193/creative/CR06219010991322038273?region=anywhere" TargetMode="External"/><Relationship Id="rId1569" Type="http://schemas.openxmlformats.org/officeDocument/2006/relationships/hyperlink" Target="https://www.semrush.com/" TargetMode="External"/><Relationship Id="rId976" Type="http://schemas.openxmlformats.org/officeDocument/2006/relationships/hyperlink" Target="https://adstransparency.google.com/advertiser/AR05016556376214732801/creative/CR07517576211325779969?region=anywhere" TargetMode="External"/><Relationship Id="rId975" Type="http://schemas.openxmlformats.org/officeDocument/2006/relationships/hyperlink" Target="https://peec.ai/" TargetMode="External"/><Relationship Id="rId974" Type="http://schemas.openxmlformats.org/officeDocument/2006/relationships/hyperlink" Target="https://adstransparency.google.com/advertiser/AR05016556376214732801/creative/CR08247546379052777473?region=anywhere" TargetMode="External"/><Relationship Id="rId973" Type="http://schemas.openxmlformats.org/officeDocument/2006/relationships/hyperlink" Target="https://peec.ai/for-agencies" TargetMode="External"/><Relationship Id="rId979" Type="http://schemas.openxmlformats.org/officeDocument/2006/relationships/hyperlink" Target="https://peec.ai/pricing" TargetMode="External"/><Relationship Id="rId978" Type="http://schemas.openxmlformats.org/officeDocument/2006/relationships/hyperlink" Target="https://adstransparency.google.com/advertiser/AR05016556376214732801/creative/CR04036658737228808193?region=anywhere" TargetMode="External"/><Relationship Id="rId977" Type="http://schemas.openxmlformats.org/officeDocument/2006/relationships/hyperlink" Target="https://peec.ai/visibility/platform" TargetMode="External"/><Relationship Id="rId1560" Type="http://schemas.openxmlformats.org/officeDocument/2006/relationships/hyperlink" Target="https://adstransparency.google.com/advertiser/AR11070511645502472193/creative/CR07008123545909723137?region=anywhere" TargetMode="External"/><Relationship Id="rId972" Type="http://schemas.openxmlformats.org/officeDocument/2006/relationships/hyperlink" Target="https://adstransparency.google.com/advertiser/AR05016556376214732801/creative/CR17370574785733459969?region=anywhere" TargetMode="External"/><Relationship Id="rId1561" Type="http://schemas.openxmlformats.org/officeDocument/2006/relationships/hyperlink" Target="https://www.semrush.com/kb/demo/" TargetMode="External"/><Relationship Id="rId971" Type="http://schemas.openxmlformats.org/officeDocument/2006/relationships/hyperlink" Target="https://peec.ai/black-friday" TargetMode="External"/><Relationship Id="rId1562" Type="http://schemas.openxmlformats.org/officeDocument/2006/relationships/hyperlink" Target="https://adstransparency.google.com/advertiser/AR11070511645502472193/creative/CR15528795846026985473?region=anywhere" TargetMode="External"/><Relationship Id="rId970" Type="http://schemas.openxmlformats.org/officeDocument/2006/relationships/hyperlink" Target="https://adstransparency.google.com/advertiser/AR05016556376214732801/creative/CR11502289226074947585?region=anywhere" TargetMode="External"/><Relationship Id="rId1563" Type="http://schemas.openxmlformats.org/officeDocument/2006/relationships/hyperlink" Target="https://www.semrush.com/" TargetMode="External"/><Relationship Id="rId1564" Type="http://schemas.openxmlformats.org/officeDocument/2006/relationships/hyperlink" Target="https://adstransparency.google.com/advertiser/AR11070511645502472193/creative/CR02022941880022466561?region=anywhere" TargetMode="External"/><Relationship Id="rId1114" Type="http://schemas.openxmlformats.org/officeDocument/2006/relationships/hyperlink" Target="https://adstransparency.google.com/advertiser/AR05016556376214732801/creative/CR06895708446293753857?region=anywhere" TargetMode="External"/><Relationship Id="rId1598" Type="http://schemas.openxmlformats.org/officeDocument/2006/relationships/hyperlink" Target="https://adstransparency.google.com/advertiser/AR11070511645502472193/creative/CR01766514465387315201?region=anywhere" TargetMode="External"/><Relationship Id="rId1115" Type="http://schemas.openxmlformats.org/officeDocument/2006/relationships/hyperlink" Target="https://peec.ai/for-agencies" TargetMode="External"/><Relationship Id="rId1599" Type="http://schemas.openxmlformats.org/officeDocument/2006/relationships/hyperlink" Target="https://www.semrush.com/analytics/backlinks/overview/" TargetMode="External"/><Relationship Id="rId1116" Type="http://schemas.openxmlformats.org/officeDocument/2006/relationships/hyperlink" Target="https://adstransparency.google.com/advertiser/AR05016556376214732801/creative/CR14314962221875068929?region=anywhere" TargetMode="External"/><Relationship Id="rId1117" Type="http://schemas.openxmlformats.org/officeDocument/2006/relationships/hyperlink" Target="https://peec.ai/" TargetMode="External"/><Relationship Id="rId1118" Type="http://schemas.openxmlformats.org/officeDocument/2006/relationships/hyperlink" Target="https://adstransparency.google.com/advertiser/AR05016556376214732801/creative/CR12056615160043798529?region=anywhere" TargetMode="External"/><Relationship Id="rId1119" Type="http://schemas.openxmlformats.org/officeDocument/2006/relationships/hyperlink" Target="https://peec.ai/" TargetMode="External"/><Relationship Id="rId525" Type="http://schemas.openxmlformats.org/officeDocument/2006/relationships/hyperlink" Target="https://peec.ai/for-agencies" TargetMode="External"/><Relationship Id="rId524" Type="http://schemas.openxmlformats.org/officeDocument/2006/relationships/hyperlink" Target="https://adstransparency.google.com/advertiser/AR05016556376214732801/creative/CR13916836852528054273?region=anywhere" TargetMode="External"/><Relationship Id="rId523" Type="http://schemas.openxmlformats.org/officeDocument/2006/relationships/hyperlink" Target="https://peec.ai/pricing" TargetMode="External"/><Relationship Id="rId522" Type="http://schemas.openxmlformats.org/officeDocument/2006/relationships/hyperlink" Target="https://adstransparency.google.com/advertiser/AR05016556376214732801/creative/CR01478605515998101505?region=anywhere" TargetMode="External"/><Relationship Id="rId529" Type="http://schemas.openxmlformats.org/officeDocument/2006/relationships/hyperlink" Target="https://peec.ai/" TargetMode="External"/><Relationship Id="rId528" Type="http://schemas.openxmlformats.org/officeDocument/2006/relationships/hyperlink" Target="https://adstransparency.google.com/advertiser/AR05016556376214732801/creative/CR07077189368808472577?region=anywhere" TargetMode="External"/><Relationship Id="rId527" Type="http://schemas.openxmlformats.org/officeDocument/2006/relationships/hyperlink" Target="https://peec.ai/demo" TargetMode="External"/><Relationship Id="rId526" Type="http://schemas.openxmlformats.org/officeDocument/2006/relationships/hyperlink" Target="https://adstransparency.google.com/advertiser/AR05016556376214732801/creative/CR09451675601908793345?region=anywhere" TargetMode="External"/><Relationship Id="rId1590" Type="http://schemas.openxmlformats.org/officeDocument/2006/relationships/hyperlink" Target="https://adstransparency.google.com/advertiser/AR11070511645502472193/creative/CR01586370480292495361?region=anywhere" TargetMode="External"/><Relationship Id="rId1591" Type="http://schemas.openxmlformats.org/officeDocument/2006/relationships/hyperlink" Target="https://www.semrush.com/" TargetMode="External"/><Relationship Id="rId1592" Type="http://schemas.openxmlformats.org/officeDocument/2006/relationships/hyperlink" Target="https://adstransparency.google.com/advertiser/AR11070511645502472193/creative/CR15962260300774768641?region=anywhere" TargetMode="External"/><Relationship Id="rId1593" Type="http://schemas.openxmlformats.org/officeDocument/2006/relationships/hyperlink" Target="https://www.semrush.com/analytics/keywordoverview/" TargetMode="External"/><Relationship Id="rId521" Type="http://schemas.openxmlformats.org/officeDocument/2006/relationships/hyperlink" Target="https://peec.ai/visibility/platform" TargetMode="External"/><Relationship Id="rId1110" Type="http://schemas.openxmlformats.org/officeDocument/2006/relationships/hyperlink" Target="https://adstransparency.google.com/advertiser/AR05016556376214732801/creative/CR14165985611856478209?region=anywhere" TargetMode="External"/><Relationship Id="rId1594" Type="http://schemas.openxmlformats.org/officeDocument/2006/relationships/hyperlink" Target="https://adstransparency.google.com/advertiser/AR11070511645502472193/creative/CR08085015402003824641?region=anywhere" TargetMode="External"/><Relationship Id="rId520" Type="http://schemas.openxmlformats.org/officeDocument/2006/relationships/hyperlink" Target="https://adstransparency.google.com/advertiser/AR05016556376214732801/creative/CR15642813715768672257?region=anywhere" TargetMode="External"/><Relationship Id="rId1111" Type="http://schemas.openxmlformats.org/officeDocument/2006/relationships/hyperlink" Target="https://peec.ai/" TargetMode="External"/><Relationship Id="rId1595" Type="http://schemas.openxmlformats.org/officeDocument/2006/relationships/hyperlink" Target="https://www.semrush.com/" TargetMode="External"/><Relationship Id="rId1112" Type="http://schemas.openxmlformats.org/officeDocument/2006/relationships/hyperlink" Target="https://adstransparency.google.com/advertiser/AR05016556376214732801/creative/CR09045392835536224257?region=anywhere" TargetMode="External"/><Relationship Id="rId1596" Type="http://schemas.openxmlformats.org/officeDocument/2006/relationships/hyperlink" Target="https://adstransparency.google.com/advertiser/AR11070511645502472193/creative/CR06507813388398100481?region=anywhere" TargetMode="External"/><Relationship Id="rId1113" Type="http://schemas.openxmlformats.org/officeDocument/2006/relationships/hyperlink" Target="https://peec.ai/visibility/platform" TargetMode="External"/><Relationship Id="rId1597" Type="http://schemas.openxmlformats.org/officeDocument/2006/relationships/hyperlink" Target="https://www.semrush.com/" TargetMode="External"/><Relationship Id="rId1103" Type="http://schemas.openxmlformats.org/officeDocument/2006/relationships/hyperlink" Target="https://peec.ai/demo" TargetMode="External"/><Relationship Id="rId1587" Type="http://schemas.openxmlformats.org/officeDocument/2006/relationships/hyperlink" Target="https://www.semrush.com/features/" TargetMode="External"/><Relationship Id="rId1104" Type="http://schemas.openxmlformats.org/officeDocument/2006/relationships/hyperlink" Target="https://adstransparency.google.com/advertiser/AR05016556376214732801/creative/CR02417977647465234433?region=anywhere" TargetMode="External"/><Relationship Id="rId1588" Type="http://schemas.openxmlformats.org/officeDocument/2006/relationships/hyperlink" Target="https://adstransparency.google.com/advertiser/AR11070511645502472193/creative/CR01448711280897556481?region=anywhere" TargetMode="External"/><Relationship Id="rId1105" Type="http://schemas.openxmlformats.org/officeDocument/2006/relationships/hyperlink" Target="https://peec.ai/" TargetMode="External"/><Relationship Id="rId1589" Type="http://schemas.openxmlformats.org/officeDocument/2006/relationships/hyperlink" Target="https://www.semrush.com/kb/demo/" TargetMode="External"/><Relationship Id="rId1106" Type="http://schemas.openxmlformats.org/officeDocument/2006/relationships/hyperlink" Target="https://adstransparency.google.com/advertiser/AR05016556376214732801/creative/CR16678617002721411073?region=anywhere" TargetMode="External"/><Relationship Id="rId1107" Type="http://schemas.openxmlformats.org/officeDocument/2006/relationships/hyperlink" Target="https://peec.ai/" TargetMode="External"/><Relationship Id="rId1108" Type="http://schemas.openxmlformats.org/officeDocument/2006/relationships/hyperlink" Target="https://adstransparency.google.com/advertiser/AR05016556376214732801/creative/CR01618030092980584449?region=anywhere" TargetMode="External"/><Relationship Id="rId1109" Type="http://schemas.openxmlformats.org/officeDocument/2006/relationships/hyperlink" Target="https://peec.ai/black-friday" TargetMode="External"/><Relationship Id="rId519" Type="http://schemas.openxmlformats.org/officeDocument/2006/relationships/hyperlink" Target="https://peec.ai/" TargetMode="External"/><Relationship Id="rId514" Type="http://schemas.openxmlformats.org/officeDocument/2006/relationships/hyperlink" Target="https://adstransparency.google.com/advertiser/AR05016556376214732801/creative/CR05867077823444811777?region=anywhere" TargetMode="External"/><Relationship Id="rId998" Type="http://schemas.openxmlformats.org/officeDocument/2006/relationships/hyperlink" Target="https://adstransparency.google.com/advertiser/AR05016556376214732801/creative/CR16986935387593113601?region=anywhere" TargetMode="External"/><Relationship Id="rId513" Type="http://schemas.openxmlformats.org/officeDocument/2006/relationships/hyperlink" Target="https://peec.ai/visibility/platform" TargetMode="External"/><Relationship Id="rId997" Type="http://schemas.openxmlformats.org/officeDocument/2006/relationships/hyperlink" Target="https://peec.ai/" TargetMode="External"/><Relationship Id="rId512" Type="http://schemas.openxmlformats.org/officeDocument/2006/relationships/hyperlink" Target="https://adstransparency.google.com/advertiser/AR05016556376214732801/creative/CR10042571773653811201?region=anywhere" TargetMode="External"/><Relationship Id="rId996" Type="http://schemas.openxmlformats.org/officeDocument/2006/relationships/hyperlink" Target="https://adstransparency.google.com/advertiser/AR05016556376214732801/creative/CR07347813815020421121?region=anywhere" TargetMode="External"/><Relationship Id="rId511" Type="http://schemas.openxmlformats.org/officeDocument/2006/relationships/hyperlink" Target="https://peec.ai/" TargetMode="External"/><Relationship Id="rId995" Type="http://schemas.openxmlformats.org/officeDocument/2006/relationships/hyperlink" Target="https://peec.ai/black-friday" TargetMode="External"/><Relationship Id="rId518" Type="http://schemas.openxmlformats.org/officeDocument/2006/relationships/hyperlink" Target="https://adstransparency.google.com/advertiser/AR05016556376214732801/creative/CR09652827886956052481?region=anywhere" TargetMode="External"/><Relationship Id="rId517" Type="http://schemas.openxmlformats.org/officeDocument/2006/relationships/hyperlink" Target="https://peec.ai/" TargetMode="External"/><Relationship Id="rId516" Type="http://schemas.openxmlformats.org/officeDocument/2006/relationships/hyperlink" Target="https://adstransparency.google.com/advertiser/AR05016556376214732801/creative/CR01604472040868282369?region=anywhere" TargetMode="External"/><Relationship Id="rId515" Type="http://schemas.openxmlformats.org/officeDocument/2006/relationships/hyperlink" Target="https://peec.ai/for-agencies" TargetMode="External"/><Relationship Id="rId999" Type="http://schemas.openxmlformats.org/officeDocument/2006/relationships/hyperlink" Target="https://peec.ai/" TargetMode="External"/><Relationship Id="rId990" Type="http://schemas.openxmlformats.org/officeDocument/2006/relationships/hyperlink" Target="https://adstransparency.google.com/advertiser/AR05016556376214732801/creative/CR16415811664730914817?region=anywhere" TargetMode="External"/><Relationship Id="rId1580" Type="http://schemas.openxmlformats.org/officeDocument/2006/relationships/hyperlink" Target="https://adstransparency.google.com/advertiser/AR11070511645502472193/creative/CR13975473644428591105?region=anywhere" TargetMode="External"/><Relationship Id="rId1581" Type="http://schemas.openxmlformats.org/officeDocument/2006/relationships/hyperlink" Target="https://www.semrush.com/" TargetMode="External"/><Relationship Id="rId1582" Type="http://schemas.openxmlformats.org/officeDocument/2006/relationships/hyperlink" Target="https://adstransparency.google.com/advertiser/AR11070511645502472193/creative/CR03291240224973127681?region=anywhere" TargetMode="External"/><Relationship Id="rId510" Type="http://schemas.openxmlformats.org/officeDocument/2006/relationships/hyperlink" Target="https://adstransparency.google.com/advertiser/AR05016556376214732801/creative/CR11603393744065265665?region=anywhere" TargetMode="External"/><Relationship Id="rId994" Type="http://schemas.openxmlformats.org/officeDocument/2006/relationships/hyperlink" Target="https://adstransparency.google.com/advertiser/AR05016556376214732801/creative/CR13854527915129044993?region=anywhere" TargetMode="External"/><Relationship Id="rId1583" Type="http://schemas.openxmlformats.org/officeDocument/2006/relationships/hyperlink" Target="https://www.semrush.com/" TargetMode="External"/><Relationship Id="rId993" Type="http://schemas.openxmlformats.org/officeDocument/2006/relationships/hyperlink" Target="https://peec.ai/visibility/platform" TargetMode="External"/><Relationship Id="rId1100" Type="http://schemas.openxmlformats.org/officeDocument/2006/relationships/hyperlink" Target="https://adstransparency.google.com/advertiser/AR05016556376214732801/creative/CR13278380661078491137?region=anywhere" TargetMode="External"/><Relationship Id="rId1584" Type="http://schemas.openxmlformats.org/officeDocument/2006/relationships/hyperlink" Target="https://adstransparency.google.com/advertiser/AR11070511645502472193/creative/CR17124782809634832385?region=anywhere" TargetMode="External"/><Relationship Id="rId992" Type="http://schemas.openxmlformats.org/officeDocument/2006/relationships/hyperlink" Target="https://adstransparency.google.com/advertiser/AR05016556376214732801/creative/CR08817601376612777985?region=anywhere" TargetMode="External"/><Relationship Id="rId1101" Type="http://schemas.openxmlformats.org/officeDocument/2006/relationships/hyperlink" Target="https://peec.ai/for-agencies" TargetMode="External"/><Relationship Id="rId1585" Type="http://schemas.openxmlformats.org/officeDocument/2006/relationships/hyperlink" Target="https://www.semrush.com/" TargetMode="External"/><Relationship Id="rId991" Type="http://schemas.openxmlformats.org/officeDocument/2006/relationships/hyperlink" Target="https://peec.ai/" TargetMode="External"/><Relationship Id="rId1102" Type="http://schemas.openxmlformats.org/officeDocument/2006/relationships/hyperlink" Target="https://adstransparency.google.com/advertiser/AR05016556376214732801/creative/CR00064537879396745217?region=anywhere" TargetMode="External"/><Relationship Id="rId1586" Type="http://schemas.openxmlformats.org/officeDocument/2006/relationships/hyperlink" Target="https://adstransparency.google.com/advertiser/AR11070511645502472193/creative/CR00556206287830908929?region=anywhere" TargetMode="External"/><Relationship Id="rId1532" Type="http://schemas.openxmlformats.org/officeDocument/2006/relationships/hyperlink" Target="https://adstransparency.google.com/advertiser/AR11070511645502472193/creative/CR11098183793373085697?region=anywhere" TargetMode="External"/><Relationship Id="rId1533" Type="http://schemas.openxmlformats.org/officeDocument/2006/relationships/hyperlink" Target="https://www.semrush.com/kb/demo/" TargetMode="External"/><Relationship Id="rId1534" Type="http://schemas.openxmlformats.org/officeDocument/2006/relationships/hyperlink" Target="https://adstransparency.google.com/advertiser/AR11070511645502472193/creative/CR12840069696514424833?region=anywhere" TargetMode="External"/><Relationship Id="rId1535" Type="http://schemas.openxmlformats.org/officeDocument/2006/relationships/hyperlink" Target="https://www.semrush.com/" TargetMode="External"/><Relationship Id="rId1536" Type="http://schemas.openxmlformats.org/officeDocument/2006/relationships/hyperlink" Target="https://adstransparency.google.com/advertiser/AR11070511645502472193/creative/CR11928512228522721281?region=anywhere" TargetMode="External"/><Relationship Id="rId1537" Type="http://schemas.openxmlformats.org/officeDocument/2006/relationships/hyperlink" Target="https://www.semrush.com/analytics/keywordoverview/" TargetMode="External"/><Relationship Id="rId1538" Type="http://schemas.openxmlformats.org/officeDocument/2006/relationships/hyperlink" Target="https://adstransparency.google.com/advertiser/AR11070511645502472193/creative/CR05310894788566843393?region=anywhere" TargetMode="External"/><Relationship Id="rId1539" Type="http://schemas.openxmlformats.org/officeDocument/2006/relationships/hyperlink" Target="https://www.semrush.com/" TargetMode="External"/><Relationship Id="rId949" Type="http://schemas.openxmlformats.org/officeDocument/2006/relationships/hyperlink" Target="https://peec.ai/for-agencies" TargetMode="External"/><Relationship Id="rId948" Type="http://schemas.openxmlformats.org/officeDocument/2006/relationships/hyperlink" Target="https://adstransparency.google.com/advertiser/AR05016556376214732801/creative/CR02429883021931839489?region=anywhere" TargetMode="External"/><Relationship Id="rId943" Type="http://schemas.openxmlformats.org/officeDocument/2006/relationships/hyperlink" Target="https://peec.ai/" TargetMode="External"/><Relationship Id="rId942" Type="http://schemas.openxmlformats.org/officeDocument/2006/relationships/hyperlink" Target="https://adstransparency.google.com/advertiser/AR05016556376214732801/creative/CR06723359380164575233?region=anywhere" TargetMode="External"/><Relationship Id="rId941" Type="http://schemas.openxmlformats.org/officeDocument/2006/relationships/hyperlink" Target="https://peec.ai/visibility/platform" TargetMode="External"/><Relationship Id="rId940" Type="http://schemas.openxmlformats.org/officeDocument/2006/relationships/hyperlink" Target="https://adstransparency.google.com/advertiser/AR05016556376214732801/creative/CR01341193612230131713?region=anywhere" TargetMode="External"/><Relationship Id="rId947" Type="http://schemas.openxmlformats.org/officeDocument/2006/relationships/hyperlink" Target="https://peec.ai/black-friday" TargetMode="External"/><Relationship Id="rId946" Type="http://schemas.openxmlformats.org/officeDocument/2006/relationships/hyperlink" Target="https://adstransparency.google.com/advertiser/AR05016556376214732801/creative/CR17825365780330446849?region=anywhere" TargetMode="External"/><Relationship Id="rId945" Type="http://schemas.openxmlformats.org/officeDocument/2006/relationships/hyperlink" Target="https://peec.ai/visibility/platform" TargetMode="External"/><Relationship Id="rId944" Type="http://schemas.openxmlformats.org/officeDocument/2006/relationships/hyperlink" Target="https://adstransparency.google.com/advertiser/AR05016556376214732801/creative/CR17197694999085449217?region=anywhere" TargetMode="External"/><Relationship Id="rId1530" Type="http://schemas.openxmlformats.org/officeDocument/2006/relationships/hyperlink" Target="https://adstransparency.google.com/advertiser/AR11070511645502472193/creative/CR05807966403298328577?region=anywhere" TargetMode="External"/><Relationship Id="rId1531" Type="http://schemas.openxmlformats.org/officeDocument/2006/relationships/hyperlink" Target="https://www.semrush.com/features/" TargetMode="External"/><Relationship Id="rId1521" Type="http://schemas.openxmlformats.org/officeDocument/2006/relationships/hyperlink" Target="https://www.semrush.com/pricing/" TargetMode="External"/><Relationship Id="rId1522" Type="http://schemas.openxmlformats.org/officeDocument/2006/relationships/hyperlink" Target="https://adstransparency.google.com/advertiser/AR11070511645502472193/creative/CR01121562728608038913?region=anywhere" TargetMode="External"/><Relationship Id="rId1523" Type="http://schemas.openxmlformats.org/officeDocument/2006/relationships/hyperlink" Target="https://www.semrush.com/" TargetMode="External"/><Relationship Id="rId1524" Type="http://schemas.openxmlformats.org/officeDocument/2006/relationships/hyperlink" Target="https://adstransparency.google.com/advertiser/AR11070511645502472193/creative/CR04494251356172845057?region=anywhere" TargetMode="External"/><Relationship Id="rId1525" Type="http://schemas.openxmlformats.org/officeDocument/2006/relationships/hyperlink" Target="https://www.semrush.com/" TargetMode="External"/><Relationship Id="rId1526" Type="http://schemas.openxmlformats.org/officeDocument/2006/relationships/hyperlink" Target="https://adstransparency.google.com/advertiser/AR11070511645502472193/creative/CR11158419438389166081?region=anywhere" TargetMode="External"/><Relationship Id="rId1527" Type="http://schemas.openxmlformats.org/officeDocument/2006/relationships/hyperlink" Target="https://www.semrush.com/" TargetMode="External"/><Relationship Id="rId1528" Type="http://schemas.openxmlformats.org/officeDocument/2006/relationships/hyperlink" Target="https://adstransparency.google.com/advertiser/AR11070511645502472193/creative/CR14069146056520630273?region=anywhere" TargetMode="External"/><Relationship Id="rId1529" Type="http://schemas.openxmlformats.org/officeDocument/2006/relationships/hyperlink" Target="https://www.semrush.com/" TargetMode="External"/><Relationship Id="rId939" Type="http://schemas.openxmlformats.org/officeDocument/2006/relationships/hyperlink" Target="https://peec.ai/" TargetMode="External"/><Relationship Id="rId938" Type="http://schemas.openxmlformats.org/officeDocument/2006/relationships/hyperlink" Target="https://adstransparency.google.com/advertiser/AR05016556376214732801/creative/CR06538711795442384897?region=anywhere" TargetMode="External"/><Relationship Id="rId937" Type="http://schemas.openxmlformats.org/officeDocument/2006/relationships/hyperlink" Target="https://peec.ai/for-agencies" TargetMode="External"/><Relationship Id="rId932" Type="http://schemas.openxmlformats.org/officeDocument/2006/relationships/hyperlink" Target="https://adstransparency.google.com/advertiser/AR05016556376214732801/creative/CR11525043206894911489?region=anywhere" TargetMode="External"/><Relationship Id="rId931" Type="http://schemas.openxmlformats.org/officeDocument/2006/relationships/hyperlink" Target="https://peec.ai/" TargetMode="External"/><Relationship Id="rId930" Type="http://schemas.openxmlformats.org/officeDocument/2006/relationships/hyperlink" Target="https://adstransparency.google.com/advertiser/AR05016556376214732801/creative/CR16577519038851186689?region=anywhere" TargetMode="External"/><Relationship Id="rId936" Type="http://schemas.openxmlformats.org/officeDocument/2006/relationships/hyperlink" Target="https://adstransparency.google.com/advertiser/AR05016556376214732801/creative/CR09204629469589929985?region=anywhere" TargetMode="External"/><Relationship Id="rId935" Type="http://schemas.openxmlformats.org/officeDocument/2006/relationships/hyperlink" Target="https://peec.ai/black-friday" TargetMode="External"/><Relationship Id="rId934" Type="http://schemas.openxmlformats.org/officeDocument/2006/relationships/hyperlink" Target="https://adstransparency.google.com/advertiser/AR05016556376214732801/creative/CR00407046334248386561?region=anywhere" TargetMode="External"/><Relationship Id="rId933" Type="http://schemas.openxmlformats.org/officeDocument/2006/relationships/hyperlink" Target="https://peec.ai/" TargetMode="External"/><Relationship Id="rId1520" Type="http://schemas.openxmlformats.org/officeDocument/2006/relationships/hyperlink" Target="https://adstransparency.google.com/advertiser/AR11070511645502472193/creative/CR10821645830029574145?region=anywhere" TargetMode="External"/><Relationship Id="rId1554" Type="http://schemas.openxmlformats.org/officeDocument/2006/relationships/hyperlink" Target="https://adstransparency.google.com/advertiser/AR11070511645502472193/creative/CR08818517956993482753?region=anywhere" TargetMode="External"/><Relationship Id="rId1555" Type="http://schemas.openxmlformats.org/officeDocument/2006/relationships/hyperlink" Target="https://www.semrush.com/" TargetMode="External"/><Relationship Id="rId1556" Type="http://schemas.openxmlformats.org/officeDocument/2006/relationships/hyperlink" Target="https://adstransparency.google.com/advertiser/AR11070511645502472193/creative/CR10197809595586445313?region=anywhere" TargetMode="External"/><Relationship Id="rId1557" Type="http://schemas.openxmlformats.org/officeDocument/2006/relationships/hyperlink" Target="https://www.semrush.com/" TargetMode="External"/><Relationship Id="rId1558" Type="http://schemas.openxmlformats.org/officeDocument/2006/relationships/hyperlink" Target="https://adstransparency.google.com/advertiser/AR11070511645502472193/creative/CR16322412000242040833?region=anywhere" TargetMode="External"/><Relationship Id="rId1559" Type="http://schemas.openxmlformats.org/officeDocument/2006/relationships/hyperlink" Target="https://www.semrush.com/features/" TargetMode="External"/><Relationship Id="rId965" Type="http://schemas.openxmlformats.org/officeDocument/2006/relationships/hyperlink" Target="https://peec.ai/visibility/platform" TargetMode="External"/><Relationship Id="rId964" Type="http://schemas.openxmlformats.org/officeDocument/2006/relationships/hyperlink" Target="https://adstransparency.google.com/advertiser/AR05016556376214732801/creative/CR12005802467116711937?region=anywhere" TargetMode="External"/><Relationship Id="rId963" Type="http://schemas.openxmlformats.org/officeDocument/2006/relationships/hyperlink" Target="https://peec.ai/" TargetMode="External"/><Relationship Id="rId962" Type="http://schemas.openxmlformats.org/officeDocument/2006/relationships/hyperlink" Target="https://adstransparency.google.com/advertiser/AR05016556376214732801/creative/CR14944260486487605249?region=anywhere" TargetMode="External"/><Relationship Id="rId969" Type="http://schemas.openxmlformats.org/officeDocument/2006/relationships/hyperlink" Target="https://peec.ai/visibility/platform" TargetMode="External"/><Relationship Id="rId968" Type="http://schemas.openxmlformats.org/officeDocument/2006/relationships/hyperlink" Target="https://adstransparency.google.com/advertiser/AR05016556376214732801/creative/CR07506143489420165121?region=anywhere" TargetMode="External"/><Relationship Id="rId967" Type="http://schemas.openxmlformats.org/officeDocument/2006/relationships/hyperlink" Target="https://peec.ai/" TargetMode="External"/><Relationship Id="rId966" Type="http://schemas.openxmlformats.org/officeDocument/2006/relationships/hyperlink" Target="https://adstransparency.google.com/advertiser/AR05016556376214732801/creative/CR11594987539584253953?region=anywhere" TargetMode="External"/><Relationship Id="rId961" Type="http://schemas.openxmlformats.org/officeDocument/2006/relationships/hyperlink" Target="https://peec.ai/for-agencies" TargetMode="External"/><Relationship Id="rId1550" Type="http://schemas.openxmlformats.org/officeDocument/2006/relationships/hyperlink" Target="https://adstransparency.google.com/advertiser/AR11070511645502472193/creative/CR13544201340988686337?region=anywhere" TargetMode="External"/><Relationship Id="rId960" Type="http://schemas.openxmlformats.org/officeDocument/2006/relationships/hyperlink" Target="https://adstransparency.google.com/advertiser/AR05016556376214732801/creative/CR06496914960424108033?region=anywhere" TargetMode="External"/><Relationship Id="rId1551" Type="http://schemas.openxmlformats.org/officeDocument/2006/relationships/hyperlink" Target="https://www.semrush.com/" TargetMode="External"/><Relationship Id="rId1552" Type="http://schemas.openxmlformats.org/officeDocument/2006/relationships/hyperlink" Target="https://adstransparency.google.com/advertiser/AR11070511645502472193/creative/CR08571447180152274945?region=anywhere" TargetMode="External"/><Relationship Id="rId1553" Type="http://schemas.openxmlformats.org/officeDocument/2006/relationships/hyperlink" Target="https://www.semrush.com/" TargetMode="External"/><Relationship Id="rId1543" Type="http://schemas.openxmlformats.org/officeDocument/2006/relationships/hyperlink" Target="https://www.semrush.com/analytics/backlinks/overview/" TargetMode="External"/><Relationship Id="rId1544" Type="http://schemas.openxmlformats.org/officeDocument/2006/relationships/hyperlink" Target="https://adstransparency.google.com/advertiser/AR11070511645502472193/creative/CR13488815023287435265?region=anywhere" TargetMode="External"/><Relationship Id="rId1545" Type="http://schemas.openxmlformats.org/officeDocument/2006/relationships/hyperlink" Target="https://www.semrush.com/features/" TargetMode="External"/><Relationship Id="rId1546" Type="http://schemas.openxmlformats.org/officeDocument/2006/relationships/hyperlink" Target="https://adstransparency.google.com/advertiser/AR11070511645502472193/creative/CR13087203008079462401?region=anywhere" TargetMode="External"/><Relationship Id="rId1547" Type="http://schemas.openxmlformats.org/officeDocument/2006/relationships/hyperlink" Target="https://www.semrush.com/agencies/" TargetMode="External"/><Relationship Id="rId1548" Type="http://schemas.openxmlformats.org/officeDocument/2006/relationships/hyperlink" Target="https://adstransparency.google.com/advertiser/AR11070511645502472193/creative/CR11516468046990409729?region=anywhere" TargetMode="External"/><Relationship Id="rId1549" Type="http://schemas.openxmlformats.org/officeDocument/2006/relationships/hyperlink" Target="https://www.semrush.com/pricing/" TargetMode="External"/><Relationship Id="rId959" Type="http://schemas.openxmlformats.org/officeDocument/2006/relationships/hyperlink" Target="https://peec.ai/black-friday" TargetMode="External"/><Relationship Id="rId954" Type="http://schemas.openxmlformats.org/officeDocument/2006/relationships/hyperlink" Target="https://adstransparency.google.com/advertiser/AR05016556376214732801/creative/CR05210290642856443905?region=anywhere" TargetMode="External"/><Relationship Id="rId953" Type="http://schemas.openxmlformats.org/officeDocument/2006/relationships/hyperlink" Target="https://peec.ai/visibility/platform" TargetMode="External"/><Relationship Id="rId952" Type="http://schemas.openxmlformats.org/officeDocument/2006/relationships/hyperlink" Target="https://adstransparency.google.com/advertiser/AR05016556376214732801/creative/CR11957245834610868225?region=anywhere" TargetMode="External"/><Relationship Id="rId951" Type="http://schemas.openxmlformats.org/officeDocument/2006/relationships/hyperlink" Target="https://peec.ai/" TargetMode="External"/><Relationship Id="rId958" Type="http://schemas.openxmlformats.org/officeDocument/2006/relationships/hyperlink" Target="https://adstransparency.google.com/advertiser/AR05016556376214732801/creative/CR07042411266266103809?region=anywhere" TargetMode="External"/><Relationship Id="rId957" Type="http://schemas.openxmlformats.org/officeDocument/2006/relationships/hyperlink" Target="https://peec.ai/visibility/platform" TargetMode="External"/><Relationship Id="rId956" Type="http://schemas.openxmlformats.org/officeDocument/2006/relationships/hyperlink" Target="https://adstransparency.google.com/advertiser/AR05016556376214732801/creative/CR01120039217808801793?region=anywhere" TargetMode="External"/><Relationship Id="rId955" Type="http://schemas.openxmlformats.org/officeDocument/2006/relationships/hyperlink" Target="https://peec.ai/" TargetMode="External"/><Relationship Id="rId950" Type="http://schemas.openxmlformats.org/officeDocument/2006/relationships/hyperlink" Target="https://adstransparency.google.com/advertiser/AR05016556376214732801/creative/CR07585411680713048065?region=anywhere" TargetMode="External"/><Relationship Id="rId1540" Type="http://schemas.openxmlformats.org/officeDocument/2006/relationships/hyperlink" Target="https://adstransparency.google.com/advertiser/AR11070511645502472193/creative/CR15287853540840570881?region=anywhere" TargetMode="External"/><Relationship Id="rId1541" Type="http://schemas.openxmlformats.org/officeDocument/2006/relationships/hyperlink" Target="https://www.semrush.com/" TargetMode="External"/><Relationship Id="rId1542" Type="http://schemas.openxmlformats.org/officeDocument/2006/relationships/hyperlink" Target="https://adstransparency.google.com/advertiser/AR11070511645502472193/creative/CR01287569674229252097?region=anywhere" TargetMode="External"/><Relationship Id="rId2027" Type="http://schemas.openxmlformats.org/officeDocument/2006/relationships/hyperlink" Target="https://www.semrush.com/" TargetMode="External"/><Relationship Id="rId2028" Type="http://schemas.openxmlformats.org/officeDocument/2006/relationships/hyperlink" Target="https://adstransparency.google.com/advertiser/AR11070511645502472193/creative/CR07448454347693752321?region=anywhere" TargetMode="External"/><Relationship Id="rId2029" Type="http://schemas.openxmlformats.org/officeDocument/2006/relationships/hyperlink" Target="https://www.semrush.com/" TargetMode="External"/><Relationship Id="rId590" Type="http://schemas.openxmlformats.org/officeDocument/2006/relationships/hyperlink" Target="https://adstransparency.google.com/advertiser/AR05016556376214732801/creative/CR18093817067579899905?region=anywhere" TargetMode="External"/><Relationship Id="rId107" Type="http://schemas.openxmlformats.org/officeDocument/2006/relationships/hyperlink" Target="https://www.tryprofound.com/" TargetMode="External"/><Relationship Id="rId106" Type="http://schemas.openxmlformats.org/officeDocument/2006/relationships/hyperlink" Target="https://adstransparency.google.com/advertiser/AR01693402396748677121/creative/CR03825966977629814785?region=anywhere" TargetMode="External"/><Relationship Id="rId105" Type="http://schemas.openxmlformats.org/officeDocument/2006/relationships/hyperlink" Target="https://www.tryprofound.com/customers/mongodb" TargetMode="External"/><Relationship Id="rId589" Type="http://schemas.openxmlformats.org/officeDocument/2006/relationships/hyperlink" Target="https://peec.ai/" TargetMode="External"/><Relationship Id="rId104" Type="http://schemas.openxmlformats.org/officeDocument/2006/relationships/hyperlink" Target="https://adstransparency.google.com/advertiser/AR01693402396748677121/creative/CR11084227649332051969?region=anywhere" TargetMode="External"/><Relationship Id="rId588" Type="http://schemas.openxmlformats.org/officeDocument/2006/relationships/hyperlink" Target="https://adstransparency.google.com/advertiser/AR05016556376214732801/creative/CR08821750546948947969?region=anywhere" TargetMode="External"/><Relationship Id="rId109" Type="http://schemas.openxmlformats.org/officeDocument/2006/relationships/hyperlink" Target="https://www.tryprofound.com/" TargetMode="External"/><Relationship Id="rId1170" Type="http://schemas.openxmlformats.org/officeDocument/2006/relationships/hyperlink" Target="https://adstransparency.google.com/advertiser/AR05538899415307124737/creative/CR13043656781341917185?region=anywhere" TargetMode="External"/><Relationship Id="rId108" Type="http://schemas.openxmlformats.org/officeDocument/2006/relationships/hyperlink" Target="https://adstransparency.google.com/advertiser/AR01693402396748677121/creative/CR01704522651193573377?region=anywhere" TargetMode="External"/><Relationship Id="rId1171" Type="http://schemas.openxmlformats.org/officeDocument/2006/relationships/hyperlink" Target="https://www.semrush.com/" TargetMode="External"/><Relationship Id="rId583" Type="http://schemas.openxmlformats.org/officeDocument/2006/relationships/hyperlink" Target="https://peec.ai/" TargetMode="External"/><Relationship Id="rId1172" Type="http://schemas.openxmlformats.org/officeDocument/2006/relationships/hyperlink" Target="https://adstransparency.google.com/advertiser/AR11070511645502472193/creative/CR02468285664555171841?region=anywhere" TargetMode="External"/><Relationship Id="rId582" Type="http://schemas.openxmlformats.org/officeDocument/2006/relationships/hyperlink" Target="https://adstransparency.google.com/advertiser/AR05016556376214732801/creative/CR08575078961548099585?region=anywhere" TargetMode="External"/><Relationship Id="rId1173" Type="http://schemas.openxmlformats.org/officeDocument/2006/relationships/hyperlink" Target="https://www.semrush.com/analytics/keywordoverview/" TargetMode="External"/><Relationship Id="rId2020" Type="http://schemas.openxmlformats.org/officeDocument/2006/relationships/hyperlink" Target="https://adstransparency.google.com/advertiser/AR11070511645502472193/creative/CR14402127208757854209?region=anywhere" TargetMode="External"/><Relationship Id="rId581" Type="http://schemas.openxmlformats.org/officeDocument/2006/relationships/hyperlink" Target="https://peec.ai/black-friday" TargetMode="External"/><Relationship Id="rId1174" Type="http://schemas.openxmlformats.org/officeDocument/2006/relationships/hyperlink" Target="https://adstransparency.google.com/advertiser/AR11070511645502472193/creative/CR01377189449670066177?region=anywhere" TargetMode="External"/><Relationship Id="rId2021" Type="http://schemas.openxmlformats.org/officeDocument/2006/relationships/hyperlink" Target="https://www.semrush.com/features/" TargetMode="External"/><Relationship Id="rId580" Type="http://schemas.openxmlformats.org/officeDocument/2006/relationships/hyperlink" Target="https://adstransparency.google.com/advertiser/AR05016556376214732801/creative/CR03635787818627760129?region=anywhere" TargetMode="External"/><Relationship Id="rId1175" Type="http://schemas.openxmlformats.org/officeDocument/2006/relationships/hyperlink" Target="https://www.semrush.com/" TargetMode="External"/><Relationship Id="rId2022" Type="http://schemas.openxmlformats.org/officeDocument/2006/relationships/hyperlink" Target="https://adstransparency.google.com/advertiser/AR11070511645502472193/creative/CR01984303529593929729?region=anywhere" TargetMode="External"/><Relationship Id="rId103" Type="http://schemas.openxmlformats.org/officeDocument/2006/relationships/hyperlink" Target="https://www.tryprofound.com/" TargetMode="External"/><Relationship Id="rId587" Type="http://schemas.openxmlformats.org/officeDocument/2006/relationships/hyperlink" Target="https://peec.ai/for-agencies" TargetMode="External"/><Relationship Id="rId1176" Type="http://schemas.openxmlformats.org/officeDocument/2006/relationships/hyperlink" Target="https://adstransparency.google.com/advertiser/AR11070511645502472193/creative/CR02328484960106708993?region=anywhere" TargetMode="External"/><Relationship Id="rId2023" Type="http://schemas.openxmlformats.org/officeDocument/2006/relationships/hyperlink" Target="https://www.semrush.com/agencies/" TargetMode="External"/><Relationship Id="rId102" Type="http://schemas.openxmlformats.org/officeDocument/2006/relationships/hyperlink" Target="https://adstransparency.google.com/advertiser/AR01693402396748677121/creative/CR08006714806713188353?region=anywhere" TargetMode="External"/><Relationship Id="rId586" Type="http://schemas.openxmlformats.org/officeDocument/2006/relationships/hyperlink" Target="https://adstransparency.google.com/advertiser/AR05016556376214732801/creative/CR16111946946196799489?region=anywhere" TargetMode="External"/><Relationship Id="rId1177" Type="http://schemas.openxmlformats.org/officeDocument/2006/relationships/hyperlink" Target="https://www.semrush.com/" TargetMode="External"/><Relationship Id="rId2024" Type="http://schemas.openxmlformats.org/officeDocument/2006/relationships/hyperlink" Target="https://adstransparency.google.com/advertiser/AR11070511645502472193/creative/CR05138274624101941249?region=anywhere" TargetMode="External"/><Relationship Id="rId101" Type="http://schemas.openxmlformats.org/officeDocument/2006/relationships/hyperlink" Target="https://tryprofound.com/features/aim" TargetMode="External"/><Relationship Id="rId585" Type="http://schemas.openxmlformats.org/officeDocument/2006/relationships/hyperlink" Target="https://peec.ai/visibility/platform" TargetMode="External"/><Relationship Id="rId1178" Type="http://schemas.openxmlformats.org/officeDocument/2006/relationships/hyperlink" Target="https://adstransparency.google.com/advertiser/AR11070511645502472193/creative/CR15928882795657560065?region=anywhere" TargetMode="External"/><Relationship Id="rId2025" Type="http://schemas.openxmlformats.org/officeDocument/2006/relationships/hyperlink" Target="https://www.semrush.com/pricing/" TargetMode="External"/><Relationship Id="rId100" Type="http://schemas.openxmlformats.org/officeDocument/2006/relationships/hyperlink" Target="https://adstransparency.google.com/advertiser/AR01693402396748677121/creative/CR12765300801291681793?region=anywhere" TargetMode="External"/><Relationship Id="rId584" Type="http://schemas.openxmlformats.org/officeDocument/2006/relationships/hyperlink" Target="https://adstransparency.google.com/advertiser/AR05016556376214732801/creative/CR15323805672693301249?region=anywhere" TargetMode="External"/><Relationship Id="rId1179" Type="http://schemas.openxmlformats.org/officeDocument/2006/relationships/hyperlink" Target="https://www.semrush.com/analytics/backlinks/overview/" TargetMode="External"/><Relationship Id="rId2026" Type="http://schemas.openxmlformats.org/officeDocument/2006/relationships/hyperlink" Target="https://adstransparency.google.com/advertiser/AR11070511645502472193/creative/CR08936720988897280001?region=anywhere" TargetMode="External"/><Relationship Id="rId1169" Type="http://schemas.openxmlformats.org/officeDocument/2006/relationships/hyperlink" Target="https://mangools.com/pricing" TargetMode="External"/><Relationship Id="rId2016" Type="http://schemas.openxmlformats.org/officeDocument/2006/relationships/hyperlink" Target="https://adstransparency.google.com/advertiser/AR11070511645502472193/creative/CR02999281714129272833?region=anywhere" TargetMode="External"/><Relationship Id="rId2017" Type="http://schemas.openxmlformats.org/officeDocument/2006/relationships/hyperlink" Target="https://www.semrush.com/" TargetMode="External"/><Relationship Id="rId2018" Type="http://schemas.openxmlformats.org/officeDocument/2006/relationships/hyperlink" Target="https://adstransparency.google.com/advertiser/AR11070511645502472193/creative/CR00664750213163909121?region=anywhere" TargetMode="External"/><Relationship Id="rId2019" Type="http://schemas.openxmlformats.org/officeDocument/2006/relationships/hyperlink" Target="https://www.semrush.com/analytics/backlinks/overview/" TargetMode="External"/><Relationship Id="rId579" Type="http://schemas.openxmlformats.org/officeDocument/2006/relationships/hyperlink" Target="https://peec.ai/" TargetMode="External"/><Relationship Id="rId578" Type="http://schemas.openxmlformats.org/officeDocument/2006/relationships/hyperlink" Target="https://adstransparency.google.com/advertiser/AR05016556376214732801/creative/CR03006269376811761665?region=anywhere" TargetMode="External"/><Relationship Id="rId577" Type="http://schemas.openxmlformats.org/officeDocument/2006/relationships/hyperlink" Target="https://peec.ai/" TargetMode="External"/><Relationship Id="rId1160" Type="http://schemas.openxmlformats.org/officeDocument/2006/relationships/hyperlink" Target="https://adstransparency.google.com/advertiser/AR05538899415307124737/creative/CR13254440856967970817?region=anywhere" TargetMode="External"/><Relationship Id="rId572" Type="http://schemas.openxmlformats.org/officeDocument/2006/relationships/hyperlink" Target="https://adstransparency.google.com/advertiser/AR05016556376214732801/creative/CR03912878492722659329?region=anywhere" TargetMode="External"/><Relationship Id="rId1161" Type="http://schemas.openxmlformats.org/officeDocument/2006/relationships/hyperlink" Target="https://mangools.com/serpchecker/" TargetMode="External"/><Relationship Id="rId571" Type="http://schemas.openxmlformats.org/officeDocument/2006/relationships/hyperlink" Target="https://peec.ai/pricing" TargetMode="External"/><Relationship Id="rId1162" Type="http://schemas.openxmlformats.org/officeDocument/2006/relationships/hyperlink" Target="https://adstransparency.google.com/advertiser/AR05538899415307124737/creative/CR04781040478738972673?region=anywhere" TargetMode="External"/><Relationship Id="rId570" Type="http://schemas.openxmlformats.org/officeDocument/2006/relationships/hyperlink" Target="https://adstransparency.google.com/advertiser/AR05016556376214732801/creative/CR16763611751219462145?region=anywhere" TargetMode="External"/><Relationship Id="rId1163" Type="http://schemas.openxmlformats.org/officeDocument/2006/relationships/hyperlink" Target="https://mangools.com/" TargetMode="External"/><Relationship Id="rId2010" Type="http://schemas.openxmlformats.org/officeDocument/2006/relationships/hyperlink" Target="https://adstransparency.google.com/advertiser/AR11070511645502472193/creative/CR01612546141298098177?region=anywhere" TargetMode="External"/><Relationship Id="rId1164" Type="http://schemas.openxmlformats.org/officeDocument/2006/relationships/hyperlink" Target="https://adstransparency.google.com/advertiser/AR05538899415307124737/creative/CR08860926532793663489?region=anywhere" TargetMode="External"/><Relationship Id="rId2011" Type="http://schemas.openxmlformats.org/officeDocument/2006/relationships/hyperlink" Target="https://www.semrush.com/" TargetMode="External"/><Relationship Id="rId576" Type="http://schemas.openxmlformats.org/officeDocument/2006/relationships/hyperlink" Target="https://adstransparency.google.com/advertiser/AR05016556376214732801/creative/CR01971120960702513153?region=anywhere" TargetMode="External"/><Relationship Id="rId1165" Type="http://schemas.openxmlformats.org/officeDocument/2006/relationships/hyperlink" Target="https://mangools.com/" TargetMode="External"/><Relationship Id="rId2012" Type="http://schemas.openxmlformats.org/officeDocument/2006/relationships/hyperlink" Target="https://adstransparency.google.com/advertiser/AR11070511645502472193/creative/CR08546944185570164737?region=anywhere" TargetMode="External"/><Relationship Id="rId575" Type="http://schemas.openxmlformats.org/officeDocument/2006/relationships/hyperlink" Target="https://peec.ai/demo" TargetMode="External"/><Relationship Id="rId1166" Type="http://schemas.openxmlformats.org/officeDocument/2006/relationships/hyperlink" Target="https://adstransparency.google.com/advertiser/AR05538899415307124737/creative/CR00543063069429858305?region=anywhere" TargetMode="External"/><Relationship Id="rId2013" Type="http://schemas.openxmlformats.org/officeDocument/2006/relationships/hyperlink" Target="https://www.semrush.com/analytics/keywordoverview/" TargetMode="External"/><Relationship Id="rId574" Type="http://schemas.openxmlformats.org/officeDocument/2006/relationships/hyperlink" Target="https://adstransparency.google.com/advertiser/AR05016556376214732801/creative/CR10337192966652690433?region=anywhere" TargetMode="External"/><Relationship Id="rId1167" Type="http://schemas.openxmlformats.org/officeDocument/2006/relationships/hyperlink" Target="https://mangools.com/seo-extension" TargetMode="External"/><Relationship Id="rId2014" Type="http://schemas.openxmlformats.org/officeDocument/2006/relationships/hyperlink" Target="https://adstransparency.google.com/advertiser/AR11070511645502472193/creative/CR07836812506143129601?region=anywhere" TargetMode="External"/><Relationship Id="rId573" Type="http://schemas.openxmlformats.org/officeDocument/2006/relationships/hyperlink" Target="https://peec.ai/for-agencies" TargetMode="External"/><Relationship Id="rId1168" Type="http://schemas.openxmlformats.org/officeDocument/2006/relationships/hyperlink" Target="https://adstransparency.google.com/advertiser/AR05538899415307124737/creative/CR12803935208940240897?region=anywhere" TargetMode="External"/><Relationship Id="rId2015" Type="http://schemas.openxmlformats.org/officeDocument/2006/relationships/hyperlink" Target="https://www.semrush.com/" TargetMode="External"/><Relationship Id="rId2049" Type="http://schemas.openxmlformats.org/officeDocument/2006/relationships/hyperlink" Target="https://www.semrush.com/features/" TargetMode="External"/><Relationship Id="rId129" Type="http://schemas.openxmlformats.org/officeDocument/2006/relationships/hyperlink" Target="https://www.tryprofound.com/" TargetMode="External"/><Relationship Id="rId128" Type="http://schemas.openxmlformats.org/officeDocument/2006/relationships/hyperlink" Target="https://adstransparency.google.com/advertiser/AR01693402396748677121/creative/CR12997705467407892481?region=anywhere" TargetMode="External"/><Relationship Id="rId127" Type="http://schemas.openxmlformats.org/officeDocument/2006/relationships/hyperlink" Target="https://www.tryprofound.com/" TargetMode="External"/><Relationship Id="rId126" Type="http://schemas.openxmlformats.org/officeDocument/2006/relationships/hyperlink" Target="https://adstransparency.google.com/advertiser/AR01693402396748677121/creative/CR10253017886893277185?region=anywhere" TargetMode="External"/><Relationship Id="rId1190" Type="http://schemas.openxmlformats.org/officeDocument/2006/relationships/hyperlink" Target="https://adstransparency.google.com/advertiser/AR11070511645502472193/creative/CR11271468088630968321?region=anywhere" TargetMode="External"/><Relationship Id="rId1191" Type="http://schemas.openxmlformats.org/officeDocument/2006/relationships/hyperlink" Target="https://www.semrush.com/" TargetMode="External"/><Relationship Id="rId1192" Type="http://schemas.openxmlformats.org/officeDocument/2006/relationships/hyperlink" Target="https://adstransparency.google.com/advertiser/AR11070511645502472193/creative/CR13276926720159514625?region=anywhere" TargetMode="External"/><Relationship Id="rId1193" Type="http://schemas.openxmlformats.org/officeDocument/2006/relationships/hyperlink" Target="https://www.semrush.com/" TargetMode="External"/><Relationship Id="rId2040" Type="http://schemas.openxmlformats.org/officeDocument/2006/relationships/hyperlink" Target="https://adstransparency.google.com/advertiser/AR11070511645502472193/creative/CR02294644259946496001?region=anywhere" TargetMode="External"/><Relationship Id="rId121" Type="http://schemas.openxmlformats.org/officeDocument/2006/relationships/hyperlink" Target="https://www.tryprofound.com/" TargetMode="External"/><Relationship Id="rId1194" Type="http://schemas.openxmlformats.org/officeDocument/2006/relationships/hyperlink" Target="https://adstransparency.google.com/advertiser/AR11070511645502472193/creative/CR16223738828878249985?region=anywhere" TargetMode="External"/><Relationship Id="rId2041" Type="http://schemas.openxmlformats.org/officeDocument/2006/relationships/hyperlink" Target="https://www.semrush.com/analytics/keywordoverview/" TargetMode="External"/><Relationship Id="rId120" Type="http://schemas.openxmlformats.org/officeDocument/2006/relationships/hyperlink" Target="https://adstransparency.google.com/advertiser/AR01693402396748677121/creative/CR13796671020569985025?region=anywhere" TargetMode="External"/><Relationship Id="rId1195" Type="http://schemas.openxmlformats.org/officeDocument/2006/relationships/hyperlink" Target="https://www.semrush.com/features/" TargetMode="External"/><Relationship Id="rId2042" Type="http://schemas.openxmlformats.org/officeDocument/2006/relationships/hyperlink" Target="https://adstransparency.google.com/advertiser/AR11070511645502472193/creative/CR08570924774690127873?region=anywhere" TargetMode="External"/><Relationship Id="rId1196" Type="http://schemas.openxmlformats.org/officeDocument/2006/relationships/hyperlink" Target="https://adstransparency.google.com/advertiser/AR11070511645502472193/creative/CR04957702886034243585?region=anywhere" TargetMode="External"/><Relationship Id="rId2043" Type="http://schemas.openxmlformats.org/officeDocument/2006/relationships/hyperlink" Target="https://www.semrush.com/" TargetMode="External"/><Relationship Id="rId1197" Type="http://schemas.openxmlformats.org/officeDocument/2006/relationships/hyperlink" Target="https://www.semrush.com/kb/demo/" TargetMode="External"/><Relationship Id="rId2044" Type="http://schemas.openxmlformats.org/officeDocument/2006/relationships/hyperlink" Target="https://adstransparency.google.com/advertiser/AR11070511645502472193/creative/CR01737218252943130625?region=anywhere" TargetMode="External"/><Relationship Id="rId125" Type="http://schemas.openxmlformats.org/officeDocument/2006/relationships/hyperlink" Target="https://www.tryprofound.com/pricing" TargetMode="External"/><Relationship Id="rId1198" Type="http://schemas.openxmlformats.org/officeDocument/2006/relationships/hyperlink" Target="https://adstransparency.google.com/advertiser/AR11070511645502472193/creative/CR16118561745588453377?region=anywhere" TargetMode="External"/><Relationship Id="rId2045" Type="http://schemas.openxmlformats.org/officeDocument/2006/relationships/hyperlink" Target="https://www.semrush.com/" TargetMode="External"/><Relationship Id="rId124" Type="http://schemas.openxmlformats.org/officeDocument/2006/relationships/hyperlink" Target="https://adstransparency.google.com/advertiser/AR01693402396748677121/creative/CR03688027334050316289?region=anywhere" TargetMode="External"/><Relationship Id="rId1199" Type="http://schemas.openxmlformats.org/officeDocument/2006/relationships/hyperlink" Target="https://www.semrush.com/" TargetMode="External"/><Relationship Id="rId2046" Type="http://schemas.openxmlformats.org/officeDocument/2006/relationships/hyperlink" Target="https://adstransparency.google.com/advertiser/AR11070511645502472193/creative/CR10968757462169026561?region=anywhere" TargetMode="External"/><Relationship Id="rId123" Type="http://schemas.openxmlformats.org/officeDocument/2006/relationships/hyperlink" Target="https://www.tryprofound.com/" TargetMode="External"/><Relationship Id="rId2047" Type="http://schemas.openxmlformats.org/officeDocument/2006/relationships/hyperlink" Target="https://www.semrush.com/analytics/backlinks/overview/" TargetMode="External"/><Relationship Id="rId122" Type="http://schemas.openxmlformats.org/officeDocument/2006/relationships/hyperlink" Target="https://adstransparency.google.com/advertiser/AR01693402396748677121/creative/CR08276946727274020865?region=anywhere" TargetMode="External"/><Relationship Id="rId2048" Type="http://schemas.openxmlformats.org/officeDocument/2006/relationships/hyperlink" Target="https://adstransparency.google.com/advertiser/AR11070511645502472193/creative/CR13533984060468101121?region=anywhere" TargetMode="External"/><Relationship Id="rId2038" Type="http://schemas.openxmlformats.org/officeDocument/2006/relationships/hyperlink" Target="https://adstransparency.google.com/advertiser/AR11070511645502472193/creative/CR11894578482191007745?region=anywhere" TargetMode="External"/><Relationship Id="rId2039" Type="http://schemas.openxmlformats.org/officeDocument/2006/relationships/hyperlink" Target="https://www.semrush.com/" TargetMode="External"/><Relationship Id="rId118" Type="http://schemas.openxmlformats.org/officeDocument/2006/relationships/hyperlink" Target="https://adstransparency.google.com/advertiser/AR01693402396748677121/creative/CR03870846430935515137?region=anywhere" TargetMode="External"/><Relationship Id="rId117" Type="http://schemas.openxmlformats.org/officeDocument/2006/relationships/hyperlink" Target="https://www.tryprofound.com/" TargetMode="External"/><Relationship Id="rId116" Type="http://schemas.openxmlformats.org/officeDocument/2006/relationships/hyperlink" Target="https://adstransparency.google.com/advertiser/AR01693402396748677121/creative/CR13974492012473221121?region=anywhere" TargetMode="External"/><Relationship Id="rId115" Type="http://schemas.openxmlformats.org/officeDocument/2006/relationships/hyperlink" Target="https://www.tryprofound.com/" TargetMode="External"/><Relationship Id="rId599" Type="http://schemas.openxmlformats.org/officeDocument/2006/relationships/hyperlink" Target="https://peec.ai/demo" TargetMode="External"/><Relationship Id="rId1180" Type="http://schemas.openxmlformats.org/officeDocument/2006/relationships/hyperlink" Target="https://adstransparency.google.com/advertiser/AR11070511645502472193/creative/CR12102059762326175745?region=anywhere" TargetMode="External"/><Relationship Id="rId1181" Type="http://schemas.openxmlformats.org/officeDocument/2006/relationships/hyperlink" Target="https://www.semrush.com/features/" TargetMode="External"/><Relationship Id="rId119" Type="http://schemas.openxmlformats.org/officeDocument/2006/relationships/hyperlink" Target="https://www.tryprofound.com/" TargetMode="External"/><Relationship Id="rId1182" Type="http://schemas.openxmlformats.org/officeDocument/2006/relationships/hyperlink" Target="https://adstransparency.google.com/advertiser/AR11070511645502472193/creative/CR00926089515607523329?region=anywhere" TargetMode="External"/><Relationship Id="rId110" Type="http://schemas.openxmlformats.org/officeDocument/2006/relationships/hyperlink" Target="https://adstransparency.google.com/advertiser/AR01693402396748677121/creative/CR03937488243011878913?region=anywhere" TargetMode="External"/><Relationship Id="rId594" Type="http://schemas.openxmlformats.org/officeDocument/2006/relationships/hyperlink" Target="https://adstransparency.google.com/advertiser/AR05016556376214732801/creative/CR07296207712784744449?region=anywhere" TargetMode="External"/><Relationship Id="rId1183" Type="http://schemas.openxmlformats.org/officeDocument/2006/relationships/hyperlink" Target="https://www.semrush.com/agencies/" TargetMode="External"/><Relationship Id="rId2030" Type="http://schemas.openxmlformats.org/officeDocument/2006/relationships/hyperlink" Target="https://adstransparency.google.com/advertiser/AR11070511645502472193/creative/CR02037043322807123969?region=anywhere" TargetMode="External"/><Relationship Id="rId593" Type="http://schemas.openxmlformats.org/officeDocument/2006/relationships/hyperlink" Target="https://peec.ai/visibility/platform" TargetMode="External"/><Relationship Id="rId1184" Type="http://schemas.openxmlformats.org/officeDocument/2006/relationships/hyperlink" Target="https://adstransparency.google.com/advertiser/AR11070511645502472193/creative/CR03584006842503659521?region=anywhere" TargetMode="External"/><Relationship Id="rId2031" Type="http://schemas.openxmlformats.org/officeDocument/2006/relationships/hyperlink" Target="https://www.semrush.com/" TargetMode="External"/><Relationship Id="rId592" Type="http://schemas.openxmlformats.org/officeDocument/2006/relationships/hyperlink" Target="https://adstransparency.google.com/advertiser/AR05016556376214732801/creative/CR17103325041354866689?region=anywhere" TargetMode="External"/><Relationship Id="rId1185" Type="http://schemas.openxmlformats.org/officeDocument/2006/relationships/hyperlink" Target="https://www.semrush.com/pricing/" TargetMode="External"/><Relationship Id="rId2032" Type="http://schemas.openxmlformats.org/officeDocument/2006/relationships/hyperlink" Target="https://adstransparency.google.com/advertiser/AR11070511645502472193/creative/CR13814129693261037569?region=anywhere" TargetMode="External"/><Relationship Id="rId591" Type="http://schemas.openxmlformats.org/officeDocument/2006/relationships/hyperlink" Target="https://peec.ai/" TargetMode="External"/><Relationship Id="rId1186" Type="http://schemas.openxmlformats.org/officeDocument/2006/relationships/hyperlink" Target="https://adstransparency.google.com/advertiser/AR11070511645502472193/creative/CR06451990014824808449?region=anywhere" TargetMode="External"/><Relationship Id="rId2033" Type="http://schemas.openxmlformats.org/officeDocument/2006/relationships/hyperlink" Target="https://www.semrush.com/" TargetMode="External"/><Relationship Id="rId114" Type="http://schemas.openxmlformats.org/officeDocument/2006/relationships/hyperlink" Target="https://adstransparency.google.com/advertiser/AR01693402396748677121/creative/CR09409414979142025217?region=anywhere" TargetMode="External"/><Relationship Id="rId598" Type="http://schemas.openxmlformats.org/officeDocument/2006/relationships/hyperlink" Target="https://adstransparency.google.com/advertiser/AR05016556376214732801/creative/CR01624675635748143105?region=anywhere" TargetMode="External"/><Relationship Id="rId1187" Type="http://schemas.openxmlformats.org/officeDocument/2006/relationships/hyperlink" Target="https://www.semrush.com/" TargetMode="External"/><Relationship Id="rId2034" Type="http://schemas.openxmlformats.org/officeDocument/2006/relationships/hyperlink" Target="https://adstransparency.google.com/advertiser/AR11070511645502472193/creative/CR01079746927014182913?region=anywhere" TargetMode="External"/><Relationship Id="rId113" Type="http://schemas.openxmlformats.org/officeDocument/2006/relationships/hyperlink" Target="https://www.tryprofound.com/" TargetMode="External"/><Relationship Id="rId597" Type="http://schemas.openxmlformats.org/officeDocument/2006/relationships/hyperlink" Target="https://peec.ai/for-agencies" TargetMode="External"/><Relationship Id="rId1188" Type="http://schemas.openxmlformats.org/officeDocument/2006/relationships/hyperlink" Target="https://adstransparency.google.com/advertiser/AR11070511645502472193/creative/CR12945459947621056513?region=anywhere" TargetMode="External"/><Relationship Id="rId2035" Type="http://schemas.openxmlformats.org/officeDocument/2006/relationships/hyperlink" Target="https://www.semrush.com/features/" TargetMode="External"/><Relationship Id="rId112" Type="http://schemas.openxmlformats.org/officeDocument/2006/relationships/hyperlink" Target="https://adstransparency.google.com/advertiser/AR01693402396748677121/creative/CR14395915303068368897?region=anywhere" TargetMode="External"/><Relationship Id="rId596" Type="http://schemas.openxmlformats.org/officeDocument/2006/relationships/hyperlink" Target="https://adstransparency.google.com/advertiser/AR05016556376214732801/creative/CR03679118609805737985?region=anywhere" TargetMode="External"/><Relationship Id="rId1189" Type="http://schemas.openxmlformats.org/officeDocument/2006/relationships/hyperlink" Target="https://www.semrush.com/" TargetMode="External"/><Relationship Id="rId2036" Type="http://schemas.openxmlformats.org/officeDocument/2006/relationships/hyperlink" Target="https://adstransparency.google.com/advertiser/AR11070511645502472193/creative/CR16298024351301632001?region=anywhere" TargetMode="External"/><Relationship Id="rId111" Type="http://schemas.openxmlformats.org/officeDocument/2006/relationships/hyperlink" Target="https://www.tryprofound.com/" TargetMode="External"/><Relationship Id="rId595" Type="http://schemas.openxmlformats.org/officeDocument/2006/relationships/hyperlink" Target="https://peec.ai/pricing" TargetMode="External"/><Relationship Id="rId2037" Type="http://schemas.openxmlformats.org/officeDocument/2006/relationships/hyperlink" Target="https://www.semrush.com/kb/demo/" TargetMode="External"/><Relationship Id="rId1136" Type="http://schemas.openxmlformats.org/officeDocument/2006/relationships/hyperlink" Target="https://adstransparency.google.com/advertiser/AR03264499243192156161/creative/CR02847621187637346305?region=anywhere" TargetMode="External"/><Relationship Id="rId1137" Type="http://schemas.openxmlformats.org/officeDocument/2006/relationships/hyperlink" Target="https://mangools.com/" TargetMode="External"/><Relationship Id="rId1138" Type="http://schemas.openxmlformats.org/officeDocument/2006/relationships/hyperlink" Target="https://adstransparency.google.com/advertiser/AR05538899415307124737/creative/CR04476897652482506753?region=anywhere" TargetMode="External"/><Relationship Id="rId1139" Type="http://schemas.openxmlformats.org/officeDocument/2006/relationships/hyperlink" Target="https://mangools.com/kwfinder/" TargetMode="External"/><Relationship Id="rId547" Type="http://schemas.openxmlformats.org/officeDocument/2006/relationships/hyperlink" Target="https://peec.ai/pricing" TargetMode="External"/><Relationship Id="rId546" Type="http://schemas.openxmlformats.org/officeDocument/2006/relationships/hyperlink" Target="https://adstransparency.google.com/advertiser/AR05016556376214732801/creative/CR01711398790755254273?region=anywhere" TargetMode="External"/><Relationship Id="rId545" Type="http://schemas.openxmlformats.org/officeDocument/2006/relationships/hyperlink" Target="https://peec.ai/visibility/platform" TargetMode="External"/><Relationship Id="rId544" Type="http://schemas.openxmlformats.org/officeDocument/2006/relationships/hyperlink" Target="https://adstransparency.google.com/advertiser/AR05016556376214732801/creative/CR09213222865925570561?region=anywhere" TargetMode="External"/><Relationship Id="rId549" Type="http://schemas.openxmlformats.org/officeDocument/2006/relationships/hyperlink" Target="https://peec.ai/for-agencies" TargetMode="External"/><Relationship Id="rId548" Type="http://schemas.openxmlformats.org/officeDocument/2006/relationships/hyperlink" Target="https://adstransparency.google.com/advertiser/AR05016556376214732801/creative/CR16588146368489455617?region=anywhere" TargetMode="External"/><Relationship Id="rId1130" Type="http://schemas.openxmlformats.org/officeDocument/2006/relationships/hyperlink" Target="https://adstransparency.google.com/advertiser/AR05538899415307124737/creative/CR16401207161016811521?region=anywhere" TargetMode="External"/><Relationship Id="rId1131" Type="http://schemas.openxmlformats.org/officeDocument/2006/relationships/hyperlink" Target="https://mangools.com/seo/tools" TargetMode="External"/><Relationship Id="rId543" Type="http://schemas.openxmlformats.org/officeDocument/2006/relationships/hyperlink" Target="https://peec.ai/" TargetMode="External"/><Relationship Id="rId1132" Type="http://schemas.openxmlformats.org/officeDocument/2006/relationships/hyperlink" Target="https://adstransparency.google.com/advertiser/AR05538899415307124737/creative/CR01617934452648837121?region=anywhere" TargetMode="External"/><Relationship Id="rId542" Type="http://schemas.openxmlformats.org/officeDocument/2006/relationships/hyperlink" Target="https://adstransparency.google.com/advertiser/AR05016556376214732801/creative/CR04838218820004872193?region=anywhere" TargetMode="External"/><Relationship Id="rId1133" Type="http://schemas.openxmlformats.org/officeDocument/2006/relationships/hyperlink" Target="https://mangools.com/" TargetMode="External"/><Relationship Id="rId541" Type="http://schemas.openxmlformats.org/officeDocument/2006/relationships/hyperlink" Target="https://peec.ai/" TargetMode="External"/><Relationship Id="rId1134" Type="http://schemas.openxmlformats.org/officeDocument/2006/relationships/hyperlink" Target="https://adstransparency.google.com/advertiser/AR07491212980508426241/creative/CR08723590615587094529?region=anywhere" TargetMode="External"/><Relationship Id="rId540" Type="http://schemas.openxmlformats.org/officeDocument/2006/relationships/hyperlink" Target="https://adstransparency.google.com/advertiser/AR05016556376214732801/creative/CR11673893811162972161?region=anywhere" TargetMode="External"/><Relationship Id="rId1135" Type="http://schemas.openxmlformats.org/officeDocument/2006/relationships/hyperlink" Target="https://mangools.com/" TargetMode="External"/><Relationship Id="rId1125" Type="http://schemas.openxmlformats.org/officeDocument/2006/relationships/hyperlink" Target="https://mangools.com/" TargetMode="External"/><Relationship Id="rId1126" Type="http://schemas.openxmlformats.org/officeDocument/2006/relationships/hyperlink" Target="https://adstransparency.google.com/advertiser/AR07491212980508426241/creative/CR08610461864205221889?region=anywhere" TargetMode="External"/><Relationship Id="rId1127" Type="http://schemas.openxmlformats.org/officeDocument/2006/relationships/hyperlink" Target="https://mangools.com/kwfinder/" TargetMode="External"/><Relationship Id="rId1128" Type="http://schemas.openxmlformats.org/officeDocument/2006/relationships/hyperlink" Target="https://adstransparency.google.com/advertiser/AR05538899415307124737/creative/CR13023370877708795905?region=anywhere" TargetMode="External"/><Relationship Id="rId1129" Type="http://schemas.openxmlformats.org/officeDocument/2006/relationships/hyperlink" Target="https://mangools.com/seo/tools" TargetMode="External"/><Relationship Id="rId536" Type="http://schemas.openxmlformats.org/officeDocument/2006/relationships/hyperlink" Target="https://adstransparency.google.com/advertiser/AR05016556376214732801/creative/CR00520717514229940225?region=anywhere" TargetMode="External"/><Relationship Id="rId535" Type="http://schemas.openxmlformats.org/officeDocument/2006/relationships/hyperlink" Target="https://peec.ai/" TargetMode="External"/><Relationship Id="rId534" Type="http://schemas.openxmlformats.org/officeDocument/2006/relationships/hyperlink" Target="https://adstransparency.google.com/advertiser/AR05016556376214732801/creative/CR00906715914567680001?region=anywhere" TargetMode="External"/><Relationship Id="rId533" Type="http://schemas.openxmlformats.org/officeDocument/2006/relationships/hyperlink" Target="https://peec.ai/black-friday" TargetMode="External"/><Relationship Id="rId539" Type="http://schemas.openxmlformats.org/officeDocument/2006/relationships/hyperlink" Target="https://peec.ai/for-agencies" TargetMode="External"/><Relationship Id="rId538" Type="http://schemas.openxmlformats.org/officeDocument/2006/relationships/hyperlink" Target="https://adstransparency.google.com/advertiser/AR05016556376214732801/creative/CR07907421622460481537?region=anywhere" TargetMode="External"/><Relationship Id="rId537" Type="http://schemas.openxmlformats.org/officeDocument/2006/relationships/hyperlink" Target="https://peec.ai/visibility/platform" TargetMode="External"/><Relationship Id="rId1120" Type="http://schemas.openxmlformats.org/officeDocument/2006/relationships/hyperlink" Target="https://adstransparency.google.com/advertiser/AR05016556376214732801/creative/CR14001897520184164353?region=anywhere" TargetMode="External"/><Relationship Id="rId532" Type="http://schemas.openxmlformats.org/officeDocument/2006/relationships/hyperlink" Target="https://adstransparency.google.com/advertiser/AR05016556376214732801/creative/CR05624922619494006785?region=anywhere" TargetMode="External"/><Relationship Id="rId1121" Type="http://schemas.openxmlformats.org/officeDocument/2006/relationships/hyperlink" Target="https://mangools.com/serpwatcher/" TargetMode="External"/><Relationship Id="rId531" Type="http://schemas.openxmlformats.org/officeDocument/2006/relationships/hyperlink" Target="https://peec.ai/" TargetMode="External"/><Relationship Id="rId1122" Type="http://schemas.openxmlformats.org/officeDocument/2006/relationships/hyperlink" Target="https://adstransparency.google.com/advertiser/AR05538899415307124737/creative/CR06206837284478648321?region=anywhere" TargetMode="External"/><Relationship Id="rId530" Type="http://schemas.openxmlformats.org/officeDocument/2006/relationships/hyperlink" Target="https://adstransparency.google.com/advertiser/AR05016556376214732801/creative/CR18174418390951657473?region=anywhere" TargetMode="External"/><Relationship Id="rId1123" Type="http://schemas.openxmlformats.org/officeDocument/2006/relationships/hyperlink" Target="https://mangools.com/" TargetMode="External"/><Relationship Id="rId1124" Type="http://schemas.openxmlformats.org/officeDocument/2006/relationships/hyperlink" Target="https://adstransparency.google.com/advertiser/AR05538899415307124737/creative/CR03305588044261752833?region=anywhere" TargetMode="External"/><Relationship Id="rId1158" Type="http://schemas.openxmlformats.org/officeDocument/2006/relationships/hyperlink" Target="https://adstransparency.google.com/advertiser/AR05538899415307124737/creative/CR00906987055853076481?region=anywhere" TargetMode="External"/><Relationship Id="rId2005" Type="http://schemas.openxmlformats.org/officeDocument/2006/relationships/hyperlink" Target="https://www.semrush.com/" TargetMode="External"/><Relationship Id="rId1159" Type="http://schemas.openxmlformats.org/officeDocument/2006/relationships/hyperlink" Target="https://mangools.com/siteprofiler/" TargetMode="External"/><Relationship Id="rId2006" Type="http://schemas.openxmlformats.org/officeDocument/2006/relationships/hyperlink" Target="https://adstransparency.google.com/advertiser/AR11070511645502472193/creative/CR03681106707217383425?region=anywhere" TargetMode="External"/><Relationship Id="rId2007" Type="http://schemas.openxmlformats.org/officeDocument/2006/relationships/hyperlink" Target="https://www.semrush.com/features/" TargetMode="External"/><Relationship Id="rId2008" Type="http://schemas.openxmlformats.org/officeDocument/2006/relationships/hyperlink" Target="https://adstransparency.google.com/advertiser/AR11070511645502472193/creative/CR13757083216081059841?region=anywhere" TargetMode="External"/><Relationship Id="rId2009" Type="http://schemas.openxmlformats.org/officeDocument/2006/relationships/hyperlink" Target="https://www.semrush.com/kb/demo/" TargetMode="External"/><Relationship Id="rId569" Type="http://schemas.openxmlformats.org/officeDocument/2006/relationships/hyperlink" Target="https://peec.ai/visibility/platform" TargetMode="External"/><Relationship Id="rId568" Type="http://schemas.openxmlformats.org/officeDocument/2006/relationships/hyperlink" Target="https://adstransparency.google.com/advertiser/AR05016556376214732801/creative/CR11123426407093370881?region=anywhere" TargetMode="External"/><Relationship Id="rId567" Type="http://schemas.openxmlformats.org/officeDocument/2006/relationships/hyperlink" Target="https://peec.ai/" TargetMode="External"/><Relationship Id="rId566" Type="http://schemas.openxmlformats.org/officeDocument/2006/relationships/hyperlink" Target="https://adstransparency.google.com/advertiser/AR05016556376214732801/creative/CR05912681760423936001?region=anywhere" TargetMode="External"/><Relationship Id="rId561" Type="http://schemas.openxmlformats.org/officeDocument/2006/relationships/hyperlink" Target="https://peec.ai/visibility/platform" TargetMode="External"/><Relationship Id="rId1150" Type="http://schemas.openxmlformats.org/officeDocument/2006/relationships/hyperlink" Target="https://adstransparency.google.com/advertiser/AR11494914002723536897/creative/CR16980757601123827713?region=anywhere" TargetMode="External"/><Relationship Id="rId560" Type="http://schemas.openxmlformats.org/officeDocument/2006/relationships/hyperlink" Target="https://adstransparency.google.com/advertiser/AR05016556376214732801/creative/CR03492617085270360065?region=anywhere" TargetMode="External"/><Relationship Id="rId1151" Type="http://schemas.openxmlformats.org/officeDocument/2006/relationships/hyperlink" Target="https://mangools.com/" TargetMode="External"/><Relationship Id="rId1152" Type="http://schemas.openxmlformats.org/officeDocument/2006/relationships/hyperlink" Target="https://adstransparency.google.com/advertiser/AR05538899415307124737/creative/CR06694026883836674049?region=anywhere" TargetMode="External"/><Relationship Id="rId1153" Type="http://schemas.openxmlformats.org/officeDocument/2006/relationships/hyperlink" Target="https://mangools.com/kwfinder/" TargetMode="External"/><Relationship Id="rId2000" Type="http://schemas.openxmlformats.org/officeDocument/2006/relationships/hyperlink" Target="https://adstransparency.google.com/advertiser/AR11070511645502472193/creative/CR10522292622452588545?region=anywhere" TargetMode="External"/><Relationship Id="rId565" Type="http://schemas.openxmlformats.org/officeDocument/2006/relationships/hyperlink" Target="https://peec.ai/" TargetMode="External"/><Relationship Id="rId1154" Type="http://schemas.openxmlformats.org/officeDocument/2006/relationships/hyperlink" Target="https://adstransparency.google.com/advertiser/AR05538899415307124737/creative/CR15740018197295792129?region=anywhere" TargetMode="External"/><Relationship Id="rId2001" Type="http://schemas.openxmlformats.org/officeDocument/2006/relationships/hyperlink" Target="https://www.semrush.com/" TargetMode="External"/><Relationship Id="rId564" Type="http://schemas.openxmlformats.org/officeDocument/2006/relationships/hyperlink" Target="https://adstransparency.google.com/advertiser/AR05016556376214732801/creative/CR10325031431746617345?region=anywhere" TargetMode="External"/><Relationship Id="rId1155" Type="http://schemas.openxmlformats.org/officeDocument/2006/relationships/hyperlink" Target="https://mangools.com/serpwatcher/" TargetMode="External"/><Relationship Id="rId2002" Type="http://schemas.openxmlformats.org/officeDocument/2006/relationships/hyperlink" Target="https://adstransparency.google.com/advertiser/AR11070511645502472193/creative/CR00675722205337747457?region=anywhere" TargetMode="External"/><Relationship Id="rId563" Type="http://schemas.openxmlformats.org/officeDocument/2006/relationships/hyperlink" Target="https://peec.ai/for-agencies" TargetMode="External"/><Relationship Id="rId1156" Type="http://schemas.openxmlformats.org/officeDocument/2006/relationships/hyperlink" Target="https://adstransparency.google.com/advertiser/AR05538899415307124737/creative/CR06290233162681286657?region=anywhere" TargetMode="External"/><Relationship Id="rId2003" Type="http://schemas.openxmlformats.org/officeDocument/2006/relationships/hyperlink" Target="https://www.semrush.com/" TargetMode="External"/><Relationship Id="rId562" Type="http://schemas.openxmlformats.org/officeDocument/2006/relationships/hyperlink" Target="https://adstransparency.google.com/advertiser/AR05016556376214732801/creative/CR05823261391724740609?region=anywhere" TargetMode="External"/><Relationship Id="rId1157" Type="http://schemas.openxmlformats.org/officeDocument/2006/relationships/hyperlink" Target="https://mangools.com/linkminer/" TargetMode="External"/><Relationship Id="rId2004" Type="http://schemas.openxmlformats.org/officeDocument/2006/relationships/hyperlink" Target="https://adstransparency.google.com/advertiser/AR11070511645502472193/creative/CR10582093273180930049?region=anywhere" TargetMode="External"/><Relationship Id="rId1147" Type="http://schemas.openxmlformats.org/officeDocument/2006/relationships/hyperlink" Target="https://mangools.com/pricing" TargetMode="External"/><Relationship Id="rId1148" Type="http://schemas.openxmlformats.org/officeDocument/2006/relationships/hyperlink" Target="https://adstransparency.google.com/advertiser/AR17788391970247278593/creative/CR09727762293038514177?region=anywhere" TargetMode="External"/><Relationship Id="rId1149" Type="http://schemas.openxmlformats.org/officeDocument/2006/relationships/hyperlink" Target="https://mangools.com/" TargetMode="External"/><Relationship Id="rId558" Type="http://schemas.openxmlformats.org/officeDocument/2006/relationships/hyperlink" Target="https://adstransparency.google.com/advertiser/AR05016556376214732801/creative/CR01802740306915885057?region=anywhere" TargetMode="External"/><Relationship Id="rId557" Type="http://schemas.openxmlformats.org/officeDocument/2006/relationships/hyperlink" Target="https://peec.ai/visibility/platform" TargetMode="External"/><Relationship Id="rId556" Type="http://schemas.openxmlformats.org/officeDocument/2006/relationships/hyperlink" Target="https://adstransparency.google.com/advertiser/AR05016556376214732801/creative/CR02155252118557032449?region=anywhere" TargetMode="External"/><Relationship Id="rId555" Type="http://schemas.openxmlformats.org/officeDocument/2006/relationships/hyperlink" Target="https://peec.ai/" TargetMode="External"/><Relationship Id="rId559" Type="http://schemas.openxmlformats.org/officeDocument/2006/relationships/hyperlink" Target="https://peec.ai/" TargetMode="External"/><Relationship Id="rId550" Type="http://schemas.openxmlformats.org/officeDocument/2006/relationships/hyperlink" Target="https://adstransparency.google.com/advertiser/AR05016556376214732801/creative/CR01148763409328635905?region=anywhere" TargetMode="External"/><Relationship Id="rId1140" Type="http://schemas.openxmlformats.org/officeDocument/2006/relationships/hyperlink" Target="https://adstransparency.google.com/advertiser/AR05538899415307124737/creative/CR18261034025747480577?region=anywhere" TargetMode="External"/><Relationship Id="rId1141" Type="http://schemas.openxmlformats.org/officeDocument/2006/relationships/hyperlink" Target="https://mangools.com/linkminer/" TargetMode="External"/><Relationship Id="rId1142" Type="http://schemas.openxmlformats.org/officeDocument/2006/relationships/hyperlink" Target="https://adstransparency.google.com/advertiser/AR08188980299493801985/creative/CR14483344619418419201?region=anywhere" TargetMode="External"/><Relationship Id="rId554" Type="http://schemas.openxmlformats.org/officeDocument/2006/relationships/hyperlink" Target="https://adstransparency.google.com/advertiser/AR05016556376214732801/creative/CR06678522395495497729?region=anywhere" TargetMode="External"/><Relationship Id="rId1143" Type="http://schemas.openxmlformats.org/officeDocument/2006/relationships/hyperlink" Target="https://mangools.com/siteprofiler/" TargetMode="External"/><Relationship Id="rId553" Type="http://schemas.openxmlformats.org/officeDocument/2006/relationships/hyperlink" Target="https://peec.ai/" TargetMode="External"/><Relationship Id="rId1144" Type="http://schemas.openxmlformats.org/officeDocument/2006/relationships/hyperlink" Target="https://adstransparency.google.com/advertiser/AR06046219148424380417/creative/CR15876814846998609921?region=anywhere" TargetMode="External"/><Relationship Id="rId552" Type="http://schemas.openxmlformats.org/officeDocument/2006/relationships/hyperlink" Target="https://adstransparency.google.com/advertiser/AR05016556376214732801/creative/CR15692211517619437569?region=anywhere" TargetMode="External"/><Relationship Id="rId1145" Type="http://schemas.openxmlformats.org/officeDocument/2006/relationships/hyperlink" Target="https://mangools.com/serpchecker/" TargetMode="External"/><Relationship Id="rId551" Type="http://schemas.openxmlformats.org/officeDocument/2006/relationships/hyperlink" Target="https://peec.ai/demo" TargetMode="External"/><Relationship Id="rId1146" Type="http://schemas.openxmlformats.org/officeDocument/2006/relationships/hyperlink" Target="https://adstransparency.google.com/advertiser/AR11083541597025992705/creative/CR14197332439256268801?region=anywhere" TargetMode="External"/><Relationship Id="rId2090" Type="http://schemas.openxmlformats.org/officeDocument/2006/relationships/hyperlink" Target="https://rankscale.ai/" TargetMode="External"/><Relationship Id="rId2091" Type="http://schemas.openxmlformats.org/officeDocument/2006/relationships/hyperlink" Target="https://adstransparency.google.com/advertiser/AR00739524288117211137/creative/CR03082580981337554945?region=anywhere" TargetMode="External"/><Relationship Id="rId2092" Type="http://schemas.openxmlformats.org/officeDocument/2006/relationships/hyperlink" Target="https://rankscale.ai/" TargetMode="External"/><Relationship Id="rId2093" Type="http://schemas.openxmlformats.org/officeDocument/2006/relationships/hyperlink" Target="https://adstransparency.google.com/advertiser/AR16480343677202333697/creative/CR06832660276303626241?region=anywhere" TargetMode="External"/><Relationship Id="rId2094" Type="http://schemas.openxmlformats.org/officeDocument/2006/relationships/hyperlink" Target="https://rankscale.ai/" TargetMode="External"/><Relationship Id="rId2095" Type="http://schemas.openxmlformats.org/officeDocument/2006/relationships/hyperlink" Target="https://adstransparency.google.com/advertiser/AR00739524288117211137/creative/CR16115500567777771521?region=anywhere" TargetMode="External"/><Relationship Id="rId2096" Type="http://schemas.openxmlformats.org/officeDocument/2006/relationships/hyperlink" Target="https://rankscale.ai/" TargetMode="External"/><Relationship Id="rId2097" Type="http://schemas.openxmlformats.org/officeDocument/2006/relationships/hyperlink" Target="https://adstransparency.google.com/advertiser/AR00492563599877734401/creative/CR06318832722840125441?region=anywhere" TargetMode="External"/><Relationship Id="rId2098" Type="http://schemas.openxmlformats.org/officeDocument/2006/relationships/hyperlink" Target="https://rankscale.ai/rankscale_ai" TargetMode="External"/><Relationship Id="rId2099" Type="http://schemas.openxmlformats.org/officeDocument/2006/relationships/hyperlink" Target="https://adstransparency.google.com/advertiser/AR09760715412437204993/creative/CR02011469670187532289?region=anywhere" TargetMode="External"/><Relationship Id="rId2060" Type="http://schemas.openxmlformats.org/officeDocument/2006/relationships/hyperlink" Target="https://adstransparency.google.com/advertiser/AR11070511645502472193/creative/CR06112763808340508673?region=anywhere" TargetMode="External"/><Relationship Id="rId2061" Type="http://schemas.openxmlformats.org/officeDocument/2006/relationships/hyperlink" Target="https://www.semrush.com/" TargetMode="External"/><Relationship Id="rId2062" Type="http://schemas.openxmlformats.org/officeDocument/2006/relationships/hyperlink" Target="https://adstransparency.google.com/advertiser/AR11070511645502472193/creative/CR18172691676659712001?region=anywhere" TargetMode="External"/><Relationship Id="rId2063" Type="http://schemas.openxmlformats.org/officeDocument/2006/relationships/hyperlink" Target="https://www.semrush.com/features/" TargetMode="External"/><Relationship Id="rId2064" Type="http://schemas.openxmlformats.org/officeDocument/2006/relationships/hyperlink" Target="https://adstransparency.google.com/advertiser/AR11070511645502472193/creative/CR13744804419977871361?region=anywhere" TargetMode="External"/><Relationship Id="rId2065" Type="http://schemas.openxmlformats.org/officeDocument/2006/relationships/hyperlink" Target="https://www.semrush.com/kb/demo/" TargetMode="External"/><Relationship Id="rId2066" Type="http://schemas.openxmlformats.org/officeDocument/2006/relationships/hyperlink" Target="https://adstransparency.google.com/advertiser/AR11070511645502472193/creative/CR16577862155198529537?region=anywhere" TargetMode="External"/><Relationship Id="rId2067" Type="http://schemas.openxmlformats.org/officeDocument/2006/relationships/hyperlink" Target="http://rankscale.ai/" TargetMode="External"/><Relationship Id="rId2068" Type="http://schemas.openxmlformats.org/officeDocument/2006/relationships/hyperlink" Target="https://rankscale.ai/" TargetMode="External"/><Relationship Id="rId2069" Type="http://schemas.openxmlformats.org/officeDocument/2006/relationships/hyperlink" Target="https://adstransparency.google.com/advertiser/AR00739524288117211137/creative/CR02154636529484431361?region=anywhere" TargetMode="External"/><Relationship Id="rId2050" Type="http://schemas.openxmlformats.org/officeDocument/2006/relationships/hyperlink" Target="https://adstransparency.google.com/advertiser/AR11070511645502472193/creative/CR00202335204939923457?region=anywhere" TargetMode="External"/><Relationship Id="rId2051" Type="http://schemas.openxmlformats.org/officeDocument/2006/relationships/hyperlink" Target="https://www.semrush.com/agencies/" TargetMode="External"/><Relationship Id="rId495" Type="http://schemas.openxmlformats.org/officeDocument/2006/relationships/hyperlink" Target="https://peec.ai/" TargetMode="External"/><Relationship Id="rId2052" Type="http://schemas.openxmlformats.org/officeDocument/2006/relationships/hyperlink" Target="https://adstransparency.google.com/advertiser/AR11070511645502472193/creative/CR17059132688327245825?region=anywhere" TargetMode="External"/><Relationship Id="rId494" Type="http://schemas.openxmlformats.org/officeDocument/2006/relationships/hyperlink" Target="https://adstransparency.google.com/advertiser/AR05016556376214732801/creative/CR15367453741695369217?region=anywhere" TargetMode="External"/><Relationship Id="rId2053" Type="http://schemas.openxmlformats.org/officeDocument/2006/relationships/hyperlink" Target="https://www.semrush.com/pricing/" TargetMode="External"/><Relationship Id="rId493" Type="http://schemas.openxmlformats.org/officeDocument/2006/relationships/hyperlink" Target="https://peec.ai/" TargetMode="External"/><Relationship Id="rId2054" Type="http://schemas.openxmlformats.org/officeDocument/2006/relationships/hyperlink" Target="https://adstransparency.google.com/advertiser/AR11070511645502472193/creative/CR01310044791412621313?region=anywhere" TargetMode="External"/><Relationship Id="rId492" Type="http://schemas.openxmlformats.org/officeDocument/2006/relationships/hyperlink" Target="https://adstransparency.google.com/advertiser/AR05016556376214732801/creative/CR11672936755010469889?region=anywhere" TargetMode="External"/><Relationship Id="rId2055" Type="http://schemas.openxmlformats.org/officeDocument/2006/relationships/hyperlink" Target="https://www.semrush.com/" TargetMode="External"/><Relationship Id="rId499" Type="http://schemas.openxmlformats.org/officeDocument/2006/relationships/hyperlink" Target="https://peec.ai/pricing" TargetMode="External"/><Relationship Id="rId2056" Type="http://schemas.openxmlformats.org/officeDocument/2006/relationships/hyperlink" Target="https://adstransparency.google.com/advertiser/AR11070511645502472193/creative/CR13714471230629740545?region=anywhere" TargetMode="External"/><Relationship Id="rId498" Type="http://schemas.openxmlformats.org/officeDocument/2006/relationships/hyperlink" Target="https://adstransparency.google.com/advertiser/AR05016556376214732801/creative/CR04472575266115289089?region=anywhere" TargetMode="External"/><Relationship Id="rId2057" Type="http://schemas.openxmlformats.org/officeDocument/2006/relationships/hyperlink" Target="https://www.semrush.com/" TargetMode="External"/><Relationship Id="rId497" Type="http://schemas.openxmlformats.org/officeDocument/2006/relationships/hyperlink" Target="https://peec.ai/visibility/platform" TargetMode="External"/><Relationship Id="rId2058" Type="http://schemas.openxmlformats.org/officeDocument/2006/relationships/hyperlink" Target="https://adstransparency.google.com/advertiser/AR11070511645502472193/creative/CR12028709005175029761?region=anywhere" TargetMode="External"/><Relationship Id="rId496" Type="http://schemas.openxmlformats.org/officeDocument/2006/relationships/hyperlink" Target="https://adstransparency.google.com/advertiser/AR05016556376214732801/creative/CR06641856019171377153?region=anywhere" TargetMode="External"/><Relationship Id="rId2059" Type="http://schemas.openxmlformats.org/officeDocument/2006/relationships/hyperlink" Target="https://www.semrush.com/" TargetMode="External"/><Relationship Id="rId2080" Type="http://schemas.openxmlformats.org/officeDocument/2006/relationships/hyperlink" Target="https://rankscale.ai/" TargetMode="External"/><Relationship Id="rId2081" Type="http://schemas.openxmlformats.org/officeDocument/2006/relationships/hyperlink" Target="https://adstransparency.google.com/advertiser/AR00739524288117211137/creative/CR00604732984414699521?region=anywhere" TargetMode="External"/><Relationship Id="rId2082" Type="http://schemas.openxmlformats.org/officeDocument/2006/relationships/hyperlink" Target="https://rankscale.ai/" TargetMode="External"/><Relationship Id="rId2083" Type="http://schemas.openxmlformats.org/officeDocument/2006/relationships/hyperlink" Target="https://adstransparency.google.com/advertiser/AR00739524288117211137/creative/CR04271243485794795521?region=anywhere" TargetMode="External"/><Relationship Id="rId2084" Type="http://schemas.openxmlformats.org/officeDocument/2006/relationships/hyperlink" Target="https://rankscale.ai/" TargetMode="External"/><Relationship Id="rId2085" Type="http://schemas.openxmlformats.org/officeDocument/2006/relationships/hyperlink" Target="https://adstransparency.google.com/advertiser/AR14002065152757727233/creative/CR08576620133252857857?region=anywhere" TargetMode="External"/><Relationship Id="rId2086" Type="http://schemas.openxmlformats.org/officeDocument/2006/relationships/hyperlink" Target="https://rankscale.ai/" TargetMode="External"/><Relationship Id="rId2087" Type="http://schemas.openxmlformats.org/officeDocument/2006/relationships/hyperlink" Target="https://adstransparency.google.com/advertiser/AR13497936107894996993/creative/CR08725855334662406145?region=anywhere" TargetMode="External"/><Relationship Id="rId2088" Type="http://schemas.openxmlformats.org/officeDocument/2006/relationships/hyperlink" Target="https://rankscale.ai/" TargetMode="External"/><Relationship Id="rId2089" Type="http://schemas.openxmlformats.org/officeDocument/2006/relationships/hyperlink" Target="https://adstransparency.google.com/advertiser/AR00739524288117211137/creative/CR03064711718362939393?region=anywhere" TargetMode="External"/><Relationship Id="rId2070" Type="http://schemas.openxmlformats.org/officeDocument/2006/relationships/hyperlink" Target="https://rankscale.ai/" TargetMode="External"/><Relationship Id="rId2071" Type="http://schemas.openxmlformats.org/officeDocument/2006/relationships/hyperlink" Target="https://adstransparency.google.com/advertiser/AR00739524288117211137/creative/CR12006826069492498433?region=anywhere" TargetMode="External"/><Relationship Id="rId2072" Type="http://schemas.openxmlformats.org/officeDocument/2006/relationships/hyperlink" Target="https://rankscale.ai/" TargetMode="External"/><Relationship Id="rId2073" Type="http://schemas.openxmlformats.org/officeDocument/2006/relationships/hyperlink" Target="https://adstransparency.google.com/advertiser/AR00739524288117211137/creative/CR13827474182419513345?region=anywhere" TargetMode="External"/><Relationship Id="rId2074" Type="http://schemas.openxmlformats.org/officeDocument/2006/relationships/hyperlink" Target="https://rankscale.ai/" TargetMode="External"/><Relationship Id="rId2075" Type="http://schemas.openxmlformats.org/officeDocument/2006/relationships/hyperlink" Target="https://adstransparency.google.com/advertiser/AR09953131201428455425/creative/CR03180908519503167489?region=anywhere" TargetMode="External"/><Relationship Id="rId2076" Type="http://schemas.openxmlformats.org/officeDocument/2006/relationships/hyperlink" Target="https://rankscale.ai/" TargetMode="External"/><Relationship Id="rId2077" Type="http://schemas.openxmlformats.org/officeDocument/2006/relationships/hyperlink" Target="https://adstransparency.google.com/advertiser/AR00739524288117211137/creative/CR18166801206322659329?region=anywhere" TargetMode="External"/><Relationship Id="rId2078" Type="http://schemas.openxmlformats.org/officeDocument/2006/relationships/hyperlink" Target="https://rankscale.ai/" TargetMode="External"/><Relationship Id="rId2079" Type="http://schemas.openxmlformats.org/officeDocument/2006/relationships/hyperlink" Target="https://adstransparency.google.com/advertiser/AR00739524288117211137/creative/CR04111750296164630529?region=anywhere" TargetMode="External"/><Relationship Id="rId1610" Type="http://schemas.openxmlformats.org/officeDocument/2006/relationships/hyperlink" Target="https://adstransparency.google.com/advertiser/AR11070511645502472193/creative/CR14528768786246402049?region=anywhere" TargetMode="External"/><Relationship Id="rId1611" Type="http://schemas.openxmlformats.org/officeDocument/2006/relationships/hyperlink" Target="https://www.semrush.com/" TargetMode="External"/><Relationship Id="rId1612" Type="http://schemas.openxmlformats.org/officeDocument/2006/relationships/hyperlink" Target="https://adstransparency.google.com/advertiser/AR11070511645502472193/creative/CR15096139875923001345?region=anywhere" TargetMode="External"/><Relationship Id="rId1613" Type="http://schemas.openxmlformats.org/officeDocument/2006/relationships/hyperlink" Target="https://www.semrush.com/" TargetMode="External"/><Relationship Id="rId1614" Type="http://schemas.openxmlformats.org/officeDocument/2006/relationships/hyperlink" Target="https://adstransparency.google.com/advertiser/AR11070511645502472193/creative/CR00482851544950112257?region=anywhere" TargetMode="External"/><Relationship Id="rId1615" Type="http://schemas.openxmlformats.org/officeDocument/2006/relationships/hyperlink" Target="https://www.semrush.com/features/" TargetMode="External"/><Relationship Id="rId1616" Type="http://schemas.openxmlformats.org/officeDocument/2006/relationships/hyperlink" Target="https://adstransparency.google.com/advertiser/AR11070511645502472193/creative/CR12175326819154657281?region=anywhere" TargetMode="External"/><Relationship Id="rId907" Type="http://schemas.openxmlformats.org/officeDocument/2006/relationships/hyperlink" Target="https://peec.ai/" TargetMode="External"/><Relationship Id="rId1617" Type="http://schemas.openxmlformats.org/officeDocument/2006/relationships/hyperlink" Target="https://www.semrush.com/kb/demo/" TargetMode="External"/><Relationship Id="rId906" Type="http://schemas.openxmlformats.org/officeDocument/2006/relationships/hyperlink" Target="https://adstransparency.google.com/advertiser/AR05016556376214732801/creative/CR14884022642448269313?region=anywhere" TargetMode="External"/><Relationship Id="rId1618" Type="http://schemas.openxmlformats.org/officeDocument/2006/relationships/hyperlink" Target="https://adstransparency.google.com/advertiser/AR11070511645502472193/creative/CR10351125496963530753?region=anywhere" TargetMode="External"/><Relationship Id="rId905" Type="http://schemas.openxmlformats.org/officeDocument/2006/relationships/hyperlink" Target="https://peec.ai/visibility/platform" TargetMode="External"/><Relationship Id="rId1619" Type="http://schemas.openxmlformats.org/officeDocument/2006/relationships/hyperlink" Target="https://www.semrush.com/" TargetMode="External"/><Relationship Id="rId904" Type="http://schemas.openxmlformats.org/officeDocument/2006/relationships/hyperlink" Target="https://adstransparency.google.com/advertiser/AR05016556376214732801/creative/CR07016234093432012801?region=anywhere" TargetMode="External"/><Relationship Id="rId909" Type="http://schemas.openxmlformats.org/officeDocument/2006/relationships/hyperlink" Target="https://peec.ai/visibility/platform" TargetMode="External"/><Relationship Id="rId908" Type="http://schemas.openxmlformats.org/officeDocument/2006/relationships/hyperlink" Target="https://adstransparency.google.com/advertiser/AR05016556376214732801/creative/CR11941063222473261057?region=anywhere" TargetMode="External"/><Relationship Id="rId903" Type="http://schemas.openxmlformats.org/officeDocument/2006/relationships/hyperlink" Target="https://peec.ai/" TargetMode="External"/><Relationship Id="rId902" Type="http://schemas.openxmlformats.org/officeDocument/2006/relationships/hyperlink" Target="https://adstransparency.google.com/advertiser/AR05016556376214732801/creative/CR03574374296010620929?region=anywhere" TargetMode="External"/><Relationship Id="rId901" Type="http://schemas.openxmlformats.org/officeDocument/2006/relationships/hyperlink" Target="https://peec.ai/for-agencies" TargetMode="External"/><Relationship Id="rId900" Type="http://schemas.openxmlformats.org/officeDocument/2006/relationships/hyperlink" Target="https://adstransparency.google.com/advertiser/AR05016556376214732801/creative/CR16456203323888893953?region=anywhere" TargetMode="External"/><Relationship Id="rId1600" Type="http://schemas.openxmlformats.org/officeDocument/2006/relationships/hyperlink" Target="https://adstransparency.google.com/advertiser/AR11070511645502472193/creative/CR15686149428979171329?region=anywhere" TargetMode="External"/><Relationship Id="rId1601" Type="http://schemas.openxmlformats.org/officeDocument/2006/relationships/hyperlink" Target="https://www.semrush.com/features/" TargetMode="External"/><Relationship Id="rId1602" Type="http://schemas.openxmlformats.org/officeDocument/2006/relationships/hyperlink" Target="https://adstransparency.google.com/advertiser/AR11070511645502472193/creative/CR10167260489642409985?region=anywhere" TargetMode="External"/><Relationship Id="rId1603" Type="http://schemas.openxmlformats.org/officeDocument/2006/relationships/hyperlink" Target="https://www.semrush.com/agencies/" TargetMode="External"/><Relationship Id="rId1604" Type="http://schemas.openxmlformats.org/officeDocument/2006/relationships/hyperlink" Target="https://adstransparency.google.com/advertiser/AR11070511645502472193/creative/CR13675043018535600129?region=anywhere" TargetMode="External"/><Relationship Id="rId1605" Type="http://schemas.openxmlformats.org/officeDocument/2006/relationships/hyperlink" Target="https://www.semrush.com/pricing/" TargetMode="External"/><Relationship Id="rId1606" Type="http://schemas.openxmlformats.org/officeDocument/2006/relationships/hyperlink" Target="https://adstransparency.google.com/advertiser/AR11070511645502472193/creative/CR00490951509672984577?region=anywhere" TargetMode="External"/><Relationship Id="rId1607" Type="http://schemas.openxmlformats.org/officeDocument/2006/relationships/hyperlink" Target="https://www.semrush.com/" TargetMode="External"/><Relationship Id="rId1608" Type="http://schemas.openxmlformats.org/officeDocument/2006/relationships/hyperlink" Target="https://adstransparency.google.com/advertiser/AR11070511645502472193/creative/CR03052479350856220673?region=anywhere" TargetMode="External"/><Relationship Id="rId1609" Type="http://schemas.openxmlformats.org/officeDocument/2006/relationships/hyperlink" Target="https://www.semrush.com/" TargetMode="External"/><Relationship Id="rId1631" Type="http://schemas.openxmlformats.org/officeDocument/2006/relationships/hyperlink" Target="https://www.semrush.com/agencies/" TargetMode="External"/><Relationship Id="rId1632" Type="http://schemas.openxmlformats.org/officeDocument/2006/relationships/hyperlink" Target="https://adstransparency.google.com/advertiser/AR11070511645502472193/creative/CR08811944870324207617?region=anywhere" TargetMode="External"/><Relationship Id="rId1633" Type="http://schemas.openxmlformats.org/officeDocument/2006/relationships/hyperlink" Target="https://www.semrush.com/pricing/" TargetMode="External"/><Relationship Id="rId1634" Type="http://schemas.openxmlformats.org/officeDocument/2006/relationships/hyperlink" Target="https://adstransparency.google.com/advertiser/AR11070511645502472193/creative/CR04160584486637010945?region=anywhere" TargetMode="External"/><Relationship Id="rId1635" Type="http://schemas.openxmlformats.org/officeDocument/2006/relationships/hyperlink" Target="https://www.semrush.com/" TargetMode="External"/><Relationship Id="rId1636" Type="http://schemas.openxmlformats.org/officeDocument/2006/relationships/hyperlink" Target="https://adstransparency.google.com/advertiser/AR11070511645502472193/creative/CR09153069727231246337?region=anywhere" TargetMode="External"/><Relationship Id="rId1637" Type="http://schemas.openxmlformats.org/officeDocument/2006/relationships/hyperlink" Target="https://www.semrush.com/" TargetMode="External"/><Relationship Id="rId1638" Type="http://schemas.openxmlformats.org/officeDocument/2006/relationships/hyperlink" Target="https://adstransparency.google.com/advertiser/AR11070511645502472193/creative/CR08862062397024632833?region=anywhere" TargetMode="External"/><Relationship Id="rId929" Type="http://schemas.openxmlformats.org/officeDocument/2006/relationships/hyperlink" Target="https://peec.ai/visibility/platform" TargetMode="External"/><Relationship Id="rId1639" Type="http://schemas.openxmlformats.org/officeDocument/2006/relationships/hyperlink" Target="https://www.semrush.com/" TargetMode="External"/><Relationship Id="rId928" Type="http://schemas.openxmlformats.org/officeDocument/2006/relationships/hyperlink" Target="https://adstransparency.google.com/advertiser/AR05016556376214732801/creative/CR03164954923611717633?region=anywhere" TargetMode="External"/><Relationship Id="rId927" Type="http://schemas.openxmlformats.org/officeDocument/2006/relationships/hyperlink" Target="https://peec.ai/" TargetMode="External"/><Relationship Id="rId926" Type="http://schemas.openxmlformats.org/officeDocument/2006/relationships/hyperlink" Target="https://adstransparency.google.com/advertiser/AR05016556376214732801/creative/CR05763391171116138497?region=anywhere" TargetMode="External"/><Relationship Id="rId921" Type="http://schemas.openxmlformats.org/officeDocument/2006/relationships/hyperlink" Target="https://peec.ai/visibility/platform" TargetMode="External"/><Relationship Id="rId920" Type="http://schemas.openxmlformats.org/officeDocument/2006/relationships/hyperlink" Target="https://adstransparency.google.com/advertiser/AR05016556376214732801/creative/CR00826740093053042689?region=anywhere" TargetMode="External"/><Relationship Id="rId925" Type="http://schemas.openxmlformats.org/officeDocument/2006/relationships/hyperlink" Target="https://peec.ai/for-agencies" TargetMode="External"/><Relationship Id="rId924" Type="http://schemas.openxmlformats.org/officeDocument/2006/relationships/hyperlink" Target="https://adstransparency.google.com/advertiser/AR05016556376214732801/creative/CR07582850643254050817?region=anywhere" TargetMode="External"/><Relationship Id="rId923" Type="http://schemas.openxmlformats.org/officeDocument/2006/relationships/hyperlink" Target="https://peec.ai/black-friday" TargetMode="External"/><Relationship Id="rId922" Type="http://schemas.openxmlformats.org/officeDocument/2006/relationships/hyperlink" Target="https://adstransparency.google.com/advertiser/AR05016556376214732801/creative/CR17470636940930842625?region=anywhere" TargetMode="External"/><Relationship Id="rId1630" Type="http://schemas.openxmlformats.org/officeDocument/2006/relationships/hyperlink" Target="https://adstransparency.google.com/advertiser/AR11070511645502472193/creative/CR04659705419243978753?region=anywhere" TargetMode="External"/><Relationship Id="rId1620" Type="http://schemas.openxmlformats.org/officeDocument/2006/relationships/hyperlink" Target="https://adstransparency.google.com/advertiser/AR11070511645502472193/creative/CR13847948506267910145?region=anywhere" TargetMode="External"/><Relationship Id="rId1621" Type="http://schemas.openxmlformats.org/officeDocument/2006/relationships/hyperlink" Target="https://www.semrush.com/analytics/keywordoverview/" TargetMode="External"/><Relationship Id="rId1622" Type="http://schemas.openxmlformats.org/officeDocument/2006/relationships/hyperlink" Target="https://adstransparency.google.com/advertiser/AR11070511645502472193/creative/CR14238591518599282689?region=anywhere" TargetMode="External"/><Relationship Id="rId1623" Type="http://schemas.openxmlformats.org/officeDocument/2006/relationships/hyperlink" Target="https://www.semrush.com/" TargetMode="External"/><Relationship Id="rId1624" Type="http://schemas.openxmlformats.org/officeDocument/2006/relationships/hyperlink" Target="https://adstransparency.google.com/advertiser/AR11070511645502472193/creative/CR04452656144099311617?region=anywhere" TargetMode="External"/><Relationship Id="rId1625" Type="http://schemas.openxmlformats.org/officeDocument/2006/relationships/hyperlink" Target="https://www.semrush.com/" TargetMode="External"/><Relationship Id="rId1626" Type="http://schemas.openxmlformats.org/officeDocument/2006/relationships/hyperlink" Target="https://adstransparency.google.com/advertiser/AR11070511645502472193/creative/CR13190474500279369729?region=anywhere" TargetMode="External"/><Relationship Id="rId1627" Type="http://schemas.openxmlformats.org/officeDocument/2006/relationships/hyperlink" Target="https://www.semrush.com/analytics/backlinks/overview/" TargetMode="External"/><Relationship Id="rId918" Type="http://schemas.openxmlformats.org/officeDocument/2006/relationships/hyperlink" Target="https://adstransparency.google.com/advertiser/AR05016556376214732801/creative/CR15092143426033942529?region=anywhere" TargetMode="External"/><Relationship Id="rId1628" Type="http://schemas.openxmlformats.org/officeDocument/2006/relationships/hyperlink" Target="https://adstransparency.google.com/advertiser/AR11070511645502472193/creative/CR05748327930535084033?region=anywhere" TargetMode="External"/><Relationship Id="rId917" Type="http://schemas.openxmlformats.org/officeDocument/2006/relationships/hyperlink" Target="https://peec.ai/visibility/platform" TargetMode="External"/><Relationship Id="rId1629" Type="http://schemas.openxmlformats.org/officeDocument/2006/relationships/hyperlink" Target="https://www.semrush.com/features/" TargetMode="External"/><Relationship Id="rId916" Type="http://schemas.openxmlformats.org/officeDocument/2006/relationships/hyperlink" Target="https://adstransparency.google.com/advertiser/AR05016556376214732801/creative/CR06325074487142252545?region=anywhere" TargetMode="External"/><Relationship Id="rId915" Type="http://schemas.openxmlformats.org/officeDocument/2006/relationships/hyperlink" Target="https://peec.ai/" TargetMode="External"/><Relationship Id="rId919" Type="http://schemas.openxmlformats.org/officeDocument/2006/relationships/hyperlink" Target="https://peec.ai/" TargetMode="External"/><Relationship Id="rId910" Type="http://schemas.openxmlformats.org/officeDocument/2006/relationships/hyperlink" Target="https://adstransparency.google.com/advertiser/AR05016556376214732801/creative/CR06039762214850658305?region=anywhere" TargetMode="External"/><Relationship Id="rId914" Type="http://schemas.openxmlformats.org/officeDocument/2006/relationships/hyperlink" Target="https://adstransparency.google.com/advertiser/AR05016556376214732801/creative/CR10677519852995870721?region=anywhere" TargetMode="External"/><Relationship Id="rId913" Type="http://schemas.openxmlformats.org/officeDocument/2006/relationships/hyperlink" Target="https://peec.ai/for-agencies" TargetMode="External"/><Relationship Id="rId912" Type="http://schemas.openxmlformats.org/officeDocument/2006/relationships/hyperlink" Target="https://adstransparency.google.com/advertiser/AR05016556376214732801/creative/CR08498483519813582849?region=anywhere" TargetMode="External"/><Relationship Id="rId911" Type="http://schemas.openxmlformats.org/officeDocument/2006/relationships/hyperlink" Target="https://peec.ai/black-friday" TargetMode="External"/><Relationship Id="rId1213" Type="http://schemas.openxmlformats.org/officeDocument/2006/relationships/hyperlink" Target="https://www.semrush.com/pricing/" TargetMode="External"/><Relationship Id="rId1697" Type="http://schemas.openxmlformats.org/officeDocument/2006/relationships/hyperlink" Target="https://www.semrush.com/" TargetMode="External"/><Relationship Id="rId1214" Type="http://schemas.openxmlformats.org/officeDocument/2006/relationships/hyperlink" Target="https://adstransparency.google.com/advertiser/AR11070511645502472193/creative/CR11247542715610562561?region=anywhere" TargetMode="External"/><Relationship Id="rId1698" Type="http://schemas.openxmlformats.org/officeDocument/2006/relationships/hyperlink" Target="https://adstransparency.google.com/advertiser/AR11070511645502472193/creative/CR15886129737710436353?region=anywhere" TargetMode="External"/><Relationship Id="rId1215" Type="http://schemas.openxmlformats.org/officeDocument/2006/relationships/hyperlink" Target="https://www.semrush.com/" TargetMode="External"/><Relationship Id="rId1699" Type="http://schemas.openxmlformats.org/officeDocument/2006/relationships/hyperlink" Target="https://www.semrush.com/features/" TargetMode="External"/><Relationship Id="rId1216" Type="http://schemas.openxmlformats.org/officeDocument/2006/relationships/hyperlink" Target="https://adstransparency.google.com/advertiser/AR11070511645502472193/creative/CR01122947975820083201?region=anywhere" TargetMode="External"/><Relationship Id="rId1217" Type="http://schemas.openxmlformats.org/officeDocument/2006/relationships/hyperlink" Target="https://www.semrush.com/" TargetMode="External"/><Relationship Id="rId1218" Type="http://schemas.openxmlformats.org/officeDocument/2006/relationships/hyperlink" Target="https://adstransparency.google.com/advertiser/AR11070511645502472193/creative/CR11831271239773585409?region=anywhere" TargetMode="External"/><Relationship Id="rId1219" Type="http://schemas.openxmlformats.org/officeDocument/2006/relationships/hyperlink" Target="https://www.semrush.com/" TargetMode="External"/><Relationship Id="rId866" Type="http://schemas.openxmlformats.org/officeDocument/2006/relationships/hyperlink" Target="https://adstransparency.google.com/advertiser/AR05016556376214732801/creative/CR05588452274067210241?region=anywhere" TargetMode="External"/><Relationship Id="rId865" Type="http://schemas.openxmlformats.org/officeDocument/2006/relationships/hyperlink" Target="https://peec.ai/for-agencies" TargetMode="External"/><Relationship Id="rId864" Type="http://schemas.openxmlformats.org/officeDocument/2006/relationships/hyperlink" Target="https://adstransparency.google.com/advertiser/AR05016556376214732801/creative/CR18237095501537214465?region=anywhere" TargetMode="External"/><Relationship Id="rId863" Type="http://schemas.openxmlformats.org/officeDocument/2006/relationships/hyperlink" Target="https://peec.ai/black-friday" TargetMode="External"/><Relationship Id="rId869" Type="http://schemas.openxmlformats.org/officeDocument/2006/relationships/hyperlink" Target="https://peec.ai/visibility/platform" TargetMode="External"/><Relationship Id="rId868" Type="http://schemas.openxmlformats.org/officeDocument/2006/relationships/hyperlink" Target="https://adstransparency.google.com/advertiser/AR05016556376214732801/creative/CR01339871174619824129?region=anywhere" TargetMode="External"/><Relationship Id="rId867" Type="http://schemas.openxmlformats.org/officeDocument/2006/relationships/hyperlink" Target="https://peec.ai/" TargetMode="External"/><Relationship Id="rId1690" Type="http://schemas.openxmlformats.org/officeDocument/2006/relationships/hyperlink" Target="https://adstransparency.google.com/advertiser/AR11070511645502472193/creative/CR04939800818099421185?region=anywhere" TargetMode="External"/><Relationship Id="rId1691" Type="http://schemas.openxmlformats.org/officeDocument/2006/relationships/hyperlink" Target="https://www.semrush.com/" TargetMode="External"/><Relationship Id="rId1692" Type="http://schemas.openxmlformats.org/officeDocument/2006/relationships/hyperlink" Target="https://adstransparency.google.com/advertiser/AR11070511645502472193/creative/CR17603070780034252801?region=anywhere" TargetMode="External"/><Relationship Id="rId862" Type="http://schemas.openxmlformats.org/officeDocument/2006/relationships/hyperlink" Target="https://adstransparency.google.com/advertiser/AR05016556376214732801/creative/CR05095092610591096833?region=anywhere" TargetMode="External"/><Relationship Id="rId1693" Type="http://schemas.openxmlformats.org/officeDocument/2006/relationships/hyperlink" Target="https://www.semrush.com/" TargetMode="External"/><Relationship Id="rId861" Type="http://schemas.openxmlformats.org/officeDocument/2006/relationships/hyperlink" Target="https://peec.ai/visibility/platform" TargetMode="External"/><Relationship Id="rId1210" Type="http://schemas.openxmlformats.org/officeDocument/2006/relationships/hyperlink" Target="https://adstransparency.google.com/advertiser/AR11070511645502472193/creative/CR04874667767904600065?region=anywhere" TargetMode="External"/><Relationship Id="rId1694" Type="http://schemas.openxmlformats.org/officeDocument/2006/relationships/hyperlink" Target="https://adstransparency.google.com/advertiser/AR11070511645502472193/creative/CR18279129212591800321?region=anywhere" TargetMode="External"/><Relationship Id="rId860" Type="http://schemas.openxmlformats.org/officeDocument/2006/relationships/hyperlink" Target="https://adstransparency.google.com/advertiser/AR05016556376214732801/creative/CR03555360716309397505?region=anywhere" TargetMode="External"/><Relationship Id="rId1211" Type="http://schemas.openxmlformats.org/officeDocument/2006/relationships/hyperlink" Target="https://www.semrush.com/agencies/" TargetMode="External"/><Relationship Id="rId1695" Type="http://schemas.openxmlformats.org/officeDocument/2006/relationships/hyperlink" Target="https://www.semrush.com/" TargetMode="External"/><Relationship Id="rId1212" Type="http://schemas.openxmlformats.org/officeDocument/2006/relationships/hyperlink" Target="https://adstransparency.google.com/advertiser/AR11070511645502472193/creative/CR03590007427212247041?region=anywhere" TargetMode="External"/><Relationship Id="rId1696" Type="http://schemas.openxmlformats.org/officeDocument/2006/relationships/hyperlink" Target="https://adstransparency.google.com/advertiser/AR11070511645502472193/creative/CR10549028106675421185?region=anywhere" TargetMode="External"/><Relationship Id="rId1202" Type="http://schemas.openxmlformats.org/officeDocument/2006/relationships/hyperlink" Target="https://adstransparency.google.com/advertiser/AR11070511645502472193/creative/CR14223296169395617793?region=anywhere" TargetMode="External"/><Relationship Id="rId1686" Type="http://schemas.openxmlformats.org/officeDocument/2006/relationships/hyperlink" Target="https://adstransparency.google.com/advertiser/AR11070511645502472193/creative/CR02991633064569864193?region=anywhere" TargetMode="External"/><Relationship Id="rId1203" Type="http://schemas.openxmlformats.org/officeDocument/2006/relationships/hyperlink" Target="https://www.semrush.com/" TargetMode="External"/><Relationship Id="rId1687" Type="http://schemas.openxmlformats.org/officeDocument/2006/relationships/hyperlink" Target="https://www.semrush.com/agencies/" TargetMode="External"/><Relationship Id="rId1204" Type="http://schemas.openxmlformats.org/officeDocument/2006/relationships/hyperlink" Target="https://adstransparency.google.com/advertiser/AR11070511645502472193/creative/CR10555220075126718465?region=anywhere" TargetMode="External"/><Relationship Id="rId1688" Type="http://schemas.openxmlformats.org/officeDocument/2006/relationships/hyperlink" Target="https://adstransparency.google.com/advertiser/AR11070511645502472193/creative/CR09935987289710657537?region=anywhere" TargetMode="External"/><Relationship Id="rId1205" Type="http://schemas.openxmlformats.org/officeDocument/2006/relationships/hyperlink" Target="https://www.semrush.com/" TargetMode="External"/><Relationship Id="rId1689" Type="http://schemas.openxmlformats.org/officeDocument/2006/relationships/hyperlink" Target="https://www.semrush.com/pricing/" TargetMode="External"/><Relationship Id="rId1206" Type="http://schemas.openxmlformats.org/officeDocument/2006/relationships/hyperlink" Target="https://adstransparency.google.com/advertiser/AR11070511645502472193/creative/CR13261777648952016897?region=anywhere" TargetMode="External"/><Relationship Id="rId1207" Type="http://schemas.openxmlformats.org/officeDocument/2006/relationships/hyperlink" Target="https://www.semrush.com/analytics/backlinks/overview/" TargetMode="External"/><Relationship Id="rId1208" Type="http://schemas.openxmlformats.org/officeDocument/2006/relationships/hyperlink" Target="https://adstransparency.google.com/advertiser/AR11070511645502472193/creative/CR03641438251832573953?region=anywhere" TargetMode="External"/><Relationship Id="rId1209" Type="http://schemas.openxmlformats.org/officeDocument/2006/relationships/hyperlink" Target="https://www.semrush.com/features/" TargetMode="External"/><Relationship Id="rId855" Type="http://schemas.openxmlformats.org/officeDocument/2006/relationships/hyperlink" Target="https://peec.ai/" TargetMode="External"/><Relationship Id="rId854" Type="http://schemas.openxmlformats.org/officeDocument/2006/relationships/hyperlink" Target="https://adstransparency.google.com/advertiser/AR05016556376214732801/creative/CR12036096211485196289?region=anywhere" TargetMode="External"/><Relationship Id="rId853" Type="http://schemas.openxmlformats.org/officeDocument/2006/relationships/hyperlink" Target="https://peec.ai/for-agencies" TargetMode="External"/><Relationship Id="rId852" Type="http://schemas.openxmlformats.org/officeDocument/2006/relationships/hyperlink" Target="https://adstransparency.google.com/advertiser/AR05016556376214732801/creative/CR02232677640030912513?region=anywhere" TargetMode="External"/><Relationship Id="rId859" Type="http://schemas.openxmlformats.org/officeDocument/2006/relationships/hyperlink" Target="https://peec.ai/" TargetMode="External"/><Relationship Id="rId858" Type="http://schemas.openxmlformats.org/officeDocument/2006/relationships/hyperlink" Target="https://adstransparency.google.com/advertiser/AR05016556376214732801/creative/CR17748454941967515649?region=anywhere" TargetMode="External"/><Relationship Id="rId857" Type="http://schemas.openxmlformats.org/officeDocument/2006/relationships/hyperlink" Target="https://peec.ai/visibility/platform" TargetMode="External"/><Relationship Id="rId856" Type="http://schemas.openxmlformats.org/officeDocument/2006/relationships/hyperlink" Target="https://adstransparency.google.com/advertiser/AR05016556376214732801/creative/CR10405615025493377025?region=anywhere" TargetMode="External"/><Relationship Id="rId1680" Type="http://schemas.openxmlformats.org/officeDocument/2006/relationships/hyperlink" Target="https://adstransparency.google.com/advertiser/AR11070511645502472193/creative/CR14254493274235469825?region=anywhere" TargetMode="External"/><Relationship Id="rId1681" Type="http://schemas.openxmlformats.org/officeDocument/2006/relationships/hyperlink" Target="https://www.semrush.com/" TargetMode="External"/><Relationship Id="rId851" Type="http://schemas.openxmlformats.org/officeDocument/2006/relationships/hyperlink" Target="https://peec.ai/black-friday" TargetMode="External"/><Relationship Id="rId1682" Type="http://schemas.openxmlformats.org/officeDocument/2006/relationships/hyperlink" Target="https://adstransparency.google.com/advertiser/AR11070511645502472193/creative/CR06263281968020979713?region=anywhere" TargetMode="External"/><Relationship Id="rId850" Type="http://schemas.openxmlformats.org/officeDocument/2006/relationships/hyperlink" Target="https://adstransparency.google.com/advertiser/AR05016556376214732801/creative/CR02803259578538524673?region=anywhere" TargetMode="External"/><Relationship Id="rId1683" Type="http://schemas.openxmlformats.org/officeDocument/2006/relationships/hyperlink" Target="https://www.semrush.com/analytics/backlinks/overview/" TargetMode="External"/><Relationship Id="rId1200" Type="http://schemas.openxmlformats.org/officeDocument/2006/relationships/hyperlink" Target="https://adstransparency.google.com/advertiser/AR11070511645502472193/creative/CR16820278862528118785?region=anywhere" TargetMode="External"/><Relationship Id="rId1684" Type="http://schemas.openxmlformats.org/officeDocument/2006/relationships/hyperlink" Target="https://adstransparency.google.com/advertiser/AR11070511645502472193/creative/CR07261511979125178369?region=anywhere" TargetMode="External"/><Relationship Id="rId1201" Type="http://schemas.openxmlformats.org/officeDocument/2006/relationships/hyperlink" Target="https://www.semrush.com/analytics/keywordoverview/" TargetMode="External"/><Relationship Id="rId1685" Type="http://schemas.openxmlformats.org/officeDocument/2006/relationships/hyperlink" Target="https://www.semrush.com/features/" TargetMode="External"/><Relationship Id="rId1235" Type="http://schemas.openxmlformats.org/officeDocument/2006/relationships/hyperlink" Target="https://www.semrush.com/analytics/backlinks/overview/" TargetMode="External"/><Relationship Id="rId1236" Type="http://schemas.openxmlformats.org/officeDocument/2006/relationships/hyperlink" Target="https://adstransparency.google.com/advertiser/AR11070511645502472193/creative/CR06382271932422684673?region=anywhere" TargetMode="External"/><Relationship Id="rId1237" Type="http://schemas.openxmlformats.org/officeDocument/2006/relationships/hyperlink" Target="https://www.semrush.com/features/" TargetMode="External"/><Relationship Id="rId1238" Type="http://schemas.openxmlformats.org/officeDocument/2006/relationships/hyperlink" Target="https://adstransparency.google.com/advertiser/AR11070511645502472193/creative/CR10611820485593268225?region=anywhere" TargetMode="External"/><Relationship Id="rId1239" Type="http://schemas.openxmlformats.org/officeDocument/2006/relationships/hyperlink" Target="https://www.semrush.com/agencies/" TargetMode="External"/><Relationship Id="rId409" Type="http://schemas.openxmlformats.org/officeDocument/2006/relationships/hyperlink" Target="https://peec.ai/" TargetMode="External"/><Relationship Id="rId404" Type="http://schemas.openxmlformats.org/officeDocument/2006/relationships/hyperlink" Target="https://adstransparency.google.com/advertiser/AR05016556376214732801/creative/CR09057676948808925185?region=anywhere" TargetMode="External"/><Relationship Id="rId888" Type="http://schemas.openxmlformats.org/officeDocument/2006/relationships/hyperlink" Target="https://adstransparency.google.com/advertiser/AR05016556376214732801/creative/CR04742481430586589185?region=anywhere" TargetMode="External"/><Relationship Id="rId403" Type="http://schemas.openxmlformats.org/officeDocument/2006/relationships/hyperlink" Target="https://peec.ai/" TargetMode="External"/><Relationship Id="rId887" Type="http://schemas.openxmlformats.org/officeDocument/2006/relationships/hyperlink" Target="https://peec.ai/black-friday" TargetMode="External"/><Relationship Id="rId402" Type="http://schemas.openxmlformats.org/officeDocument/2006/relationships/hyperlink" Target="https://adstransparency.google.com/advertiser/AR05016556376214732801/creative/CR14430034042231455745?region=anywhere" TargetMode="External"/><Relationship Id="rId886" Type="http://schemas.openxmlformats.org/officeDocument/2006/relationships/hyperlink" Target="https://adstransparency.google.com/advertiser/AR05016556376214732801/creative/CR02500392503597858817?region=anywhere" TargetMode="External"/><Relationship Id="rId401" Type="http://schemas.openxmlformats.org/officeDocument/2006/relationships/hyperlink" Target="https://peec.ai/" TargetMode="External"/><Relationship Id="rId885" Type="http://schemas.openxmlformats.org/officeDocument/2006/relationships/hyperlink" Target="https://peec.ai/visibility/platform" TargetMode="External"/><Relationship Id="rId408" Type="http://schemas.openxmlformats.org/officeDocument/2006/relationships/hyperlink" Target="https://adstransparency.google.com/advertiser/AR05016556376214732801/creative/CR16418874655017795585?region=anywhere" TargetMode="External"/><Relationship Id="rId407" Type="http://schemas.openxmlformats.org/officeDocument/2006/relationships/hyperlink" Target="https://peec.ai/demo" TargetMode="External"/><Relationship Id="rId406" Type="http://schemas.openxmlformats.org/officeDocument/2006/relationships/hyperlink" Target="https://adstransparency.google.com/advertiser/AR05016556376214732801/creative/CR04743430884646977537?region=anywhere" TargetMode="External"/><Relationship Id="rId405" Type="http://schemas.openxmlformats.org/officeDocument/2006/relationships/hyperlink" Target="https://peec.ai/for-agencies" TargetMode="External"/><Relationship Id="rId889" Type="http://schemas.openxmlformats.org/officeDocument/2006/relationships/hyperlink" Target="https://peec.ai/for-agencies" TargetMode="External"/><Relationship Id="rId880" Type="http://schemas.openxmlformats.org/officeDocument/2006/relationships/hyperlink" Target="https://adstransparency.google.com/advertiser/AR05016556376214732801/creative/CR15700107385496403969?region=anywhere" TargetMode="External"/><Relationship Id="rId1230" Type="http://schemas.openxmlformats.org/officeDocument/2006/relationships/hyperlink" Target="https://adstransparency.google.com/advertiser/AR11070511645502472193/creative/CR03634547818619731969?region=anywhere" TargetMode="External"/><Relationship Id="rId400" Type="http://schemas.openxmlformats.org/officeDocument/2006/relationships/hyperlink" Target="https://adstransparency.google.com/advertiser/AR05016556376214732801/creative/CR12417144911122399233?region=anywhere" TargetMode="External"/><Relationship Id="rId884" Type="http://schemas.openxmlformats.org/officeDocument/2006/relationships/hyperlink" Target="https://adstransparency.google.com/advertiser/AR05016556376214732801/creative/CR09881806311631355905?region=anywhere" TargetMode="External"/><Relationship Id="rId1231" Type="http://schemas.openxmlformats.org/officeDocument/2006/relationships/hyperlink" Target="https://www.semrush.com/" TargetMode="External"/><Relationship Id="rId883" Type="http://schemas.openxmlformats.org/officeDocument/2006/relationships/hyperlink" Target="https://peec.ai/" TargetMode="External"/><Relationship Id="rId1232" Type="http://schemas.openxmlformats.org/officeDocument/2006/relationships/hyperlink" Target="https://adstransparency.google.com/advertiser/AR11070511645502472193/creative/CR17645418358708895745?region=anywhere" TargetMode="External"/><Relationship Id="rId882" Type="http://schemas.openxmlformats.org/officeDocument/2006/relationships/hyperlink" Target="https://adstransparency.google.com/advertiser/AR05016556376214732801/creative/CR17721855556668358657?region=anywhere" TargetMode="External"/><Relationship Id="rId1233" Type="http://schemas.openxmlformats.org/officeDocument/2006/relationships/hyperlink" Target="https://www.semrush.com/" TargetMode="External"/><Relationship Id="rId881" Type="http://schemas.openxmlformats.org/officeDocument/2006/relationships/hyperlink" Target="https://peec.ai/visibility/platform" TargetMode="External"/><Relationship Id="rId1234" Type="http://schemas.openxmlformats.org/officeDocument/2006/relationships/hyperlink" Target="https://adstransparency.google.com/advertiser/AR11070511645502472193/creative/CR06312954321361174529?region=anywhere" TargetMode="External"/><Relationship Id="rId1224" Type="http://schemas.openxmlformats.org/officeDocument/2006/relationships/hyperlink" Target="https://adstransparency.google.com/advertiser/AR11070511645502472193/creative/CR04906517020578676737?region=anywhere" TargetMode="External"/><Relationship Id="rId1225" Type="http://schemas.openxmlformats.org/officeDocument/2006/relationships/hyperlink" Target="https://www.semrush.com/kb/demo/" TargetMode="External"/><Relationship Id="rId1226" Type="http://schemas.openxmlformats.org/officeDocument/2006/relationships/hyperlink" Target="https://adstransparency.google.com/advertiser/AR11070511645502472193/creative/CR00058861813827108865?region=anywhere" TargetMode="External"/><Relationship Id="rId1227" Type="http://schemas.openxmlformats.org/officeDocument/2006/relationships/hyperlink" Target="https://www.semrush.com/" TargetMode="External"/><Relationship Id="rId1228" Type="http://schemas.openxmlformats.org/officeDocument/2006/relationships/hyperlink" Target="https://adstransparency.google.com/advertiser/AR11070511645502472193/creative/CR07194262068399177729?region=anywhere" TargetMode="External"/><Relationship Id="rId1229" Type="http://schemas.openxmlformats.org/officeDocument/2006/relationships/hyperlink" Target="https://www.semrush.com/analytics/keywordoverview/" TargetMode="External"/><Relationship Id="rId877" Type="http://schemas.openxmlformats.org/officeDocument/2006/relationships/hyperlink" Target="https://peec.ai/for-agencies" TargetMode="External"/><Relationship Id="rId876" Type="http://schemas.openxmlformats.org/officeDocument/2006/relationships/hyperlink" Target="https://adstransparency.google.com/advertiser/AR05016556376214732801/creative/CR14591851616622608385?region=anywhere" TargetMode="External"/><Relationship Id="rId875" Type="http://schemas.openxmlformats.org/officeDocument/2006/relationships/hyperlink" Target="https://peec.ai/black-friday" TargetMode="External"/><Relationship Id="rId874" Type="http://schemas.openxmlformats.org/officeDocument/2006/relationships/hyperlink" Target="https://adstransparency.google.com/advertiser/AR05016556376214732801/creative/CR13810543051971493889?region=anywhere" TargetMode="External"/><Relationship Id="rId879" Type="http://schemas.openxmlformats.org/officeDocument/2006/relationships/hyperlink" Target="https://peec.ai/" TargetMode="External"/><Relationship Id="rId878" Type="http://schemas.openxmlformats.org/officeDocument/2006/relationships/hyperlink" Target="https://adstransparency.google.com/advertiser/AR05016556376214732801/creative/CR04931351139959439361?region=anywhere" TargetMode="External"/><Relationship Id="rId873" Type="http://schemas.openxmlformats.org/officeDocument/2006/relationships/hyperlink" Target="https://peec.ai/visibility/platform" TargetMode="External"/><Relationship Id="rId1220" Type="http://schemas.openxmlformats.org/officeDocument/2006/relationships/hyperlink" Target="https://adstransparency.google.com/advertiser/AR11070511645502472193/creative/CR03716774271716950017?region=anywhere" TargetMode="External"/><Relationship Id="rId872" Type="http://schemas.openxmlformats.org/officeDocument/2006/relationships/hyperlink" Target="https://adstransparency.google.com/advertiser/AR05016556376214732801/creative/CR11878012827690074113?region=anywhere" TargetMode="External"/><Relationship Id="rId1221" Type="http://schemas.openxmlformats.org/officeDocument/2006/relationships/hyperlink" Target="https://www.semrush.com/" TargetMode="External"/><Relationship Id="rId871" Type="http://schemas.openxmlformats.org/officeDocument/2006/relationships/hyperlink" Target="https://peec.ai/" TargetMode="External"/><Relationship Id="rId1222" Type="http://schemas.openxmlformats.org/officeDocument/2006/relationships/hyperlink" Target="https://adstransparency.google.com/advertiser/AR11070511645502472193/creative/CR02123310043049754625?region=anywhere" TargetMode="External"/><Relationship Id="rId870" Type="http://schemas.openxmlformats.org/officeDocument/2006/relationships/hyperlink" Target="https://adstransparency.google.com/advertiser/AR05016556376214732801/creative/CR03411235357750984705?region=anywhere" TargetMode="External"/><Relationship Id="rId1223" Type="http://schemas.openxmlformats.org/officeDocument/2006/relationships/hyperlink" Target="https://www.semrush.com/features/" TargetMode="External"/><Relationship Id="rId1653" Type="http://schemas.openxmlformats.org/officeDocument/2006/relationships/hyperlink" Target="https://www.semrush.com/" TargetMode="External"/><Relationship Id="rId1654" Type="http://schemas.openxmlformats.org/officeDocument/2006/relationships/hyperlink" Target="https://adstransparency.google.com/advertiser/AR11070511645502472193/creative/CR03724687912168587265?region=anywhere" TargetMode="External"/><Relationship Id="rId1655" Type="http://schemas.openxmlformats.org/officeDocument/2006/relationships/hyperlink" Target="https://www.semrush.com/analytics/backlinks/overview/" TargetMode="External"/><Relationship Id="rId1656" Type="http://schemas.openxmlformats.org/officeDocument/2006/relationships/hyperlink" Target="https://adstransparency.google.com/advertiser/AR11070511645502472193/creative/CR00867107631674687489?region=anywhere" TargetMode="External"/><Relationship Id="rId1657" Type="http://schemas.openxmlformats.org/officeDocument/2006/relationships/hyperlink" Target="https://www.semrush.com/features/" TargetMode="External"/><Relationship Id="rId1658" Type="http://schemas.openxmlformats.org/officeDocument/2006/relationships/hyperlink" Target="https://adstransparency.google.com/advertiser/AR11070511645502472193/creative/CR17019398949439537153?region=anywhere" TargetMode="External"/><Relationship Id="rId1659" Type="http://schemas.openxmlformats.org/officeDocument/2006/relationships/hyperlink" Target="https://www.semrush.com/agencies/" TargetMode="External"/><Relationship Id="rId829" Type="http://schemas.openxmlformats.org/officeDocument/2006/relationships/hyperlink" Target="https://peec.ai/" TargetMode="External"/><Relationship Id="rId828" Type="http://schemas.openxmlformats.org/officeDocument/2006/relationships/hyperlink" Target="https://adstransparency.google.com/advertiser/AR05016556376214732801/creative/CR16078756375236182017?region=anywhere" TargetMode="External"/><Relationship Id="rId827" Type="http://schemas.openxmlformats.org/officeDocument/2006/relationships/hyperlink" Target="https://peec.ai/for-agencies" TargetMode="External"/><Relationship Id="rId822" Type="http://schemas.openxmlformats.org/officeDocument/2006/relationships/hyperlink" Target="https://adstransparency.google.com/advertiser/AR05016556376214732801/creative/CR18322534152085176321?region=anywhere" TargetMode="External"/><Relationship Id="rId821" Type="http://schemas.openxmlformats.org/officeDocument/2006/relationships/hyperlink" Target="https://peec.ai/black-friday" TargetMode="External"/><Relationship Id="rId820" Type="http://schemas.openxmlformats.org/officeDocument/2006/relationships/hyperlink" Target="https://adstransparency.google.com/advertiser/AR05016556376214732801/creative/CR01235201790824153089?region=anywhere" TargetMode="External"/><Relationship Id="rId826" Type="http://schemas.openxmlformats.org/officeDocument/2006/relationships/hyperlink" Target="https://adstransparency.google.com/advertiser/AR05016556376214732801/creative/CR01644336939467276289?region=anywhere" TargetMode="External"/><Relationship Id="rId825" Type="http://schemas.openxmlformats.org/officeDocument/2006/relationships/hyperlink" Target="https://peec.ai/" TargetMode="External"/><Relationship Id="rId824" Type="http://schemas.openxmlformats.org/officeDocument/2006/relationships/hyperlink" Target="https://adstransparency.google.com/advertiser/AR05016556376214732801/creative/CR08382349528275091457?region=anywhere" TargetMode="External"/><Relationship Id="rId823" Type="http://schemas.openxmlformats.org/officeDocument/2006/relationships/hyperlink" Target="https://peec.ai/" TargetMode="External"/><Relationship Id="rId1650" Type="http://schemas.openxmlformats.org/officeDocument/2006/relationships/hyperlink" Target="https://adstransparency.google.com/advertiser/AR11070511645502472193/creative/CR11793623179954487297?region=anywhere" TargetMode="External"/><Relationship Id="rId1651" Type="http://schemas.openxmlformats.org/officeDocument/2006/relationships/hyperlink" Target="https://www.semrush.com/" TargetMode="External"/><Relationship Id="rId1652" Type="http://schemas.openxmlformats.org/officeDocument/2006/relationships/hyperlink" Target="https://adstransparency.google.com/advertiser/AR11070511645502472193/creative/CR09579191196652142593?region=anywhere" TargetMode="External"/><Relationship Id="rId1642" Type="http://schemas.openxmlformats.org/officeDocument/2006/relationships/hyperlink" Target="https://adstransparency.google.com/advertiser/AR11070511645502472193/creative/CR08405867188640022529?region=anywhere" TargetMode="External"/><Relationship Id="rId1643" Type="http://schemas.openxmlformats.org/officeDocument/2006/relationships/hyperlink" Target="https://www.semrush.com/features/" TargetMode="External"/><Relationship Id="rId1644" Type="http://schemas.openxmlformats.org/officeDocument/2006/relationships/hyperlink" Target="https://adstransparency.google.com/advertiser/AR11070511645502472193/creative/CR15164717034622681089?region=anywhere" TargetMode="External"/><Relationship Id="rId1645" Type="http://schemas.openxmlformats.org/officeDocument/2006/relationships/hyperlink" Target="https://www.semrush.com/kb/demo/" TargetMode="External"/><Relationship Id="rId1646" Type="http://schemas.openxmlformats.org/officeDocument/2006/relationships/hyperlink" Target="https://adstransparency.google.com/advertiser/AR11070511645502472193/creative/CR17952055289654018049?region=anywhere" TargetMode="External"/><Relationship Id="rId1647" Type="http://schemas.openxmlformats.org/officeDocument/2006/relationships/hyperlink" Target="https://www.semrush.com/" TargetMode="External"/><Relationship Id="rId1648" Type="http://schemas.openxmlformats.org/officeDocument/2006/relationships/hyperlink" Target="https://adstransparency.google.com/advertiser/AR11070511645502472193/creative/CR03717443504931078145?region=anywhere" TargetMode="External"/><Relationship Id="rId1649" Type="http://schemas.openxmlformats.org/officeDocument/2006/relationships/hyperlink" Target="https://www.semrush.com/analytics/keywordoverview/" TargetMode="External"/><Relationship Id="rId819" Type="http://schemas.openxmlformats.org/officeDocument/2006/relationships/hyperlink" Target="https://peec.ai/" TargetMode="External"/><Relationship Id="rId818" Type="http://schemas.openxmlformats.org/officeDocument/2006/relationships/hyperlink" Target="https://adstransparency.google.com/advertiser/AR05016556376214732801/creative/CR13871067593667772417?region=anywhere" TargetMode="External"/><Relationship Id="rId817" Type="http://schemas.openxmlformats.org/officeDocument/2006/relationships/hyperlink" Target="https://peec.ai/" TargetMode="External"/><Relationship Id="rId816" Type="http://schemas.openxmlformats.org/officeDocument/2006/relationships/hyperlink" Target="https://adstransparency.google.com/advertiser/AR05016556376214732801/creative/CR11124414155082170369?region=anywhere" TargetMode="External"/><Relationship Id="rId811" Type="http://schemas.openxmlformats.org/officeDocument/2006/relationships/hyperlink" Target="https://peec.ai/pricing" TargetMode="External"/><Relationship Id="rId810" Type="http://schemas.openxmlformats.org/officeDocument/2006/relationships/hyperlink" Target="https://adstransparency.google.com/advertiser/AR05016556376214732801/creative/CR01210474049193377793?region=anywhere" TargetMode="External"/><Relationship Id="rId815" Type="http://schemas.openxmlformats.org/officeDocument/2006/relationships/hyperlink" Target="https://peec.ai/" TargetMode="External"/><Relationship Id="rId814" Type="http://schemas.openxmlformats.org/officeDocument/2006/relationships/hyperlink" Target="https://adstransparency.google.com/advertiser/AR05016556376214732801/creative/CR01627746133637857281?region=anywhere" TargetMode="External"/><Relationship Id="rId813" Type="http://schemas.openxmlformats.org/officeDocument/2006/relationships/hyperlink" Target="https://peec.ai/for-agencies" TargetMode="External"/><Relationship Id="rId812" Type="http://schemas.openxmlformats.org/officeDocument/2006/relationships/hyperlink" Target="https://adstransparency.google.com/advertiser/AR05016556376214732801/creative/CR17245047941236785153?region=anywhere" TargetMode="External"/><Relationship Id="rId1640" Type="http://schemas.openxmlformats.org/officeDocument/2006/relationships/hyperlink" Target="https://adstransparency.google.com/advertiser/AR11070511645502472193/creative/CR16741994364774907905?region=anywhere" TargetMode="External"/><Relationship Id="rId1641" Type="http://schemas.openxmlformats.org/officeDocument/2006/relationships/hyperlink" Target="https://www.semrush.com/" TargetMode="External"/><Relationship Id="rId1675" Type="http://schemas.openxmlformats.org/officeDocument/2006/relationships/hyperlink" Target="https://www.semrush.com/" TargetMode="External"/><Relationship Id="rId1676" Type="http://schemas.openxmlformats.org/officeDocument/2006/relationships/hyperlink" Target="https://adstransparency.google.com/advertiser/AR11070511645502472193/creative/CR05255583993570525185?region=anywhere" TargetMode="External"/><Relationship Id="rId1677" Type="http://schemas.openxmlformats.org/officeDocument/2006/relationships/hyperlink" Target="https://www.semrush.com/analytics/keywordoverview/" TargetMode="External"/><Relationship Id="rId1678" Type="http://schemas.openxmlformats.org/officeDocument/2006/relationships/hyperlink" Target="https://adstransparency.google.com/advertiser/AR11070511645502472193/creative/CR10880862365205659649?region=anywhere" TargetMode="External"/><Relationship Id="rId1679" Type="http://schemas.openxmlformats.org/officeDocument/2006/relationships/hyperlink" Target="https://www.semrush.com/" TargetMode="External"/><Relationship Id="rId849" Type="http://schemas.openxmlformats.org/officeDocument/2006/relationships/hyperlink" Target="https://peec.ai/visibility/platform" TargetMode="External"/><Relationship Id="rId844" Type="http://schemas.openxmlformats.org/officeDocument/2006/relationships/hyperlink" Target="https://adstransparency.google.com/advertiser/AR05016556376214732801/creative/CR03853724191622692865?region=anywhere" TargetMode="External"/><Relationship Id="rId843" Type="http://schemas.openxmlformats.org/officeDocument/2006/relationships/hyperlink" Target="https://peec.ai/" TargetMode="External"/><Relationship Id="rId842" Type="http://schemas.openxmlformats.org/officeDocument/2006/relationships/hyperlink" Target="https://adstransparency.google.com/advertiser/AR05016556376214732801/creative/CR02867715149182009345?region=anywhere" TargetMode="External"/><Relationship Id="rId841" Type="http://schemas.openxmlformats.org/officeDocument/2006/relationships/hyperlink" Target="https://peec.ai/for-agencies" TargetMode="External"/><Relationship Id="rId848" Type="http://schemas.openxmlformats.org/officeDocument/2006/relationships/hyperlink" Target="https://adstransparency.google.com/advertiser/AR05016556376214732801/creative/CR12046895614693212161?region=anywhere" TargetMode="External"/><Relationship Id="rId847" Type="http://schemas.openxmlformats.org/officeDocument/2006/relationships/hyperlink" Target="https://peec.ai/" TargetMode="External"/><Relationship Id="rId846" Type="http://schemas.openxmlformats.org/officeDocument/2006/relationships/hyperlink" Target="https://adstransparency.google.com/advertiser/AR05016556376214732801/creative/CR03498663299711500289?region=anywhere" TargetMode="External"/><Relationship Id="rId845" Type="http://schemas.openxmlformats.org/officeDocument/2006/relationships/hyperlink" Target="https://peec.ai/visibility/platform" TargetMode="External"/><Relationship Id="rId1670" Type="http://schemas.openxmlformats.org/officeDocument/2006/relationships/hyperlink" Target="https://adstransparency.google.com/advertiser/AR11070511645502472193/creative/CR11774416773401542657?region=anywhere" TargetMode="External"/><Relationship Id="rId840" Type="http://schemas.openxmlformats.org/officeDocument/2006/relationships/hyperlink" Target="https://adstransparency.google.com/advertiser/AR05016556376214732801/creative/CR17030973027308797953?region=anywhere" TargetMode="External"/><Relationship Id="rId1671" Type="http://schemas.openxmlformats.org/officeDocument/2006/relationships/hyperlink" Target="https://www.semrush.com/features/" TargetMode="External"/><Relationship Id="rId1672" Type="http://schemas.openxmlformats.org/officeDocument/2006/relationships/hyperlink" Target="https://adstransparency.google.com/advertiser/AR11070511645502472193/creative/CR08967887092663189505?region=anywhere" TargetMode="External"/><Relationship Id="rId1673" Type="http://schemas.openxmlformats.org/officeDocument/2006/relationships/hyperlink" Target="https://www.semrush.com/kb/demo/" TargetMode="External"/><Relationship Id="rId1674" Type="http://schemas.openxmlformats.org/officeDocument/2006/relationships/hyperlink" Target="https://adstransparency.google.com/advertiser/AR11070511645502472193/creative/CR08805915217276960769?region=anywhere" TargetMode="External"/><Relationship Id="rId1664" Type="http://schemas.openxmlformats.org/officeDocument/2006/relationships/hyperlink" Target="https://adstransparency.google.com/advertiser/AR11070511645502472193/creative/CR00888286046691786753?region=anywhere" TargetMode="External"/><Relationship Id="rId1665" Type="http://schemas.openxmlformats.org/officeDocument/2006/relationships/hyperlink" Target="https://www.semrush.com/" TargetMode="External"/><Relationship Id="rId1666" Type="http://schemas.openxmlformats.org/officeDocument/2006/relationships/hyperlink" Target="https://adstransparency.google.com/advertiser/AR11070511645502472193/creative/CR17672290603280367617?region=anywhere" TargetMode="External"/><Relationship Id="rId1667" Type="http://schemas.openxmlformats.org/officeDocument/2006/relationships/hyperlink" Target="https://www.semrush.com/" TargetMode="External"/><Relationship Id="rId1668" Type="http://schemas.openxmlformats.org/officeDocument/2006/relationships/hyperlink" Target="https://adstransparency.google.com/advertiser/AR11070511645502472193/creative/CR09102622759359348737?region=anywhere" TargetMode="External"/><Relationship Id="rId1669" Type="http://schemas.openxmlformats.org/officeDocument/2006/relationships/hyperlink" Target="https://www.semrush.com/" TargetMode="External"/><Relationship Id="rId839" Type="http://schemas.openxmlformats.org/officeDocument/2006/relationships/hyperlink" Target="https://peec.ai/black-friday" TargetMode="External"/><Relationship Id="rId838" Type="http://schemas.openxmlformats.org/officeDocument/2006/relationships/hyperlink" Target="https://adstransparency.google.com/advertiser/AR05016556376214732801/creative/CR10615003545985875969?region=anywhere" TargetMode="External"/><Relationship Id="rId833" Type="http://schemas.openxmlformats.org/officeDocument/2006/relationships/hyperlink" Target="https://peec.ai/visibility/platform" TargetMode="External"/><Relationship Id="rId832" Type="http://schemas.openxmlformats.org/officeDocument/2006/relationships/hyperlink" Target="https://adstransparency.google.com/advertiser/AR05016556376214732801/creative/CR11383791971731505153?region=anywhere" TargetMode="External"/><Relationship Id="rId831" Type="http://schemas.openxmlformats.org/officeDocument/2006/relationships/hyperlink" Target="https://peec.ai/" TargetMode="External"/><Relationship Id="rId830" Type="http://schemas.openxmlformats.org/officeDocument/2006/relationships/hyperlink" Target="https://adstransparency.google.com/advertiser/AR05016556376214732801/creative/CR03495671253694414849?region=anywhere" TargetMode="External"/><Relationship Id="rId837" Type="http://schemas.openxmlformats.org/officeDocument/2006/relationships/hyperlink" Target="https://peec.ai/for-agencies" TargetMode="External"/><Relationship Id="rId836" Type="http://schemas.openxmlformats.org/officeDocument/2006/relationships/hyperlink" Target="https://adstransparency.google.com/advertiser/AR05016556376214732801/creative/CR05376424375912235009?region=anywhere" TargetMode="External"/><Relationship Id="rId835" Type="http://schemas.openxmlformats.org/officeDocument/2006/relationships/hyperlink" Target="https://peec.ai/pricing" TargetMode="External"/><Relationship Id="rId834" Type="http://schemas.openxmlformats.org/officeDocument/2006/relationships/hyperlink" Target="https://adstransparency.google.com/advertiser/AR05016556376214732801/creative/CR02188495964291989505?region=anywhere" TargetMode="External"/><Relationship Id="rId1660" Type="http://schemas.openxmlformats.org/officeDocument/2006/relationships/hyperlink" Target="https://adstransparency.google.com/advertiser/AR11070511645502472193/creative/CR18359057798056116225?region=anywhere" TargetMode="External"/><Relationship Id="rId1661" Type="http://schemas.openxmlformats.org/officeDocument/2006/relationships/hyperlink" Target="https://www.semrush.com/pricing/" TargetMode="External"/><Relationship Id="rId1662" Type="http://schemas.openxmlformats.org/officeDocument/2006/relationships/hyperlink" Target="https://adstransparency.google.com/advertiser/AR11070511645502472193/creative/CR16046155305716809729?region=anywhere" TargetMode="External"/><Relationship Id="rId1663" Type="http://schemas.openxmlformats.org/officeDocument/2006/relationships/hyperlink" Target="https://www.semrush.com/" TargetMode="External"/><Relationship Id="rId2148" Type="http://schemas.openxmlformats.org/officeDocument/2006/relationships/hyperlink" Target="https://scrunch.com/" TargetMode="External"/><Relationship Id="rId2149" Type="http://schemas.openxmlformats.org/officeDocument/2006/relationships/hyperlink" Target="https://adstransparency.google.com/advertiser/AR01685939160927436801/creative/CR06070463835083374593?region=anywhere" TargetMode="External"/><Relationship Id="rId469" Type="http://schemas.openxmlformats.org/officeDocument/2006/relationships/hyperlink" Target="https://peec.ai/" TargetMode="External"/><Relationship Id="rId468" Type="http://schemas.openxmlformats.org/officeDocument/2006/relationships/hyperlink" Target="https://adstransparency.google.com/advertiser/AR05016556376214732801/creative/CR07256735219577782273?region=anywhere" TargetMode="External"/><Relationship Id="rId467" Type="http://schemas.openxmlformats.org/officeDocument/2006/relationships/hyperlink" Target="https://peec.ai/for-agencies" TargetMode="External"/><Relationship Id="rId1290" Type="http://schemas.openxmlformats.org/officeDocument/2006/relationships/hyperlink" Target="https://adstransparency.google.com/advertiser/AR11070511645502472193/creative/CR11097998456944328705?region=anywhere" TargetMode="External"/><Relationship Id="rId1291" Type="http://schemas.openxmlformats.org/officeDocument/2006/relationships/hyperlink" Target="https://www.semrush.com/analytics/backlinks/overview/" TargetMode="External"/><Relationship Id="rId1292" Type="http://schemas.openxmlformats.org/officeDocument/2006/relationships/hyperlink" Target="https://adstransparency.google.com/advertiser/AR11070511645502472193/creative/CR16292544522787749889?region=anywhere" TargetMode="External"/><Relationship Id="rId462" Type="http://schemas.openxmlformats.org/officeDocument/2006/relationships/hyperlink" Target="https://adstransparency.google.com/advertiser/AR05016556376214732801/creative/CR06560459585683980289?region=anywhere" TargetMode="External"/><Relationship Id="rId1293" Type="http://schemas.openxmlformats.org/officeDocument/2006/relationships/hyperlink" Target="https://www.semrush.com/features/" TargetMode="External"/><Relationship Id="rId2140" Type="http://schemas.openxmlformats.org/officeDocument/2006/relationships/hyperlink" Target="https://athenahq.ai/" TargetMode="External"/><Relationship Id="rId461" Type="http://schemas.openxmlformats.org/officeDocument/2006/relationships/hyperlink" Target="https://peec.ai/black-friday" TargetMode="External"/><Relationship Id="rId1294" Type="http://schemas.openxmlformats.org/officeDocument/2006/relationships/hyperlink" Target="https://adstransparency.google.com/advertiser/AR11070511645502472193/creative/CR14828450026245586945?region=anywhere" TargetMode="External"/><Relationship Id="rId2141" Type="http://schemas.openxmlformats.org/officeDocument/2006/relationships/hyperlink" Target="https://adstransparency.google.com/advertiser/AR17913883853710163969/creative/CR02313798233538691073?region=anywhere" TargetMode="External"/><Relationship Id="rId460" Type="http://schemas.openxmlformats.org/officeDocument/2006/relationships/hyperlink" Target="https://adstransparency.google.com/advertiser/AR05016556376214732801/creative/CR04879608672512114689?region=anywhere" TargetMode="External"/><Relationship Id="rId1295" Type="http://schemas.openxmlformats.org/officeDocument/2006/relationships/hyperlink" Target="https://www.semrush.com/agencies/" TargetMode="External"/><Relationship Id="rId2142" Type="http://schemas.openxmlformats.org/officeDocument/2006/relationships/hyperlink" Target="https://athenahq.ai/" TargetMode="External"/><Relationship Id="rId1296" Type="http://schemas.openxmlformats.org/officeDocument/2006/relationships/hyperlink" Target="https://adstransparency.google.com/advertiser/AR11070511645502472193/creative/CR01176395236046274561?region=anywhere" TargetMode="External"/><Relationship Id="rId2143" Type="http://schemas.openxmlformats.org/officeDocument/2006/relationships/hyperlink" Target="https://adstransparency.google.com/advertiser/AR17913883853710163969/creative/CR06264284275948912641?region=anywhere" TargetMode="External"/><Relationship Id="rId466" Type="http://schemas.openxmlformats.org/officeDocument/2006/relationships/hyperlink" Target="https://adstransparency.google.com/advertiser/AR05016556376214732801/creative/CR01886147583961726977?region=anywhere" TargetMode="External"/><Relationship Id="rId1297" Type="http://schemas.openxmlformats.org/officeDocument/2006/relationships/hyperlink" Target="https://www.semrush.com/pricing/" TargetMode="External"/><Relationship Id="rId2144" Type="http://schemas.openxmlformats.org/officeDocument/2006/relationships/hyperlink" Target="https://www.scrunch.com/ai-search/visibility" TargetMode="External"/><Relationship Id="rId465" Type="http://schemas.openxmlformats.org/officeDocument/2006/relationships/hyperlink" Target="https://peec.ai/visibility/platform" TargetMode="External"/><Relationship Id="rId1298" Type="http://schemas.openxmlformats.org/officeDocument/2006/relationships/hyperlink" Target="https://adstransparency.google.com/advertiser/AR11070511645502472193/creative/CR12404139380782923777?region=anywhere" TargetMode="External"/><Relationship Id="rId2145" Type="http://schemas.openxmlformats.org/officeDocument/2006/relationships/hyperlink" Target="https://adstransparency.google.com/advertiser/AR01685939160927436801/creative/CR16928783617759379457?region=anywhere" TargetMode="External"/><Relationship Id="rId464" Type="http://schemas.openxmlformats.org/officeDocument/2006/relationships/hyperlink" Target="https://adstransparency.google.com/advertiser/AR05016556376214732801/creative/CR16521296061520674817?region=anywhere" TargetMode="External"/><Relationship Id="rId1299" Type="http://schemas.openxmlformats.org/officeDocument/2006/relationships/hyperlink" Target="https://www.semrush.com/" TargetMode="External"/><Relationship Id="rId2146" Type="http://schemas.openxmlformats.org/officeDocument/2006/relationships/hyperlink" Target="https://www.scrunch.com/aeo" TargetMode="External"/><Relationship Id="rId463" Type="http://schemas.openxmlformats.org/officeDocument/2006/relationships/hyperlink" Target="https://peec.ai/" TargetMode="External"/><Relationship Id="rId2147" Type="http://schemas.openxmlformats.org/officeDocument/2006/relationships/hyperlink" Target="https://adstransparency.google.com/advertiser/AR01685939160927436801/creative/CR01752131642115227649?region=anywhere" TargetMode="External"/><Relationship Id="rId2137" Type="http://schemas.openxmlformats.org/officeDocument/2006/relationships/hyperlink" Target="https://adstransparency.google.com/advertiser/AR17913883853710163969/creative/CR10443754635729567745?region=anywhere" TargetMode="External"/><Relationship Id="rId2138" Type="http://schemas.openxmlformats.org/officeDocument/2006/relationships/hyperlink" Target="https://athenahq.ai/" TargetMode="External"/><Relationship Id="rId2139" Type="http://schemas.openxmlformats.org/officeDocument/2006/relationships/hyperlink" Target="https://adstransparency.google.com/advertiser/AR17913883853710163969/creative/CR13206724251345747969?region=anywhere" TargetMode="External"/><Relationship Id="rId459" Type="http://schemas.openxmlformats.org/officeDocument/2006/relationships/hyperlink" Target="https://peec.ai/" TargetMode="External"/><Relationship Id="rId458" Type="http://schemas.openxmlformats.org/officeDocument/2006/relationships/hyperlink" Target="https://adstransparency.google.com/advertiser/AR05016556376214732801/creative/CR15801240834386427905?region=anywhere" TargetMode="External"/><Relationship Id="rId457" Type="http://schemas.openxmlformats.org/officeDocument/2006/relationships/hyperlink" Target="https://peec.ai/for-agencies" TargetMode="External"/><Relationship Id="rId456" Type="http://schemas.openxmlformats.org/officeDocument/2006/relationships/hyperlink" Target="https://adstransparency.google.com/advertiser/AR05016556376214732801/creative/CR10872155152236675073?region=anywhere" TargetMode="External"/><Relationship Id="rId1280" Type="http://schemas.openxmlformats.org/officeDocument/2006/relationships/hyperlink" Target="https://adstransparency.google.com/advertiser/AR11070511645502472193/creative/CR00068120019560562689?region=anywhere" TargetMode="External"/><Relationship Id="rId1281" Type="http://schemas.openxmlformats.org/officeDocument/2006/relationships/hyperlink" Target="https://www.semrush.com/kb/demo/" TargetMode="External"/><Relationship Id="rId451" Type="http://schemas.openxmlformats.org/officeDocument/2006/relationships/hyperlink" Target="https://peec.ai/pricing" TargetMode="External"/><Relationship Id="rId1282" Type="http://schemas.openxmlformats.org/officeDocument/2006/relationships/hyperlink" Target="https://adstransparency.google.com/advertiser/AR11070511645502472193/creative/CR09732953053073506305?region=anywhere" TargetMode="External"/><Relationship Id="rId450" Type="http://schemas.openxmlformats.org/officeDocument/2006/relationships/hyperlink" Target="https://adstransparency.google.com/advertiser/AR05016556376214732801/creative/CR07973029618728828929?region=anywhere" TargetMode="External"/><Relationship Id="rId1283" Type="http://schemas.openxmlformats.org/officeDocument/2006/relationships/hyperlink" Target="https://www.semrush.com/" TargetMode="External"/><Relationship Id="rId2130" Type="http://schemas.openxmlformats.org/officeDocument/2006/relationships/hyperlink" Target="https://athenahq.ai/AISearch/Monitoring" TargetMode="External"/><Relationship Id="rId1284" Type="http://schemas.openxmlformats.org/officeDocument/2006/relationships/hyperlink" Target="https://adstransparency.google.com/advertiser/AR11070511645502472193/creative/CR03697722183338950657?region=anywhere" TargetMode="External"/><Relationship Id="rId2131" Type="http://schemas.openxmlformats.org/officeDocument/2006/relationships/hyperlink" Target="https://adstransparency.google.com/advertiser/AR17913883853710163969/creative/CR09859460206675623937?region=anywhere" TargetMode="External"/><Relationship Id="rId1285" Type="http://schemas.openxmlformats.org/officeDocument/2006/relationships/hyperlink" Target="https://www.semrush.com/analytics/keywordoverview/" TargetMode="External"/><Relationship Id="rId2132" Type="http://schemas.openxmlformats.org/officeDocument/2006/relationships/hyperlink" Target="https://athenahq.ai/" TargetMode="External"/><Relationship Id="rId455" Type="http://schemas.openxmlformats.org/officeDocument/2006/relationships/hyperlink" Target="https://peec.ai/demo" TargetMode="External"/><Relationship Id="rId1286" Type="http://schemas.openxmlformats.org/officeDocument/2006/relationships/hyperlink" Target="https://adstransparency.google.com/advertiser/AR11070511645502472193/creative/CR11316539518384865281?region=anywhere" TargetMode="External"/><Relationship Id="rId2133" Type="http://schemas.openxmlformats.org/officeDocument/2006/relationships/hyperlink" Target="https://adstransparency.google.com/advertiser/AR17913883853710163969/creative/CR16529671617115062273?region=anywhere" TargetMode="External"/><Relationship Id="rId454" Type="http://schemas.openxmlformats.org/officeDocument/2006/relationships/hyperlink" Target="https://adstransparency.google.com/advertiser/AR05016556376214732801/creative/CR07857169723413233665?region=anywhere" TargetMode="External"/><Relationship Id="rId1287" Type="http://schemas.openxmlformats.org/officeDocument/2006/relationships/hyperlink" Target="https://www.semrush.com/" TargetMode="External"/><Relationship Id="rId2134" Type="http://schemas.openxmlformats.org/officeDocument/2006/relationships/hyperlink" Target="https://athenahq.ai/" TargetMode="External"/><Relationship Id="rId453" Type="http://schemas.openxmlformats.org/officeDocument/2006/relationships/hyperlink" Target="https://peec.ai/for-agencies" TargetMode="External"/><Relationship Id="rId1288" Type="http://schemas.openxmlformats.org/officeDocument/2006/relationships/hyperlink" Target="https://adstransparency.google.com/advertiser/AR11070511645502472193/creative/CR11374153927680327681?region=anywhere" TargetMode="External"/><Relationship Id="rId2135" Type="http://schemas.openxmlformats.org/officeDocument/2006/relationships/hyperlink" Target="https://adstransparency.google.com/advertiser/AR17913883853710163969/creative/CR16686007988602798081?region=anywhere" TargetMode="External"/><Relationship Id="rId452" Type="http://schemas.openxmlformats.org/officeDocument/2006/relationships/hyperlink" Target="https://adstransparency.google.com/advertiser/AR05016556376214732801/creative/CR10434718780453027841?region=anywhere" TargetMode="External"/><Relationship Id="rId1289" Type="http://schemas.openxmlformats.org/officeDocument/2006/relationships/hyperlink" Target="https://www.semrush.com/" TargetMode="External"/><Relationship Id="rId2136" Type="http://schemas.openxmlformats.org/officeDocument/2006/relationships/hyperlink" Target="https://athenahq.ai/" TargetMode="External"/><Relationship Id="rId491" Type="http://schemas.openxmlformats.org/officeDocument/2006/relationships/hyperlink" Target="https://peec.ai/for-agencies" TargetMode="External"/><Relationship Id="rId490" Type="http://schemas.openxmlformats.org/officeDocument/2006/relationships/hyperlink" Target="https://adstransparency.google.com/advertiser/AR05016556376214732801/creative/CR00615555202488991745?region=anywhere" TargetMode="External"/><Relationship Id="rId489" Type="http://schemas.openxmlformats.org/officeDocument/2006/relationships/hyperlink" Target="https://peec.ai/" TargetMode="External"/><Relationship Id="rId2160" Type="http://schemas.openxmlformats.org/officeDocument/2006/relationships/hyperlink" Target="https://scrunch.com/" TargetMode="External"/><Relationship Id="rId2161" Type="http://schemas.openxmlformats.org/officeDocument/2006/relationships/hyperlink" Target="https://adstransparency.google.com/advertiser/AR01685939160927436801/creative/CR03072615763857637377?region=anywhere" TargetMode="External"/><Relationship Id="rId484" Type="http://schemas.openxmlformats.org/officeDocument/2006/relationships/hyperlink" Target="https://adstransparency.google.com/advertiser/AR05016556376214732801/creative/CR10344186960116973569?region=anywhere" TargetMode="External"/><Relationship Id="rId2162" Type="http://schemas.openxmlformats.org/officeDocument/2006/relationships/hyperlink" Target="https://www.scrunch.com/ai-search/visibility" TargetMode="External"/><Relationship Id="rId483" Type="http://schemas.openxmlformats.org/officeDocument/2006/relationships/hyperlink" Target="https://peec.ai/" TargetMode="External"/><Relationship Id="rId2163" Type="http://schemas.openxmlformats.org/officeDocument/2006/relationships/hyperlink" Target="https://adstransparency.google.com/advertiser/AR01685939160927436801/creative/CR18097747615490768897?region=anywhere" TargetMode="External"/><Relationship Id="rId482" Type="http://schemas.openxmlformats.org/officeDocument/2006/relationships/hyperlink" Target="https://adstransparency.google.com/advertiser/AR05016556376214732801/creative/CR01323660524935708673?region=anywhere" TargetMode="External"/><Relationship Id="rId2164" Type="http://schemas.openxmlformats.org/officeDocument/2006/relationships/hyperlink" Target="https://www.scrunch.com/aeo" TargetMode="External"/><Relationship Id="rId481" Type="http://schemas.openxmlformats.org/officeDocument/2006/relationships/hyperlink" Target="https://peec.ai/" TargetMode="External"/><Relationship Id="rId2165" Type="http://schemas.openxmlformats.org/officeDocument/2006/relationships/hyperlink" Target="https://adstransparency.google.com/advertiser/AR01685939160927436801/creative/CR17017660853484257281?region=anywhere" TargetMode="External"/><Relationship Id="rId488" Type="http://schemas.openxmlformats.org/officeDocument/2006/relationships/hyperlink" Target="https://adstransparency.google.com/advertiser/AR05016556376214732801/creative/CR01019464509804249089?region=anywhere" TargetMode="External"/><Relationship Id="rId2166" Type="http://schemas.openxmlformats.org/officeDocument/2006/relationships/hyperlink" Target="https://scrunch.com/" TargetMode="External"/><Relationship Id="rId487" Type="http://schemas.openxmlformats.org/officeDocument/2006/relationships/hyperlink" Target="https://peec.ai/" TargetMode="External"/><Relationship Id="rId2167" Type="http://schemas.openxmlformats.org/officeDocument/2006/relationships/hyperlink" Target="https://adstransparency.google.com/advertiser/AR01685939160927436801/creative/CR05076430599732854785?region=anywhere" TargetMode="External"/><Relationship Id="rId486" Type="http://schemas.openxmlformats.org/officeDocument/2006/relationships/hyperlink" Target="https://adstransparency.google.com/advertiser/AR05016556376214732801/creative/CR01692383218189205505?region=anywhere" TargetMode="External"/><Relationship Id="rId2168" Type="http://schemas.openxmlformats.org/officeDocument/2006/relationships/hyperlink" Target="https://www.scrunch.com/ai-search" TargetMode="External"/><Relationship Id="rId485" Type="http://schemas.openxmlformats.org/officeDocument/2006/relationships/hyperlink" Target="https://peec.ai/black-friday" TargetMode="External"/><Relationship Id="rId2169" Type="http://schemas.openxmlformats.org/officeDocument/2006/relationships/hyperlink" Target="https://adstransparency.google.com/advertiser/AR01685939160927436801/creative/CR01141904956442279937?region=anywhere" TargetMode="External"/><Relationship Id="rId2159" Type="http://schemas.openxmlformats.org/officeDocument/2006/relationships/hyperlink" Target="https://adstransparency.google.com/advertiser/AR01685939160927436801/creative/CR08987697981503307777?region=anywhere" TargetMode="External"/><Relationship Id="rId480" Type="http://schemas.openxmlformats.org/officeDocument/2006/relationships/hyperlink" Target="https://adstransparency.google.com/advertiser/AR05016556376214732801/creative/CR06178031875127246849?region=anywhere" TargetMode="External"/><Relationship Id="rId479" Type="http://schemas.openxmlformats.org/officeDocument/2006/relationships/hyperlink" Target="https://peec.ai/demo" TargetMode="External"/><Relationship Id="rId478" Type="http://schemas.openxmlformats.org/officeDocument/2006/relationships/hyperlink" Target="https://adstransparency.google.com/advertiser/AR05016556376214732801/creative/CR01949663166652743681?region=anywhere" TargetMode="External"/><Relationship Id="rId2150" Type="http://schemas.openxmlformats.org/officeDocument/2006/relationships/hyperlink" Target="https://www.scrunch.com/ai-search" TargetMode="External"/><Relationship Id="rId473" Type="http://schemas.openxmlformats.org/officeDocument/2006/relationships/hyperlink" Target="https://peec.ai/visibility/platform" TargetMode="External"/><Relationship Id="rId2151" Type="http://schemas.openxmlformats.org/officeDocument/2006/relationships/hyperlink" Target="https://adstransparency.google.com/advertiser/AR01685939160927436801/creative/CR02272827363681107969?region=anywhere" TargetMode="External"/><Relationship Id="rId472" Type="http://schemas.openxmlformats.org/officeDocument/2006/relationships/hyperlink" Target="https://adstransparency.google.com/advertiser/AR05016556376214732801/creative/CR07530997975535845377?region=anywhere" TargetMode="External"/><Relationship Id="rId2152" Type="http://schemas.openxmlformats.org/officeDocument/2006/relationships/hyperlink" Target="https://www.scrunch.com/chatgpt/visibility" TargetMode="External"/><Relationship Id="rId471" Type="http://schemas.openxmlformats.org/officeDocument/2006/relationships/hyperlink" Target="https://peec.ai/" TargetMode="External"/><Relationship Id="rId2153" Type="http://schemas.openxmlformats.org/officeDocument/2006/relationships/hyperlink" Target="https://adstransparency.google.com/advertiser/AR01685939160927436801/creative/CR12423139104919650305?region=anywhere" TargetMode="External"/><Relationship Id="rId470" Type="http://schemas.openxmlformats.org/officeDocument/2006/relationships/hyperlink" Target="https://adstransparency.google.com/advertiser/AR05016556376214732801/creative/CR04805165687997726721?region=anywhere" TargetMode="External"/><Relationship Id="rId2154" Type="http://schemas.openxmlformats.org/officeDocument/2006/relationships/hyperlink" Target="https://www.scrunch.com/ai-search/monitoring" TargetMode="External"/><Relationship Id="rId477" Type="http://schemas.openxmlformats.org/officeDocument/2006/relationships/hyperlink" Target="https://peec.ai/for-agencies" TargetMode="External"/><Relationship Id="rId2155" Type="http://schemas.openxmlformats.org/officeDocument/2006/relationships/hyperlink" Target="https://adstransparency.google.com/advertiser/AR01685939160927436801/creative/CR13454074261190737921?region=anywhere" TargetMode="External"/><Relationship Id="rId476" Type="http://schemas.openxmlformats.org/officeDocument/2006/relationships/hyperlink" Target="https://adstransparency.google.com/advertiser/AR05016556376214732801/creative/CR10468144389203951617?region=anywhere" TargetMode="External"/><Relationship Id="rId2156" Type="http://schemas.openxmlformats.org/officeDocument/2006/relationships/hyperlink" Target="https://www.scrunch.com/ai-search/visibility" TargetMode="External"/><Relationship Id="rId475" Type="http://schemas.openxmlformats.org/officeDocument/2006/relationships/hyperlink" Target="https://peec.ai/pricing" TargetMode="External"/><Relationship Id="rId2157" Type="http://schemas.openxmlformats.org/officeDocument/2006/relationships/hyperlink" Target="https://adstransparency.google.com/advertiser/AR01685939160927436801/creative/CR13414692984499208193?region=anywhere" TargetMode="External"/><Relationship Id="rId474" Type="http://schemas.openxmlformats.org/officeDocument/2006/relationships/hyperlink" Target="https://adstransparency.google.com/advertiser/AR05016556376214732801/creative/CR05535764802145615873?region=anywhere" TargetMode="External"/><Relationship Id="rId2158" Type="http://schemas.openxmlformats.org/officeDocument/2006/relationships/hyperlink" Target="https://www.scrunch.com/aeo/platform" TargetMode="External"/><Relationship Id="rId1257" Type="http://schemas.openxmlformats.org/officeDocument/2006/relationships/hyperlink" Target="https://www.semrush.com/analytics/keywordoverview/" TargetMode="External"/><Relationship Id="rId2104" Type="http://schemas.openxmlformats.org/officeDocument/2006/relationships/hyperlink" Target="https://www.accuranker.com/" TargetMode="External"/><Relationship Id="rId1258" Type="http://schemas.openxmlformats.org/officeDocument/2006/relationships/hyperlink" Target="https://adstransparency.google.com/advertiser/AR11070511645502472193/creative/CR11961088146713608193?region=anywhere" TargetMode="External"/><Relationship Id="rId2105" Type="http://schemas.openxmlformats.org/officeDocument/2006/relationships/hyperlink" Target="https://adstransparency.google.com/advertiser/AR01866760943401172993/creative/CR13817981832248950785?region=anywhere" TargetMode="External"/><Relationship Id="rId1259" Type="http://schemas.openxmlformats.org/officeDocument/2006/relationships/hyperlink" Target="https://www.semrush.com/" TargetMode="External"/><Relationship Id="rId2106" Type="http://schemas.openxmlformats.org/officeDocument/2006/relationships/hyperlink" Target="https://www.accuranker.com/pricing" TargetMode="External"/><Relationship Id="rId2107" Type="http://schemas.openxmlformats.org/officeDocument/2006/relationships/hyperlink" Target="https://adstransparency.google.com/advertiser/AR01866760943401172993/creative/CR09302985698137079809?region=anywhere" TargetMode="External"/><Relationship Id="rId2108" Type="http://schemas.openxmlformats.org/officeDocument/2006/relationships/hyperlink" Target="https://athenahq.ai/" TargetMode="External"/><Relationship Id="rId2109" Type="http://schemas.openxmlformats.org/officeDocument/2006/relationships/hyperlink" Target="https://adstransparency.google.com/advertiser/AR17913883853710163969/creative/CR09040885482107437057?region=anywhere" TargetMode="External"/><Relationship Id="rId426" Type="http://schemas.openxmlformats.org/officeDocument/2006/relationships/hyperlink" Target="https://adstransparency.google.com/advertiser/AR05016556376214732801/creative/CR08892140044408586241?region=anywhere" TargetMode="External"/><Relationship Id="rId425" Type="http://schemas.openxmlformats.org/officeDocument/2006/relationships/hyperlink" Target="https://peec.ai/visibility/platform" TargetMode="External"/><Relationship Id="rId424" Type="http://schemas.openxmlformats.org/officeDocument/2006/relationships/hyperlink" Target="https://adstransparency.google.com/advertiser/AR05016556376214732801/creative/CR04501385356981043201?region=anywhere" TargetMode="External"/><Relationship Id="rId423" Type="http://schemas.openxmlformats.org/officeDocument/2006/relationships/hyperlink" Target="https://peec.ai/" TargetMode="External"/><Relationship Id="rId429" Type="http://schemas.openxmlformats.org/officeDocument/2006/relationships/hyperlink" Target="https://peec.ai/for-agencies" TargetMode="External"/><Relationship Id="rId428" Type="http://schemas.openxmlformats.org/officeDocument/2006/relationships/hyperlink" Target="https://adstransparency.google.com/advertiser/AR05016556376214732801/creative/CR10656106821095260161?region=anywhere" TargetMode="External"/><Relationship Id="rId427" Type="http://schemas.openxmlformats.org/officeDocument/2006/relationships/hyperlink" Target="https://peec.ai/" TargetMode="External"/><Relationship Id="rId1250" Type="http://schemas.openxmlformats.org/officeDocument/2006/relationships/hyperlink" Target="https://adstransparency.google.com/advertiser/AR11070511645502472193/creative/CR14133740947313262593?region=anywhere" TargetMode="External"/><Relationship Id="rId1251" Type="http://schemas.openxmlformats.org/officeDocument/2006/relationships/hyperlink" Target="https://www.semrush.com/features/" TargetMode="External"/><Relationship Id="rId1252" Type="http://schemas.openxmlformats.org/officeDocument/2006/relationships/hyperlink" Target="https://adstransparency.google.com/advertiser/AR11070511645502472193/creative/CR08220543472986226689?region=anywhere" TargetMode="External"/><Relationship Id="rId422" Type="http://schemas.openxmlformats.org/officeDocument/2006/relationships/hyperlink" Target="https://adstransparency.google.com/advertiser/AR05016556376214732801/creative/CR07749788419957456897?region=anywhere" TargetMode="External"/><Relationship Id="rId1253" Type="http://schemas.openxmlformats.org/officeDocument/2006/relationships/hyperlink" Target="https://www.semrush.com/kb/demo/" TargetMode="External"/><Relationship Id="rId2100" Type="http://schemas.openxmlformats.org/officeDocument/2006/relationships/hyperlink" Target="https://rankscale.ai/" TargetMode="External"/><Relationship Id="rId421" Type="http://schemas.openxmlformats.org/officeDocument/2006/relationships/hyperlink" Target="https://peec.ai/" TargetMode="External"/><Relationship Id="rId1254" Type="http://schemas.openxmlformats.org/officeDocument/2006/relationships/hyperlink" Target="https://adstransparency.google.com/advertiser/AR11070511645502472193/creative/CR17592219588110581761?region=anywhere" TargetMode="External"/><Relationship Id="rId2101" Type="http://schemas.openxmlformats.org/officeDocument/2006/relationships/hyperlink" Target="https://adstransparency.google.com/advertiser/AR00739524288117211137/creative/CR06185217364003389441?region=anywhere" TargetMode="External"/><Relationship Id="rId420" Type="http://schemas.openxmlformats.org/officeDocument/2006/relationships/hyperlink" Target="https://adstransparency.google.com/advertiser/AR05016556376214732801/creative/CR00023504131217948673?region=anywhere" TargetMode="External"/><Relationship Id="rId1255" Type="http://schemas.openxmlformats.org/officeDocument/2006/relationships/hyperlink" Target="https://www.semrush.com/" TargetMode="External"/><Relationship Id="rId2102" Type="http://schemas.openxmlformats.org/officeDocument/2006/relationships/hyperlink" Target="https://www.accuranker.com/" TargetMode="External"/><Relationship Id="rId1256" Type="http://schemas.openxmlformats.org/officeDocument/2006/relationships/hyperlink" Target="https://adstransparency.google.com/advertiser/AR11070511645502472193/creative/CR17225545654386819073?region=anywhere" TargetMode="External"/><Relationship Id="rId2103" Type="http://schemas.openxmlformats.org/officeDocument/2006/relationships/hyperlink" Target="https://adstransparency.google.com/advertiser/AR01866760943401172993/creative/CR17962702857178185729?region=anywhere" TargetMode="External"/><Relationship Id="rId1246" Type="http://schemas.openxmlformats.org/officeDocument/2006/relationships/hyperlink" Target="https://adstransparency.google.com/advertiser/AR11070511645502472193/creative/CR14823119344766025729?region=anywhere" TargetMode="External"/><Relationship Id="rId1247" Type="http://schemas.openxmlformats.org/officeDocument/2006/relationships/hyperlink" Target="https://www.semrush.com/" TargetMode="External"/><Relationship Id="rId1248" Type="http://schemas.openxmlformats.org/officeDocument/2006/relationships/hyperlink" Target="https://adstransparency.google.com/advertiser/AR11070511645502472193/creative/CR05335817238245015553?region=anywhere" TargetMode="External"/><Relationship Id="rId1249" Type="http://schemas.openxmlformats.org/officeDocument/2006/relationships/hyperlink" Target="https://www.semrush.com/" TargetMode="External"/><Relationship Id="rId415" Type="http://schemas.openxmlformats.org/officeDocument/2006/relationships/hyperlink" Target="https://peec.ai/" TargetMode="External"/><Relationship Id="rId899" Type="http://schemas.openxmlformats.org/officeDocument/2006/relationships/hyperlink" Target="https://peec.ai/black-friday" TargetMode="External"/><Relationship Id="rId414" Type="http://schemas.openxmlformats.org/officeDocument/2006/relationships/hyperlink" Target="https://adstransparency.google.com/advertiser/AR05016556376214732801/creative/CR08480653246552080385?region=anywhere" TargetMode="External"/><Relationship Id="rId898" Type="http://schemas.openxmlformats.org/officeDocument/2006/relationships/hyperlink" Target="https://adstransparency.google.com/advertiser/AR05016556376214732801/creative/CR08231437159316324353?region=anywhere" TargetMode="External"/><Relationship Id="rId413" Type="http://schemas.openxmlformats.org/officeDocument/2006/relationships/hyperlink" Target="https://peec.ai/" TargetMode="External"/><Relationship Id="rId897" Type="http://schemas.openxmlformats.org/officeDocument/2006/relationships/hyperlink" Target="https://peec.ai/visibility/platform" TargetMode="External"/><Relationship Id="rId412" Type="http://schemas.openxmlformats.org/officeDocument/2006/relationships/hyperlink" Target="https://adstransparency.google.com/advertiser/AR05016556376214732801/creative/CR08771988686490304513?region=anywhere" TargetMode="External"/><Relationship Id="rId896" Type="http://schemas.openxmlformats.org/officeDocument/2006/relationships/hyperlink" Target="https://adstransparency.google.com/advertiser/AR05016556376214732801/creative/CR12137251281240588289?region=anywhere" TargetMode="External"/><Relationship Id="rId419" Type="http://schemas.openxmlformats.org/officeDocument/2006/relationships/hyperlink" Target="https://peec.ai/for-agencies" TargetMode="External"/><Relationship Id="rId418" Type="http://schemas.openxmlformats.org/officeDocument/2006/relationships/hyperlink" Target="https://adstransparency.google.com/advertiser/AR05016556376214732801/creative/CR15077145013689253889?region=anywhere" TargetMode="External"/><Relationship Id="rId417" Type="http://schemas.openxmlformats.org/officeDocument/2006/relationships/hyperlink" Target="https://peec.ai/visibility/platform" TargetMode="External"/><Relationship Id="rId416" Type="http://schemas.openxmlformats.org/officeDocument/2006/relationships/hyperlink" Target="https://adstransparency.google.com/advertiser/AR05016556376214732801/creative/CR02617533329959813121?region=anywhere" TargetMode="External"/><Relationship Id="rId891" Type="http://schemas.openxmlformats.org/officeDocument/2006/relationships/hyperlink" Target="https://peec.ai/" TargetMode="External"/><Relationship Id="rId890" Type="http://schemas.openxmlformats.org/officeDocument/2006/relationships/hyperlink" Target="https://adstransparency.google.com/advertiser/AR05016556376214732801/creative/CR06689866056959262721?region=anywhere" TargetMode="External"/><Relationship Id="rId1240" Type="http://schemas.openxmlformats.org/officeDocument/2006/relationships/hyperlink" Target="https://adstransparency.google.com/advertiser/AR11070511645502472193/creative/CR09940973257115041793?region=anywhere" TargetMode="External"/><Relationship Id="rId1241" Type="http://schemas.openxmlformats.org/officeDocument/2006/relationships/hyperlink" Target="https://www.semrush.com/pricing/" TargetMode="External"/><Relationship Id="rId411" Type="http://schemas.openxmlformats.org/officeDocument/2006/relationships/hyperlink" Target="https://peec.ai/" TargetMode="External"/><Relationship Id="rId895" Type="http://schemas.openxmlformats.org/officeDocument/2006/relationships/hyperlink" Target="https://peec.ai/" TargetMode="External"/><Relationship Id="rId1242" Type="http://schemas.openxmlformats.org/officeDocument/2006/relationships/hyperlink" Target="https://adstransparency.google.com/advertiser/AR11070511645502472193/creative/CR04061229274466615297?region=anywhere" TargetMode="External"/><Relationship Id="rId410" Type="http://schemas.openxmlformats.org/officeDocument/2006/relationships/hyperlink" Target="https://adstransparency.google.com/advertiser/AR05016556376214732801/creative/CR10003101161642524673?region=anywhere" TargetMode="External"/><Relationship Id="rId894" Type="http://schemas.openxmlformats.org/officeDocument/2006/relationships/hyperlink" Target="https://adstransparency.google.com/advertiser/AR05016556376214732801/creative/CR07352071124043169793?region=anywhere" TargetMode="External"/><Relationship Id="rId1243" Type="http://schemas.openxmlformats.org/officeDocument/2006/relationships/hyperlink" Target="https://www.semrush.com/" TargetMode="External"/><Relationship Id="rId893" Type="http://schemas.openxmlformats.org/officeDocument/2006/relationships/hyperlink" Target="https://peec.ai/visibility/platform" TargetMode="External"/><Relationship Id="rId1244" Type="http://schemas.openxmlformats.org/officeDocument/2006/relationships/hyperlink" Target="https://adstransparency.google.com/advertiser/AR11070511645502472193/creative/CR15505035056153362433?region=anywhere" TargetMode="External"/><Relationship Id="rId892" Type="http://schemas.openxmlformats.org/officeDocument/2006/relationships/hyperlink" Target="https://adstransparency.google.com/advertiser/AR05016556376214732801/creative/CR00146912878232862721?region=anywhere" TargetMode="External"/><Relationship Id="rId1245" Type="http://schemas.openxmlformats.org/officeDocument/2006/relationships/hyperlink" Target="https://www.semrush.com/" TargetMode="External"/><Relationship Id="rId1279" Type="http://schemas.openxmlformats.org/officeDocument/2006/relationships/hyperlink" Target="https://www.semrush.com/features/" TargetMode="External"/><Relationship Id="rId2126" Type="http://schemas.openxmlformats.org/officeDocument/2006/relationships/hyperlink" Target="https://athenahq.ai/AISearch/Content" TargetMode="External"/><Relationship Id="rId2127" Type="http://schemas.openxmlformats.org/officeDocument/2006/relationships/hyperlink" Target="https://adstransparency.google.com/advertiser/AR17913883853710163969/creative/CR00089787571223134209?region=anywhere" TargetMode="External"/><Relationship Id="rId2128" Type="http://schemas.openxmlformats.org/officeDocument/2006/relationships/hyperlink" Target="https://athenahq.ai/" TargetMode="External"/><Relationship Id="rId2129" Type="http://schemas.openxmlformats.org/officeDocument/2006/relationships/hyperlink" Target="https://adstransparency.google.com/advertiser/AR17913883853710163969/creative/CR01253671412917338113?region=anywhere" TargetMode="External"/><Relationship Id="rId448" Type="http://schemas.openxmlformats.org/officeDocument/2006/relationships/hyperlink" Target="https://adstransparency.google.com/advertiser/AR05016556376214732801/creative/CR15541951159055941633?region=anywhere" TargetMode="External"/><Relationship Id="rId447" Type="http://schemas.openxmlformats.org/officeDocument/2006/relationships/hyperlink" Target="https://peec.ai/" TargetMode="External"/><Relationship Id="rId446" Type="http://schemas.openxmlformats.org/officeDocument/2006/relationships/hyperlink" Target="https://adstransparency.google.com/advertiser/AR05016556376214732801/creative/CR08787300373749563393?region=anywhere" TargetMode="External"/><Relationship Id="rId445" Type="http://schemas.openxmlformats.org/officeDocument/2006/relationships/hyperlink" Target="https://peec.ai/" TargetMode="External"/><Relationship Id="rId449" Type="http://schemas.openxmlformats.org/officeDocument/2006/relationships/hyperlink" Target="https://peec.ai/" TargetMode="External"/><Relationship Id="rId1270" Type="http://schemas.openxmlformats.org/officeDocument/2006/relationships/hyperlink" Target="https://adstransparency.google.com/advertiser/AR11070511645502472193/creative/CR17496943607028908033?region=anywhere" TargetMode="External"/><Relationship Id="rId440" Type="http://schemas.openxmlformats.org/officeDocument/2006/relationships/hyperlink" Target="https://adstransparency.google.com/advertiser/AR05016556376214732801/creative/CR16556748259180150785?region=anywhere" TargetMode="External"/><Relationship Id="rId1271" Type="http://schemas.openxmlformats.org/officeDocument/2006/relationships/hyperlink" Target="https://www.semrush.com/" TargetMode="External"/><Relationship Id="rId1272" Type="http://schemas.openxmlformats.org/officeDocument/2006/relationships/hyperlink" Target="https://adstransparency.google.com/advertiser/AR11070511645502472193/creative/CR13723064558245904385?region=anywhere" TargetMode="External"/><Relationship Id="rId1273" Type="http://schemas.openxmlformats.org/officeDocument/2006/relationships/hyperlink" Target="https://www.semrush.com/" TargetMode="External"/><Relationship Id="rId2120" Type="http://schemas.openxmlformats.org/officeDocument/2006/relationships/hyperlink" Target="https://athenahq.ai/seoclarity/alternative" TargetMode="External"/><Relationship Id="rId1274" Type="http://schemas.openxmlformats.org/officeDocument/2006/relationships/hyperlink" Target="https://adstransparency.google.com/advertiser/AR11070511645502472193/creative/CR03348136859334082561?region=anywhere" TargetMode="External"/><Relationship Id="rId2121" Type="http://schemas.openxmlformats.org/officeDocument/2006/relationships/hyperlink" Target="https://adstransparency.google.com/advertiser/AR17913883853710163969/creative/CR16681113332203126785?region=anywhere" TargetMode="External"/><Relationship Id="rId444" Type="http://schemas.openxmlformats.org/officeDocument/2006/relationships/hyperlink" Target="https://adstransparency.google.com/advertiser/AR05016556376214732801/creative/CR18365701485397803009?region=anywhere" TargetMode="External"/><Relationship Id="rId1275" Type="http://schemas.openxmlformats.org/officeDocument/2006/relationships/hyperlink" Target="https://www.semrush.com/" TargetMode="External"/><Relationship Id="rId2122" Type="http://schemas.openxmlformats.org/officeDocument/2006/relationships/hyperlink" Target="https://athenahq.ai/scrunch/alternative" TargetMode="External"/><Relationship Id="rId443" Type="http://schemas.openxmlformats.org/officeDocument/2006/relationships/hyperlink" Target="https://peec.ai/" TargetMode="External"/><Relationship Id="rId1276" Type="http://schemas.openxmlformats.org/officeDocument/2006/relationships/hyperlink" Target="https://adstransparency.google.com/advertiser/AR11070511645502472193/creative/CR12259327609141198849?region=anywhere" TargetMode="External"/><Relationship Id="rId2123" Type="http://schemas.openxmlformats.org/officeDocument/2006/relationships/hyperlink" Target="https://adstransparency.google.com/advertiser/AR17913883853710163969/creative/CR14799257399822647297?region=anywhere" TargetMode="External"/><Relationship Id="rId442" Type="http://schemas.openxmlformats.org/officeDocument/2006/relationships/hyperlink" Target="https://adstransparency.google.com/advertiser/AR05016556376214732801/creative/CR07652558537993748481?region=anywhere" TargetMode="External"/><Relationship Id="rId1277" Type="http://schemas.openxmlformats.org/officeDocument/2006/relationships/hyperlink" Target="https://www.semrush.com/" TargetMode="External"/><Relationship Id="rId2124" Type="http://schemas.openxmlformats.org/officeDocument/2006/relationships/hyperlink" Target="https://athenahq.ai/search-report" TargetMode="External"/><Relationship Id="rId441" Type="http://schemas.openxmlformats.org/officeDocument/2006/relationships/hyperlink" Target="https://peec.ai/visibility/platform" TargetMode="External"/><Relationship Id="rId1278" Type="http://schemas.openxmlformats.org/officeDocument/2006/relationships/hyperlink" Target="https://adstransparency.google.com/advertiser/AR11070511645502472193/creative/CR09051142894802436097?region=anywhere" TargetMode="External"/><Relationship Id="rId2125" Type="http://schemas.openxmlformats.org/officeDocument/2006/relationships/hyperlink" Target="https://adstransparency.google.com/advertiser/AR17913883853710163969/creative/CR07462500050392842241?region=anywhere" TargetMode="External"/><Relationship Id="rId1268" Type="http://schemas.openxmlformats.org/officeDocument/2006/relationships/hyperlink" Target="https://adstransparency.google.com/advertiser/AR11070511645502472193/creative/CR03343945589728477185?region=anywhere" TargetMode="External"/><Relationship Id="rId2115" Type="http://schemas.openxmlformats.org/officeDocument/2006/relationships/hyperlink" Target="https://adstransparency.google.com/advertiser/AR17913883853710163969/creative/CR18280905636835229697?region=anywhere" TargetMode="External"/><Relationship Id="rId1269" Type="http://schemas.openxmlformats.org/officeDocument/2006/relationships/hyperlink" Target="https://www.semrush.com/pricing/" TargetMode="External"/><Relationship Id="rId2116" Type="http://schemas.openxmlformats.org/officeDocument/2006/relationships/hyperlink" Target="https://athenahq.ai/report/2026" TargetMode="External"/><Relationship Id="rId2117" Type="http://schemas.openxmlformats.org/officeDocument/2006/relationships/hyperlink" Target="https://adstransparency.google.com/advertiser/AR17913883853710163969/creative/CR04924011856894361601?region=anywhere" TargetMode="External"/><Relationship Id="rId2118" Type="http://schemas.openxmlformats.org/officeDocument/2006/relationships/hyperlink" Target="https://athenahq.ai/" TargetMode="External"/><Relationship Id="rId2119" Type="http://schemas.openxmlformats.org/officeDocument/2006/relationships/hyperlink" Target="https://adstransparency.google.com/advertiser/AR17913883853710163969/creative/CR02845759508293091329?region=anywhere" TargetMode="External"/><Relationship Id="rId437" Type="http://schemas.openxmlformats.org/officeDocument/2006/relationships/hyperlink" Target="https://peec.ai/black-friday" TargetMode="External"/><Relationship Id="rId436" Type="http://schemas.openxmlformats.org/officeDocument/2006/relationships/hyperlink" Target="https://adstransparency.google.com/advertiser/AR05016556376214732801/creative/CR13758031476140539905?region=anywhere" TargetMode="External"/><Relationship Id="rId435" Type="http://schemas.openxmlformats.org/officeDocument/2006/relationships/hyperlink" Target="https://peec.ai/" TargetMode="External"/><Relationship Id="rId434" Type="http://schemas.openxmlformats.org/officeDocument/2006/relationships/hyperlink" Target="https://adstransparency.google.com/advertiser/AR05016556376214732801/creative/CR10482587874594127873?region=anywhere" TargetMode="External"/><Relationship Id="rId439" Type="http://schemas.openxmlformats.org/officeDocument/2006/relationships/hyperlink" Target="https://peec.ai/" TargetMode="External"/><Relationship Id="rId438" Type="http://schemas.openxmlformats.org/officeDocument/2006/relationships/hyperlink" Target="https://adstransparency.google.com/advertiser/AR05016556376214732801/creative/CR16330717161322446849?region=anywhere" TargetMode="External"/><Relationship Id="rId1260" Type="http://schemas.openxmlformats.org/officeDocument/2006/relationships/hyperlink" Target="https://adstransparency.google.com/advertiser/AR11070511645502472193/creative/CR01828016335481733121?region=anywhere" TargetMode="External"/><Relationship Id="rId1261" Type="http://schemas.openxmlformats.org/officeDocument/2006/relationships/hyperlink" Target="https://www.semrush.com/" TargetMode="External"/><Relationship Id="rId1262" Type="http://schemas.openxmlformats.org/officeDocument/2006/relationships/hyperlink" Target="https://adstransparency.google.com/advertiser/AR11070511645502472193/creative/CR05107982185403514881?region=anywhere" TargetMode="External"/><Relationship Id="rId1263" Type="http://schemas.openxmlformats.org/officeDocument/2006/relationships/hyperlink" Target="https://www.semrush.com/analytics/backlinks/overview/" TargetMode="External"/><Relationship Id="rId2110" Type="http://schemas.openxmlformats.org/officeDocument/2006/relationships/hyperlink" Target="https://athenahq.ai/" TargetMode="External"/><Relationship Id="rId433" Type="http://schemas.openxmlformats.org/officeDocument/2006/relationships/hyperlink" Target="https://peec.ai/" TargetMode="External"/><Relationship Id="rId1264" Type="http://schemas.openxmlformats.org/officeDocument/2006/relationships/hyperlink" Target="https://adstransparency.google.com/advertiser/AR11070511645502472193/creative/CR17978489267172671489?region=anywhere" TargetMode="External"/><Relationship Id="rId2111" Type="http://schemas.openxmlformats.org/officeDocument/2006/relationships/hyperlink" Target="https://adstransparency.google.com/advertiser/AR17913883853710163969/creative/CR10575763900135899137?region=anywhere" TargetMode="External"/><Relationship Id="rId432" Type="http://schemas.openxmlformats.org/officeDocument/2006/relationships/hyperlink" Target="https://adstransparency.google.com/advertiser/AR05016556376214732801/creative/CR15141815375647211521?region=anywhere" TargetMode="External"/><Relationship Id="rId1265" Type="http://schemas.openxmlformats.org/officeDocument/2006/relationships/hyperlink" Target="https://www.semrush.com/features/" TargetMode="External"/><Relationship Id="rId2112" Type="http://schemas.openxmlformats.org/officeDocument/2006/relationships/hyperlink" Target="https://athenahq.ai/aeo/platform" TargetMode="External"/><Relationship Id="rId431" Type="http://schemas.openxmlformats.org/officeDocument/2006/relationships/hyperlink" Target="https://peec.ai/demo" TargetMode="External"/><Relationship Id="rId1266" Type="http://schemas.openxmlformats.org/officeDocument/2006/relationships/hyperlink" Target="https://adstransparency.google.com/advertiser/AR11070511645502472193/creative/CR15550450684586360833?region=anywhere" TargetMode="External"/><Relationship Id="rId2113" Type="http://schemas.openxmlformats.org/officeDocument/2006/relationships/hyperlink" Target="https://adstransparency.google.com/advertiser/AR17913883853710163969/creative/CR12852410984391770113?region=anywhere" TargetMode="External"/><Relationship Id="rId430" Type="http://schemas.openxmlformats.org/officeDocument/2006/relationships/hyperlink" Target="https://adstransparency.google.com/advertiser/AR05016556376214732801/creative/CR12275662641078206465?region=anywhere" TargetMode="External"/><Relationship Id="rId1267" Type="http://schemas.openxmlformats.org/officeDocument/2006/relationships/hyperlink" Target="https://www.semrush.com/agencies/" TargetMode="External"/><Relationship Id="rId2114" Type="http://schemas.openxmlformats.org/officeDocument/2006/relationships/hyperlink" Target="https://athenahq.ai/"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91" Type="http://schemas.openxmlformats.org/officeDocument/2006/relationships/hyperlink" Target="https://www.semrush.com/" TargetMode="External"/><Relationship Id="rId39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1" Type="http://schemas.openxmlformats.org/officeDocument/2006/relationships/hyperlink" Target="https://www.tryprofound.com/customers/mongodb" TargetMode="External"/><Relationship Id="rId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 Type="http://schemas.openxmlformats.org/officeDocument/2006/relationships/hyperlink" Target="https://www.tryprofound.com/customers/mongodb" TargetMode="External"/><Relationship Id="rId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9" Type="http://schemas.openxmlformats.org/officeDocument/2006/relationships/hyperlink" Target="https://www.tryprofound.com/contact-sales" TargetMode="External"/><Relationship Id="rId385" Type="http://schemas.openxmlformats.org/officeDocument/2006/relationships/hyperlink" Target="https://www.semrush.com/lp/website-audit-1/en/" TargetMode="External"/><Relationship Id="rId38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83" Type="http://schemas.openxmlformats.org/officeDocument/2006/relationships/hyperlink" Target="https://www.semrush.com/" TargetMode="External"/><Relationship Id="rId38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5" Type="http://schemas.openxmlformats.org/officeDocument/2006/relationships/hyperlink" Target="https://www.tryprofound.com/contact-sales" TargetMode="External"/><Relationship Id="rId389" Type="http://schemas.openxmlformats.org/officeDocument/2006/relationships/hyperlink" Target="http://spotlightconf.com/" TargetMode="External"/><Relationship Id="rId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8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7" Type="http://schemas.openxmlformats.org/officeDocument/2006/relationships/hyperlink" Target="https://www.tryprofound.com/customers/mongodb" TargetMode="External"/><Relationship Id="rId387" Type="http://schemas.openxmlformats.org/officeDocument/2006/relationships/hyperlink" Target="https://www.semrush.com/" TargetMode="External"/><Relationship Id="rId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8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81" Type="http://schemas.openxmlformats.org/officeDocument/2006/relationships/hyperlink" Target="http://spotlightconf.com/" TargetMode="External"/><Relationship Id="rId38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79" Type="http://schemas.openxmlformats.org/officeDocument/2006/relationships/hyperlink" Target="https://www.semrush.com/lp/semrush-one/en/" TargetMode="External"/><Relationship Id="rId37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73" Type="http://schemas.openxmlformats.org/officeDocument/2006/relationships/hyperlink" Target="https://www.semrush.com/lp/website-audit-1/en/" TargetMode="External"/><Relationship Id="rId37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71" Type="http://schemas.openxmlformats.org/officeDocument/2006/relationships/hyperlink" Target="https://www.spotlightconf.com/" TargetMode="External"/><Relationship Id="rId37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77" Type="http://schemas.openxmlformats.org/officeDocument/2006/relationships/hyperlink" Target="https://www.spotlightconf.com/" TargetMode="External"/><Relationship Id="rId37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75" Type="http://schemas.openxmlformats.org/officeDocument/2006/relationships/hyperlink" Target="http://spotlightconf.com/" TargetMode="External"/><Relationship Id="rId39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95" Type="http://schemas.openxmlformats.org/officeDocument/2006/relationships/hyperlink" Target="https://www.spotlightconf.com/" TargetMode="External"/><Relationship Id="rId39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93" Type="http://schemas.openxmlformats.org/officeDocument/2006/relationships/hyperlink" Target="https://www.semrush.com/lp/product-keyword-magic-tool-7/en/" TargetMode="External"/><Relationship Id="rId399" Type="http://schemas.openxmlformats.org/officeDocument/2006/relationships/hyperlink" Target="https://www.semrush.com/lp/semrush-one/en/" TargetMode="External"/><Relationship Id="rId39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97" Type="http://schemas.openxmlformats.org/officeDocument/2006/relationships/hyperlink" Target="http://spotlightconf.com/" TargetMode="External"/><Relationship Id="rId4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4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41" Type="http://schemas.openxmlformats.org/officeDocument/2006/relationships/hyperlink" Target="https://www.tryprofound.com/aeo-report" TargetMode="External"/><Relationship Id="rId4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43" Type="http://schemas.openxmlformats.org/officeDocument/2006/relationships/hyperlink" Target="https://www.tryprofound.com/customers/mongodb" TargetMode="External"/><Relationship Id="rId4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45" Type="http://schemas.openxmlformats.org/officeDocument/2006/relationships/hyperlink" Target="https://www.tryprofound.com/profound-index" TargetMode="External"/><Relationship Id="rId4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47" Type="http://schemas.openxmlformats.org/officeDocument/2006/relationships/hyperlink" Target="https://www.tryprofound.com/customers/mongodb" TargetMode="External"/><Relationship Id="rId49" Type="http://schemas.openxmlformats.org/officeDocument/2006/relationships/hyperlink" Target="https://www.tryprofound.com/customers/mongodb" TargetMode="External"/><Relationship Id="rId31" Type="http://schemas.openxmlformats.org/officeDocument/2006/relationships/hyperlink" Target="https://www.tryprofound.com/contact-sales" TargetMode="External"/><Relationship Id="rId3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3" Type="http://schemas.openxmlformats.org/officeDocument/2006/relationships/hyperlink" Target="https://www.tryprofound.com/profound-index" TargetMode="External"/><Relationship Id="rId3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5" Type="http://schemas.openxmlformats.org/officeDocument/2006/relationships/hyperlink" Target="https://www.tryprofound.com/profound-index" TargetMode="External"/><Relationship Id="rId3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7" Type="http://schemas.openxmlformats.org/officeDocument/2006/relationships/hyperlink" Target="https://www.tryprofound.com/contact-sales" TargetMode="External"/><Relationship Id="rId3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9" Type="http://schemas.openxmlformats.org/officeDocument/2006/relationships/hyperlink" Target="https://www.tryprofound.com/contact-sales" TargetMode="External"/><Relationship Id="rId3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1" Type="http://schemas.openxmlformats.org/officeDocument/2006/relationships/hyperlink" Target="https://www.tryprofound.com/contact-sales" TargetMode="External"/><Relationship Id="rId2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 Type="http://schemas.openxmlformats.org/officeDocument/2006/relationships/hyperlink" Target="https://www.tryprofound.com/contact-sales" TargetMode="External"/><Relationship Id="rId2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 Type="http://schemas.openxmlformats.org/officeDocument/2006/relationships/hyperlink" Target="https://www.tryprofound.com/contact-sales" TargetMode="External"/><Relationship Id="rId2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1" Type="http://schemas.openxmlformats.org/officeDocument/2006/relationships/hyperlink" Target="https://www.tryprofound.com/customers/mongodb" TargetMode="External"/><Relationship Id="rId1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 Type="http://schemas.openxmlformats.org/officeDocument/2006/relationships/hyperlink" Target="https://www.tryprofound.com/contact-sales" TargetMode="External"/><Relationship Id="rId1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 Type="http://schemas.openxmlformats.org/officeDocument/2006/relationships/hyperlink" Target="https://www.tryprofound.com/contact-sales" TargetMode="External"/><Relationship Id="rId1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 Type="http://schemas.openxmlformats.org/officeDocument/2006/relationships/hyperlink" Target="https://www.tryprofound.com/features/aim" TargetMode="External"/><Relationship Id="rId1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 Type="http://schemas.openxmlformats.org/officeDocument/2006/relationships/hyperlink" Target="https://www.tryprofound.com/contact-sales" TargetMode="External"/><Relationship Id="rId1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3" Type="http://schemas.openxmlformats.org/officeDocument/2006/relationships/hyperlink" Target="https://www.tryprofound.com/contact-sales" TargetMode="External"/><Relationship Id="rId8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7" Type="http://schemas.openxmlformats.org/officeDocument/2006/relationships/hyperlink" Target="https://www.tryprofound.com/customers/mongodb" TargetMode="External"/><Relationship Id="rId89" Type="http://schemas.openxmlformats.org/officeDocument/2006/relationships/hyperlink" Target="https://www.tryprofound.com/contact-sales" TargetMode="External"/><Relationship Id="rId8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81" Type="http://schemas.openxmlformats.org/officeDocument/2006/relationships/hyperlink" Target="https://www.tryprofound.com/profound-index" TargetMode="External"/><Relationship Id="rId73" Type="http://schemas.openxmlformats.org/officeDocument/2006/relationships/hyperlink" Target="https://www.tryprofound.com/features/aim" TargetMode="External"/><Relationship Id="rId7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75" Type="http://schemas.openxmlformats.org/officeDocument/2006/relationships/hyperlink" Target="https://www.tryprofound.com/profound-index" TargetMode="External"/><Relationship Id="rId7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77" Type="http://schemas.openxmlformats.org/officeDocument/2006/relationships/hyperlink" Target="https://www.tryprofound.com/" TargetMode="External"/><Relationship Id="rId7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79" Type="http://schemas.openxmlformats.org/officeDocument/2006/relationships/hyperlink" Target="https://www.tryprofound.com/contact-sales" TargetMode="External"/><Relationship Id="rId7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7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7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1" Type="http://schemas.openxmlformats.org/officeDocument/2006/relationships/hyperlink" Target="https://www.tryprofound.com/contact-sales" TargetMode="External"/><Relationship Id="rId6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5" Type="http://schemas.openxmlformats.org/officeDocument/2006/relationships/hyperlink" Target="https://www.tryprofound.com/profound-index" TargetMode="External"/><Relationship Id="rId6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7" Type="http://schemas.openxmlformats.org/officeDocument/2006/relationships/hyperlink" Target="https://www.tryprofound.com/profound-index" TargetMode="External"/><Relationship Id="rId6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9" Type="http://schemas.openxmlformats.org/officeDocument/2006/relationships/hyperlink" Target="https://www.tryprofound.com/customers/mongodb" TargetMode="External"/><Relationship Id="rId51" Type="http://schemas.openxmlformats.org/officeDocument/2006/relationships/hyperlink" Target="https://www.tryprofound.com/contact-sales" TargetMode="External"/><Relationship Id="rId5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3" Type="http://schemas.openxmlformats.org/officeDocument/2006/relationships/hyperlink" Target="https://www.tryprofound.com/customers/mongodb" TargetMode="External"/><Relationship Id="rId5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5" Type="http://schemas.openxmlformats.org/officeDocument/2006/relationships/hyperlink" Target="https://www.tryprofound.com/contact-sales" TargetMode="External"/><Relationship Id="rId5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7" Type="http://schemas.openxmlformats.org/officeDocument/2006/relationships/hyperlink" Target="https://www.tryprofound.com/profound-index" TargetMode="External"/><Relationship Id="rId5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9" Type="http://schemas.openxmlformats.org/officeDocument/2006/relationships/hyperlink" Target="https://www.tryprofound.com/profound-index" TargetMode="External"/><Relationship Id="rId5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49" Type="http://schemas.openxmlformats.org/officeDocument/2006/relationships/hyperlink" Target="https://mangools.com/kwfinder/features/keyword-gap-analysis-tool/" TargetMode="External"/><Relationship Id="rId34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47" Type="http://schemas.openxmlformats.org/officeDocument/2006/relationships/hyperlink" Target="https://mangools.com/ai-search-grader" TargetMode="External"/><Relationship Id="rId34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41" Type="http://schemas.openxmlformats.org/officeDocument/2006/relationships/hyperlink" Target="https://mangools.com/ai-search-watcher" TargetMode="External"/><Relationship Id="rId34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45" Type="http://schemas.openxmlformats.org/officeDocument/2006/relationships/hyperlink" Target="https://mangools.com/kwfinder/features/keyword-gap-analysis-tool/" TargetMode="External"/><Relationship Id="rId34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43" Type="http://schemas.openxmlformats.org/officeDocument/2006/relationships/hyperlink" Target="https://mangools.com/kwfinder/features/keyword-gap-analysis-tool/" TargetMode="External"/><Relationship Id="rId34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7" Type="http://schemas.openxmlformats.org/officeDocument/2006/relationships/hyperlink" Target="https://mangools.com/kwfinder/features/keyword-gap-analysis-tool/" TargetMode="External"/><Relationship Id="rId33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5" Type="http://schemas.openxmlformats.org/officeDocument/2006/relationships/hyperlink" Target="https://mangools.com/kwfinder/features/keyword-gap-analysis-tool/" TargetMode="External"/><Relationship Id="rId339" Type="http://schemas.openxmlformats.org/officeDocument/2006/relationships/hyperlink" Target="https://mangools.com/kwfinder/features/keyword-gap-analysis-tool/" TargetMode="External"/><Relationship Id="rId33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3" Type="http://schemas.openxmlformats.org/officeDocument/2006/relationships/hyperlink" Target="https://mangools.com/ai-search-watcher" TargetMode="External"/><Relationship Id="rId33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31" Type="http://schemas.openxmlformats.org/officeDocument/2006/relationships/hyperlink" Target="https://mangools.com/ai-search-watcher" TargetMode="External"/><Relationship Id="rId37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69" Type="http://schemas.openxmlformats.org/officeDocument/2006/relationships/hyperlink" Target="https://www.semrush.com/lp/website-audit-1/en/" TargetMode="External"/><Relationship Id="rId36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63" Type="http://schemas.openxmlformats.org/officeDocument/2006/relationships/hyperlink" Target="https://www.semrush.com/lp/website-audit-1/en/" TargetMode="External"/><Relationship Id="rId36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61" Type="http://schemas.openxmlformats.org/officeDocument/2006/relationships/hyperlink" Target="http://spotlightconf.com/" TargetMode="External"/><Relationship Id="rId36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67" Type="http://schemas.openxmlformats.org/officeDocument/2006/relationships/hyperlink" Target="https://www.semrush.com/lp/ai-toolkit/en/" TargetMode="External"/><Relationship Id="rId36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65" Type="http://schemas.openxmlformats.org/officeDocument/2006/relationships/hyperlink" Target="https://www.semrush.com/" TargetMode="External"/><Relationship Id="rId36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95" Type="http://schemas.openxmlformats.org/officeDocument/2006/relationships/hyperlink" Target="https://www.tryprofound.com/contact-sales" TargetMode="External"/><Relationship Id="rId9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97" Type="http://schemas.openxmlformats.org/officeDocument/2006/relationships/hyperlink" Target="https://www.tryprofound.com/customers/mongodb" TargetMode="External"/><Relationship Id="rId9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99" Type="http://schemas.openxmlformats.org/officeDocument/2006/relationships/hyperlink" Target="https://www.tryprofound.com/customers/mongodb" TargetMode="External"/><Relationship Id="rId9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91" Type="http://schemas.openxmlformats.org/officeDocument/2006/relationships/hyperlink" Target="https://www.tryprofound.com/contact-sales" TargetMode="External"/><Relationship Id="rId9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93" Type="http://schemas.openxmlformats.org/officeDocument/2006/relationships/hyperlink" Target="https://www.tryprofound.com/contact-sales" TargetMode="External"/><Relationship Id="rId9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59" Type="http://schemas.openxmlformats.org/officeDocument/2006/relationships/hyperlink" Target="https://www.semrush.com/lp/semrush-one/en/" TargetMode="External"/><Relationship Id="rId35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57" Type="http://schemas.openxmlformats.org/officeDocument/2006/relationships/hyperlink" Target="https://www.semrush.com/" TargetMode="External"/><Relationship Id="rId35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51" Type="http://schemas.openxmlformats.org/officeDocument/2006/relationships/hyperlink" Target="https://mangools.com/kwfinder/features/keyword-gap-analysis-tool/" TargetMode="External"/><Relationship Id="rId35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5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355" Type="http://schemas.openxmlformats.org/officeDocument/2006/relationships/hyperlink" Target="https://www.semrush.com/" TargetMode="External"/><Relationship Id="rId35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53" Type="http://schemas.openxmlformats.org/officeDocument/2006/relationships/hyperlink" Target="https://mangools.com/kwfinder/features/keyword-gap-analysis-tool/" TargetMode="External"/><Relationship Id="rId30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3" Type="http://schemas.openxmlformats.org/officeDocument/2006/relationships/hyperlink" Target="https://www.tryprofound.com/aeo-report" TargetMode="External"/><Relationship Id="rId30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7" Type="http://schemas.openxmlformats.org/officeDocument/2006/relationships/hyperlink" Target="https://www.tryprofound.com/customers/mongodb" TargetMode="External"/><Relationship Id="rId30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0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27" Type="http://schemas.openxmlformats.org/officeDocument/2006/relationships/hyperlink" Target="https://mangools.com/blackfriday-2025" TargetMode="External"/><Relationship Id="rId32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25" Type="http://schemas.openxmlformats.org/officeDocument/2006/relationships/hyperlink" Target="https://mangools.com/blackfriday-2025" TargetMode="External"/><Relationship Id="rId32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29" Type="http://schemas.openxmlformats.org/officeDocument/2006/relationships/hyperlink" Target="https://mangools.com/ai-search-watcher" TargetMode="External"/><Relationship Id="rId32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23" Type="http://schemas.openxmlformats.org/officeDocument/2006/relationships/hyperlink" Target="https://mangools.com/ai-search-grader" TargetMode="External"/><Relationship Id="rId32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21" Type="http://schemas.openxmlformats.org/officeDocument/2006/relationships/hyperlink" Target="https://mangools.com/reddit-threads-finder" TargetMode="External"/><Relationship Id="rId32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1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15" Type="http://schemas.openxmlformats.org/officeDocument/2006/relationships/hyperlink" Target="https://www.tryprofound.com/contact-sales" TargetMode="External"/><Relationship Id="rId31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1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19" Type="http://schemas.openxmlformats.org/officeDocument/2006/relationships/hyperlink" Target="https://mangools.com/kwfinder/" TargetMode="External"/><Relationship Id="rId31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736362296643133" TargetMode="External"/><Relationship Id="rId317" Type="http://schemas.openxmlformats.org/officeDocument/2006/relationships/hyperlink" Target="https://mangools.com/ai-search-watcher/" TargetMode="External"/><Relationship Id="rId31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311" Type="http://schemas.openxmlformats.org/officeDocument/2006/relationships/hyperlink" Target="https://www.tryprofound.com/customers/mongodb" TargetMode="External"/><Relationship Id="rId31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7" Type="http://schemas.openxmlformats.org/officeDocument/2006/relationships/hyperlink" Target="https://www.tryprofound.com/profound-index" TargetMode="External"/><Relationship Id="rId29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9" Type="http://schemas.openxmlformats.org/officeDocument/2006/relationships/hyperlink" Target="https://www.tryprofound.com/aeo-report" TargetMode="External"/><Relationship Id="rId29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1" Type="http://schemas.openxmlformats.org/officeDocument/2006/relationships/hyperlink" Target="https://www.tryprofound.com/contact-sales" TargetMode="External"/><Relationship Id="rId27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69" Type="http://schemas.openxmlformats.org/officeDocument/2006/relationships/hyperlink" Target="https://www.tryprofound.com/customers/mongodb" TargetMode="External"/><Relationship Id="rId26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63" Type="http://schemas.openxmlformats.org/officeDocument/2006/relationships/hyperlink" Target="https://www.tryprofound.com/contact-sales" TargetMode="External"/><Relationship Id="rId26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61" Type="http://schemas.openxmlformats.org/officeDocument/2006/relationships/hyperlink" Target="https://www.tryprofound.com/contact-sales" TargetMode="External"/><Relationship Id="rId26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67" Type="http://schemas.openxmlformats.org/officeDocument/2006/relationships/hyperlink" Target="https://www.tryprofound.com/contact-sales" TargetMode="External"/><Relationship Id="rId26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65" Type="http://schemas.openxmlformats.org/officeDocument/2006/relationships/hyperlink" Target="https://www.tryprofound.com/customers/mongodb" TargetMode="External"/><Relationship Id="rId26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9" Type="http://schemas.openxmlformats.org/officeDocument/2006/relationships/hyperlink" Target="https://www.tryprofound.com/contact-sales" TargetMode="External"/><Relationship Id="rId25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3" Type="http://schemas.openxmlformats.org/officeDocument/2006/relationships/hyperlink" Target="https://www.tryprofound.com/contact-sales" TargetMode="External"/><Relationship Id="rId25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1" Type="http://schemas.openxmlformats.org/officeDocument/2006/relationships/hyperlink" Target="https://www.tryprofound.com/contact-sales" TargetMode="External"/><Relationship Id="rId25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7" Type="http://schemas.openxmlformats.org/officeDocument/2006/relationships/hyperlink" Target="https://www.tryprofound.com/contact-sales" TargetMode="External"/><Relationship Id="rId25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55" Type="http://schemas.openxmlformats.org/officeDocument/2006/relationships/hyperlink" Target="https://www.tryprofound.com/profound-index" TargetMode="External"/><Relationship Id="rId25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3" Type="http://schemas.openxmlformats.org/officeDocument/2006/relationships/hyperlink" Target="https://www.tryprofound.com/profound-index" TargetMode="External"/><Relationship Id="rId29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91" Type="http://schemas.openxmlformats.org/officeDocument/2006/relationships/hyperlink" Target="https://www.tryprofound.com/customers/mongodb" TargetMode="External"/><Relationship Id="rId29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5" Type="http://schemas.openxmlformats.org/officeDocument/2006/relationships/hyperlink" Target="https://www.tryprofound.com/contact-sales" TargetMode="External"/><Relationship Id="rId28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3" Type="http://schemas.openxmlformats.org/officeDocument/2006/relationships/hyperlink" Target="https://www.tryprofound.com/profound-index" TargetMode="External"/><Relationship Id="rId289" Type="http://schemas.openxmlformats.org/officeDocument/2006/relationships/hyperlink" Target="https://www.tryprofound.com/contact-sales" TargetMode="External"/><Relationship Id="rId28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81" Type="http://schemas.openxmlformats.org/officeDocument/2006/relationships/hyperlink" Target="https://www.tryprofound.com/customers/mongodb" TargetMode="External"/><Relationship Id="rId28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5" Type="http://schemas.openxmlformats.org/officeDocument/2006/relationships/hyperlink" Target="https://www.tryprofound.com/contact-sales" TargetMode="External"/><Relationship Id="rId27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3" Type="http://schemas.openxmlformats.org/officeDocument/2006/relationships/hyperlink" Target="https://www.tryprofound.com/contact-sales" TargetMode="External"/><Relationship Id="rId27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9" Type="http://schemas.openxmlformats.org/officeDocument/2006/relationships/hyperlink" Target="https://www.tryprofound.com/aeo-report" TargetMode="External"/><Relationship Id="rId27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77" Type="http://schemas.openxmlformats.org/officeDocument/2006/relationships/hyperlink" Target="https://www.tryprofound.com/contact-sales" TargetMode="External"/><Relationship Id="rId27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60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601" Type="http://schemas.openxmlformats.org/officeDocument/2006/relationships/hyperlink" Target="http://otterly.ai" TargetMode="External"/><Relationship Id="rId600" Type="http://schemas.openxmlformats.org/officeDocument/2006/relationships/hyperlink" Target="https://otterly.ai/" TargetMode="External"/><Relationship Id="rId603" Type="http://schemas.openxmlformats.org/officeDocument/2006/relationships/drawing" Target="../drawings/drawing2.xml"/><Relationship Id="rId22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7" Type="http://schemas.openxmlformats.org/officeDocument/2006/relationships/hyperlink" Target="https://www.tryprofound.com/contact-sales" TargetMode="External"/><Relationship Id="rId22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5" Type="http://schemas.openxmlformats.org/officeDocument/2006/relationships/hyperlink" Target="https://www.tryprofound.com/profound-index" TargetMode="External"/><Relationship Id="rId229" Type="http://schemas.openxmlformats.org/officeDocument/2006/relationships/hyperlink" Target="https://www.tryprofound.com/customers/mongodb" TargetMode="External"/><Relationship Id="rId22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3" Type="http://schemas.openxmlformats.org/officeDocument/2006/relationships/hyperlink" Target="https://www.tryprofound.com/contact-sales" TargetMode="External"/><Relationship Id="rId22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21" Type="http://schemas.openxmlformats.org/officeDocument/2006/relationships/hyperlink" Target="https://www.tryprofound.com/profound-index" TargetMode="External"/><Relationship Id="rId217" Type="http://schemas.openxmlformats.org/officeDocument/2006/relationships/hyperlink" Target="https://www.tryprofound.com/contact-sales" TargetMode="External"/><Relationship Id="rId21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15" Type="http://schemas.openxmlformats.org/officeDocument/2006/relationships/hyperlink" Target="https://www.tryprofound.com/profound-index" TargetMode="External"/><Relationship Id="rId21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19" Type="http://schemas.openxmlformats.org/officeDocument/2006/relationships/hyperlink" Target="https://www.tryprofound.com/contact-sales" TargetMode="External"/><Relationship Id="rId21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13" Type="http://schemas.openxmlformats.org/officeDocument/2006/relationships/hyperlink" Target="https://www.tryprofound.com/contact-sales" TargetMode="External"/><Relationship Id="rId21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11" Type="http://schemas.openxmlformats.org/officeDocument/2006/relationships/hyperlink" Target="https://www.tryprofound.com/contact-sales" TargetMode="External"/><Relationship Id="rId21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9" Type="http://schemas.openxmlformats.org/officeDocument/2006/relationships/hyperlink" Target="https://www.tryprofound.com/customers/mongodb" TargetMode="External"/><Relationship Id="rId24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7" Type="http://schemas.openxmlformats.org/officeDocument/2006/relationships/hyperlink" Target="https://www.tryprofound.com/contact-sales" TargetMode="External"/><Relationship Id="rId24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1" Type="http://schemas.openxmlformats.org/officeDocument/2006/relationships/hyperlink" Target="https://www.tryprofound.com/customers/mongodb" TargetMode="External"/><Relationship Id="rId24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43" Type="http://schemas.openxmlformats.org/officeDocument/2006/relationships/hyperlink" Target="https://www.tryprofound.com/contact-sales" TargetMode="External"/><Relationship Id="rId239" Type="http://schemas.openxmlformats.org/officeDocument/2006/relationships/hyperlink" Target="https://www.tryprofound.com/contact-sales" TargetMode="External"/><Relationship Id="rId23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1" Type="http://schemas.openxmlformats.org/officeDocument/2006/relationships/hyperlink" Target="https://www.tryprofound.com/contact-sales" TargetMode="External"/><Relationship Id="rId23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5" Type="http://schemas.openxmlformats.org/officeDocument/2006/relationships/hyperlink" Target="https://www.tryprofound.com/contact-sales" TargetMode="External"/><Relationship Id="rId23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33" Type="http://schemas.openxmlformats.org/officeDocument/2006/relationships/hyperlink" Target="https://www.tryprofound.com/contact-sales" TargetMode="External"/><Relationship Id="rId23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5" Type="http://schemas.openxmlformats.org/officeDocument/2006/relationships/hyperlink" Target="https://www.tryprofound.com/contact-sales" TargetMode="External"/><Relationship Id="rId20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3" Type="http://schemas.openxmlformats.org/officeDocument/2006/relationships/hyperlink" Target="https://www.tryprofound.com/profound-index" TargetMode="External"/><Relationship Id="rId209" Type="http://schemas.openxmlformats.org/officeDocument/2006/relationships/hyperlink" Target="https://www.tryprofound.com/contact-sales" TargetMode="External"/><Relationship Id="rId20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7" Type="http://schemas.openxmlformats.org/officeDocument/2006/relationships/hyperlink" Target="https://www.tryprofound.com/features/aim" TargetMode="External"/><Relationship Id="rId20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201" Type="http://schemas.openxmlformats.org/officeDocument/2006/relationships/hyperlink" Target="https://www.tryprofound.com/customers/mongodb" TargetMode="External"/><Relationship Id="rId20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3" Type="http://schemas.openxmlformats.org/officeDocument/2006/relationships/hyperlink" Target="https://www.tryprofound.com/aeo-report" TargetMode="External"/><Relationship Id="rId19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1" Type="http://schemas.openxmlformats.org/officeDocument/2006/relationships/hyperlink" Target="https://www.tryprofound.com/profound-index" TargetMode="External"/><Relationship Id="rId187" Type="http://schemas.openxmlformats.org/officeDocument/2006/relationships/hyperlink" Target="https://www.tryprofound.com/customers/mongodb" TargetMode="External"/><Relationship Id="rId18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81" Type="http://schemas.openxmlformats.org/officeDocument/2006/relationships/hyperlink" Target="https://www.tryprofound.com/customers/mongodb" TargetMode="External"/><Relationship Id="rId18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3" Type="http://schemas.openxmlformats.org/officeDocument/2006/relationships/hyperlink" Target="https://www.tryprofound.com/contact-sales" TargetMode="External"/><Relationship Id="rId179" Type="http://schemas.openxmlformats.org/officeDocument/2006/relationships/hyperlink" Target="https://www.tryprofound.com/aeo-report" TargetMode="External"/><Relationship Id="rId17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7" Type="http://schemas.openxmlformats.org/officeDocument/2006/relationships/hyperlink" Target="https://www.tryprofound.com/contact-sales" TargetMode="External"/><Relationship Id="rId19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7" Type="http://schemas.openxmlformats.org/officeDocument/2006/relationships/hyperlink" Target="https://www.tryprofound.com/customers/mongodb" TargetMode="External"/><Relationship Id="rId19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95" Type="http://schemas.openxmlformats.org/officeDocument/2006/relationships/hyperlink" Target="https://www.tryprofound.com/contact-sales" TargetMode="External"/><Relationship Id="rId199" Type="http://schemas.openxmlformats.org/officeDocument/2006/relationships/hyperlink" Target="https://www.tryprofound.com/customers/mongodb" TargetMode="External"/><Relationship Id="rId15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1" Type="http://schemas.openxmlformats.org/officeDocument/2006/relationships/hyperlink" Target="https://www.tryprofound.com/contact-sales" TargetMode="External"/><Relationship Id="rId14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7" Type="http://schemas.openxmlformats.org/officeDocument/2006/relationships/hyperlink" Target="https://www.tryprofound.com/profound-index" TargetMode="External"/><Relationship Id="rId14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45" Type="http://schemas.openxmlformats.org/officeDocument/2006/relationships/hyperlink" Target="https://www.tryprofound.com/contact-sales" TargetMode="External"/><Relationship Id="rId14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9" Type="http://schemas.openxmlformats.org/officeDocument/2006/relationships/hyperlink" Target="https://www.tryprofound.com/contact-sales" TargetMode="External"/><Relationship Id="rId13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7" Type="http://schemas.openxmlformats.org/officeDocument/2006/relationships/hyperlink" Target="https://www.tryprofound.com/contact-sales" TargetMode="External"/><Relationship Id="rId13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5" Type="http://schemas.openxmlformats.org/officeDocument/2006/relationships/hyperlink" Target="https://www.tryprofound.com/profound-index" TargetMode="External"/><Relationship Id="rId13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3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71" Type="http://schemas.openxmlformats.org/officeDocument/2006/relationships/hyperlink" Target="https://www.tryprofound.com/profound-index" TargetMode="External"/><Relationship Id="rId17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65" Type="http://schemas.openxmlformats.org/officeDocument/2006/relationships/hyperlink" Target="https://www.tryprofound.com/contact-sales" TargetMode="External"/><Relationship Id="rId16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63" Type="http://schemas.openxmlformats.org/officeDocument/2006/relationships/hyperlink" Target="https://www.tryprofound.com/customers/mongodb" TargetMode="External"/><Relationship Id="rId16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69" Type="http://schemas.openxmlformats.org/officeDocument/2006/relationships/hyperlink" Target="https://www.tryprofound.com/" TargetMode="External"/><Relationship Id="rId16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67" Type="http://schemas.openxmlformats.org/officeDocument/2006/relationships/hyperlink" Target="https://www.tryprofound.com/contact-sales" TargetMode="External"/><Relationship Id="rId16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61" Type="http://schemas.openxmlformats.org/officeDocument/2006/relationships/hyperlink" Target="https://www.tryprofound.com/customers/mongodb" TargetMode="External"/><Relationship Id="rId16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9" Type="http://schemas.openxmlformats.org/officeDocument/2006/relationships/hyperlink" Target="https://www.tryprofound.com/contact-sales" TargetMode="External"/><Relationship Id="rId15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1" Type="http://schemas.openxmlformats.org/officeDocument/2006/relationships/hyperlink" Target="https://www.tryprofound.com/contact-sales" TargetMode="External"/><Relationship Id="rId15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7" Type="http://schemas.openxmlformats.org/officeDocument/2006/relationships/hyperlink" Target="https://www.tryprofound.com/contact-sales" TargetMode="External"/><Relationship Id="rId15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55" Type="http://schemas.openxmlformats.org/officeDocument/2006/relationships/hyperlink" Target="https://www.tryprofound.com/contact-sales" TargetMode="External"/><Relationship Id="rId50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08" Type="http://schemas.openxmlformats.org/officeDocument/2006/relationships/hyperlink" Target="http://otterly.ai" TargetMode="External"/><Relationship Id="rId50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02" Type="http://schemas.openxmlformats.org/officeDocument/2006/relationships/hyperlink" Target="http://otterly.ai" TargetMode="External"/><Relationship Id="rId501" Type="http://schemas.openxmlformats.org/officeDocument/2006/relationships/hyperlink" Target="https://otterly.ai/" TargetMode="External"/><Relationship Id="rId50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07" Type="http://schemas.openxmlformats.org/officeDocument/2006/relationships/hyperlink" Target="https://otterly.ai/" TargetMode="External"/><Relationship Id="rId50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05" Type="http://schemas.openxmlformats.org/officeDocument/2006/relationships/hyperlink" Target="http://otterly.ai" TargetMode="External"/><Relationship Id="rId504" Type="http://schemas.openxmlformats.org/officeDocument/2006/relationships/hyperlink" Target="https://otterly.ai/geo-guide/?utm_campaign=facebookads" TargetMode="External"/><Relationship Id="rId525" Type="http://schemas.openxmlformats.org/officeDocument/2006/relationships/hyperlink" Target="https://otterly.ai/" TargetMode="External"/><Relationship Id="rId52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23" Type="http://schemas.openxmlformats.org/officeDocument/2006/relationships/hyperlink" Target="http://otterly.ai" TargetMode="External"/><Relationship Id="rId522" Type="http://schemas.openxmlformats.org/officeDocument/2006/relationships/hyperlink" Target="https://otterly.ai/" TargetMode="External"/><Relationship Id="rId529" Type="http://schemas.openxmlformats.org/officeDocument/2006/relationships/hyperlink" Target="http://otterly.ai" TargetMode="External"/><Relationship Id="rId528" Type="http://schemas.openxmlformats.org/officeDocument/2006/relationships/hyperlink" Target="https://otterly.ai/" TargetMode="External"/><Relationship Id="rId52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26" Type="http://schemas.openxmlformats.org/officeDocument/2006/relationships/hyperlink" Target="http://otterly.ai" TargetMode="External"/><Relationship Id="rId52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20" Type="http://schemas.openxmlformats.org/officeDocument/2006/relationships/hyperlink" Target="http://otterly.ai" TargetMode="External"/><Relationship Id="rId519" Type="http://schemas.openxmlformats.org/officeDocument/2006/relationships/hyperlink" Target="https://otterly.ai/" TargetMode="External"/><Relationship Id="rId514" Type="http://schemas.openxmlformats.org/officeDocument/2006/relationships/hyperlink" Target="http://otterly.ai" TargetMode="External"/><Relationship Id="rId513" Type="http://schemas.openxmlformats.org/officeDocument/2006/relationships/hyperlink" Target="https://otterly.ai/" TargetMode="External"/><Relationship Id="rId51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11" Type="http://schemas.openxmlformats.org/officeDocument/2006/relationships/hyperlink" Target="http://otterly.ai" TargetMode="External"/><Relationship Id="rId51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17" Type="http://schemas.openxmlformats.org/officeDocument/2006/relationships/hyperlink" Target="http://otterly.ai" TargetMode="External"/><Relationship Id="rId516" Type="http://schemas.openxmlformats.org/officeDocument/2006/relationships/hyperlink" Target="https://otterly.ai/get-a-free-brand-report" TargetMode="External"/><Relationship Id="rId51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10" Type="http://schemas.openxmlformats.org/officeDocument/2006/relationships/hyperlink" Target="https://otterly.ai/" TargetMode="External"/><Relationship Id="rId59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107" Type="http://schemas.openxmlformats.org/officeDocument/2006/relationships/hyperlink" Target="https://www.tryprofound.com/customers/mongodb" TargetMode="External"/><Relationship Id="rId10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05" Type="http://schemas.openxmlformats.org/officeDocument/2006/relationships/hyperlink" Target="https://www.tryprofound.com/contact-sales" TargetMode="External"/><Relationship Id="rId589" Type="http://schemas.openxmlformats.org/officeDocument/2006/relationships/hyperlink" Target="http://otterly.ai" TargetMode="External"/><Relationship Id="rId10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88" Type="http://schemas.openxmlformats.org/officeDocument/2006/relationships/hyperlink" Target="https://otterly.ai/" TargetMode="External"/><Relationship Id="rId109" Type="http://schemas.openxmlformats.org/officeDocument/2006/relationships/hyperlink" Target="https://www.tryprofound.com/contact-sales" TargetMode="External"/><Relationship Id="rId10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83" Type="http://schemas.openxmlformats.org/officeDocument/2006/relationships/hyperlink" Target="http://otterly.ai" TargetMode="External"/><Relationship Id="rId582" Type="http://schemas.openxmlformats.org/officeDocument/2006/relationships/hyperlink" Target="https://otterly.ai/" TargetMode="External"/><Relationship Id="rId58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80" Type="http://schemas.openxmlformats.org/officeDocument/2006/relationships/hyperlink" Target="http://otterly.ai" TargetMode="External"/><Relationship Id="rId103" Type="http://schemas.openxmlformats.org/officeDocument/2006/relationships/hyperlink" Target="https://www.tryprofound.com/contact-sales" TargetMode="External"/><Relationship Id="rId58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10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86" Type="http://schemas.openxmlformats.org/officeDocument/2006/relationships/hyperlink" Target="http://otterly.ai" TargetMode="External"/><Relationship Id="rId101" Type="http://schemas.openxmlformats.org/officeDocument/2006/relationships/hyperlink" Target="https://www.tryprofound.com/features/aim" TargetMode="External"/><Relationship Id="rId585" Type="http://schemas.openxmlformats.org/officeDocument/2006/relationships/hyperlink" Target="https://otterly.ai/" TargetMode="External"/><Relationship Id="rId10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8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79" Type="http://schemas.openxmlformats.org/officeDocument/2006/relationships/hyperlink" Target="https://otterly.ai/" TargetMode="External"/><Relationship Id="rId57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77" Type="http://schemas.openxmlformats.org/officeDocument/2006/relationships/hyperlink" Target="http://otterly.ai" TargetMode="External"/><Relationship Id="rId57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71" Type="http://schemas.openxmlformats.org/officeDocument/2006/relationships/hyperlink" Target="http://otterly.ai" TargetMode="External"/><Relationship Id="rId570" Type="http://schemas.openxmlformats.org/officeDocument/2006/relationships/hyperlink" Target="https://otterly.ai/" TargetMode="External"/><Relationship Id="rId576" Type="http://schemas.openxmlformats.org/officeDocument/2006/relationships/hyperlink" Target="https://otterly.ai/" TargetMode="External"/><Relationship Id="rId57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74" Type="http://schemas.openxmlformats.org/officeDocument/2006/relationships/hyperlink" Target="http://otterly.ai" TargetMode="External"/><Relationship Id="rId573" Type="http://schemas.openxmlformats.org/officeDocument/2006/relationships/hyperlink" Target="https://otterly.ai/" TargetMode="External"/><Relationship Id="rId129" Type="http://schemas.openxmlformats.org/officeDocument/2006/relationships/hyperlink" Target="https://www.tryprofound.com/features/aim" TargetMode="External"/><Relationship Id="rId12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27" Type="http://schemas.openxmlformats.org/officeDocument/2006/relationships/hyperlink" Target="https://www.tryprofound.com/contact-sales" TargetMode="External"/><Relationship Id="rId12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21" Type="http://schemas.openxmlformats.org/officeDocument/2006/relationships/hyperlink" Target="https://www.tryprofound.com/customers/mongodb" TargetMode="External"/><Relationship Id="rId12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25" Type="http://schemas.openxmlformats.org/officeDocument/2006/relationships/hyperlink" Target="https://www.tryprofound.com/contact-sales" TargetMode="External"/><Relationship Id="rId12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23" Type="http://schemas.openxmlformats.org/officeDocument/2006/relationships/hyperlink" Target="https://www.tryprofound.com/" TargetMode="External"/><Relationship Id="rId12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1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17" Type="http://schemas.openxmlformats.org/officeDocument/2006/relationships/hyperlink" Target="https://www.tryprofound.com/customers/mongodb" TargetMode="External"/><Relationship Id="rId11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115" Type="http://schemas.openxmlformats.org/officeDocument/2006/relationships/hyperlink" Target="https://www.tryprofound.com/customers/mongodb" TargetMode="External"/><Relationship Id="rId59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119" Type="http://schemas.openxmlformats.org/officeDocument/2006/relationships/hyperlink" Target="https://www.tryprofound.com/profound-index" TargetMode="External"/><Relationship Id="rId11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94" Type="http://schemas.openxmlformats.org/officeDocument/2006/relationships/hyperlink" Target="https://otterly.ai/" TargetMode="External"/><Relationship Id="rId59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92" Type="http://schemas.openxmlformats.org/officeDocument/2006/relationships/hyperlink" Target="http://otterly.ai" TargetMode="External"/><Relationship Id="rId591" Type="http://schemas.openxmlformats.org/officeDocument/2006/relationships/hyperlink" Target="https://otterly.ai/" TargetMode="External"/><Relationship Id="rId11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98" Type="http://schemas.openxmlformats.org/officeDocument/2006/relationships/hyperlink" Target="http://otterly.ai" TargetMode="External"/><Relationship Id="rId113" Type="http://schemas.openxmlformats.org/officeDocument/2006/relationships/hyperlink" Target="https://www.tryprofound.com/contact-sales" TargetMode="External"/><Relationship Id="rId597" Type="http://schemas.openxmlformats.org/officeDocument/2006/relationships/hyperlink" Target="https://otterly.ai/" TargetMode="External"/><Relationship Id="rId11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1091907147349154" TargetMode="External"/><Relationship Id="rId59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111" Type="http://schemas.openxmlformats.org/officeDocument/2006/relationships/hyperlink" Target="https://www.tryprofound.com/customers/mongodb" TargetMode="External"/><Relationship Id="rId595" Type="http://schemas.openxmlformats.org/officeDocument/2006/relationships/hyperlink" Target="http://otterly.ai" TargetMode="External"/><Relationship Id="rId547" Type="http://schemas.openxmlformats.org/officeDocument/2006/relationships/hyperlink" Target="http://otterly.ai" TargetMode="External"/><Relationship Id="rId546" Type="http://schemas.openxmlformats.org/officeDocument/2006/relationships/hyperlink" Target="https://otterly.ai/" TargetMode="External"/><Relationship Id="rId545"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44" Type="http://schemas.openxmlformats.org/officeDocument/2006/relationships/hyperlink" Target="http://otterly.ai" TargetMode="External"/><Relationship Id="rId549" Type="http://schemas.openxmlformats.org/officeDocument/2006/relationships/hyperlink" Target="https://otterly.ai/" TargetMode="External"/><Relationship Id="rId548"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43" Type="http://schemas.openxmlformats.org/officeDocument/2006/relationships/hyperlink" Target="https://otterly.ai/" TargetMode="External"/><Relationship Id="rId542"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41" Type="http://schemas.openxmlformats.org/officeDocument/2006/relationships/hyperlink" Target="http://otterly.ai" TargetMode="External"/><Relationship Id="rId540" Type="http://schemas.openxmlformats.org/officeDocument/2006/relationships/hyperlink" Target="https://otterly.ai/" TargetMode="External"/><Relationship Id="rId53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35" Type="http://schemas.openxmlformats.org/officeDocument/2006/relationships/hyperlink" Target="http://otterly.ai" TargetMode="External"/><Relationship Id="rId534" Type="http://schemas.openxmlformats.org/officeDocument/2006/relationships/hyperlink" Target="https://otterly.ai/" TargetMode="External"/><Relationship Id="rId53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3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38" Type="http://schemas.openxmlformats.org/officeDocument/2006/relationships/hyperlink" Target="http://otterly.ai" TargetMode="External"/><Relationship Id="rId537" Type="http://schemas.openxmlformats.org/officeDocument/2006/relationships/hyperlink" Target="https://otterly.ai/geo-guide/?utm_campaign=facebookads" TargetMode="External"/><Relationship Id="rId532" Type="http://schemas.openxmlformats.org/officeDocument/2006/relationships/hyperlink" Target="http://otterly.ai" TargetMode="External"/><Relationship Id="rId531" Type="http://schemas.openxmlformats.org/officeDocument/2006/relationships/hyperlink" Target="https://otterly.ai/" TargetMode="External"/><Relationship Id="rId53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69"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68" Type="http://schemas.openxmlformats.org/officeDocument/2006/relationships/hyperlink" Target="http://otterly.ai" TargetMode="External"/><Relationship Id="rId567" Type="http://schemas.openxmlformats.org/officeDocument/2006/relationships/hyperlink" Target="https://otterly.ai/" TargetMode="External"/><Relationship Id="rId566"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61" Type="http://schemas.openxmlformats.org/officeDocument/2006/relationships/hyperlink" Target="https://otterly.ai/" TargetMode="External"/><Relationship Id="rId560"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65" Type="http://schemas.openxmlformats.org/officeDocument/2006/relationships/hyperlink" Target="http://otterly.ai" TargetMode="External"/><Relationship Id="rId564" Type="http://schemas.openxmlformats.org/officeDocument/2006/relationships/hyperlink" Target="https://otterly.ai/" TargetMode="External"/><Relationship Id="rId563"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62" Type="http://schemas.openxmlformats.org/officeDocument/2006/relationships/hyperlink" Target="http://otterly.ai" TargetMode="External"/><Relationship Id="rId558" Type="http://schemas.openxmlformats.org/officeDocument/2006/relationships/hyperlink" Target="https://otterly.ai/" TargetMode="External"/><Relationship Id="rId55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56" Type="http://schemas.openxmlformats.org/officeDocument/2006/relationships/hyperlink" Target="http://otterly.ai" TargetMode="External"/><Relationship Id="rId555" Type="http://schemas.openxmlformats.org/officeDocument/2006/relationships/hyperlink" Target="https://otterly.ai/" TargetMode="External"/><Relationship Id="rId559" Type="http://schemas.openxmlformats.org/officeDocument/2006/relationships/hyperlink" Target="http://otterly.ai" TargetMode="External"/><Relationship Id="rId550" Type="http://schemas.openxmlformats.org/officeDocument/2006/relationships/hyperlink" Target="http://otterly.ai" TargetMode="External"/><Relationship Id="rId55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553" Type="http://schemas.openxmlformats.org/officeDocument/2006/relationships/hyperlink" Target="http://otterly.ai" TargetMode="External"/><Relationship Id="rId552" Type="http://schemas.openxmlformats.org/officeDocument/2006/relationships/hyperlink" Target="https://otterly.ai/" TargetMode="External"/><Relationship Id="rId55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495" Type="http://schemas.openxmlformats.org/officeDocument/2006/relationships/hyperlink" Target="https://otterly.ai/" TargetMode="External"/><Relationship Id="rId494"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493" Type="http://schemas.openxmlformats.org/officeDocument/2006/relationships/hyperlink" Target="http://otterly.ai" TargetMode="External"/><Relationship Id="rId492" Type="http://schemas.openxmlformats.org/officeDocument/2006/relationships/hyperlink" Target="https://otterly.ai/" TargetMode="External"/><Relationship Id="rId499" Type="http://schemas.openxmlformats.org/officeDocument/2006/relationships/hyperlink" Target="http://otterly.ai" TargetMode="External"/><Relationship Id="rId498" Type="http://schemas.openxmlformats.org/officeDocument/2006/relationships/hyperlink" Target="https://otterly.ai/geo-guide/?utm_campaign=facebookads" TargetMode="External"/><Relationship Id="rId497"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496" Type="http://schemas.openxmlformats.org/officeDocument/2006/relationships/hyperlink" Target="http://otterly.ai" TargetMode="External"/><Relationship Id="rId409" Type="http://schemas.openxmlformats.org/officeDocument/2006/relationships/hyperlink" Target="https://www.semrush.com/lp/semrush-one/en/" TargetMode="External"/><Relationship Id="rId40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03" Type="http://schemas.openxmlformats.org/officeDocument/2006/relationships/hyperlink" Target="http://spotlightconf.com/" TargetMode="External"/><Relationship Id="rId40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01" Type="http://schemas.openxmlformats.org/officeDocument/2006/relationships/hyperlink" Target="https://www.semrush.com/lp/semrush-one/en/" TargetMode="External"/><Relationship Id="rId40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07" Type="http://schemas.openxmlformats.org/officeDocument/2006/relationships/hyperlink" Target="https://www.semrush.com/lp/website-audit-1/en/" TargetMode="External"/><Relationship Id="rId40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05" Type="http://schemas.openxmlformats.org/officeDocument/2006/relationships/hyperlink" Target="http://spotlightconf.com/" TargetMode="External"/><Relationship Id="rId40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9" Type="http://schemas.openxmlformats.org/officeDocument/2006/relationships/hyperlink" Target="https://www.semrush.com/lp/ai-toolkit/" TargetMode="External"/><Relationship Id="rId46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7" Type="http://schemas.openxmlformats.org/officeDocument/2006/relationships/hyperlink" Target="https://www.semrush.com/lp/semrush-one/en/" TargetMode="External"/><Relationship Id="rId46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1" Type="http://schemas.openxmlformats.org/officeDocument/2006/relationships/hyperlink" Target="https://www.semrush.com/lp/product-free-trial/" TargetMode="External"/><Relationship Id="rId46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5" Type="http://schemas.openxmlformats.org/officeDocument/2006/relationships/hyperlink" Target="https://www.semrush.com/" TargetMode="External"/><Relationship Id="rId46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63" Type="http://schemas.openxmlformats.org/officeDocument/2006/relationships/hyperlink" Target="https://www.semrush.com/lp/ai-toolkit/" TargetMode="External"/><Relationship Id="rId459" Type="http://schemas.openxmlformats.org/officeDocument/2006/relationships/hyperlink" Target="http://ww.semrush.com/lp/semrush-one/en/" TargetMode="External"/><Relationship Id="rId45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57" Type="http://schemas.openxmlformats.org/officeDocument/2006/relationships/hyperlink" Target="https://www.semrush.com/lp/traffic-analytics-7-new/en/" TargetMode="External"/><Relationship Id="rId45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51" Type="http://schemas.openxmlformats.org/officeDocument/2006/relationships/hyperlink" Target="https://www.semrush.com/lp/semrush-one/en/" TargetMode="External"/><Relationship Id="rId45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55" Type="http://schemas.openxmlformats.org/officeDocument/2006/relationships/hyperlink" Target="https://www.semrush.com/lp/product-keyword-magic-tool-7/en/" TargetMode="External"/><Relationship Id="rId45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53" Type="http://schemas.openxmlformats.org/officeDocument/2006/relationships/hyperlink" Target="https://www.semrush.com/lp/semrush-one/en/" TargetMode="External"/><Relationship Id="rId45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91" Type="http://schemas.openxmlformats.org/officeDocument/2006/relationships/hyperlink" Target="https://www.facebook.com/ads/library/?active_status=all&amp;ad_type=all&amp;country=ALL&amp;is_targeted_country=false&amp;media_type=all&amp;search_type=page&amp;sort_data%5Bdirection%5D=desc&amp;sort_data%5Bmode%5D=total_impressions&amp;view_all_page_id=506263759226274" TargetMode="External"/><Relationship Id="rId490" Type="http://schemas.openxmlformats.org/officeDocument/2006/relationships/hyperlink" Target="http://otterly.ai" TargetMode="External"/><Relationship Id="rId489" Type="http://schemas.openxmlformats.org/officeDocument/2006/relationships/hyperlink" Target="https://otterly.ai/geo-guide/" TargetMode="External"/><Relationship Id="rId48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83" Type="http://schemas.openxmlformats.org/officeDocument/2006/relationships/hyperlink" Target="http://spotlightconf.com/" TargetMode="External"/><Relationship Id="rId48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81" Type="http://schemas.openxmlformats.org/officeDocument/2006/relationships/hyperlink" Target="https://www.semrush.com/" TargetMode="External"/><Relationship Id="rId48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87" Type="http://schemas.openxmlformats.org/officeDocument/2006/relationships/hyperlink" Target="https://www.semrush.com/" TargetMode="External"/><Relationship Id="rId48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85" Type="http://schemas.openxmlformats.org/officeDocument/2006/relationships/hyperlink" Target="https://www.semrush.com/" TargetMode="External"/><Relationship Id="rId48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79" Type="http://schemas.openxmlformats.org/officeDocument/2006/relationships/hyperlink" Target="http://www.semrush.com/lp/semrush-one/en/" TargetMode="External"/><Relationship Id="rId47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73" Type="http://schemas.openxmlformats.org/officeDocument/2006/relationships/hyperlink" Target="https://www.semrush.com/lp/semrush-one/en/" TargetMode="External"/><Relationship Id="rId47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71" Type="http://schemas.openxmlformats.org/officeDocument/2006/relationships/hyperlink" Target="https://www.semrush.com/lp/product-seo-challenges/" TargetMode="External"/><Relationship Id="rId47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77" Type="http://schemas.openxmlformats.org/officeDocument/2006/relationships/hyperlink" Target="https://www.semrush.com/lp/ai-toolkit/" TargetMode="External"/><Relationship Id="rId47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75" Type="http://schemas.openxmlformats.org/officeDocument/2006/relationships/hyperlink" Target="http://www.semrush.com/lp/semrush-one/en/" TargetMode="External"/><Relationship Id="rId47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2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25" Type="http://schemas.openxmlformats.org/officeDocument/2006/relationships/hyperlink" Target="http://spotlightconf.com/" TargetMode="External"/><Relationship Id="rId42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23" Type="http://schemas.openxmlformats.org/officeDocument/2006/relationships/hyperlink" Target="https://www.semrush.com/lp/website-audit-1/en/" TargetMode="External"/><Relationship Id="rId429" Type="http://schemas.openxmlformats.org/officeDocument/2006/relationships/hyperlink" Target="https://www.semrush.com/lp/website-audit-1/en/" TargetMode="External"/><Relationship Id="rId42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27" Type="http://schemas.openxmlformats.org/officeDocument/2006/relationships/hyperlink" Target="https://www.semrush.com/" TargetMode="External"/><Relationship Id="rId42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21" Type="http://schemas.openxmlformats.org/officeDocument/2006/relationships/hyperlink" Target="http://spotlightconf.com/" TargetMode="External"/><Relationship Id="rId42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15" Type="http://schemas.openxmlformats.org/officeDocument/2006/relationships/hyperlink" Target="https://www.semrush.com/lp/semrush-one/en/" TargetMode="External"/><Relationship Id="rId41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13" Type="http://schemas.openxmlformats.org/officeDocument/2006/relationships/hyperlink" Target="https://www.semrush.com/" TargetMode="External"/><Relationship Id="rId41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19" Type="http://schemas.openxmlformats.org/officeDocument/2006/relationships/hyperlink" Target="http://www.semrush.com/lp/semrush-one/en/" TargetMode="External"/><Relationship Id="rId41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17" Type="http://schemas.openxmlformats.org/officeDocument/2006/relationships/hyperlink" Target="https://www.semrush.com/lp/website-audit-1/en/" TargetMode="External"/><Relationship Id="rId41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11" Type="http://schemas.openxmlformats.org/officeDocument/2006/relationships/hyperlink" Target="https://www.semrush.com/" TargetMode="External"/><Relationship Id="rId41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7" Type="http://schemas.openxmlformats.org/officeDocument/2006/relationships/hyperlink" Target="https://www.semrush.com/lp/position-tracking-new/en/" TargetMode="External"/><Relationship Id="rId44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5" Type="http://schemas.openxmlformats.org/officeDocument/2006/relationships/hyperlink" Target="https://www.semrush.com/lp/semrush-one/en/" TargetMode="External"/><Relationship Id="rId449" Type="http://schemas.openxmlformats.org/officeDocument/2006/relationships/hyperlink" Target="https://www.semrush.com/lp/product-keyword-magic-tool-7/en/" TargetMode="External"/><Relationship Id="rId44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3" Type="http://schemas.openxmlformats.org/officeDocument/2006/relationships/hyperlink" Target="https://www.semrush.com/" TargetMode="External"/><Relationship Id="rId44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41" Type="http://schemas.openxmlformats.org/officeDocument/2006/relationships/hyperlink" Target="https://www.semrush.com/lp/product-free-trial/" TargetMode="External"/><Relationship Id="rId437" Type="http://schemas.openxmlformats.org/officeDocument/2006/relationships/hyperlink" Target="https://www.semrush.com/lp/product-competitive-research-new/en/" TargetMode="External"/><Relationship Id="rId436"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35" Type="http://schemas.openxmlformats.org/officeDocument/2006/relationships/hyperlink" Target="http://www.semrush.com/lp/semrush-one/en/" TargetMode="External"/><Relationship Id="rId434"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39" Type="http://schemas.openxmlformats.org/officeDocument/2006/relationships/hyperlink" Target="https://www.semrush.com/lp/semrush-one/en/" TargetMode="External"/><Relationship Id="rId438"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33" Type="http://schemas.openxmlformats.org/officeDocument/2006/relationships/hyperlink" Target="https://www.semrush.com/lp/traffic-analytics-7-new/en/" TargetMode="External"/><Relationship Id="rId432"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 Id="rId431" Type="http://schemas.openxmlformats.org/officeDocument/2006/relationships/hyperlink" Target="https://www.semrush.com/lp/ai-toolkit/en/" TargetMode="External"/><Relationship Id="rId430" Type="http://schemas.openxmlformats.org/officeDocument/2006/relationships/hyperlink" Target="https://www.facebook.com/ads/library/?active_status=active&amp;ad_type=all&amp;country=ALL&amp;is_targeted_country=false&amp;media_type=all&amp;search_type=page&amp;sort_data%5Bdirection%5D=desc&amp;sort_data%5Bmode%5D=total_impressions&amp;view_all_page_id=15730775429928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18.75"/>
    <col customWidth="1" min="5" max="5" width="39.13"/>
    <col customWidth="1" min="6" max="6" width="16.63"/>
  </cols>
  <sheetData>
    <row r="1">
      <c r="A1" s="1" t="s">
        <v>0</v>
      </c>
      <c r="B1" s="1" t="s">
        <v>3</v>
      </c>
      <c r="C1" s="1" t="s">
        <v>6</v>
      </c>
      <c r="D1" s="1" t="s">
        <v>12</v>
      </c>
      <c r="E1" s="1" t="s">
        <v>11</v>
      </c>
      <c r="F1" s="3" t="s">
        <v>18</v>
      </c>
      <c r="G1" s="2"/>
      <c r="H1" s="2"/>
      <c r="I1" s="2"/>
      <c r="J1" s="2"/>
      <c r="K1" s="2"/>
      <c r="L1" s="2"/>
      <c r="M1" s="2"/>
      <c r="N1" s="2"/>
      <c r="O1" s="2"/>
      <c r="P1" s="2"/>
      <c r="Q1" s="2"/>
      <c r="R1" s="2"/>
      <c r="S1" s="2"/>
      <c r="T1" s="2"/>
      <c r="U1" s="2"/>
      <c r="V1" s="2"/>
      <c r="W1" s="2"/>
      <c r="X1" s="2"/>
      <c r="Y1" s="2"/>
      <c r="Z1" s="2"/>
    </row>
    <row r="2">
      <c r="A2" s="4">
        <v>1.0</v>
      </c>
      <c r="B2" s="4" t="s">
        <v>44</v>
      </c>
      <c r="C2" s="6" t="s">
        <v>45</v>
      </c>
      <c r="D2" s="4" t="s">
        <v>65</v>
      </c>
      <c r="E2" s="4" t="s">
        <v>66</v>
      </c>
      <c r="F2" s="9" t="s">
        <v>67</v>
      </c>
    </row>
    <row r="3">
      <c r="A3" s="4">
        <v>2.0</v>
      </c>
      <c r="B3" s="4" t="s">
        <v>86</v>
      </c>
      <c r="C3" s="7" t="s">
        <v>87</v>
      </c>
      <c r="D3" s="4" t="s">
        <v>65</v>
      </c>
      <c r="E3" s="4" t="s">
        <v>103</v>
      </c>
      <c r="F3" s="9" t="s">
        <v>104</v>
      </c>
    </row>
    <row r="4">
      <c r="A4" s="4">
        <v>3.0</v>
      </c>
      <c r="B4" s="4" t="s">
        <v>118</v>
      </c>
      <c r="C4" s="7" t="s">
        <v>47</v>
      </c>
      <c r="D4" s="4" t="s">
        <v>65</v>
      </c>
      <c r="E4" s="4" t="s">
        <v>134</v>
      </c>
      <c r="F4" s="9" t="s">
        <v>104</v>
      </c>
    </row>
    <row r="5">
      <c r="A5" s="4">
        <v>4.0</v>
      </c>
      <c r="B5" s="4" t="s">
        <v>136</v>
      </c>
      <c r="C5" s="7" t="s">
        <v>137</v>
      </c>
      <c r="D5" s="4" t="s">
        <v>65</v>
      </c>
      <c r="E5" s="4" t="s">
        <v>146</v>
      </c>
      <c r="F5" s="9" t="s">
        <v>104</v>
      </c>
    </row>
    <row r="6">
      <c r="A6" s="4">
        <v>5.0</v>
      </c>
      <c r="B6" s="4" t="s">
        <v>153</v>
      </c>
      <c r="C6" s="7" t="s">
        <v>45</v>
      </c>
      <c r="D6" s="4" t="s">
        <v>65</v>
      </c>
      <c r="E6" s="4" t="s">
        <v>154</v>
      </c>
      <c r="F6" s="9" t="s">
        <v>104</v>
      </c>
    </row>
    <row r="7">
      <c r="A7" s="4">
        <v>6.0</v>
      </c>
      <c r="B7" s="4" t="s">
        <v>155</v>
      </c>
      <c r="C7" s="7" t="s">
        <v>45</v>
      </c>
      <c r="D7" s="4" t="s">
        <v>65</v>
      </c>
      <c r="E7" s="4" t="s">
        <v>157</v>
      </c>
      <c r="F7" s="9" t="s">
        <v>104</v>
      </c>
    </row>
    <row r="8">
      <c r="A8" s="4">
        <v>7.0</v>
      </c>
      <c r="B8" s="4" t="s">
        <v>161</v>
      </c>
      <c r="C8" s="7" t="s">
        <v>45</v>
      </c>
      <c r="D8" s="4" t="s">
        <v>65</v>
      </c>
      <c r="E8" s="4" t="s">
        <v>163</v>
      </c>
      <c r="F8" s="9" t="s">
        <v>104</v>
      </c>
    </row>
    <row r="9">
      <c r="A9" s="4">
        <v>8.0</v>
      </c>
      <c r="B9" s="4" t="s">
        <v>167</v>
      </c>
      <c r="C9" s="7" t="s">
        <v>168</v>
      </c>
      <c r="D9" s="4" t="s">
        <v>65</v>
      </c>
      <c r="E9" s="4" t="s">
        <v>175</v>
      </c>
      <c r="F9" s="9" t="s">
        <v>104</v>
      </c>
    </row>
    <row r="10">
      <c r="A10" s="4">
        <v>9.0</v>
      </c>
      <c r="B10" s="4" t="s">
        <v>44</v>
      </c>
      <c r="C10" s="7" t="s">
        <v>45</v>
      </c>
      <c r="D10" s="4" t="s">
        <v>65</v>
      </c>
      <c r="E10" s="4" t="s">
        <v>182</v>
      </c>
      <c r="F10" s="9" t="s">
        <v>184</v>
      </c>
    </row>
    <row r="11">
      <c r="A11" s="4">
        <v>10.0</v>
      </c>
      <c r="B11" s="4" t="s">
        <v>44</v>
      </c>
      <c r="C11" s="7" t="s">
        <v>45</v>
      </c>
      <c r="D11" s="4" t="s">
        <v>65</v>
      </c>
      <c r="E11" s="4" t="s">
        <v>197</v>
      </c>
      <c r="F11" s="9" t="s">
        <v>199</v>
      </c>
    </row>
    <row r="12">
      <c r="A12" s="4">
        <v>11.0</v>
      </c>
      <c r="B12" s="4" t="s">
        <v>217</v>
      </c>
      <c r="C12" s="7" t="s">
        <v>45</v>
      </c>
      <c r="D12" s="4" t="s">
        <v>65</v>
      </c>
      <c r="E12" s="4" t="s">
        <v>220</v>
      </c>
      <c r="F12" s="9" t="s">
        <v>221</v>
      </c>
    </row>
    <row r="13">
      <c r="A13" s="4">
        <v>12.0</v>
      </c>
      <c r="B13" s="4" t="s">
        <v>127</v>
      </c>
      <c r="C13" s="7" t="s">
        <v>45</v>
      </c>
      <c r="D13" s="4" t="s">
        <v>65</v>
      </c>
      <c r="E13" s="4" t="s">
        <v>254</v>
      </c>
      <c r="F13" s="9" t="s">
        <v>256</v>
      </c>
    </row>
    <row r="14">
      <c r="A14" s="4">
        <v>13.0</v>
      </c>
      <c r="B14" s="4" t="s">
        <v>136</v>
      </c>
      <c r="C14" s="7" t="s">
        <v>137</v>
      </c>
      <c r="D14" s="4" t="s">
        <v>65</v>
      </c>
      <c r="E14" s="4" t="s">
        <v>278</v>
      </c>
      <c r="F14" s="9" t="s">
        <v>281</v>
      </c>
    </row>
    <row r="15">
      <c r="A15" s="4">
        <v>14.0</v>
      </c>
      <c r="B15" s="4" t="s">
        <v>44</v>
      </c>
      <c r="C15" s="7" t="s">
        <v>45</v>
      </c>
      <c r="D15" s="4" t="s">
        <v>65</v>
      </c>
      <c r="E15" s="4" t="s">
        <v>197</v>
      </c>
      <c r="F15" s="9" t="s">
        <v>295</v>
      </c>
    </row>
    <row r="16">
      <c r="A16" s="4">
        <v>15.0</v>
      </c>
      <c r="B16" s="4" t="s">
        <v>44</v>
      </c>
      <c r="C16" s="7" t="s">
        <v>45</v>
      </c>
      <c r="D16" s="4" t="s">
        <v>65</v>
      </c>
      <c r="E16" s="4" t="s">
        <v>197</v>
      </c>
      <c r="F16" s="9" t="s">
        <v>308</v>
      </c>
    </row>
    <row r="17">
      <c r="A17" s="4">
        <v>16.0</v>
      </c>
      <c r="B17" s="4" t="s">
        <v>44</v>
      </c>
      <c r="C17" s="7" t="s">
        <v>45</v>
      </c>
      <c r="D17" s="4" t="s">
        <v>65</v>
      </c>
      <c r="E17" s="4" t="s">
        <v>197</v>
      </c>
      <c r="F17" s="9" t="s">
        <v>320</v>
      </c>
    </row>
    <row r="18">
      <c r="A18" s="4">
        <v>17.0</v>
      </c>
      <c r="B18" s="4" t="s">
        <v>331</v>
      </c>
      <c r="C18" s="7" t="s">
        <v>45</v>
      </c>
      <c r="D18" s="4" t="s">
        <v>65</v>
      </c>
      <c r="E18" s="4" t="s">
        <v>333</v>
      </c>
      <c r="F18" s="9" t="s">
        <v>334</v>
      </c>
    </row>
    <row r="19">
      <c r="A19" s="4">
        <v>18.0</v>
      </c>
      <c r="B19" s="4" t="s">
        <v>127</v>
      </c>
      <c r="C19" s="7" t="s">
        <v>45</v>
      </c>
      <c r="D19" s="4" t="s">
        <v>65</v>
      </c>
      <c r="E19" s="4" t="s">
        <v>348</v>
      </c>
      <c r="F19" s="9" t="s">
        <v>349</v>
      </c>
    </row>
    <row r="20">
      <c r="A20" s="4">
        <v>19.0</v>
      </c>
      <c r="B20" s="4" t="s">
        <v>44</v>
      </c>
      <c r="C20" s="7" t="s">
        <v>45</v>
      </c>
      <c r="D20" s="4" t="s">
        <v>65</v>
      </c>
      <c r="E20" s="4" t="s">
        <v>197</v>
      </c>
      <c r="F20" s="9" t="s">
        <v>361</v>
      </c>
    </row>
    <row r="21">
      <c r="A21" s="4">
        <v>20.0</v>
      </c>
      <c r="B21" s="4" t="s">
        <v>44</v>
      </c>
      <c r="C21" s="7" t="s">
        <v>45</v>
      </c>
      <c r="D21" s="4" t="s">
        <v>65</v>
      </c>
      <c r="E21" s="4" t="s">
        <v>197</v>
      </c>
      <c r="F21" s="9" t="s">
        <v>373</v>
      </c>
    </row>
    <row r="22">
      <c r="A22" s="4">
        <v>21.0</v>
      </c>
      <c r="B22" s="4" t="s">
        <v>217</v>
      </c>
      <c r="C22" s="7" t="s">
        <v>45</v>
      </c>
      <c r="D22" s="4" t="s">
        <v>65</v>
      </c>
      <c r="E22" s="4" t="s">
        <v>220</v>
      </c>
      <c r="F22" s="9" t="s">
        <v>381</v>
      </c>
    </row>
    <row r="23">
      <c r="A23" s="4">
        <v>22.0</v>
      </c>
      <c r="B23" s="4" t="s">
        <v>44</v>
      </c>
      <c r="C23" s="7" t="s">
        <v>45</v>
      </c>
      <c r="D23" s="4" t="s">
        <v>65</v>
      </c>
      <c r="E23" s="4" t="s">
        <v>197</v>
      </c>
      <c r="F23" s="9" t="s">
        <v>388</v>
      </c>
    </row>
    <row r="24">
      <c r="A24" s="4">
        <v>23.0</v>
      </c>
      <c r="B24" s="4" t="s">
        <v>44</v>
      </c>
      <c r="C24" s="7" t="s">
        <v>45</v>
      </c>
      <c r="D24" s="4" t="s">
        <v>65</v>
      </c>
      <c r="E24" s="4" t="s">
        <v>197</v>
      </c>
      <c r="F24" s="9" t="s">
        <v>396</v>
      </c>
    </row>
    <row r="25">
      <c r="A25" s="4">
        <v>24.0</v>
      </c>
      <c r="B25" s="4" t="s">
        <v>409</v>
      </c>
      <c r="C25" s="7" t="s">
        <v>45</v>
      </c>
      <c r="D25" s="4" t="s">
        <v>65</v>
      </c>
      <c r="E25" s="4" t="s">
        <v>410</v>
      </c>
      <c r="F25" s="9" t="s">
        <v>411</v>
      </c>
    </row>
    <row r="26">
      <c r="A26" s="4">
        <v>25.0</v>
      </c>
      <c r="B26" s="4" t="s">
        <v>118</v>
      </c>
      <c r="C26" s="7" t="s">
        <v>47</v>
      </c>
      <c r="D26" s="4" t="s">
        <v>65</v>
      </c>
      <c r="E26" s="4" t="s">
        <v>420</v>
      </c>
      <c r="F26" s="9" t="s">
        <v>421</v>
      </c>
    </row>
    <row r="27">
      <c r="A27" s="4">
        <v>26.0</v>
      </c>
      <c r="B27" s="4" t="s">
        <v>409</v>
      </c>
      <c r="C27" s="7" t="s">
        <v>45</v>
      </c>
      <c r="D27" s="4" t="s">
        <v>65</v>
      </c>
      <c r="E27" s="4" t="s">
        <v>433</v>
      </c>
      <c r="F27" s="9" t="s">
        <v>434</v>
      </c>
    </row>
    <row r="28">
      <c r="A28" s="4">
        <v>27.0</v>
      </c>
      <c r="B28" s="4" t="s">
        <v>118</v>
      </c>
      <c r="C28" s="7" t="s">
        <v>47</v>
      </c>
      <c r="D28" s="4" t="s">
        <v>65</v>
      </c>
      <c r="E28" s="4" t="s">
        <v>420</v>
      </c>
      <c r="F28" s="9" t="s">
        <v>443</v>
      </c>
    </row>
    <row r="29">
      <c r="A29" s="4">
        <v>28.0</v>
      </c>
      <c r="B29" s="4" t="s">
        <v>44</v>
      </c>
      <c r="C29" s="7" t="s">
        <v>45</v>
      </c>
      <c r="D29" s="4" t="s">
        <v>65</v>
      </c>
      <c r="E29" s="4" t="s">
        <v>197</v>
      </c>
      <c r="F29" s="9" t="s">
        <v>453</v>
      </c>
    </row>
    <row r="30">
      <c r="A30" s="4">
        <v>29.0</v>
      </c>
      <c r="B30" s="4" t="s">
        <v>44</v>
      </c>
      <c r="C30" s="7" t="s">
        <v>45</v>
      </c>
      <c r="D30" s="4" t="s">
        <v>65</v>
      </c>
      <c r="E30" s="4" t="s">
        <v>197</v>
      </c>
      <c r="F30" s="9" t="s">
        <v>467</v>
      </c>
    </row>
    <row r="31">
      <c r="A31" s="4">
        <v>30.0</v>
      </c>
      <c r="B31" s="4" t="s">
        <v>118</v>
      </c>
      <c r="C31" s="7" t="s">
        <v>47</v>
      </c>
      <c r="D31" s="4" t="s">
        <v>65</v>
      </c>
      <c r="E31" s="4" t="s">
        <v>420</v>
      </c>
      <c r="F31" s="9" t="s">
        <v>476</v>
      </c>
    </row>
    <row r="32">
      <c r="A32" s="4">
        <v>31.0</v>
      </c>
      <c r="B32" s="4" t="s">
        <v>44</v>
      </c>
      <c r="C32" s="7" t="s">
        <v>45</v>
      </c>
      <c r="D32" s="4" t="s">
        <v>65</v>
      </c>
      <c r="E32" s="4" t="s">
        <v>197</v>
      </c>
      <c r="F32" s="9" t="s">
        <v>492</v>
      </c>
    </row>
    <row r="33">
      <c r="A33" s="4">
        <v>32.0</v>
      </c>
      <c r="B33" s="4" t="s">
        <v>44</v>
      </c>
      <c r="C33" s="7" t="s">
        <v>45</v>
      </c>
      <c r="D33" s="4" t="s">
        <v>65</v>
      </c>
      <c r="E33" s="4" t="s">
        <v>197</v>
      </c>
      <c r="F33" s="9" t="s">
        <v>517</v>
      </c>
    </row>
    <row r="34">
      <c r="A34" s="4">
        <v>33.0</v>
      </c>
      <c r="B34" s="4" t="s">
        <v>44</v>
      </c>
      <c r="C34" s="7" t="s">
        <v>45</v>
      </c>
      <c r="D34" s="4" t="s">
        <v>65</v>
      </c>
      <c r="E34" s="4" t="s">
        <v>197</v>
      </c>
      <c r="F34" s="9" t="s">
        <v>531</v>
      </c>
    </row>
    <row r="35">
      <c r="A35" s="4">
        <v>34.0</v>
      </c>
      <c r="B35" s="4" t="s">
        <v>409</v>
      </c>
      <c r="C35" s="7" t="s">
        <v>45</v>
      </c>
      <c r="D35" s="4" t="s">
        <v>65</v>
      </c>
      <c r="E35" s="4" t="s">
        <v>410</v>
      </c>
      <c r="F35" s="9" t="s">
        <v>545</v>
      </c>
    </row>
    <row r="36">
      <c r="A36" s="4">
        <v>35.0</v>
      </c>
      <c r="B36" s="4" t="s">
        <v>44</v>
      </c>
      <c r="C36" s="7" t="s">
        <v>45</v>
      </c>
      <c r="D36" s="4" t="s">
        <v>65</v>
      </c>
      <c r="E36" s="4" t="s">
        <v>197</v>
      </c>
      <c r="F36" s="9" t="s">
        <v>559</v>
      </c>
    </row>
    <row r="37">
      <c r="A37" s="4">
        <v>36.0</v>
      </c>
      <c r="B37" s="4" t="s">
        <v>44</v>
      </c>
      <c r="C37" s="7" t="s">
        <v>45</v>
      </c>
      <c r="D37" s="4" t="s">
        <v>65</v>
      </c>
      <c r="E37" s="4" t="s">
        <v>197</v>
      </c>
      <c r="F37" s="9" t="s">
        <v>572</v>
      </c>
    </row>
    <row r="38">
      <c r="A38" s="4">
        <v>37.0</v>
      </c>
      <c r="B38" s="4" t="s">
        <v>44</v>
      </c>
      <c r="C38" s="7" t="s">
        <v>45</v>
      </c>
      <c r="D38" s="4" t="s">
        <v>65</v>
      </c>
      <c r="E38" s="4" t="s">
        <v>197</v>
      </c>
      <c r="F38" s="9" t="s">
        <v>583</v>
      </c>
    </row>
    <row r="39">
      <c r="A39" s="4">
        <v>38.0</v>
      </c>
      <c r="B39" s="4" t="s">
        <v>155</v>
      </c>
      <c r="C39" s="7" t="s">
        <v>45</v>
      </c>
      <c r="D39" s="4" t="s">
        <v>65</v>
      </c>
      <c r="E39" s="4" t="s">
        <v>595</v>
      </c>
      <c r="F39" s="9" t="s">
        <v>597</v>
      </c>
    </row>
    <row r="40">
      <c r="A40" s="4">
        <v>39.0</v>
      </c>
      <c r="B40" s="4" t="s">
        <v>44</v>
      </c>
      <c r="C40" s="7" t="s">
        <v>45</v>
      </c>
      <c r="D40" s="4" t="s">
        <v>65</v>
      </c>
      <c r="E40" s="4" t="s">
        <v>618</v>
      </c>
      <c r="F40" s="9" t="s">
        <v>619</v>
      </c>
    </row>
    <row r="41">
      <c r="A41" s="4">
        <v>40.0</v>
      </c>
      <c r="B41" s="4" t="s">
        <v>44</v>
      </c>
      <c r="C41" s="7" t="s">
        <v>45</v>
      </c>
      <c r="D41" s="4" t="s">
        <v>65</v>
      </c>
      <c r="E41" s="4" t="s">
        <v>197</v>
      </c>
      <c r="F41" s="9" t="s">
        <v>631</v>
      </c>
    </row>
    <row r="42">
      <c r="A42" s="4">
        <v>41.0</v>
      </c>
      <c r="B42" s="4" t="s">
        <v>44</v>
      </c>
      <c r="C42" s="7" t="s">
        <v>45</v>
      </c>
      <c r="D42" s="4" t="s">
        <v>65</v>
      </c>
      <c r="E42" s="4" t="s">
        <v>197</v>
      </c>
      <c r="F42" s="9" t="s">
        <v>650</v>
      </c>
    </row>
    <row r="43">
      <c r="A43" s="4">
        <v>42.0</v>
      </c>
      <c r="B43" s="4" t="s">
        <v>127</v>
      </c>
      <c r="C43" s="7" t="s">
        <v>45</v>
      </c>
      <c r="D43" s="4" t="s">
        <v>65</v>
      </c>
      <c r="E43" s="4" t="s">
        <v>254</v>
      </c>
      <c r="F43" s="9" t="s">
        <v>680</v>
      </c>
    </row>
    <row r="44">
      <c r="A44" s="4">
        <v>43.0</v>
      </c>
      <c r="B44" s="4" t="s">
        <v>44</v>
      </c>
      <c r="C44" s="7" t="s">
        <v>45</v>
      </c>
      <c r="D44" s="4" t="s">
        <v>65</v>
      </c>
      <c r="E44" s="4" t="s">
        <v>197</v>
      </c>
      <c r="F44" s="9" t="s">
        <v>700</v>
      </c>
    </row>
    <row r="45">
      <c r="A45" s="4">
        <v>44.0</v>
      </c>
      <c r="B45" s="4" t="s">
        <v>409</v>
      </c>
      <c r="C45" s="7" t="s">
        <v>45</v>
      </c>
      <c r="D45" s="4" t="s">
        <v>65</v>
      </c>
      <c r="E45" s="4" t="s">
        <v>410</v>
      </c>
      <c r="F45" s="9" t="s">
        <v>715</v>
      </c>
    </row>
    <row r="46">
      <c r="A46" s="4">
        <v>45.0</v>
      </c>
      <c r="B46" s="4" t="s">
        <v>217</v>
      </c>
      <c r="C46" s="7" t="s">
        <v>45</v>
      </c>
      <c r="D46" s="4" t="s">
        <v>65</v>
      </c>
      <c r="E46" s="4" t="s">
        <v>735</v>
      </c>
      <c r="F46" s="9" t="s">
        <v>737</v>
      </c>
    </row>
    <row r="47">
      <c r="A47" s="4">
        <v>46.0</v>
      </c>
      <c r="B47" s="4" t="s">
        <v>44</v>
      </c>
      <c r="C47" s="7" t="s">
        <v>45</v>
      </c>
      <c r="D47" s="4" t="s">
        <v>65</v>
      </c>
      <c r="E47" s="4" t="s">
        <v>197</v>
      </c>
      <c r="F47" s="9" t="s">
        <v>748</v>
      </c>
    </row>
    <row r="48">
      <c r="A48" s="4">
        <v>47.0</v>
      </c>
      <c r="B48" s="4" t="s">
        <v>44</v>
      </c>
      <c r="C48" s="7" t="s">
        <v>45</v>
      </c>
      <c r="D48" s="4" t="s">
        <v>65</v>
      </c>
      <c r="E48" s="4" t="s">
        <v>765</v>
      </c>
      <c r="F48" s="9" t="s">
        <v>766</v>
      </c>
    </row>
    <row r="49">
      <c r="A49" s="4">
        <v>48.0</v>
      </c>
      <c r="B49" s="4" t="s">
        <v>44</v>
      </c>
      <c r="C49" s="7" t="s">
        <v>45</v>
      </c>
      <c r="D49" s="4" t="s">
        <v>65</v>
      </c>
      <c r="E49" s="4" t="s">
        <v>197</v>
      </c>
      <c r="F49" s="9" t="s">
        <v>772</v>
      </c>
    </row>
    <row r="50">
      <c r="A50" s="4">
        <v>49.0</v>
      </c>
      <c r="B50" s="4" t="s">
        <v>44</v>
      </c>
      <c r="C50" s="7" t="s">
        <v>45</v>
      </c>
      <c r="D50" s="4" t="s">
        <v>65</v>
      </c>
      <c r="E50" s="4" t="s">
        <v>765</v>
      </c>
      <c r="F50" s="9" t="s">
        <v>787</v>
      </c>
    </row>
    <row r="51">
      <c r="A51" s="4">
        <v>50.0</v>
      </c>
      <c r="B51" s="4" t="s">
        <v>155</v>
      </c>
      <c r="C51" s="7" t="s">
        <v>45</v>
      </c>
      <c r="D51" s="4" t="s">
        <v>65</v>
      </c>
      <c r="E51" s="4" t="s">
        <v>805</v>
      </c>
      <c r="F51" s="9" t="s">
        <v>806</v>
      </c>
    </row>
    <row r="52">
      <c r="A52" s="4">
        <v>51.0</v>
      </c>
      <c r="B52" s="4" t="s">
        <v>86</v>
      </c>
      <c r="C52" s="7" t="s">
        <v>820</v>
      </c>
      <c r="D52" s="4" t="s">
        <v>65</v>
      </c>
      <c r="E52" s="4" t="s">
        <v>831</v>
      </c>
      <c r="F52" s="9" t="s">
        <v>832</v>
      </c>
    </row>
    <row r="53">
      <c r="A53" s="4">
        <v>52.0</v>
      </c>
      <c r="B53" s="4" t="s">
        <v>127</v>
      </c>
      <c r="C53" s="7" t="s">
        <v>45</v>
      </c>
      <c r="D53" s="4" t="s">
        <v>65</v>
      </c>
      <c r="E53" s="4" t="s">
        <v>254</v>
      </c>
      <c r="F53" s="9" t="s">
        <v>844</v>
      </c>
    </row>
    <row r="54">
      <c r="A54" s="4">
        <v>53.0</v>
      </c>
      <c r="B54" s="4" t="s">
        <v>118</v>
      </c>
      <c r="C54" s="7" t="s">
        <v>47</v>
      </c>
      <c r="D54" s="4" t="s">
        <v>65</v>
      </c>
      <c r="E54" s="4" t="s">
        <v>420</v>
      </c>
      <c r="F54" s="9" t="s">
        <v>855</v>
      </c>
    </row>
    <row r="55">
      <c r="A55" s="4">
        <v>54.0</v>
      </c>
      <c r="B55" s="4" t="s">
        <v>409</v>
      </c>
      <c r="C55" s="7" t="s">
        <v>45</v>
      </c>
      <c r="D55" s="4" t="s">
        <v>65</v>
      </c>
      <c r="E55" s="4" t="s">
        <v>410</v>
      </c>
      <c r="F55" s="9" t="s">
        <v>868</v>
      </c>
    </row>
    <row r="56">
      <c r="A56" s="4">
        <v>55.0</v>
      </c>
      <c r="B56" s="4" t="s">
        <v>44</v>
      </c>
      <c r="C56" s="7" t="s">
        <v>45</v>
      </c>
      <c r="D56" s="4" t="s">
        <v>65</v>
      </c>
      <c r="E56" s="4" t="s">
        <v>197</v>
      </c>
      <c r="F56" s="9" t="s">
        <v>884</v>
      </c>
    </row>
    <row r="57">
      <c r="A57" s="4">
        <v>56.0</v>
      </c>
      <c r="B57" s="4" t="s">
        <v>44</v>
      </c>
      <c r="C57" s="7" t="s">
        <v>45</v>
      </c>
      <c r="D57" s="4" t="s">
        <v>65</v>
      </c>
      <c r="E57" s="4" t="s">
        <v>765</v>
      </c>
      <c r="F57" s="9" t="s">
        <v>902</v>
      </c>
    </row>
    <row r="58">
      <c r="A58" s="4">
        <v>57.0</v>
      </c>
      <c r="B58" s="4" t="s">
        <v>44</v>
      </c>
      <c r="C58" s="7" t="s">
        <v>45</v>
      </c>
      <c r="D58" s="4" t="s">
        <v>65</v>
      </c>
      <c r="E58" s="4" t="s">
        <v>197</v>
      </c>
      <c r="F58" s="9" t="s">
        <v>913</v>
      </c>
    </row>
    <row r="59">
      <c r="A59" s="4">
        <v>58.0</v>
      </c>
      <c r="B59" s="4" t="s">
        <v>44</v>
      </c>
      <c r="C59" s="7" t="s">
        <v>45</v>
      </c>
      <c r="D59" s="4" t="s">
        <v>65</v>
      </c>
      <c r="E59" s="4" t="s">
        <v>197</v>
      </c>
      <c r="F59" s="9" t="s">
        <v>924</v>
      </c>
    </row>
    <row r="60">
      <c r="A60" s="4">
        <v>59.0</v>
      </c>
      <c r="B60" s="4" t="s">
        <v>44</v>
      </c>
      <c r="C60" s="7" t="s">
        <v>45</v>
      </c>
      <c r="D60" s="4" t="s">
        <v>65</v>
      </c>
      <c r="E60" s="4" t="s">
        <v>765</v>
      </c>
      <c r="F60" s="9" t="s">
        <v>932</v>
      </c>
    </row>
    <row r="61">
      <c r="A61" s="4">
        <v>60.0</v>
      </c>
      <c r="B61" s="4" t="s">
        <v>155</v>
      </c>
      <c r="C61" s="7" t="s">
        <v>45</v>
      </c>
      <c r="D61" s="4" t="s">
        <v>65</v>
      </c>
      <c r="E61" s="4" t="s">
        <v>805</v>
      </c>
      <c r="F61" s="9" t="s">
        <v>949</v>
      </c>
    </row>
    <row r="62">
      <c r="A62" s="4">
        <v>61.0</v>
      </c>
      <c r="B62" s="4" t="s">
        <v>217</v>
      </c>
      <c r="C62" s="7" t="s">
        <v>45</v>
      </c>
      <c r="D62" s="4" t="s">
        <v>65</v>
      </c>
      <c r="E62" s="4" t="s">
        <v>220</v>
      </c>
      <c r="F62" s="9" t="s">
        <v>958</v>
      </c>
    </row>
    <row r="63">
      <c r="A63" s="4">
        <v>62.0</v>
      </c>
      <c r="B63" s="4" t="s">
        <v>127</v>
      </c>
      <c r="C63" s="7" t="s">
        <v>45</v>
      </c>
      <c r="D63" s="4" t="s">
        <v>65</v>
      </c>
      <c r="E63" s="4" t="s">
        <v>254</v>
      </c>
      <c r="F63" s="9" t="s">
        <v>975</v>
      </c>
    </row>
    <row r="64">
      <c r="A64" s="4">
        <v>63.0</v>
      </c>
      <c r="B64" s="4" t="s">
        <v>136</v>
      </c>
      <c r="C64" s="7" t="s">
        <v>137</v>
      </c>
      <c r="D64" s="4" t="s">
        <v>65</v>
      </c>
      <c r="E64" s="4" t="s">
        <v>278</v>
      </c>
      <c r="F64" s="9" t="s">
        <v>985</v>
      </c>
    </row>
    <row r="65">
      <c r="A65" s="4">
        <v>64.0</v>
      </c>
      <c r="B65" s="4" t="s">
        <v>409</v>
      </c>
      <c r="C65" s="7" t="s">
        <v>45</v>
      </c>
      <c r="D65" s="4" t="s">
        <v>65</v>
      </c>
      <c r="E65" s="4" t="s">
        <v>410</v>
      </c>
      <c r="F65" s="9" t="s">
        <v>999</v>
      </c>
    </row>
    <row r="66">
      <c r="A66" s="4">
        <v>65.0</v>
      </c>
      <c r="B66" s="4" t="s">
        <v>217</v>
      </c>
      <c r="C66" s="7" t="s">
        <v>45</v>
      </c>
      <c r="D66" s="4" t="s">
        <v>65</v>
      </c>
      <c r="E66" s="4" t="s">
        <v>735</v>
      </c>
      <c r="F66" s="9" t="s">
        <v>1015</v>
      </c>
    </row>
    <row r="67">
      <c r="A67" s="4">
        <v>66.0</v>
      </c>
      <c r="B67" s="4" t="s">
        <v>44</v>
      </c>
      <c r="C67" s="7" t="s">
        <v>45</v>
      </c>
      <c r="D67" s="4" t="s">
        <v>65</v>
      </c>
      <c r="E67" s="4" t="s">
        <v>765</v>
      </c>
      <c r="F67" s="9" t="s">
        <v>1026</v>
      </c>
    </row>
    <row r="68">
      <c r="A68" s="4">
        <v>67.0</v>
      </c>
      <c r="B68" s="4" t="s">
        <v>331</v>
      </c>
      <c r="C68" s="7" t="s">
        <v>45</v>
      </c>
      <c r="D68" s="4" t="s">
        <v>65</v>
      </c>
      <c r="E68" s="4" t="s">
        <v>333</v>
      </c>
      <c r="F68" s="9" t="s">
        <v>1043</v>
      </c>
    </row>
    <row r="69">
      <c r="A69" s="4">
        <v>68.0</v>
      </c>
      <c r="B69" s="4" t="s">
        <v>155</v>
      </c>
      <c r="C69" s="7" t="s">
        <v>45</v>
      </c>
      <c r="D69" s="4" t="s">
        <v>65</v>
      </c>
      <c r="E69" s="4" t="s">
        <v>595</v>
      </c>
      <c r="F69" s="9" t="s">
        <v>1058</v>
      </c>
    </row>
    <row r="70">
      <c r="A70" s="4">
        <v>69.0</v>
      </c>
      <c r="B70" s="4" t="s">
        <v>44</v>
      </c>
      <c r="C70" s="7" t="s">
        <v>45</v>
      </c>
      <c r="D70" s="4" t="s">
        <v>65</v>
      </c>
      <c r="E70" s="4" t="s">
        <v>618</v>
      </c>
      <c r="F70" s="9" t="s">
        <v>1073</v>
      </c>
    </row>
    <row r="71">
      <c r="A71" s="4">
        <v>70.0</v>
      </c>
      <c r="B71" s="4" t="s">
        <v>155</v>
      </c>
      <c r="C71" s="7" t="s">
        <v>45</v>
      </c>
      <c r="D71" s="4" t="s">
        <v>65</v>
      </c>
      <c r="E71" s="4" t="s">
        <v>805</v>
      </c>
      <c r="F71" s="9" t="s">
        <v>1088</v>
      </c>
    </row>
    <row r="72">
      <c r="A72" s="4">
        <v>71.0</v>
      </c>
      <c r="B72" s="4" t="s">
        <v>44</v>
      </c>
      <c r="C72" s="7" t="s">
        <v>45</v>
      </c>
      <c r="D72" s="4" t="s">
        <v>65</v>
      </c>
      <c r="E72" s="4" t="s">
        <v>197</v>
      </c>
      <c r="F72" s="9" t="s">
        <v>1106</v>
      </c>
    </row>
    <row r="73">
      <c r="A73" s="4">
        <v>72.0</v>
      </c>
      <c r="B73" s="4" t="s">
        <v>127</v>
      </c>
      <c r="C73" s="7" t="s">
        <v>45</v>
      </c>
      <c r="D73" s="4" t="s">
        <v>65</v>
      </c>
      <c r="E73" s="4" t="s">
        <v>254</v>
      </c>
      <c r="F73" s="9" t="s">
        <v>1121</v>
      </c>
    </row>
    <row r="74">
      <c r="A74" s="4">
        <v>73.0</v>
      </c>
      <c r="B74" s="4" t="s">
        <v>44</v>
      </c>
      <c r="C74" s="7" t="s">
        <v>45</v>
      </c>
      <c r="D74" s="4" t="s">
        <v>65</v>
      </c>
      <c r="E74" s="4" t="s">
        <v>197</v>
      </c>
      <c r="F74" s="9" t="s">
        <v>1141</v>
      </c>
    </row>
    <row r="75">
      <c r="A75" s="4">
        <v>74.0</v>
      </c>
      <c r="B75" s="4" t="s">
        <v>409</v>
      </c>
      <c r="C75" s="7" t="s">
        <v>45</v>
      </c>
      <c r="D75" s="4" t="s">
        <v>65</v>
      </c>
      <c r="E75" s="4" t="s">
        <v>410</v>
      </c>
      <c r="F75" s="9" t="s">
        <v>1160</v>
      </c>
    </row>
    <row r="76">
      <c r="A76" s="4">
        <v>75.0</v>
      </c>
      <c r="B76" s="4" t="s">
        <v>44</v>
      </c>
      <c r="C76" s="7" t="s">
        <v>45</v>
      </c>
      <c r="D76" s="4" t="s">
        <v>65</v>
      </c>
      <c r="E76" s="4" t="s">
        <v>197</v>
      </c>
      <c r="F76" s="9" t="s">
        <v>1181</v>
      </c>
    </row>
    <row r="77">
      <c r="A77" s="4">
        <v>76.0</v>
      </c>
      <c r="B77" s="4" t="s">
        <v>217</v>
      </c>
      <c r="C77" s="7" t="s">
        <v>45</v>
      </c>
      <c r="D77" s="4" t="s">
        <v>65</v>
      </c>
      <c r="E77" s="4" t="s">
        <v>1190</v>
      </c>
      <c r="F77" s="9" t="s">
        <v>1192</v>
      </c>
    </row>
    <row r="78">
      <c r="A78" s="4">
        <v>77.0</v>
      </c>
      <c r="B78" s="4" t="s">
        <v>331</v>
      </c>
      <c r="C78" s="7" t="s">
        <v>45</v>
      </c>
      <c r="D78" s="4" t="s">
        <v>65</v>
      </c>
      <c r="E78" s="4" t="s">
        <v>333</v>
      </c>
      <c r="F78" s="9" t="s">
        <v>1206</v>
      </c>
    </row>
    <row r="79">
      <c r="A79" s="4">
        <v>78.0</v>
      </c>
      <c r="B79" s="4" t="s">
        <v>44</v>
      </c>
      <c r="C79" s="7" t="s">
        <v>45</v>
      </c>
      <c r="D79" s="4" t="s">
        <v>65</v>
      </c>
      <c r="E79" s="4" t="s">
        <v>197</v>
      </c>
      <c r="F79" s="9" t="s">
        <v>1222</v>
      </c>
    </row>
    <row r="80">
      <c r="A80" s="4">
        <v>79.0</v>
      </c>
      <c r="B80" s="4" t="s">
        <v>44</v>
      </c>
      <c r="C80" s="7" t="s">
        <v>45</v>
      </c>
      <c r="D80" s="4" t="s">
        <v>65</v>
      </c>
      <c r="E80" s="4" t="s">
        <v>618</v>
      </c>
      <c r="F80" s="9" t="s">
        <v>1243</v>
      </c>
    </row>
    <row r="81">
      <c r="A81" s="4">
        <v>80.0</v>
      </c>
      <c r="B81" s="4" t="s">
        <v>155</v>
      </c>
      <c r="C81" s="7" t="s">
        <v>45</v>
      </c>
      <c r="D81" s="4" t="s">
        <v>65</v>
      </c>
      <c r="E81" s="4" t="s">
        <v>805</v>
      </c>
      <c r="F81" s="9" t="s">
        <v>1260</v>
      </c>
    </row>
    <row r="82">
      <c r="A82" s="4">
        <v>81.0</v>
      </c>
      <c r="B82" s="4" t="s">
        <v>44</v>
      </c>
      <c r="C82" s="7" t="s">
        <v>45</v>
      </c>
      <c r="D82" s="4" t="s">
        <v>65</v>
      </c>
      <c r="E82" s="4" t="s">
        <v>197</v>
      </c>
      <c r="F82" s="9" t="s">
        <v>1278</v>
      </c>
    </row>
    <row r="83">
      <c r="A83" s="4">
        <v>82.0</v>
      </c>
      <c r="B83" s="4" t="s">
        <v>86</v>
      </c>
      <c r="C83" s="7" t="s">
        <v>820</v>
      </c>
      <c r="D83" s="4" t="s">
        <v>65</v>
      </c>
      <c r="E83" s="4" t="s">
        <v>831</v>
      </c>
      <c r="F83" s="9" t="s">
        <v>1293</v>
      </c>
    </row>
    <row r="84">
      <c r="A84" s="4">
        <v>83.0</v>
      </c>
      <c r="B84" s="4" t="s">
        <v>136</v>
      </c>
      <c r="C84" s="7" t="s">
        <v>137</v>
      </c>
      <c r="D84" s="4" t="s">
        <v>65</v>
      </c>
      <c r="E84" s="4" t="s">
        <v>278</v>
      </c>
      <c r="F84" s="9" t="s">
        <v>1306</v>
      </c>
    </row>
    <row r="85">
      <c r="A85" s="4">
        <v>84.0</v>
      </c>
      <c r="B85" s="4" t="s">
        <v>44</v>
      </c>
      <c r="C85" s="7" t="s">
        <v>45</v>
      </c>
      <c r="D85" s="4" t="s">
        <v>65</v>
      </c>
      <c r="E85" s="4" t="s">
        <v>197</v>
      </c>
      <c r="F85" s="9" t="s">
        <v>1323</v>
      </c>
    </row>
    <row r="86">
      <c r="A86" s="4">
        <v>85.0</v>
      </c>
      <c r="B86" s="4" t="s">
        <v>44</v>
      </c>
      <c r="C86" s="7" t="s">
        <v>45</v>
      </c>
      <c r="D86" s="4" t="s">
        <v>65</v>
      </c>
      <c r="E86" s="4" t="s">
        <v>197</v>
      </c>
      <c r="F86" s="9" t="s">
        <v>1340</v>
      </c>
    </row>
    <row r="87">
      <c r="A87" s="4">
        <v>86.0</v>
      </c>
      <c r="B87" s="4" t="s">
        <v>217</v>
      </c>
      <c r="C87" s="7" t="s">
        <v>45</v>
      </c>
      <c r="D87" s="4" t="s">
        <v>65</v>
      </c>
      <c r="E87" s="4" t="s">
        <v>1190</v>
      </c>
      <c r="F87" s="9" t="s">
        <v>1360</v>
      </c>
    </row>
    <row r="88">
      <c r="A88" s="4">
        <v>87.0</v>
      </c>
      <c r="B88" s="4" t="s">
        <v>331</v>
      </c>
      <c r="C88" s="7" t="s">
        <v>45</v>
      </c>
      <c r="D88" s="4" t="s">
        <v>65</v>
      </c>
      <c r="E88" s="4" t="s">
        <v>333</v>
      </c>
      <c r="F88" s="9" t="s">
        <v>1376</v>
      </c>
    </row>
    <row r="89">
      <c r="A89" s="4">
        <v>88.0</v>
      </c>
      <c r="B89" s="4" t="s">
        <v>44</v>
      </c>
      <c r="C89" s="7" t="s">
        <v>45</v>
      </c>
      <c r="D89" s="4" t="s">
        <v>65</v>
      </c>
      <c r="E89" s="4" t="s">
        <v>197</v>
      </c>
      <c r="F89" s="9" t="s">
        <v>1389</v>
      </c>
    </row>
    <row r="90">
      <c r="A90" s="4">
        <v>89.0</v>
      </c>
      <c r="B90" s="4" t="s">
        <v>44</v>
      </c>
      <c r="C90" s="7" t="s">
        <v>45</v>
      </c>
      <c r="D90" s="4" t="s">
        <v>65</v>
      </c>
      <c r="E90" s="4" t="s">
        <v>618</v>
      </c>
      <c r="F90" s="9" t="s">
        <v>1405</v>
      </c>
    </row>
    <row r="91">
      <c r="A91" s="4">
        <v>90.0</v>
      </c>
      <c r="B91" s="4" t="s">
        <v>155</v>
      </c>
      <c r="C91" s="7" t="s">
        <v>45</v>
      </c>
      <c r="D91" s="4" t="s">
        <v>65</v>
      </c>
      <c r="E91" s="4" t="s">
        <v>805</v>
      </c>
      <c r="F91" s="9" t="s">
        <v>1422</v>
      </c>
    </row>
    <row r="92">
      <c r="A92" s="4">
        <v>91.0</v>
      </c>
      <c r="B92" s="4" t="s">
        <v>217</v>
      </c>
      <c r="C92" s="7" t="s">
        <v>45</v>
      </c>
      <c r="D92" s="4" t="s">
        <v>65</v>
      </c>
      <c r="E92" s="4" t="s">
        <v>220</v>
      </c>
      <c r="F92" s="9" t="s">
        <v>1441</v>
      </c>
    </row>
    <row r="93">
      <c r="A93" s="4">
        <v>92.0</v>
      </c>
      <c r="B93" s="4" t="s">
        <v>44</v>
      </c>
      <c r="C93" s="7" t="s">
        <v>45</v>
      </c>
      <c r="D93" s="4" t="s">
        <v>65</v>
      </c>
      <c r="E93" s="4" t="s">
        <v>197</v>
      </c>
      <c r="F93" s="9" t="s">
        <v>1452</v>
      </c>
    </row>
    <row r="94">
      <c r="A94" s="4">
        <v>93.0</v>
      </c>
      <c r="B94" s="4" t="s">
        <v>44</v>
      </c>
      <c r="C94" s="7" t="s">
        <v>45</v>
      </c>
      <c r="D94" s="4" t="s">
        <v>65</v>
      </c>
      <c r="E94" s="4" t="s">
        <v>197</v>
      </c>
      <c r="F94" s="9" t="s">
        <v>1465</v>
      </c>
    </row>
    <row r="95">
      <c r="A95" s="4">
        <v>94.0</v>
      </c>
      <c r="B95" s="4" t="s">
        <v>44</v>
      </c>
      <c r="C95" s="7" t="s">
        <v>45</v>
      </c>
      <c r="D95" s="4" t="s">
        <v>65</v>
      </c>
      <c r="E95" s="4" t="s">
        <v>197</v>
      </c>
      <c r="F95" s="9" t="s">
        <v>1486</v>
      </c>
    </row>
    <row r="96">
      <c r="A96" s="4">
        <v>95.0</v>
      </c>
      <c r="B96" s="4" t="s">
        <v>44</v>
      </c>
      <c r="C96" s="7" t="s">
        <v>45</v>
      </c>
      <c r="D96" s="4" t="s">
        <v>65</v>
      </c>
      <c r="E96" s="4" t="s">
        <v>197</v>
      </c>
      <c r="F96" s="9" t="s">
        <v>1501</v>
      </c>
    </row>
    <row r="97">
      <c r="A97" s="4">
        <v>96.0</v>
      </c>
      <c r="B97" s="4" t="s">
        <v>217</v>
      </c>
      <c r="C97" s="7" t="s">
        <v>45</v>
      </c>
      <c r="D97" s="4" t="s">
        <v>65</v>
      </c>
      <c r="E97" s="4" t="s">
        <v>1190</v>
      </c>
      <c r="F97" s="9" t="s">
        <v>1522</v>
      </c>
    </row>
    <row r="98">
      <c r="A98" s="4">
        <v>97.0</v>
      </c>
      <c r="B98" s="4" t="s">
        <v>331</v>
      </c>
      <c r="C98" s="7" t="s">
        <v>45</v>
      </c>
      <c r="D98" s="4" t="s">
        <v>65</v>
      </c>
      <c r="E98" s="4" t="s">
        <v>333</v>
      </c>
      <c r="F98" s="9" t="s">
        <v>1535</v>
      </c>
    </row>
    <row r="99">
      <c r="A99" s="4">
        <v>98.0</v>
      </c>
      <c r="B99" s="4" t="s">
        <v>44</v>
      </c>
      <c r="C99" s="7" t="s">
        <v>45</v>
      </c>
      <c r="D99" s="4" t="s">
        <v>65</v>
      </c>
      <c r="E99" s="4" t="s">
        <v>197</v>
      </c>
      <c r="F99" s="9" t="s">
        <v>1565</v>
      </c>
    </row>
    <row r="100">
      <c r="A100" s="4">
        <v>99.0</v>
      </c>
      <c r="B100" s="4" t="s">
        <v>44</v>
      </c>
      <c r="C100" s="7" t="s">
        <v>45</v>
      </c>
      <c r="D100" s="4" t="s">
        <v>65</v>
      </c>
      <c r="E100" s="4" t="s">
        <v>197</v>
      </c>
      <c r="F100" s="9" t="s">
        <v>1596</v>
      </c>
    </row>
    <row r="101">
      <c r="A101" s="4">
        <v>100.0</v>
      </c>
      <c r="B101" s="4" t="s">
        <v>44</v>
      </c>
      <c r="C101" s="7" t="s">
        <v>45</v>
      </c>
      <c r="D101" s="4" t="s">
        <v>65</v>
      </c>
      <c r="E101" s="4" t="s">
        <v>197</v>
      </c>
      <c r="F101" s="9" t="s">
        <v>1628</v>
      </c>
    </row>
    <row r="102">
      <c r="A102" s="4">
        <v>101.0</v>
      </c>
      <c r="B102" s="4" t="s">
        <v>44</v>
      </c>
      <c r="C102" s="7" t="s">
        <v>45</v>
      </c>
      <c r="D102" s="4" t="s">
        <v>65</v>
      </c>
      <c r="E102" s="4" t="s">
        <v>197</v>
      </c>
      <c r="F102" s="9" t="s">
        <v>1647</v>
      </c>
    </row>
    <row r="103">
      <c r="A103" s="4">
        <v>102.0</v>
      </c>
      <c r="B103" s="4" t="s">
        <v>127</v>
      </c>
      <c r="C103" s="7" t="s">
        <v>45</v>
      </c>
      <c r="D103" s="4" t="s">
        <v>65</v>
      </c>
      <c r="E103" s="4" t="s">
        <v>254</v>
      </c>
      <c r="F103" s="9" t="s">
        <v>1665</v>
      </c>
    </row>
    <row r="104">
      <c r="A104" s="4">
        <v>103.0</v>
      </c>
      <c r="B104" s="4" t="s">
        <v>44</v>
      </c>
      <c r="C104" s="7" t="s">
        <v>45</v>
      </c>
      <c r="D104" s="4" t="s">
        <v>65</v>
      </c>
      <c r="E104" s="4" t="s">
        <v>197</v>
      </c>
      <c r="F104" s="9" t="s">
        <v>1692</v>
      </c>
    </row>
    <row r="105">
      <c r="A105" s="4">
        <v>104.0</v>
      </c>
      <c r="B105" s="4" t="s">
        <v>409</v>
      </c>
      <c r="C105" s="7" t="s">
        <v>45</v>
      </c>
      <c r="D105" s="4" t="s">
        <v>65</v>
      </c>
      <c r="E105" s="4" t="s">
        <v>410</v>
      </c>
      <c r="F105" s="9" t="s">
        <v>1705</v>
      </c>
    </row>
    <row r="106">
      <c r="A106" s="4">
        <v>105.0</v>
      </c>
      <c r="B106" s="4" t="s">
        <v>217</v>
      </c>
      <c r="C106" s="7" t="s">
        <v>45</v>
      </c>
      <c r="D106" s="4" t="s">
        <v>65</v>
      </c>
      <c r="E106" s="4" t="s">
        <v>735</v>
      </c>
      <c r="F106" s="9" t="s">
        <v>1720</v>
      </c>
    </row>
    <row r="107">
      <c r="A107" s="4">
        <v>106.0</v>
      </c>
      <c r="B107" s="4" t="s">
        <v>44</v>
      </c>
      <c r="C107" s="7" t="s">
        <v>45</v>
      </c>
      <c r="D107" s="4" t="s">
        <v>65</v>
      </c>
      <c r="E107" s="4" t="s">
        <v>765</v>
      </c>
      <c r="F107" s="9" t="s">
        <v>1735</v>
      </c>
    </row>
    <row r="108">
      <c r="A108" s="4">
        <v>107.0</v>
      </c>
      <c r="B108" s="4" t="s">
        <v>44</v>
      </c>
      <c r="C108" s="7" t="s">
        <v>45</v>
      </c>
      <c r="D108" s="4" t="s">
        <v>65</v>
      </c>
      <c r="E108" s="4" t="s">
        <v>765</v>
      </c>
      <c r="F108" s="9" t="s">
        <v>1755</v>
      </c>
    </row>
    <row r="109">
      <c r="A109" s="4">
        <v>108.0</v>
      </c>
      <c r="B109" s="4" t="s">
        <v>155</v>
      </c>
      <c r="C109" s="7" t="s">
        <v>45</v>
      </c>
      <c r="D109" s="4" t="s">
        <v>65</v>
      </c>
      <c r="E109" s="4" t="s">
        <v>595</v>
      </c>
      <c r="F109" s="9" t="s">
        <v>1774</v>
      </c>
    </row>
    <row r="110">
      <c r="A110" s="4">
        <v>109.0</v>
      </c>
      <c r="B110" s="4" t="s">
        <v>44</v>
      </c>
      <c r="C110" s="7" t="s">
        <v>45</v>
      </c>
      <c r="D110" s="4" t="s">
        <v>65</v>
      </c>
      <c r="E110" s="4" t="s">
        <v>618</v>
      </c>
      <c r="F110" s="9" t="s">
        <v>1794</v>
      </c>
    </row>
    <row r="111">
      <c r="A111" s="4">
        <v>110.0</v>
      </c>
      <c r="B111" s="4" t="s">
        <v>44</v>
      </c>
      <c r="C111" s="7" t="s">
        <v>45</v>
      </c>
      <c r="D111" s="4" t="s">
        <v>65</v>
      </c>
      <c r="E111" s="4" t="s">
        <v>197</v>
      </c>
      <c r="F111" s="9" t="s">
        <v>1816</v>
      </c>
    </row>
    <row r="112">
      <c r="A112" s="4">
        <v>111.0</v>
      </c>
      <c r="B112" s="4" t="s">
        <v>44</v>
      </c>
      <c r="C112" s="7" t="s">
        <v>45</v>
      </c>
      <c r="D112" s="4" t="s">
        <v>65</v>
      </c>
      <c r="E112" s="4" t="s">
        <v>197</v>
      </c>
      <c r="F112" s="9" t="s">
        <v>1838</v>
      </c>
    </row>
    <row r="113">
      <c r="A113" s="4">
        <v>112.0</v>
      </c>
      <c r="B113" s="4" t="s">
        <v>44</v>
      </c>
      <c r="C113" s="7" t="s">
        <v>45</v>
      </c>
      <c r="D113" s="4" t="s">
        <v>65</v>
      </c>
      <c r="E113" s="4" t="s">
        <v>197</v>
      </c>
      <c r="F113" s="9" t="s">
        <v>1868</v>
      </c>
    </row>
    <row r="114">
      <c r="A114" s="4">
        <v>113.0</v>
      </c>
      <c r="B114" s="4" t="s">
        <v>44</v>
      </c>
      <c r="C114" s="7" t="s">
        <v>45</v>
      </c>
      <c r="D114" s="4" t="s">
        <v>65</v>
      </c>
      <c r="E114" s="4" t="s">
        <v>197</v>
      </c>
      <c r="F114" s="9" t="s">
        <v>1889</v>
      </c>
    </row>
    <row r="115">
      <c r="A115" s="4">
        <v>114.0</v>
      </c>
      <c r="B115" s="4" t="s">
        <v>44</v>
      </c>
      <c r="C115" s="7" t="s">
        <v>45</v>
      </c>
      <c r="D115" s="4" t="s">
        <v>65</v>
      </c>
      <c r="E115" s="4" t="s">
        <v>765</v>
      </c>
      <c r="F115" s="9" t="s">
        <v>1911</v>
      </c>
    </row>
    <row r="116">
      <c r="A116" s="4">
        <v>115.0</v>
      </c>
      <c r="B116" s="4" t="s">
        <v>44</v>
      </c>
      <c r="C116" s="7" t="s">
        <v>45</v>
      </c>
      <c r="D116" s="4" t="s">
        <v>65</v>
      </c>
      <c r="E116" s="4" t="s">
        <v>765</v>
      </c>
      <c r="F116" s="9" t="s">
        <v>1935</v>
      </c>
    </row>
    <row r="117">
      <c r="A117" s="4">
        <v>116.0</v>
      </c>
      <c r="B117" s="4" t="s">
        <v>217</v>
      </c>
      <c r="C117" s="7" t="s">
        <v>45</v>
      </c>
      <c r="D117" s="4" t="s">
        <v>65</v>
      </c>
      <c r="E117" s="4" t="s">
        <v>1190</v>
      </c>
      <c r="F117" s="9" t="s">
        <v>1959</v>
      </c>
    </row>
    <row r="118">
      <c r="A118" s="4">
        <v>117.0</v>
      </c>
      <c r="B118" s="4" t="s">
        <v>331</v>
      </c>
      <c r="C118" s="7" t="s">
        <v>45</v>
      </c>
      <c r="D118" s="4" t="s">
        <v>65</v>
      </c>
      <c r="E118" s="4" t="s">
        <v>333</v>
      </c>
      <c r="F118" s="9" t="s">
        <v>1980</v>
      </c>
    </row>
    <row r="119">
      <c r="A119" s="4">
        <v>118.0</v>
      </c>
      <c r="B119" s="4" t="s">
        <v>155</v>
      </c>
      <c r="C119" s="7" t="s">
        <v>45</v>
      </c>
      <c r="D119" s="4" t="s">
        <v>65</v>
      </c>
      <c r="E119" s="4" t="s">
        <v>595</v>
      </c>
      <c r="F119" s="9" t="s">
        <v>2000</v>
      </c>
    </row>
    <row r="120">
      <c r="A120" s="4">
        <v>119.0</v>
      </c>
      <c r="B120" s="4" t="s">
        <v>44</v>
      </c>
      <c r="C120" s="7" t="s">
        <v>45</v>
      </c>
      <c r="D120" s="4" t="s">
        <v>65</v>
      </c>
      <c r="E120" s="4" t="s">
        <v>618</v>
      </c>
      <c r="F120" s="9" t="s">
        <v>2016</v>
      </c>
    </row>
    <row r="121">
      <c r="A121" s="4">
        <v>120.0</v>
      </c>
      <c r="B121" s="4" t="s">
        <v>155</v>
      </c>
      <c r="C121" s="7" t="s">
        <v>45</v>
      </c>
      <c r="D121" s="4" t="s">
        <v>65</v>
      </c>
      <c r="E121" s="4" t="s">
        <v>805</v>
      </c>
      <c r="F121" s="9" t="s">
        <v>2039</v>
      </c>
    </row>
    <row r="122">
      <c r="A122" s="4">
        <v>121.0</v>
      </c>
      <c r="B122" s="4" t="s">
        <v>217</v>
      </c>
      <c r="C122" s="7" t="s">
        <v>45</v>
      </c>
      <c r="D122" s="4" t="s">
        <v>65</v>
      </c>
      <c r="E122" s="4" t="s">
        <v>220</v>
      </c>
      <c r="F122" s="9" t="s">
        <v>2063</v>
      </c>
    </row>
    <row r="123">
      <c r="A123" s="4">
        <v>122.0</v>
      </c>
      <c r="B123" s="4" t="s">
        <v>127</v>
      </c>
      <c r="C123" s="7" t="s">
        <v>45</v>
      </c>
      <c r="D123" s="4" t="s">
        <v>65</v>
      </c>
      <c r="E123" s="4" t="s">
        <v>254</v>
      </c>
      <c r="F123" s="9" t="s">
        <v>2084</v>
      </c>
    </row>
    <row r="124">
      <c r="A124" s="4">
        <v>123.0</v>
      </c>
      <c r="B124" s="4" t="s">
        <v>136</v>
      </c>
      <c r="C124" s="7" t="s">
        <v>137</v>
      </c>
      <c r="D124" s="4" t="s">
        <v>65</v>
      </c>
      <c r="E124" s="4" t="s">
        <v>278</v>
      </c>
      <c r="F124" s="9" t="s">
        <v>2103</v>
      </c>
    </row>
    <row r="125">
      <c r="A125" s="4">
        <v>124.0</v>
      </c>
      <c r="B125" s="4" t="s">
        <v>409</v>
      </c>
      <c r="C125" s="7" t="s">
        <v>45</v>
      </c>
      <c r="D125" s="4" t="s">
        <v>65</v>
      </c>
      <c r="E125" s="4" t="s">
        <v>410</v>
      </c>
      <c r="F125" s="9" t="s">
        <v>2124</v>
      </c>
    </row>
    <row r="126">
      <c r="A126" s="4">
        <v>125.0</v>
      </c>
      <c r="B126" s="4" t="s">
        <v>217</v>
      </c>
      <c r="C126" s="7" t="s">
        <v>45</v>
      </c>
      <c r="D126" s="4" t="s">
        <v>65</v>
      </c>
      <c r="E126" s="4" t="s">
        <v>735</v>
      </c>
      <c r="F126" s="9" t="s">
        <v>2145</v>
      </c>
    </row>
    <row r="127">
      <c r="A127" s="4">
        <v>126.0</v>
      </c>
      <c r="B127" s="4" t="s">
        <v>217</v>
      </c>
      <c r="C127" s="7" t="s">
        <v>45</v>
      </c>
      <c r="D127" s="4" t="s">
        <v>65</v>
      </c>
      <c r="E127" s="4" t="s">
        <v>1190</v>
      </c>
      <c r="F127" s="9" t="s">
        <v>2165</v>
      </c>
    </row>
    <row r="128">
      <c r="A128" s="4">
        <v>127.0</v>
      </c>
      <c r="B128" s="4" t="s">
        <v>331</v>
      </c>
      <c r="C128" s="7" t="s">
        <v>45</v>
      </c>
      <c r="D128" s="4" t="s">
        <v>65</v>
      </c>
      <c r="E128" s="4" t="s">
        <v>333</v>
      </c>
      <c r="F128" s="9" t="s">
        <v>2183</v>
      </c>
    </row>
    <row r="129">
      <c r="A129" s="4">
        <v>128.0</v>
      </c>
      <c r="B129" s="4" t="s">
        <v>155</v>
      </c>
      <c r="C129" s="7" t="s">
        <v>45</v>
      </c>
      <c r="D129" s="4" t="s">
        <v>65</v>
      </c>
      <c r="E129" s="4" t="s">
        <v>595</v>
      </c>
      <c r="F129" s="9" t="s">
        <v>2200</v>
      </c>
    </row>
    <row r="130">
      <c r="A130" s="4">
        <v>129.0</v>
      </c>
      <c r="B130" s="4" t="s">
        <v>44</v>
      </c>
      <c r="C130" s="7" t="s">
        <v>45</v>
      </c>
      <c r="D130" s="4" t="s">
        <v>65</v>
      </c>
      <c r="E130" s="4" t="s">
        <v>618</v>
      </c>
      <c r="F130" s="9" t="s">
        <v>2221</v>
      </c>
    </row>
    <row r="131">
      <c r="A131" s="4">
        <v>130.0</v>
      </c>
      <c r="B131" s="4" t="s">
        <v>155</v>
      </c>
      <c r="C131" s="7" t="s">
        <v>45</v>
      </c>
      <c r="D131" s="4" t="s">
        <v>65</v>
      </c>
      <c r="E131" s="4" t="s">
        <v>805</v>
      </c>
      <c r="F131" s="9" t="s">
        <v>2241</v>
      </c>
    </row>
    <row r="132">
      <c r="A132" s="4">
        <v>131.0</v>
      </c>
      <c r="B132" s="4" t="s">
        <v>44</v>
      </c>
      <c r="C132" s="7" t="s">
        <v>45</v>
      </c>
      <c r="D132" s="4" t="s">
        <v>65</v>
      </c>
      <c r="E132" s="4" t="s">
        <v>765</v>
      </c>
      <c r="F132" s="9" t="s">
        <v>2268</v>
      </c>
    </row>
    <row r="133">
      <c r="A133" s="4">
        <v>132.0</v>
      </c>
      <c r="B133" s="4" t="s">
        <v>127</v>
      </c>
      <c r="C133" s="7" t="s">
        <v>45</v>
      </c>
      <c r="D133" s="4" t="s">
        <v>65</v>
      </c>
      <c r="E133" s="4" t="s">
        <v>254</v>
      </c>
      <c r="F133" s="9" t="s">
        <v>2284</v>
      </c>
    </row>
    <row r="134">
      <c r="A134" s="4">
        <v>133.0</v>
      </c>
      <c r="B134" s="4" t="s">
        <v>136</v>
      </c>
      <c r="C134" s="7" t="s">
        <v>137</v>
      </c>
      <c r="D134" s="4" t="s">
        <v>65</v>
      </c>
      <c r="E134" s="4" t="s">
        <v>278</v>
      </c>
      <c r="F134" s="9" t="s">
        <v>2304</v>
      </c>
    </row>
    <row r="135">
      <c r="A135" s="4">
        <v>134.0</v>
      </c>
      <c r="B135" s="4" t="s">
        <v>409</v>
      </c>
      <c r="C135" s="7" t="s">
        <v>45</v>
      </c>
      <c r="D135" s="4" t="s">
        <v>65</v>
      </c>
      <c r="E135" s="4" t="s">
        <v>410</v>
      </c>
      <c r="F135" s="9" t="s">
        <v>2331</v>
      </c>
    </row>
    <row r="136">
      <c r="A136" s="4">
        <v>135.0</v>
      </c>
      <c r="B136" s="4" t="s">
        <v>217</v>
      </c>
      <c r="C136" s="7" t="s">
        <v>45</v>
      </c>
      <c r="D136" s="4" t="s">
        <v>65</v>
      </c>
      <c r="E136" s="4" t="s">
        <v>735</v>
      </c>
      <c r="F136" s="9" t="s">
        <v>2344</v>
      </c>
    </row>
    <row r="137">
      <c r="A137" s="4">
        <v>136.0</v>
      </c>
      <c r="B137" s="4" t="s">
        <v>217</v>
      </c>
      <c r="C137" s="7" t="s">
        <v>45</v>
      </c>
      <c r="D137" s="4" t="s">
        <v>65</v>
      </c>
      <c r="E137" s="4" t="s">
        <v>1190</v>
      </c>
      <c r="F137" s="9" t="s">
        <v>2363</v>
      </c>
    </row>
    <row r="138">
      <c r="A138" s="4">
        <v>137.0</v>
      </c>
      <c r="B138" s="4" t="s">
        <v>331</v>
      </c>
      <c r="C138" s="7" t="s">
        <v>45</v>
      </c>
      <c r="D138" s="4" t="s">
        <v>65</v>
      </c>
      <c r="E138" s="4" t="s">
        <v>333</v>
      </c>
      <c r="F138" s="9" t="s">
        <v>2372</v>
      </c>
    </row>
    <row r="139">
      <c r="A139" s="4">
        <v>138.0</v>
      </c>
      <c r="B139" s="4" t="s">
        <v>155</v>
      </c>
      <c r="C139" s="7" t="s">
        <v>45</v>
      </c>
      <c r="D139" s="4" t="s">
        <v>65</v>
      </c>
      <c r="E139" s="4" t="s">
        <v>595</v>
      </c>
      <c r="F139" s="9" t="s">
        <v>2388</v>
      </c>
    </row>
    <row r="140">
      <c r="A140" s="4">
        <v>139.0</v>
      </c>
      <c r="B140" s="4" t="s">
        <v>44</v>
      </c>
      <c r="C140" s="7" t="s">
        <v>45</v>
      </c>
      <c r="D140" s="4" t="s">
        <v>65</v>
      </c>
      <c r="E140" s="4" t="s">
        <v>618</v>
      </c>
      <c r="F140" s="9" t="s">
        <v>2404</v>
      </c>
    </row>
    <row r="141">
      <c r="A141" s="4">
        <v>140.0</v>
      </c>
      <c r="B141" s="4" t="s">
        <v>155</v>
      </c>
      <c r="C141" s="7" t="s">
        <v>45</v>
      </c>
      <c r="D141" s="4" t="s">
        <v>65</v>
      </c>
      <c r="E141" s="4" t="s">
        <v>805</v>
      </c>
      <c r="F141" s="9" t="s">
        <v>2417</v>
      </c>
    </row>
    <row r="142">
      <c r="A142" s="4">
        <v>141.0</v>
      </c>
      <c r="B142" s="4" t="s">
        <v>217</v>
      </c>
      <c r="C142" s="7" t="s">
        <v>45</v>
      </c>
      <c r="D142" s="4" t="s">
        <v>65</v>
      </c>
      <c r="E142" s="4" t="s">
        <v>220</v>
      </c>
      <c r="F142" s="9" t="s">
        <v>2430</v>
      </c>
    </row>
    <row r="143">
      <c r="A143" s="4">
        <v>142.0</v>
      </c>
      <c r="B143" s="4" t="s">
        <v>127</v>
      </c>
      <c r="C143" s="7" t="s">
        <v>45</v>
      </c>
      <c r="D143" s="4" t="s">
        <v>65</v>
      </c>
      <c r="E143" s="4" t="s">
        <v>254</v>
      </c>
      <c r="F143" s="9" t="s">
        <v>2445</v>
      </c>
    </row>
    <row r="144">
      <c r="A144" s="4">
        <v>143.0</v>
      </c>
      <c r="B144" s="4" t="s">
        <v>136</v>
      </c>
      <c r="C144" s="7" t="s">
        <v>137</v>
      </c>
      <c r="D144" s="4" t="s">
        <v>65</v>
      </c>
      <c r="E144" s="4" t="s">
        <v>278</v>
      </c>
      <c r="F144" s="9" t="s">
        <v>2459</v>
      </c>
    </row>
    <row r="145">
      <c r="A145" s="4">
        <v>144.0</v>
      </c>
      <c r="B145" s="4" t="s">
        <v>409</v>
      </c>
      <c r="C145" s="7" t="s">
        <v>45</v>
      </c>
      <c r="D145" s="4" t="s">
        <v>65</v>
      </c>
      <c r="E145" s="4" t="s">
        <v>410</v>
      </c>
      <c r="F145" s="9" t="s">
        <v>2475</v>
      </c>
    </row>
    <row r="146">
      <c r="A146" s="4">
        <v>145.0</v>
      </c>
      <c r="B146" s="4" t="s">
        <v>44</v>
      </c>
      <c r="C146" s="7" t="s">
        <v>45</v>
      </c>
      <c r="D146" s="4" t="s">
        <v>65</v>
      </c>
      <c r="E146" s="4" t="s">
        <v>765</v>
      </c>
      <c r="F146" s="9" t="s">
        <v>2486</v>
      </c>
    </row>
    <row r="147">
      <c r="A147" s="4">
        <v>146.0</v>
      </c>
      <c r="B147" s="4" t="s">
        <v>44</v>
      </c>
      <c r="C147" s="7" t="s">
        <v>45</v>
      </c>
      <c r="D147" s="4" t="s">
        <v>65</v>
      </c>
      <c r="E147" s="4" t="s">
        <v>765</v>
      </c>
      <c r="F147" s="9" t="s">
        <v>2496</v>
      </c>
    </row>
    <row r="148">
      <c r="A148" s="4">
        <v>147.0</v>
      </c>
      <c r="B148" s="4" t="s">
        <v>44</v>
      </c>
      <c r="C148" s="7" t="s">
        <v>45</v>
      </c>
      <c r="D148" s="4" t="s">
        <v>65</v>
      </c>
      <c r="E148" s="4" t="s">
        <v>765</v>
      </c>
      <c r="F148" s="9" t="s">
        <v>2511</v>
      </c>
    </row>
    <row r="149">
      <c r="A149" s="4">
        <v>148.0</v>
      </c>
      <c r="B149" s="4" t="s">
        <v>44</v>
      </c>
      <c r="C149" s="7" t="s">
        <v>45</v>
      </c>
      <c r="D149" s="4" t="s">
        <v>65</v>
      </c>
      <c r="E149" s="4" t="s">
        <v>765</v>
      </c>
      <c r="F149" s="9" t="s">
        <v>2524</v>
      </c>
    </row>
    <row r="150">
      <c r="A150" s="4">
        <v>149.0</v>
      </c>
      <c r="B150" s="4" t="s">
        <v>44</v>
      </c>
      <c r="C150" s="7" t="s">
        <v>45</v>
      </c>
      <c r="D150" s="4" t="s">
        <v>65</v>
      </c>
      <c r="E150" s="4" t="s">
        <v>765</v>
      </c>
      <c r="F150" s="9" t="s">
        <v>2541</v>
      </c>
    </row>
    <row r="151">
      <c r="A151" s="4">
        <v>150.0</v>
      </c>
      <c r="B151" s="4" t="s">
        <v>44</v>
      </c>
      <c r="C151" s="7" t="s">
        <v>45</v>
      </c>
      <c r="D151" s="4" t="s">
        <v>65</v>
      </c>
      <c r="E151" s="4" t="s">
        <v>765</v>
      </c>
      <c r="F151" s="9" t="s">
        <v>2555</v>
      </c>
    </row>
    <row r="152">
      <c r="A152" s="4">
        <v>151.0</v>
      </c>
      <c r="B152" s="4" t="s">
        <v>44</v>
      </c>
      <c r="C152" s="7" t="s">
        <v>45</v>
      </c>
      <c r="D152" s="4" t="s">
        <v>65</v>
      </c>
      <c r="E152" s="4" t="s">
        <v>765</v>
      </c>
      <c r="F152" s="9" t="s">
        <v>2569</v>
      </c>
    </row>
    <row r="153">
      <c r="A153" s="4">
        <v>152.0</v>
      </c>
      <c r="B153" s="4" t="s">
        <v>44</v>
      </c>
      <c r="C153" s="7" t="s">
        <v>45</v>
      </c>
      <c r="D153" s="4" t="s">
        <v>65</v>
      </c>
      <c r="E153" s="4" t="s">
        <v>765</v>
      </c>
      <c r="F153" s="9" t="s">
        <v>2583</v>
      </c>
    </row>
    <row r="154">
      <c r="A154" s="4">
        <v>153.0</v>
      </c>
      <c r="B154" s="4" t="s">
        <v>44</v>
      </c>
      <c r="C154" s="7" t="s">
        <v>45</v>
      </c>
      <c r="D154" s="4" t="s">
        <v>65</v>
      </c>
      <c r="E154" s="4" t="s">
        <v>765</v>
      </c>
      <c r="F154" s="9" t="s">
        <v>2591</v>
      </c>
    </row>
    <row r="155">
      <c r="A155" s="4">
        <v>154.0</v>
      </c>
      <c r="B155" s="4" t="s">
        <v>44</v>
      </c>
      <c r="C155" s="7" t="s">
        <v>45</v>
      </c>
      <c r="D155" s="4" t="s">
        <v>65</v>
      </c>
      <c r="E155" s="4" t="s">
        <v>765</v>
      </c>
      <c r="F155" s="9" t="s">
        <v>2605</v>
      </c>
    </row>
    <row r="156">
      <c r="A156" s="4">
        <v>155.0</v>
      </c>
      <c r="B156" s="4" t="s">
        <v>44</v>
      </c>
      <c r="C156" s="7" t="s">
        <v>45</v>
      </c>
      <c r="D156" s="4" t="s">
        <v>65</v>
      </c>
      <c r="E156" s="4" t="s">
        <v>765</v>
      </c>
      <c r="F156" s="9" t="s">
        <v>2612</v>
      </c>
    </row>
    <row r="157">
      <c r="A157" s="4">
        <v>156.0</v>
      </c>
      <c r="B157" s="4" t="s">
        <v>44</v>
      </c>
      <c r="C157" s="7" t="s">
        <v>45</v>
      </c>
      <c r="D157" s="4" t="s">
        <v>65</v>
      </c>
      <c r="E157" s="4" t="s">
        <v>765</v>
      </c>
      <c r="F157" s="9" t="s">
        <v>2629</v>
      </c>
    </row>
    <row r="158">
      <c r="A158" s="4">
        <v>157.0</v>
      </c>
      <c r="B158" s="4" t="s">
        <v>44</v>
      </c>
      <c r="C158" s="7" t="s">
        <v>45</v>
      </c>
      <c r="D158" s="4" t="s">
        <v>65</v>
      </c>
      <c r="E158" s="4" t="s">
        <v>765</v>
      </c>
      <c r="F158" s="9" t="s">
        <v>2639</v>
      </c>
    </row>
    <row r="159">
      <c r="A159" s="4">
        <v>158.0</v>
      </c>
      <c r="B159" s="4" t="s">
        <v>155</v>
      </c>
      <c r="C159" s="7" t="s">
        <v>45</v>
      </c>
      <c r="D159" s="4" t="s">
        <v>65</v>
      </c>
      <c r="E159" s="4" t="s">
        <v>595</v>
      </c>
      <c r="F159" s="9" t="s">
        <v>2651</v>
      </c>
    </row>
    <row r="160">
      <c r="A160" s="4">
        <v>159.0</v>
      </c>
      <c r="B160" s="4" t="s">
        <v>44</v>
      </c>
      <c r="C160" s="7" t="s">
        <v>45</v>
      </c>
      <c r="D160" s="4" t="s">
        <v>65</v>
      </c>
      <c r="E160" s="4" t="s">
        <v>618</v>
      </c>
      <c r="F160" s="9" t="s">
        <v>2669</v>
      </c>
    </row>
    <row r="161">
      <c r="A161" s="4">
        <v>160.0</v>
      </c>
      <c r="B161" s="4" t="s">
        <v>155</v>
      </c>
      <c r="C161" s="7" t="s">
        <v>45</v>
      </c>
      <c r="D161" s="4" t="s">
        <v>65</v>
      </c>
      <c r="E161" s="4" t="s">
        <v>805</v>
      </c>
      <c r="F161" s="9" t="s">
        <v>2685</v>
      </c>
    </row>
    <row r="162">
      <c r="A162" s="4">
        <v>161.0</v>
      </c>
      <c r="B162" s="4" t="s">
        <v>217</v>
      </c>
      <c r="C162" s="7" t="s">
        <v>45</v>
      </c>
      <c r="D162" s="4" t="s">
        <v>65</v>
      </c>
      <c r="E162" s="4" t="s">
        <v>220</v>
      </c>
      <c r="F162" s="9" t="s">
        <v>2700</v>
      </c>
    </row>
    <row r="163">
      <c r="A163" s="4">
        <v>162.0</v>
      </c>
      <c r="B163" s="4" t="s">
        <v>127</v>
      </c>
      <c r="C163" s="7" t="s">
        <v>45</v>
      </c>
      <c r="D163" s="4" t="s">
        <v>65</v>
      </c>
      <c r="E163" s="4" t="s">
        <v>254</v>
      </c>
      <c r="F163" s="9" t="s">
        <v>2711</v>
      </c>
    </row>
    <row r="164">
      <c r="A164" s="4">
        <v>163.0</v>
      </c>
      <c r="B164" s="4" t="s">
        <v>136</v>
      </c>
      <c r="C164" s="7" t="s">
        <v>137</v>
      </c>
      <c r="D164" s="4" t="s">
        <v>65</v>
      </c>
      <c r="E164" s="4" t="s">
        <v>278</v>
      </c>
      <c r="F164" s="9" t="s">
        <v>2727</v>
      </c>
    </row>
    <row r="165">
      <c r="A165" s="4">
        <v>164.0</v>
      </c>
      <c r="B165" s="4" t="s">
        <v>409</v>
      </c>
      <c r="C165" s="7" t="s">
        <v>45</v>
      </c>
      <c r="D165" s="4" t="s">
        <v>65</v>
      </c>
      <c r="E165" s="4" t="s">
        <v>410</v>
      </c>
      <c r="F165" s="9" t="s">
        <v>2738</v>
      </c>
    </row>
    <row r="166">
      <c r="A166" s="4">
        <v>165.0</v>
      </c>
      <c r="B166" s="4" t="s">
        <v>44</v>
      </c>
      <c r="C166" s="7" t="s">
        <v>45</v>
      </c>
      <c r="D166" s="4" t="s">
        <v>65</v>
      </c>
      <c r="E166" s="4" t="s">
        <v>197</v>
      </c>
      <c r="F166" s="9" t="s">
        <v>2755</v>
      </c>
    </row>
    <row r="167">
      <c r="A167" s="4">
        <v>166.0</v>
      </c>
      <c r="B167" s="4" t="s">
        <v>44</v>
      </c>
      <c r="C167" s="7" t="s">
        <v>45</v>
      </c>
      <c r="D167" s="4" t="s">
        <v>65</v>
      </c>
      <c r="E167" s="4" t="s">
        <v>197</v>
      </c>
      <c r="F167" s="9" t="s">
        <v>2767</v>
      </c>
    </row>
    <row r="168">
      <c r="A168" s="4">
        <v>167.0</v>
      </c>
      <c r="B168" s="4" t="s">
        <v>44</v>
      </c>
      <c r="C168" s="7" t="s">
        <v>45</v>
      </c>
      <c r="D168" s="4" t="s">
        <v>65</v>
      </c>
      <c r="E168" s="4" t="s">
        <v>197</v>
      </c>
      <c r="F168" s="9" t="s">
        <v>2784</v>
      </c>
    </row>
    <row r="169">
      <c r="A169" s="4">
        <v>168.0</v>
      </c>
      <c r="B169" s="4" t="s">
        <v>44</v>
      </c>
      <c r="C169" s="7" t="s">
        <v>45</v>
      </c>
      <c r="D169" s="4" t="s">
        <v>65</v>
      </c>
      <c r="E169" s="4" t="s">
        <v>197</v>
      </c>
      <c r="F169" s="9" t="s">
        <v>2804</v>
      </c>
    </row>
    <row r="170">
      <c r="A170" s="4">
        <v>169.0</v>
      </c>
      <c r="B170" s="4" t="s">
        <v>44</v>
      </c>
      <c r="C170" s="7" t="s">
        <v>45</v>
      </c>
      <c r="D170" s="4" t="s">
        <v>65</v>
      </c>
      <c r="E170" s="4" t="s">
        <v>618</v>
      </c>
      <c r="F170" s="9" t="s">
        <v>2829</v>
      </c>
    </row>
    <row r="171">
      <c r="A171" s="4">
        <v>170.0</v>
      </c>
      <c r="B171" s="4" t="s">
        <v>155</v>
      </c>
      <c r="C171" s="7" t="s">
        <v>45</v>
      </c>
      <c r="D171" s="4" t="s">
        <v>65</v>
      </c>
      <c r="E171" s="4" t="s">
        <v>805</v>
      </c>
      <c r="F171" s="9" t="s">
        <v>2854</v>
      </c>
    </row>
    <row r="172">
      <c r="A172" s="4">
        <v>171.0</v>
      </c>
      <c r="B172" s="4" t="s">
        <v>44</v>
      </c>
      <c r="C172" s="7" t="s">
        <v>45</v>
      </c>
      <c r="D172" s="4" t="s">
        <v>65</v>
      </c>
      <c r="E172" s="4" t="s">
        <v>197</v>
      </c>
      <c r="F172" s="9" t="s">
        <v>2869</v>
      </c>
    </row>
    <row r="173">
      <c r="A173" s="4">
        <v>172.0</v>
      </c>
      <c r="B173" s="4" t="s">
        <v>44</v>
      </c>
      <c r="C173" s="7" t="s">
        <v>45</v>
      </c>
      <c r="D173" s="4" t="s">
        <v>65</v>
      </c>
      <c r="E173" s="4" t="s">
        <v>197</v>
      </c>
      <c r="F173" s="9" t="s">
        <v>2882</v>
      </c>
    </row>
    <row r="174">
      <c r="A174" s="4">
        <v>173.0</v>
      </c>
      <c r="B174" s="4" t="s">
        <v>136</v>
      </c>
      <c r="C174" s="7" t="s">
        <v>137</v>
      </c>
      <c r="D174" s="4" t="s">
        <v>65</v>
      </c>
      <c r="E174" s="4" t="s">
        <v>278</v>
      </c>
      <c r="F174" s="9" t="s">
        <v>2895</v>
      </c>
    </row>
    <row r="175">
      <c r="A175" s="4">
        <v>174.0</v>
      </c>
      <c r="B175" s="4" t="s">
        <v>409</v>
      </c>
      <c r="C175" s="7" t="s">
        <v>45</v>
      </c>
      <c r="D175" s="4" t="s">
        <v>65</v>
      </c>
      <c r="E175" s="4" t="s">
        <v>410</v>
      </c>
      <c r="F175" s="9" t="s">
        <v>2911</v>
      </c>
    </row>
    <row r="176">
      <c r="A176" s="4">
        <v>175.0</v>
      </c>
      <c r="B176" s="4" t="s">
        <v>217</v>
      </c>
      <c r="C176" s="7" t="s">
        <v>45</v>
      </c>
      <c r="D176" s="4" t="s">
        <v>65</v>
      </c>
      <c r="E176" s="4" t="s">
        <v>735</v>
      </c>
      <c r="F176" s="9" t="s">
        <v>2921</v>
      </c>
    </row>
    <row r="177">
      <c r="A177" s="4">
        <v>176.0</v>
      </c>
      <c r="B177" s="4" t="s">
        <v>217</v>
      </c>
      <c r="C177" s="7" t="s">
        <v>45</v>
      </c>
      <c r="D177" s="4" t="s">
        <v>65</v>
      </c>
      <c r="E177" s="4" t="s">
        <v>1190</v>
      </c>
      <c r="F177" s="9" t="s">
        <v>2932</v>
      </c>
    </row>
    <row r="178">
      <c r="A178" s="4">
        <v>177.0</v>
      </c>
      <c r="B178" s="4" t="s">
        <v>331</v>
      </c>
      <c r="C178" s="7" t="s">
        <v>45</v>
      </c>
      <c r="D178" s="4" t="s">
        <v>65</v>
      </c>
      <c r="E178" s="4" t="s">
        <v>333</v>
      </c>
      <c r="F178" s="9" t="s">
        <v>2945</v>
      </c>
    </row>
    <row r="179">
      <c r="A179" s="4">
        <v>178.0</v>
      </c>
      <c r="B179" s="4" t="s">
        <v>155</v>
      </c>
      <c r="C179" s="7" t="s">
        <v>45</v>
      </c>
      <c r="D179" s="4" t="s">
        <v>65</v>
      </c>
      <c r="E179" s="4" t="s">
        <v>595</v>
      </c>
      <c r="F179" s="9" t="s">
        <v>2961</v>
      </c>
    </row>
    <row r="180">
      <c r="A180" s="4">
        <v>179.0</v>
      </c>
      <c r="B180" s="4" t="s">
        <v>44</v>
      </c>
      <c r="C180" s="7" t="s">
        <v>45</v>
      </c>
      <c r="D180" s="4" t="s">
        <v>65</v>
      </c>
      <c r="E180" s="4" t="s">
        <v>618</v>
      </c>
      <c r="F180" s="9" t="s">
        <v>2976</v>
      </c>
    </row>
    <row r="181">
      <c r="A181" s="4">
        <v>180.0</v>
      </c>
      <c r="B181" s="4" t="s">
        <v>44</v>
      </c>
      <c r="C181" s="7" t="s">
        <v>45</v>
      </c>
      <c r="D181" s="4" t="s">
        <v>65</v>
      </c>
      <c r="E181" s="4" t="s">
        <v>197</v>
      </c>
      <c r="F181" s="9" t="s">
        <v>2985</v>
      </c>
    </row>
    <row r="182">
      <c r="A182" s="4">
        <v>181.0</v>
      </c>
      <c r="B182" s="4" t="s">
        <v>44</v>
      </c>
      <c r="C182" s="7" t="s">
        <v>45</v>
      </c>
      <c r="D182" s="4" t="s">
        <v>65</v>
      </c>
      <c r="E182" s="4" t="s">
        <v>197</v>
      </c>
      <c r="F182" s="9" t="s">
        <v>2999</v>
      </c>
    </row>
    <row r="183">
      <c r="A183" s="4">
        <v>182.0</v>
      </c>
      <c r="B183" s="4" t="s">
        <v>3012</v>
      </c>
      <c r="C183" s="7" t="s">
        <v>168</v>
      </c>
      <c r="D183" s="4" t="s">
        <v>65</v>
      </c>
      <c r="E183" s="4" t="s">
        <v>3013</v>
      </c>
      <c r="F183" s="9" t="s">
        <v>3014</v>
      </c>
    </row>
    <row r="184">
      <c r="A184" s="4">
        <v>183.0</v>
      </c>
      <c r="B184" s="4" t="s">
        <v>3012</v>
      </c>
      <c r="C184" s="7" t="s">
        <v>168</v>
      </c>
      <c r="D184" s="4" t="s">
        <v>65</v>
      </c>
      <c r="E184" s="4" t="s">
        <v>3013</v>
      </c>
      <c r="F184" s="9" t="s">
        <v>3030</v>
      </c>
    </row>
    <row r="185">
      <c r="A185" s="4">
        <v>184.0</v>
      </c>
      <c r="B185" s="4" t="s">
        <v>409</v>
      </c>
      <c r="C185" s="7" t="s">
        <v>45</v>
      </c>
      <c r="D185" s="4" t="s">
        <v>65</v>
      </c>
      <c r="E185" s="4" t="s">
        <v>410</v>
      </c>
      <c r="F185" s="9" t="s">
        <v>3047</v>
      </c>
    </row>
    <row r="186">
      <c r="A186" s="4">
        <v>185.0</v>
      </c>
      <c r="B186" s="4" t="s">
        <v>217</v>
      </c>
      <c r="C186" s="7" t="s">
        <v>45</v>
      </c>
      <c r="D186" s="4" t="s">
        <v>65</v>
      </c>
      <c r="E186" s="4" t="s">
        <v>735</v>
      </c>
      <c r="F186" s="9" t="s">
        <v>3060</v>
      </c>
    </row>
    <row r="187">
      <c r="A187" s="4">
        <v>186.0</v>
      </c>
      <c r="B187" s="4" t="s">
        <v>217</v>
      </c>
      <c r="C187" s="7" t="s">
        <v>45</v>
      </c>
      <c r="D187" s="4" t="s">
        <v>65</v>
      </c>
      <c r="E187" s="4" t="s">
        <v>1190</v>
      </c>
      <c r="F187" s="9" t="s">
        <v>3071</v>
      </c>
    </row>
    <row r="188">
      <c r="A188" s="4">
        <v>187.0</v>
      </c>
      <c r="B188" s="4" t="s">
        <v>331</v>
      </c>
      <c r="C188" s="7" t="s">
        <v>45</v>
      </c>
      <c r="D188" s="4" t="s">
        <v>65</v>
      </c>
      <c r="E188" s="4" t="s">
        <v>333</v>
      </c>
      <c r="F188" s="9" t="s">
        <v>3083</v>
      </c>
    </row>
    <row r="189">
      <c r="A189" s="4">
        <v>188.0</v>
      </c>
      <c r="B189" s="4" t="s">
        <v>155</v>
      </c>
      <c r="C189" s="7" t="s">
        <v>45</v>
      </c>
      <c r="D189" s="4" t="s">
        <v>65</v>
      </c>
      <c r="E189" s="4" t="s">
        <v>595</v>
      </c>
      <c r="F189" s="9" t="s">
        <v>3109</v>
      </c>
    </row>
    <row r="190">
      <c r="A190" s="4">
        <v>189.0</v>
      </c>
      <c r="B190" s="4" t="s">
        <v>44</v>
      </c>
      <c r="C190" s="7" t="s">
        <v>45</v>
      </c>
      <c r="D190" s="4" t="s">
        <v>65</v>
      </c>
      <c r="E190" s="4" t="s">
        <v>618</v>
      </c>
      <c r="F190" s="9" t="s">
        <v>3130</v>
      </c>
    </row>
    <row r="191">
      <c r="A191" s="4">
        <v>190.0</v>
      </c>
      <c r="B191" s="4" t="s">
        <v>155</v>
      </c>
      <c r="C191" s="7" t="s">
        <v>45</v>
      </c>
      <c r="D191" s="4" t="s">
        <v>65</v>
      </c>
      <c r="E191" s="4" t="s">
        <v>805</v>
      </c>
      <c r="F191" s="9" t="s">
        <v>3140</v>
      </c>
    </row>
    <row r="192">
      <c r="A192" s="4">
        <v>191.0</v>
      </c>
      <c r="B192" s="4" t="s">
        <v>217</v>
      </c>
      <c r="C192" s="7" t="s">
        <v>45</v>
      </c>
      <c r="D192" s="4" t="s">
        <v>65</v>
      </c>
      <c r="E192" s="4" t="s">
        <v>220</v>
      </c>
      <c r="F192" s="9" t="s">
        <v>3155</v>
      </c>
    </row>
    <row r="193">
      <c r="A193" s="4">
        <v>192.0</v>
      </c>
      <c r="B193" s="4" t="s">
        <v>127</v>
      </c>
      <c r="C193" s="7" t="s">
        <v>45</v>
      </c>
      <c r="D193" s="4" t="s">
        <v>65</v>
      </c>
      <c r="E193" s="4" t="s">
        <v>254</v>
      </c>
      <c r="F193" s="9" t="s">
        <v>3168</v>
      </c>
    </row>
    <row r="194">
      <c r="A194" s="4">
        <v>193.0</v>
      </c>
      <c r="B194" s="4" t="s">
        <v>136</v>
      </c>
      <c r="C194" s="7" t="s">
        <v>137</v>
      </c>
      <c r="D194" s="4" t="s">
        <v>65</v>
      </c>
      <c r="E194" s="4" t="s">
        <v>278</v>
      </c>
      <c r="F194" s="9" t="s">
        <v>3184</v>
      </c>
    </row>
    <row r="195">
      <c r="A195" s="4">
        <v>194.0</v>
      </c>
      <c r="B195" s="4" t="s">
        <v>409</v>
      </c>
      <c r="C195" s="7" t="s">
        <v>45</v>
      </c>
      <c r="D195" s="4" t="s">
        <v>65</v>
      </c>
      <c r="E195" s="4" t="s">
        <v>410</v>
      </c>
      <c r="F195" s="9" t="s">
        <v>3202</v>
      </c>
    </row>
    <row r="196">
      <c r="A196" s="4">
        <v>195.0</v>
      </c>
      <c r="B196" s="4" t="s">
        <v>217</v>
      </c>
      <c r="C196" s="7" t="s">
        <v>45</v>
      </c>
      <c r="D196" s="4" t="s">
        <v>65</v>
      </c>
      <c r="E196" s="4" t="s">
        <v>735</v>
      </c>
      <c r="F196" s="9" t="s">
        <v>3212</v>
      </c>
    </row>
    <row r="197">
      <c r="A197" s="4">
        <v>196.0</v>
      </c>
      <c r="B197" s="4" t="s">
        <v>217</v>
      </c>
      <c r="C197" s="7" t="s">
        <v>45</v>
      </c>
      <c r="D197" s="4" t="s">
        <v>65</v>
      </c>
      <c r="E197" s="4" t="s">
        <v>1190</v>
      </c>
      <c r="F197" s="9" t="s">
        <v>3231</v>
      </c>
    </row>
    <row r="198">
      <c r="A198" s="4">
        <v>197.0</v>
      </c>
      <c r="B198" s="4" t="s">
        <v>331</v>
      </c>
      <c r="C198" s="7" t="s">
        <v>45</v>
      </c>
      <c r="D198" s="4" t="s">
        <v>65</v>
      </c>
      <c r="E198" s="4" t="s">
        <v>333</v>
      </c>
      <c r="F198" s="9" t="s">
        <v>3244</v>
      </c>
    </row>
    <row r="199">
      <c r="A199" s="4">
        <v>198.0</v>
      </c>
      <c r="B199" s="4" t="s">
        <v>155</v>
      </c>
      <c r="C199" s="7" t="s">
        <v>45</v>
      </c>
      <c r="D199" s="4" t="s">
        <v>65</v>
      </c>
      <c r="E199" s="4" t="s">
        <v>595</v>
      </c>
      <c r="F199" s="9" t="s">
        <v>3261</v>
      </c>
    </row>
    <row r="200">
      <c r="A200" s="4">
        <v>199.0</v>
      </c>
      <c r="B200" s="4" t="s">
        <v>44</v>
      </c>
      <c r="C200" s="7" t="s">
        <v>45</v>
      </c>
      <c r="D200" s="4" t="s">
        <v>65</v>
      </c>
      <c r="E200" s="4" t="s">
        <v>618</v>
      </c>
      <c r="F200" s="9" t="s">
        <v>3280</v>
      </c>
    </row>
    <row r="201">
      <c r="A201" s="17" t="s">
        <v>3292</v>
      </c>
      <c r="B201" s="18"/>
      <c r="C201" s="18"/>
      <c r="D201" s="18"/>
      <c r="E201" s="18"/>
      <c r="F201" s="19"/>
      <c r="G201" s="18"/>
      <c r="H201" s="18"/>
      <c r="I201" s="18"/>
      <c r="J201" s="18"/>
      <c r="K201" s="18"/>
      <c r="L201" s="18"/>
      <c r="M201" s="18"/>
      <c r="N201" s="18"/>
      <c r="O201" s="18"/>
      <c r="P201" s="18"/>
      <c r="Q201" s="18"/>
      <c r="R201" s="18"/>
      <c r="S201" s="18"/>
      <c r="T201" s="18"/>
      <c r="U201" s="18"/>
      <c r="V201" s="18"/>
      <c r="W201" s="18"/>
      <c r="X201" s="18"/>
      <c r="Y201" s="18"/>
      <c r="Z201" s="18"/>
    </row>
    <row r="202">
      <c r="A202" s="4">
        <v>200.0</v>
      </c>
      <c r="B202" s="4" t="s">
        <v>1098</v>
      </c>
      <c r="C202" s="7" t="s">
        <v>3305</v>
      </c>
      <c r="D202" s="4" t="s">
        <v>3310</v>
      </c>
      <c r="E202" s="4" t="s">
        <v>3311</v>
      </c>
      <c r="F202" s="9" t="s">
        <v>3312</v>
      </c>
    </row>
    <row r="203">
      <c r="A203" s="4">
        <v>201.0</v>
      </c>
      <c r="B203" s="4" t="s">
        <v>44</v>
      </c>
      <c r="C203" s="7" t="s">
        <v>3305</v>
      </c>
      <c r="D203" s="4" t="s">
        <v>3310</v>
      </c>
      <c r="E203" s="4" t="s">
        <v>3322</v>
      </c>
      <c r="F203" s="9" t="s">
        <v>3324</v>
      </c>
    </row>
    <row r="204">
      <c r="A204" s="4">
        <v>202.0</v>
      </c>
      <c r="B204" s="4" t="s">
        <v>44</v>
      </c>
      <c r="C204" s="7" t="s">
        <v>3305</v>
      </c>
      <c r="D204" s="4" t="s">
        <v>3310</v>
      </c>
      <c r="E204" s="4" t="s">
        <v>3322</v>
      </c>
      <c r="F204" s="9" t="s">
        <v>3337</v>
      </c>
    </row>
    <row r="205">
      <c r="A205" s="4">
        <v>203.0</v>
      </c>
      <c r="B205" s="4" t="s">
        <v>155</v>
      </c>
      <c r="C205" s="7" t="s">
        <v>3349</v>
      </c>
      <c r="D205" s="4" t="s">
        <v>3310</v>
      </c>
      <c r="E205" s="4" t="s">
        <v>3354</v>
      </c>
      <c r="F205" s="9" t="s">
        <v>3355</v>
      </c>
    </row>
    <row r="206">
      <c r="A206" s="4">
        <v>204.0</v>
      </c>
      <c r="B206" s="4" t="s">
        <v>127</v>
      </c>
      <c r="C206" s="7" t="s">
        <v>3368</v>
      </c>
      <c r="D206" s="4" t="s">
        <v>3310</v>
      </c>
      <c r="E206" s="4" t="s">
        <v>3373</v>
      </c>
      <c r="F206" s="9" t="s">
        <v>3375</v>
      </c>
    </row>
    <row r="207">
      <c r="A207" s="4">
        <v>205.0</v>
      </c>
      <c r="B207" s="4" t="s">
        <v>44</v>
      </c>
      <c r="C207" s="7" t="s">
        <v>3305</v>
      </c>
      <c r="D207" s="4" t="s">
        <v>3310</v>
      </c>
      <c r="E207" s="4" t="s">
        <v>3387</v>
      </c>
      <c r="F207" s="9" t="s">
        <v>3388</v>
      </c>
    </row>
    <row r="208">
      <c r="A208" s="4">
        <v>206.0</v>
      </c>
      <c r="B208" s="4" t="s">
        <v>44</v>
      </c>
      <c r="C208" s="7" t="s">
        <v>3305</v>
      </c>
      <c r="D208" s="4" t="s">
        <v>3310</v>
      </c>
      <c r="E208" s="4" t="s">
        <v>3402</v>
      </c>
      <c r="F208" s="9" t="s">
        <v>3403</v>
      </c>
    </row>
    <row r="209">
      <c r="A209" s="4">
        <v>207.0</v>
      </c>
      <c r="B209" s="4" t="s">
        <v>44</v>
      </c>
      <c r="C209" s="7" t="s">
        <v>3305</v>
      </c>
      <c r="D209" s="4" t="s">
        <v>3310</v>
      </c>
      <c r="E209" s="4" t="s">
        <v>3322</v>
      </c>
      <c r="F209" s="9" t="s">
        <v>3413</v>
      </c>
    </row>
    <row r="210">
      <c r="A210" s="4">
        <v>208.0</v>
      </c>
      <c r="B210" s="4" t="s">
        <v>44</v>
      </c>
      <c r="C210" s="7" t="s">
        <v>3305</v>
      </c>
      <c r="D210" s="4" t="s">
        <v>3310</v>
      </c>
      <c r="E210" s="4" t="s">
        <v>3322</v>
      </c>
      <c r="F210" s="9" t="s">
        <v>3428</v>
      </c>
    </row>
    <row r="211">
      <c r="A211" s="4">
        <v>209.0</v>
      </c>
      <c r="B211" s="4" t="s">
        <v>44</v>
      </c>
      <c r="C211" s="7" t="s">
        <v>3443</v>
      </c>
      <c r="D211" s="4" t="s">
        <v>3310</v>
      </c>
      <c r="E211" s="4" t="s">
        <v>3449</v>
      </c>
      <c r="F211" s="9" t="s">
        <v>3450</v>
      </c>
    </row>
    <row r="212">
      <c r="A212" s="4">
        <v>210.0</v>
      </c>
      <c r="B212" s="4" t="s">
        <v>155</v>
      </c>
      <c r="C212" s="7" t="s">
        <v>3349</v>
      </c>
      <c r="D212" s="4" t="s">
        <v>3310</v>
      </c>
      <c r="E212" s="4" t="s">
        <v>3467</v>
      </c>
      <c r="F212" s="9" t="s">
        <v>3468</v>
      </c>
    </row>
    <row r="213">
      <c r="A213" s="4">
        <v>211.0</v>
      </c>
      <c r="B213" s="4" t="s">
        <v>44</v>
      </c>
      <c r="C213" s="7" t="s">
        <v>3305</v>
      </c>
      <c r="D213" s="4" t="s">
        <v>3310</v>
      </c>
      <c r="E213" s="4" t="s">
        <v>3322</v>
      </c>
      <c r="F213" s="9" t="s">
        <v>3481</v>
      </c>
    </row>
    <row r="214">
      <c r="A214" s="4">
        <v>212.0</v>
      </c>
      <c r="B214" s="4" t="s">
        <v>1098</v>
      </c>
      <c r="C214" s="7" t="s">
        <v>3305</v>
      </c>
      <c r="D214" s="4" t="s">
        <v>3310</v>
      </c>
      <c r="E214" s="4" t="s">
        <v>3311</v>
      </c>
      <c r="F214" s="9" t="s">
        <v>3492</v>
      </c>
    </row>
    <row r="215">
      <c r="A215" s="4">
        <v>213.0</v>
      </c>
      <c r="B215" s="4" t="s">
        <v>44</v>
      </c>
      <c r="C215" s="7" t="s">
        <v>3443</v>
      </c>
      <c r="D215" s="4" t="s">
        <v>3310</v>
      </c>
      <c r="E215" s="4" t="s">
        <v>3505</v>
      </c>
      <c r="F215" s="9" t="s">
        <v>3506</v>
      </c>
    </row>
    <row r="216">
      <c r="A216" s="4">
        <v>214.0</v>
      </c>
      <c r="B216" s="4" t="s">
        <v>44</v>
      </c>
      <c r="C216" s="7" t="s">
        <v>3305</v>
      </c>
      <c r="D216" s="4" t="s">
        <v>3310</v>
      </c>
      <c r="E216" s="4" t="s">
        <v>3322</v>
      </c>
      <c r="F216" s="9" t="s">
        <v>3520</v>
      </c>
    </row>
    <row r="217">
      <c r="A217" s="4">
        <v>215.0</v>
      </c>
      <c r="B217" s="4" t="s">
        <v>155</v>
      </c>
      <c r="C217" s="7" t="s">
        <v>3349</v>
      </c>
      <c r="D217" s="4" t="s">
        <v>3310</v>
      </c>
      <c r="E217" s="4" t="s">
        <v>3354</v>
      </c>
      <c r="F217" s="9" t="s">
        <v>3530</v>
      </c>
    </row>
    <row r="218">
      <c r="A218" s="4">
        <v>216.0</v>
      </c>
      <c r="B218" s="4" t="s">
        <v>127</v>
      </c>
      <c r="C218" s="7" t="s">
        <v>3368</v>
      </c>
      <c r="D218" s="4" t="s">
        <v>3310</v>
      </c>
      <c r="E218" s="4" t="s">
        <v>3373</v>
      </c>
      <c r="F218" s="9" t="s">
        <v>3543</v>
      </c>
    </row>
    <row r="219">
      <c r="A219" s="4">
        <v>217.0</v>
      </c>
      <c r="B219" s="4" t="s">
        <v>44</v>
      </c>
      <c r="C219" s="7" t="s">
        <v>3305</v>
      </c>
      <c r="D219" s="4" t="s">
        <v>3310</v>
      </c>
      <c r="E219" s="4" t="s">
        <v>3387</v>
      </c>
      <c r="F219" s="9" t="s">
        <v>3554</v>
      </c>
    </row>
    <row r="220">
      <c r="A220" s="4">
        <v>218.0</v>
      </c>
      <c r="B220" s="4" t="s">
        <v>44</v>
      </c>
      <c r="C220" s="7" t="s">
        <v>3305</v>
      </c>
      <c r="D220" s="4" t="s">
        <v>3310</v>
      </c>
      <c r="E220" s="4" t="s">
        <v>3402</v>
      </c>
      <c r="F220" s="9" t="s">
        <v>3567</v>
      </c>
    </row>
    <row r="221">
      <c r="A221" s="4">
        <v>219.0</v>
      </c>
      <c r="B221" s="4" t="s">
        <v>972</v>
      </c>
      <c r="C221" s="7" t="s">
        <v>3579</v>
      </c>
      <c r="D221" s="4" t="s">
        <v>3310</v>
      </c>
      <c r="E221" s="4" t="s">
        <v>3584</v>
      </c>
      <c r="F221" s="9" t="s">
        <v>3585</v>
      </c>
    </row>
    <row r="222">
      <c r="A222" s="4">
        <v>220.0</v>
      </c>
      <c r="B222" s="4" t="s">
        <v>1098</v>
      </c>
      <c r="C222" s="7" t="s">
        <v>3305</v>
      </c>
      <c r="D222" s="4" t="s">
        <v>3310</v>
      </c>
      <c r="E222" s="4" t="s">
        <v>3601</v>
      </c>
      <c r="F222" s="9" t="s">
        <v>3602</v>
      </c>
    </row>
    <row r="223">
      <c r="A223" s="4">
        <v>221.0</v>
      </c>
      <c r="B223" s="4" t="s">
        <v>44</v>
      </c>
      <c r="C223" s="7" t="s">
        <v>3443</v>
      </c>
      <c r="D223" s="4" t="s">
        <v>3310</v>
      </c>
      <c r="E223" s="4" t="s">
        <v>3449</v>
      </c>
      <c r="F223" s="9" t="s">
        <v>3610</v>
      </c>
    </row>
    <row r="224">
      <c r="A224" s="4">
        <v>222.0</v>
      </c>
      <c r="B224" s="4" t="s">
        <v>44</v>
      </c>
      <c r="C224" s="7" t="s">
        <v>3305</v>
      </c>
      <c r="D224" s="4" t="s">
        <v>3310</v>
      </c>
      <c r="E224" s="4" t="s">
        <v>3322</v>
      </c>
      <c r="F224" s="9" t="s">
        <v>3620</v>
      </c>
    </row>
    <row r="225">
      <c r="A225" s="4">
        <v>223.0</v>
      </c>
      <c r="B225" s="4" t="s">
        <v>217</v>
      </c>
      <c r="C225" s="7" t="s">
        <v>3305</v>
      </c>
      <c r="D225" s="4" t="s">
        <v>3310</v>
      </c>
      <c r="E225" s="4" t="s">
        <v>3633</v>
      </c>
      <c r="F225" s="9" t="s">
        <v>3636</v>
      </c>
    </row>
    <row r="226">
      <c r="A226" s="4">
        <v>224.0</v>
      </c>
      <c r="B226" s="4" t="s">
        <v>1098</v>
      </c>
      <c r="C226" s="7" t="s">
        <v>3305</v>
      </c>
      <c r="D226" s="4" t="s">
        <v>3310</v>
      </c>
      <c r="E226" s="4" t="s">
        <v>3311</v>
      </c>
      <c r="F226" s="9" t="s">
        <v>3648</v>
      </c>
    </row>
    <row r="227">
      <c r="A227" s="4">
        <v>225.0</v>
      </c>
      <c r="B227" s="4" t="s">
        <v>44</v>
      </c>
      <c r="C227" s="7" t="s">
        <v>3305</v>
      </c>
      <c r="D227" s="4" t="s">
        <v>3310</v>
      </c>
      <c r="E227" s="4" t="s">
        <v>3322</v>
      </c>
      <c r="F227" s="9" t="s">
        <v>3658</v>
      </c>
    </row>
    <row r="228">
      <c r="A228" s="4">
        <v>226.0</v>
      </c>
      <c r="B228" s="4" t="s">
        <v>3672</v>
      </c>
      <c r="C228" s="7" t="s">
        <v>3673</v>
      </c>
      <c r="D228" s="4" t="s">
        <v>3310</v>
      </c>
      <c r="E228" s="4" t="s">
        <v>3679</v>
      </c>
      <c r="F228" s="9" t="s">
        <v>3680</v>
      </c>
    </row>
    <row r="229">
      <c r="A229" s="4">
        <v>227.0</v>
      </c>
      <c r="B229" s="4" t="s">
        <v>155</v>
      </c>
      <c r="C229" s="7" t="s">
        <v>3349</v>
      </c>
      <c r="D229" s="4" t="s">
        <v>3310</v>
      </c>
      <c r="E229" s="4" t="s">
        <v>3354</v>
      </c>
      <c r="F229" s="9" t="s">
        <v>3691</v>
      </c>
    </row>
    <row r="230">
      <c r="A230" s="4">
        <v>228.0</v>
      </c>
      <c r="B230" s="4" t="s">
        <v>127</v>
      </c>
      <c r="C230" s="7" t="s">
        <v>3368</v>
      </c>
      <c r="D230" s="4" t="s">
        <v>3310</v>
      </c>
      <c r="E230" s="4" t="s">
        <v>3373</v>
      </c>
      <c r="F230" s="9" t="s">
        <v>3705</v>
      </c>
    </row>
    <row r="231">
      <c r="A231" s="4">
        <v>229.0</v>
      </c>
      <c r="B231" s="4" t="s">
        <v>155</v>
      </c>
      <c r="C231" s="7" t="s">
        <v>3349</v>
      </c>
      <c r="D231" s="4" t="s">
        <v>3310</v>
      </c>
      <c r="E231" s="4" t="s">
        <v>3716</v>
      </c>
      <c r="F231" s="9" t="s">
        <v>3717</v>
      </c>
    </row>
    <row r="232">
      <c r="A232" s="4">
        <v>230.0</v>
      </c>
      <c r="B232" s="4" t="s">
        <v>44</v>
      </c>
      <c r="C232" s="7" t="s">
        <v>3305</v>
      </c>
      <c r="D232" s="4" t="s">
        <v>3310</v>
      </c>
      <c r="E232" s="4" t="s">
        <v>3402</v>
      </c>
      <c r="F232" s="9" t="s">
        <v>3727</v>
      </c>
    </row>
    <row r="233">
      <c r="A233" s="4">
        <v>231.0</v>
      </c>
      <c r="B233" s="4" t="s">
        <v>972</v>
      </c>
      <c r="C233" s="7" t="s">
        <v>3579</v>
      </c>
      <c r="D233" s="4" t="s">
        <v>3310</v>
      </c>
      <c r="E233" s="4" t="s">
        <v>3584</v>
      </c>
      <c r="F233" s="9" t="s">
        <v>3741</v>
      </c>
    </row>
    <row r="234">
      <c r="A234" s="4">
        <v>232.0</v>
      </c>
      <c r="B234" s="4" t="s">
        <v>1098</v>
      </c>
      <c r="C234" s="7" t="s">
        <v>3305</v>
      </c>
      <c r="D234" s="4" t="s">
        <v>3310</v>
      </c>
      <c r="E234" s="4" t="s">
        <v>3601</v>
      </c>
      <c r="F234" s="9" t="s">
        <v>3750</v>
      </c>
    </row>
    <row r="235">
      <c r="A235" s="4">
        <v>233.0</v>
      </c>
      <c r="B235" s="4" t="s">
        <v>44</v>
      </c>
      <c r="C235" s="7" t="s">
        <v>3443</v>
      </c>
      <c r="D235" s="4" t="s">
        <v>3310</v>
      </c>
      <c r="E235" s="4" t="s">
        <v>3449</v>
      </c>
      <c r="F235" s="9" t="s">
        <v>3761</v>
      </c>
    </row>
    <row r="236">
      <c r="A236" s="4">
        <v>234.0</v>
      </c>
      <c r="B236" s="4" t="s">
        <v>155</v>
      </c>
      <c r="C236" s="7" t="s">
        <v>3349</v>
      </c>
      <c r="D236" s="4" t="s">
        <v>3310</v>
      </c>
      <c r="E236" s="4" t="s">
        <v>3467</v>
      </c>
      <c r="F236" s="9" t="s">
        <v>3773</v>
      </c>
    </row>
    <row r="237">
      <c r="A237" s="4">
        <v>235.0</v>
      </c>
      <c r="B237" s="4" t="s">
        <v>217</v>
      </c>
      <c r="C237" s="7" t="s">
        <v>3305</v>
      </c>
      <c r="D237" s="4" t="s">
        <v>3310</v>
      </c>
      <c r="E237" s="4" t="s">
        <v>3633</v>
      </c>
      <c r="F237" s="9" t="s">
        <v>3783</v>
      </c>
    </row>
    <row r="238">
      <c r="A238" s="4">
        <v>236.0</v>
      </c>
      <c r="B238" s="4" t="s">
        <v>1098</v>
      </c>
      <c r="C238" s="7" t="s">
        <v>3305</v>
      </c>
      <c r="D238" s="4" t="s">
        <v>3310</v>
      </c>
      <c r="E238" s="4" t="s">
        <v>3311</v>
      </c>
      <c r="F238" s="9" t="s">
        <v>3794</v>
      </c>
    </row>
    <row r="239">
      <c r="A239" s="4">
        <v>237.0</v>
      </c>
      <c r="B239" s="4" t="s">
        <v>44</v>
      </c>
      <c r="C239" s="7" t="s">
        <v>3443</v>
      </c>
      <c r="D239" s="4" t="s">
        <v>3310</v>
      </c>
      <c r="E239" s="4" t="s">
        <v>3505</v>
      </c>
      <c r="F239" s="9" t="s">
        <v>3810</v>
      </c>
    </row>
    <row r="240">
      <c r="A240" s="4">
        <v>238.0</v>
      </c>
      <c r="B240" s="4" t="s">
        <v>3672</v>
      </c>
      <c r="C240" s="7" t="s">
        <v>3673</v>
      </c>
      <c r="D240" s="4" t="s">
        <v>3310</v>
      </c>
      <c r="E240" s="4" t="s">
        <v>3679</v>
      </c>
      <c r="F240" s="9" t="s">
        <v>3820</v>
      </c>
    </row>
    <row r="241">
      <c r="A241" s="4">
        <v>239.0</v>
      </c>
      <c r="B241" s="4" t="s">
        <v>155</v>
      </c>
      <c r="C241" s="7" t="s">
        <v>3349</v>
      </c>
      <c r="D241" s="4" t="s">
        <v>3310</v>
      </c>
      <c r="E241" s="4" t="s">
        <v>3354</v>
      </c>
      <c r="F241" s="9" t="s">
        <v>3832</v>
      </c>
    </row>
    <row r="242">
      <c r="A242" s="4">
        <v>240.0</v>
      </c>
      <c r="B242" s="4" t="s">
        <v>127</v>
      </c>
      <c r="C242" s="7" t="s">
        <v>3368</v>
      </c>
      <c r="D242" s="4" t="s">
        <v>3310</v>
      </c>
      <c r="E242" s="4" t="s">
        <v>3373</v>
      </c>
      <c r="F242" s="9" t="s">
        <v>3845</v>
      </c>
    </row>
    <row r="243">
      <c r="A243" s="4">
        <v>241.0</v>
      </c>
      <c r="B243" s="4" t="s">
        <v>44</v>
      </c>
      <c r="C243" s="7" t="s">
        <v>3305</v>
      </c>
      <c r="D243" s="4" t="s">
        <v>3310</v>
      </c>
      <c r="E243" s="4" t="s">
        <v>3387</v>
      </c>
      <c r="F243" s="9" t="s">
        <v>3856</v>
      </c>
    </row>
    <row r="244">
      <c r="A244" s="4">
        <v>242.0</v>
      </c>
      <c r="B244" s="4" t="s">
        <v>44</v>
      </c>
      <c r="C244" s="7" t="s">
        <v>3305</v>
      </c>
      <c r="D244" s="4" t="s">
        <v>3310</v>
      </c>
      <c r="E244" s="4" t="s">
        <v>3402</v>
      </c>
      <c r="F244" s="9" t="s">
        <v>3867</v>
      </c>
    </row>
    <row r="245">
      <c r="A245" s="4">
        <v>243.0</v>
      </c>
      <c r="B245" s="4" t="s">
        <v>972</v>
      </c>
      <c r="C245" s="7" t="s">
        <v>3579</v>
      </c>
      <c r="D245" s="4" t="s">
        <v>3310</v>
      </c>
      <c r="E245" s="4" t="s">
        <v>3584</v>
      </c>
      <c r="F245" s="9" t="s">
        <v>3879</v>
      </c>
    </row>
    <row r="246">
      <c r="A246" s="4">
        <v>244.0</v>
      </c>
      <c r="B246" s="4" t="s">
        <v>1098</v>
      </c>
      <c r="C246" s="7" t="s">
        <v>3305</v>
      </c>
      <c r="D246" s="4" t="s">
        <v>3310</v>
      </c>
      <c r="E246" s="4" t="s">
        <v>3601</v>
      </c>
      <c r="F246" s="9" t="s">
        <v>3886</v>
      </c>
    </row>
    <row r="247">
      <c r="A247" s="4">
        <v>245.0</v>
      </c>
      <c r="B247" s="4" t="s">
        <v>44</v>
      </c>
      <c r="C247" s="7" t="s">
        <v>3305</v>
      </c>
      <c r="D247" s="4" t="s">
        <v>3310</v>
      </c>
      <c r="E247" s="4" t="s">
        <v>3322</v>
      </c>
      <c r="F247" s="9" t="s">
        <v>3900</v>
      </c>
    </row>
    <row r="248">
      <c r="A248" s="4">
        <v>246.0</v>
      </c>
      <c r="B248" s="4" t="s">
        <v>155</v>
      </c>
      <c r="C248" s="7" t="s">
        <v>3349</v>
      </c>
      <c r="D248" s="4" t="s">
        <v>3310</v>
      </c>
      <c r="E248" s="4" t="s">
        <v>3467</v>
      </c>
      <c r="F248" s="9" t="s">
        <v>3914</v>
      </c>
    </row>
    <row r="249">
      <c r="A249" s="4">
        <v>247.0</v>
      </c>
      <c r="B249" s="4" t="s">
        <v>217</v>
      </c>
      <c r="C249" s="7" t="s">
        <v>3305</v>
      </c>
      <c r="D249" s="4" t="s">
        <v>3310</v>
      </c>
      <c r="E249" s="4" t="s">
        <v>3633</v>
      </c>
      <c r="F249" s="9" t="s">
        <v>3924</v>
      </c>
    </row>
    <row r="250">
      <c r="A250" s="4">
        <v>248.0</v>
      </c>
      <c r="B250" s="4" t="s">
        <v>1098</v>
      </c>
      <c r="C250" s="7" t="s">
        <v>3305</v>
      </c>
      <c r="D250" s="4" t="s">
        <v>3310</v>
      </c>
      <c r="E250" s="4" t="s">
        <v>3311</v>
      </c>
      <c r="F250" s="9" t="s">
        <v>3935</v>
      </c>
    </row>
    <row r="251">
      <c r="A251" s="4">
        <v>249.0</v>
      </c>
      <c r="B251" s="4" t="s">
        <v>44</v>
      </c>
      <c r="C251" s="7" t="s">
        <v>3443</v>
      </c>
      <c r="D251" s="4" t="s">
        <v>3310</v>
      </c>
      <c r="E251" s="4" t="s">
        <v>3505</v>
      </c>
      <c r="F251" s="9" t="s">
        <v>3945</v>
      </c>
    </row>
    <row r="252">
      <c r="A252" s="4">
        <v>250.0</v>
      </c>
      <c r="B252" s="4" t="s">
        <v>3672</v>
      </c>
      <c r="C252" s="7" t="s">
        <v>3673</v>
      </c>
      <c r="D252" s="4" t="s">
        <v>3310</v>
      </c>
      <c r="E252" s="4" t="s">
        <v>3679</v>
      </c>
      <c r="F252" s="9" t="s">
        <v>3959</v>
      </c>
    </row>
    <row r="253">
      <c r="A253" s="4">
        <v>251.0</v>
      </c>
      <c r="B253" s="4" t="s">
        <v>155</v>
      </c>
      <c r="C253" s="7" t="s">
        <v>3349</v>
      </c>
      <c r="D253" s="4" t="s">
        <v>3310</v>
      </c>
      <c r="E253" s="4" t="s">
        <v>3354</v>
      </c>
      <c r="F253" s="9" t="s">
        <v>3969</v>
      </c>
    </row>
    <row r="254">
      <c r="A254" s="4">
        <v>252.0</v>
      </c>
      <c r="B254" s="4" t="s">
        <v>127</v>
      </c>
      <c r="C254" s="7" t="s">
        <v>3368</v>
      </c>
      <c r="D254" s="4" t="s">
        <v>3310</v>
      </c>
      <c r="E254" s="4" t="s">
        <v>3373</v>
      </c>
      <c r="F254" s="9" t="s">
        <v>3979</v>
      </c>
    </row>
    <row r="255">
      <c r="A255" s="4">
        <v>253.0</v>
      </c>
      <c r="B255" s="4" t="s">
        <v>44</v>
      </c>
      <c r="C255" s="7" t="s">
        <v>3305</v>
      </c>
      <c r="D255" s="4" t="s">
        <v>3310</v>
      </c>
      <c r="E255" s="4" t="s">
        <v>3387</v>
      </c>
      <c r="F255" s="9" t="s">
        <v>3985</v>
      </c>
    </row>
    <row r="256">
      <c r="A256" s="4">
        <v>254.0</v>
      </c>
      <c r="B256" s="4" t="s">
        <v>44</v>
      </c>
      <c r="C256" s="7" t="s">
        <v>3305</v>
      </c>
      <c r="D256" s="4" t="s">
        <v>3310</v>
      </c>
      <c r="E256" s="4" t="s">
        <v>3402</v>
      </c>
      <c r="F256" s="9" t="s">
        <v>3996</v>
      </c>
    </row>
    <row r="257">
      <c r="A257" s="4">
        <v>255.0</v>
      </c>
      <c r="B257" s="4" t="s">
        <v>972</v>
      </c>
      <c r="C257" s="7" t="s">
        <v>3579</v>
      </c>
      <c r="D257" s="4" t="s">
        <v>3310</v>
      </c>
      <c r="E257" s="4" t="s">
        <v>3584</v>
      </c>
      <c r="F257" s="9" t="s">
        <v>4005</v>
      </c>
    </row>
    <row r="258">
      <c r="A258" s="4">
        <v>256.0</v>
      </c>
      <c r="B258" s="4" t="s">
        <v>44</v>
      </c>
      <c r="C258" s="7" t="s">
        <v>3305</v>
      </c>
      <c r="D258" s="4" t="s">
        <v>3310</v>
      </c>
      <c r="E258" s="4" t="s">
        <v>4020</v>
      </c>
      <c r="F258" s="9" t="s">
        <v>4021</v>
      </c>
    </row>
    <row r="259">
      <c r="A259" s="4">
        <v>257.0</v>
      </c>
      <c r="B259" s="4" t="s">
        <v>44</v>
      </c>
      <c r="C259" s="7" t="s">
        <v>3443</v>
      </c>
      <c r="D259" s="4" t="s">
        <v>3310</v>
      </c>
      <c r="E259" s="4" t="s">
        <v>3449</v>
      </c>
      <c r="F259" s="9" t="s">
        <v>4035</v>
      </c>
    </row>
    <row r="260">
      <c r="A260" s="4">
        <v>258.0</v>
      </c>
      <c r="B260" s="4" t="s">
        <v>155</v>
      </c>
      <c r="C260" s="7" t="s">
        <v>3349</v>
      </c>
      <c r="D260" s="4" t="s">
        <v>3310</v>
      </c>
      <c r="E260" s="4" t="s">
        <v>3467</v>
      </c>
      <c r="F260" s="9" t="s">
        <v>4044</v>
      </c>
    </row>
    <row r="261">
      <c r="A261" s="4">
        <v>259.0</v>
      </c>
      <c r="B261" s="4" t="s">
        <v>217</v>
      </c>
      <c r="C261" s="7" t="s">
        <v>3305</v>
      </c>
      <c r="D261" s="4" t="s">
        <v>3310</v>
      </c>
      <c r="E261" s="4" t="s">
        <v>3633</v>
      </c>
      <c r="F261" s="9" t="s">
        <v>4060</v>
      </c>
    </row>
    <row r="262">
      <c r="A262" s="4">
        <v>260.0</v>
      </c>
      <c r="B262" s="4" t="s">
        <v>1098</v>
      </c>
      <c r="C262" s="7" t="s">
        <v>3305</v>
      </c>
      <c r="D262" s="4" t="s">
        <v>3310</v>
      </c>
      <c r="E262" s="4" t="s">
        <v>3311</v>
      </c>
      <c r="F262" s="9" t="s">
        <v>4069</v>
      </c>
    </row>
    <row r="263">
      <c r="A263" s="4">
        <v>261.0</v>
      </c>
      <c r="B263" s="4" t="s">
        <v>44</v>
      </c>
      <c r="C263" s="7" t="s">
        <v>3443</v>
      </c>
      <c r="D263" s="4" t="s">
        <v>3310</v>
      </c>
      <c r="E263" s="4" t="s">
        <v>3505</v>
      </c>
      <c r="F263" s="9" t="s">
        <v>4080</v>
      </c>
    </row>
    <row r="264">
      <c r="A264" s="4">
        <v>262.0</v>
      </c>
      <c r="B264" s="4" t="s">
        <v>3672</v>
      </c>
      <c r="C264" s="7" t="s">
        <v>3673</v>
      </c>
      <c r="D264" s="4" t="s">
        <v>3310</v>
      </c>
      <c r="E264" s="4" t="s">
        <v>3679</v>
      </c>
      <c r="F264" s="9" t="s">
        <v>4094</v>
      </c>
    </row>
    <row r="265">
      <c r="A265" s="4">
        <v>263.0</v>
      </c>
      <c r="B265" s="4" t="s">
        <v>155</v>
      </c>
      <c r="C265" s="7" t="s">
        <v>3349</v>
      </c>
      <c r="D265" s="4" t="s">
        <v>3310</v>
      </c>
      <c r="E265" s="4" t="s">
        <v>3354</v>
      </c>
      <c r="F265" s="9" t="s">
        <v>4107</v>
      </c>
    </row>
    <row r="266">
      <c r="A266" s="4">
        <v>264.0</v>
      </c>
      <c r="B266" s="4" t="s">
        <v>127</v>
      </c>
      <c r="C266" s="7" t="s">
        <v>3368</v>
      </c>
      <c r="D266" s="4" t="s">
        <v>3310</v>
      </c>
      <c r="E266" s="4" t="s">
        <v>3373</v>
      </c>
      <c r="F266" s="9" t="s">
        <v>4123</v>
      </c>
    </row>
    <row r="267">
      <c r="A267" s="4">
        <v>265.0</v>
      </c>
      <c r="B267" s="4" t="s">
        <v>44</v>
      </c>
      <c r="C267" s="7" t="s">
        <v>3305</v>
      </c>
      <c r="D267" s="4" t="s">
        <v>3310</v>
      </c>
      <c r="E267" s="4" t="s">
        <v>3387</v>
      </c>
      <c r="F267" s="9" t="s">
        <v>4132</v>
      </c>
    </row>
    <row r="268">
      <c r="A268" s="4">
        <v>266.0</v>
      </c>
      <c r="B268" s="4" t="s">
        <v>44</v>
      </c>
      <c r="C268" s="7" t="s">
        <v>3305</v>
      </c>
      <c r="D268" s="4" t="s">
        <v>3310</v>
      </c>
      <c r="E268" s="4" t="s">
        <v>3402</v>
      </c>
      <c r="F268" s="9" t="s">
        <v>4144</v>
      </c>
    </row>
    <row r="269">
      <c r="A269" s="4">
        <v>267.0</v>
      </c>
      <c r="B269" s="4" t="s">
        <v>972</v>
      </c>
      <c r="C269" s="7" t="s">
        <v>3579</v>
      </c>
      <c r="D269" s="4" t="s">
        <v>3310</v>
      </c>
      <c r="E269" s="4" t="s">
        <v>3584</v>
      </c>
      <c r="F269" s="9" t="s">
        <v>4155</v>
      </c>
    </row>
    <row r="270">
      <c r="A270" s="4">
        <v>268.0</v>
      </c>
      <c r="B270" s="4" t="s">
        <v>1098</v>
      </c>
      <c r="C270" s="7" t="s">
        <v>3305</v>
      </c>
      <c r="D270" s="4" t="s">
        <v>3310</v>
      </c>
      <c r="E270" s="4" t="s">
        <v>3601</v>
      </c>
      <c r="F270" s="9" t="s">
        <v>4169</v>
      </c>
    </row>
    <row r="271">
      <c r="A271" s="4">
        <v>269.0</v>
      </c>
      <c r="B271" s="4" t="s">
        <v>44</v>
      </c>
      <c r="C271" s="7" t="s">
        <v>3443</v>
      </c>
      <c r="D271" s="4" t="s">
        <v>3310</v>
      </c>
      <c r="E271" s="4" t="s">
        <v>3449</v>
      </c>
      <c r="F271" s="9" t="s">
        <v>4180</v>
      </c>
    </row>
    <row r="272">
      <c r="A272" s="4">
        <v>270.0</v>
      </c>
      <c r="B272" s="4" t="s">
        <v>155</v>
      </c>
      <c r="C272" s="7" t="s">
        <v>3349</v>
      </c>
      <c r="D272" s="4" t="s">
        <v>3310</v>
      </c>
      <c r="E272" s="4" t="s">
        <v>3467</v>
      </c>
      <c r="F272" s="9" t="s">
        <v>4192</v>
      </c>
    </row>
    <row r="273">
      <c r="A273" s="4">
        <v>271.0</v>
      </c>
      <c r="B273" s="4" t="s">
        <v>217</v>
      </c>
      <c r="C273" s="7" t="s">
        <v>3305</v>
      </c>
      <c r="D273" s="4" t="s">
        <v>3310</v>
      </c>
      <c r="E273" s="4" t="s">
        <v>3633</v>
      </c>
      <c r="F273" s="9" t="s">
        <v>4202</v>
      </c>
    </row>
    <row r="274">
      <c r="A274" s="4">
        <v>272.0</v>
      </c>
      <c r="B274" s="4" t="s">
        <v>1098</v>
      </c>
      <c r="C274" s="7" t="s">
        <v>3305</v>
      </c>
      <c r="D274" s="4" t="s">
        <v>3310</v>
      </c>
      <c r="E274" s="4" t="s">
        <v>3311</v>
      </c>
      <c r="F274" s="9" t="s">
        <v>4218</v>
      </c>
    </row>
    <row r="275">
      <c r="A275" s="4">
        <v>273.0</v>
      </c>
      <c r="B275" s="4" t="s">
        <v>44</v>
      </c>
      <c r="C275" s="7" t="s">
        <v>3443</v>
      </c>
      <c r="D275" s="4" t="s">
        <v>3310</v>
      </c>
      <c r="E275" s="4" t="s">
        <v>3505</v>
      </c>
      <c r="F275" s="9" t="s">
        <v>4232</v>
      </c>
    </row>
    <row r="276">
      <c r="A276" s="4">
        <v>274.0</v>
      </c>
      <c r="B276" s="4" t="s">
        <v>3672</v>
      </c>
      <c r="C276" s="7" t="s">
        <v>3673</v>
      </c>
      <c r="D276" s="4" t="s">
        <v>3310</v>
      </c>
      <c r="E276" s="4" t="s">
        <v>3679</v>
      </c>
      <c r="F276" s="9" t="s">
        <v>4245</v>
      </c>
    </row>
    <row r="277">
      <c r="A277" s="4">
        <v>275.0</v>
      </c>
      <c r="B277" s="4" t="s">
        <v>155</v>
      </c>
      <c r="C277" s="7" t="s">
        <v>3349</v>
      </c>
      <c r="D277" s="4" t="s">
        <v>3310</v>
      </c>
      <c r="E277" s="4" t="s">
        <v>3354</v>
      </c>
      <c r="F277" s="9" t="s">
        <v>4256</v>
      </c>
    </row>
    <row r="278">
      <c r="A278" s="4">
        <v>276.0</v>
      </c>
      <c r="B278" s="4" t="s">
        <v>127</v>
      </c>
      <c r="C278" s="7" t="s">
        <v>3368</v>
      </c>
      <c r="D278" s="4" t="s">
        <v>3310</v>
      </c>
      <c r="E278" s="4" t="s">
        <v>3373</v>
      </c>
      <c r="F278" s="9" t="s">
        <v>4265</v>
      </c>
    </row>
    <row r="279">
      <c r="A279" s="4">
        <v>277.0</v>
      </c>
      <c r="B279" s="4" t="s">
        <v>44</v>
      </c>
      <c r="C279" s="7" t="s">
        <v>3305</v>
      </c>
      <c r="D279" s="4" t="s">
        <v>3310</v>
      </c>
      <c r="E279" s="4" t="s">
        <v>3387</v>
      </c>
      <c r="F279" s="9" t="s">
        <v>4280</v>
      </c>
    </row>
    <row r="280">
      <c r="A280" s="4">
        <v>278.0</v>
      </c>
      <c r="B280" s="4" t="s">
        <v>44</v>
      </c>
      <c r="C280" s="7" t="s">
        <v>3305</v>
      </c>
      <c r="D280" s="4" t="s">
        <v>3310</v>
      </c>
      <c r="E280" s="4" t="s">
        <v>3402</v>
      </c>
      <c r="F280" s="9" t="s">
        <v>4292</v>
      </c>
    </row>
    <row r="281">
      <c r="A281" s="4">
        <v>279.0</v>
      </c>
      <c r="B281" s="4" t="s">
        <v>44</v>
      </c>
      <c r="C281" s="7" t="s">
        <v>3443</v>
      </c>
      <c r="D281" s="4" t="s">
        <v>3310</v>
      </c>
      <c r="E281" s="4" t="s">
        <v>4306</v>
      </c>
      <c r="F281" s="9" t="s">
        <v>4307</v>
      </c>
    </row>
    <row r="282">
      <c r="A282" s="4">
        <v>280.0</v>
      </c>
      <c r="B282" s="4" t="s">
        <v>1098</v>
      </c>
      <c r="C282" s="7" t="s">
        <v>3305</v>
      </c>
      <c r="D282" s="4" t="s">
        <v>3310</v>
      </c>
      <c r="E282" s="4" t="s">
        <v>3601</v>
      </c>
      <c r="F282" s="9" t="s">
        <v>4318</v>
      </c>
    </row>
    <row r="283">
      <c r="A283" s="4">
        <v>281.0</v>
      </c>
      <c r="B283" s="4" t="s">
        <v>44</v>
      </c>
      <c r="C283" s="7" t="s">
        <v>3443</v>
      </c>
      <c r="D283" s="4" t="s">
        <v>3310</v>
      </c>
      <c r="E283" s="4" t="s">
        <v>3449</v>
      </c>
      <c r="F283" s="9" t="s">
        <v>4335</v>
      </c>
    </row>
    <row r="284">
      <c r="A284" s="4">
        <v>282.0</v>
      </c>
      <c r="B284" s="4" t="s">
        <v>155</v>
      </c>
      <c r="C284" s="7" t="s">
        <v>3349</v>
      </c>
      <c r="D284" s="4" t="s">
        <v>3310</v>
      </c>
      <c r="E284" s="4" t="s">
        <v>3467</v>
      </c>
      <c r="F284" s="9" t="s">
        <v>4352</v>
      </c>
    </row>
    <row r="285">
      <c r="A285" s="4">
        <v>283.0</v>
      </c>
      <c r="B285" s="4" t="s">
        <v>217</v>
      </c>
      <c r="C285" s="7" t="s">
        <v>3305</v>
      </c>
      <c r="D285" s="4" t="s">
        <v>3310</v>
      </c>
      <c r="E285" s="4" t="s">
        <v>3633</v>
      </c>
      <c r="F285" s="9" t="s">
        <v>4369</v>
      </c>
    </row>
    <row r="286">
      <c r="A286" s="4">
        <v>284.0</v>
      </c>
      <c r="B286" s="4" t="s">
        <v>1098</v>
      </c>
      <c r="C286" s="7" t="s">
        <v>3305</v>
      </c>
      <c r="D286" s="4" t="s">
        <v>3310</v>
      </c>
      <c r="E286" s="4" t="s">
        <v>3311</v>
      </c>
      <c r="F286" s="9" t="s">
        <v>4376</v>
      </c>
    </row>
    <row r="287">
      <c r="A287" s="4">
        <v>285.0</v>
      </c>
      <c r="B287" s="4" t="s">
        <v>44</v>
      </c>
      <c r="C287" s="7" t="s">
        <v>3443</v>
      </c>
      <c r="D287" s="4" t="s">
        <v>3310</v>
      </c>
      <c r="E287" s="4" t="s">
        <v>3505</v>
      </c>
      <c r="F287" s="9" t="s">
        <v>4390</v>
      </c>
    </row>
    <row r="288">
      <c r="A288" s="4">
        <v>286.0</v>
      </c>
      <c r="B288" s="4" t="s">
        <v>3672</v>
      </c>
      <c r="C288" s="7" t="s">
        <v>3673</v>
      </c>
      <c r="D288" s="4" t="s">
        <v>3310</v>
      </c>
      <c r="E288" s="4" t="s">
        <v>3679</v>
      </c>
      <c r="F288" s="9" t="s">
        <v>4403</v>
      </c>
    </row>
    <row r="289">
      <c r="A289" s="4">
        <v>287.0</v>
      </c>
      <c r="B289" s="4" t="s">
        <v>155</v>
      </c>
      <c r="C289" s="7" t="s">
        <v>3349</v>
      </c>
      <c r="D289" s="4" t="s">
        <v>3310</v>
      </c>
      <c r="E289" s="4" t="s">
        <v>3354</v>
      </c>
      <c r="F289" s="9" t="s">
        <v>4416</v>
      </c>
    </row>
    <row r="290">
      <c r="A290" s="4">
        <v>288.0</v>
      </c>
      <c r="B290" s="4" t="s">
        <v>127</v>
      </c>
      <c r="C290" s="7" t="s">
        <v>3368</v>
      </c>
      <c r="D290" s="4" t="s">
        <v>3310</v>
      </c>
      <c r="E290" s="4" t="s">
        <v>3373</v>
      </c>
      <c r="F290" s="9" t="s">
        <v>4425</v>
      </c>
    </row>
    <row r="291">
      <c r="A291" s="4">
        <v>289.0</v>
      </c>
      <c r="B291" s="4" t="s">
        <v>44</v>
      </c>
      <c r="C291" s="7" t="s">
        <v>3305</v>
      </c>
      <c r="D291" s="4" t="s">
        <v>3310</v>
      </c>
      <c r="E291" s="4" t="s">
        <v>3387</v>
      </c>
      <c r="F291" s="9" t="s">
        <v>4432</v>
      </c>
    </row>
    <row r="292">
      <c r="A292" s="4">
        <v>290.0</v>
      </c>
      <c r="B292" s="4" t="s">
        <v>44</v>
      </c>
      <c r="C292" s="7" t="s">
        <v>3305</v>
      </c>
      <c r="D292" s="4" t="s">
        <v>3310</v>
      </c>
      <c r="E292" s="4" t="s">
        <v>3402</v>
      </c>
      <c r="F292" s="9" t="s">
        <v>4441</v>
      </c>
    </row>
    <row r="293">
      <c r="A293" s="4">
        <v>291.0</v>
      </c>
      <c r="B293" s="4" t="s">
        <v>972</v>
      </c>
      <c r="C293" s="7" t="s">
        <v>3579</v>
      </c>
      <c r="D293" s="4" t="s">
        <v>3310</v>
      </c>
      <c r="E293" s="4" t="s">
        <v>3584</v>
      </c>
      <c r="F293" s="9" t="s">
        <v>4452</v>
      </c>
    </row>
    <row r="294">
      <c r="A294" s="4">
        <v>292.0</v>
      </c>
      <c r="B294" s="4" t="s">
        <v>1098</v>
      </c>
      <c r="C294" s="7" t="s">
        <v>3305</v>
      </c>
      <c r="D294" s="4" t="s">
        <v>3310</v>
      </c>
      <c r="E294" s="4" t="s">
        <v>3601</v>
      </c>
      <c r="F294" s="9" t="s">
        <v>4465</v>
      </c>
    </row>
    <row r="295">
      <c r="A295" s="4">
        <v>293.0</v>
      </c>
      <c r="B295" s="4" t="s">
        <v>44</v>
      </c>
      <c r="C295" s="7" t="s">
        <v>3443</v>
      </c>
      <c r="D295" s="4" t="s">
        <v>3310</v>
      </c>
      <c r="E295" s="4" t="s">
        <v>3449</v>
      </c>
      <c r="F295" s="9" t="s">
        <v>4479</v>
      </c>
    </row>
    <row r="296">
      <c r="A296" s="4">
        <v>294.0</v>
      </c>
      <c r="B296" s="4" t="s">
        <v>155</v>
      </c>
      <c r="C296" s="7" t="s">
        <v>3349</v>
      </c>
      <c r="D296" s="4" t="s">
        <v>3310</v>
      </c>
      <c r="E296" s="4" t="s">
        <v>3467</v>
      </c>
      <c r="F296" s="9" t="s">
        <v>4494</v>
      </c>
    </row>
    <row r="297">
      <c r="A297" s="4">
        <v>295.0</v>
      </c>
      <c r="B297" s="4" t="s">
        <v>217</v>
      </c>
      <c r="C297" s="7" t="s">
        <v>3305</v>
      </c>
      <c r="D297" s="4" t="s">
        <v>3310</v>
      </c>
      <c r="E297" s="4" t="s">
        <v>3633</v>
      </c>
      <c r="F297" s="9" t="s">
        <v>4503</v>
      </c>
    </row>
    <row r="298">
      <c r="A298" s="4">
        <v>296.0</v>
      </c>
      <c r="B298" s="4" t="s">
        <v>1098</v>
      </c>
      <c r="C298" s="7" t="s">
        <v>3305</v>
      </c>
      <c r="D298" s="4" t="s">
        <v>3310</v>
      </c>
      <c r="E298" s="4" t="s">
        <v>4518</v>
      </c>
      <c r="F298" s="9" t="s">
        <v>4519</v>
      </c>
    </row>
    <row r="299">
      <c r="A299" s="4">
        <v>297.0</v>
      </c>
      <c r="B299" s="4" t="s">
        <v>44</v>
      </c>
      <c r="C299" s="7" t="s">
        <v>3443</v>
      </c>
      <c r="D299" s="4" t="s">
        <v>3310</v>
      </c>
      <c r="E299" s="4" t="s">
        <v>4306</v>
      </c>
      <c r="F299" s="9" t="s">
        <v>4530</v>
      </c>
    </row>
    <row r="300">
      <c r="A300" s="4">
        <v>298.0</v>
      </c>
      <c r="B300" s="4" t="s">
        <v>3672</v>
      </c>
      <c r="C300" s="7" t="s">
        <v>3673</v>
      </c>
      <c r="D300" s="4" t="s">
        <v>3310</v>
      </c>
      <c r="E300" s="4" t="s">
        <v>3679</v>
      </c>
      <c r="F300" s="9" t="s">
        <v>4541</v>
      </c>
    </row>
    <row r="301">
      <c r="A301" s="4">
        <v>299.0</v>
      </c>
      <c r="B301" s="4" t="s">
        <v>155</v>
      </c>
      <c r="C301" s="7" t="s">
        <v>3349</v>
      </c>
      <c r="D301" s="4" t="s">
        <v>3310</v>
      </c>
      <c r="E301" s="4" t="s">
        <v>3354</v>
      </c>
      <c r="F301" s="9" t="s">
        <v>4555</v>
      </c>
    </row>
    <row r="302">
      <c r="A302" s="4">
        <v>300.0</v>
      </c>
      <c r="B302" s="4" t="s">
        <v>127</v>
      </c>
      <c r="C302" s="7" t="s">
        <v>3368</v>
      </c>
      <c r="D302" s="4" t="s">
        <v>3310</v>
      </c>
      <c r="E302" s="4" t="s">
        <v>3373</v>
      </c>
      <c r="F302" s="9" t="s">
        <v>4566</v>
      </c>
    </row>
    <row r="303">
      <c r="A303" s="4">
        <v>301.0</v>
      </c>
      <c r="B303" s="4" t="s">
        <v>44</v>
      </c>
      <c r="C303" s="7" t="s">
        <v>3305</v>
      </c>
      <c r="D303" s="4" t="s">
        <v>3310</v>
      </c>
      <c r="E303" s="4" t="s">
        <v>3322</v>
      </c>
      <c r="F303" s="9" t="s">
        <v>4582</v>
      </c>
    </row>
    <row r="304">
      <c r="A304" s="4">
        <v>302.0</v>
      </c>
      <c r="B304" s="4" t="s">
        <v>44</v>
      </c>
      <c r="C304" s="7" t="s">
        <v>3305</v>
      </c>
      <c r="D304" s="4" t="s">
        <v>3310</v>
      </c>
      <c r="E304" s="4" t="s">
        <v>3402</v>
      </c>
      <c r="F304" s="9" t="s">
        <v>4597</v>
      </c>
    </row>
    <row r="305">
      <c r="A305" s="4">
        <v>303.0</v>
      </c>
      <c r="B305" s="4" t="s">
        <v>972</v>
      </c>
      <c r="C305" s="7" t="s">
        <v>3579</v>
      </c>
      <c r="D305" s="4" t="s">
        <v>3310</v>
      </c>
      <c r="E305" s="4" t="s">
        <v>3584</v>
      </c>
      <c r="F305" s="9" t="s">
        <v>4608</v>
      </c>
    </row>
    <row r="306">
      <c r="A306" s="4">
        <v>304.0</v>
      </c>
      <c r="B306" s="4" t="s">
        <v>44</v>
      </c>
      <c r="C306" s="7" t="s">
        <v>3305</v>
      </c>
      <c r="D306" s="4" t="s">
        <v>3310</v>
      </c>
      <c r="E306" s="4" t="s">
        <v>3322</v>
      </c>
      <c r="F306" s="9" t="s">
        <v>4621</v>
      </c>
    </row>
    <row r="307">
      <c r="A307" s="4">
        <v>305.0</v>
      </c>
      <c r="B307" s="4" t="s">
        <v>44</v>
      </c>
      <c r="C307" s="7" t="s">
        <v>3443</v>
      </c>
      <c r="D307" s="4" t="s">
        <v>3310</v>
      </c>
      <c r="E307" s="4" t="s">
        <v>3449</v>
      </c>
      <c r="F307" s="9" t="s">
        <v>4633</v>
      </c>
    </row>
    <row r="308">
      <c r="A308" s="4">
        <v>306.0</v>
      </c>
      <c r="B308" s="4" t="s">
        <v>155</v>
      </c>
      <c r="C308" s="7" t="s">
        <v>3349</v>
      </c>
      <c r="D308" s="4" t="s">
        <v>3310</v>
      </c>
      <c r="E308" s="4" t="s">
        <v>3467</v>
      </c>
      <c r="F308" s="9" t="s">
        <v>4643</v>
      </c>
    </row>
    <row r="309">
      <c r="A309" s="4">
        <v>307.0</v>
      </c>
      <c r="B309" s="4" t="s">
        <v>217</v>
      </c>
      <c r="C309" s="7" t="s">
        <v>3305</v>
      </c>
      <c r="D309" s="4" t="s">
        <v>3310</v>
      </c>
      <c r="E309" s="4" t="s">
        <v>3633</v>
      </c>
      <c r="F309" s="9" t="s">
        <v>4657</v>
      </c>
    </row>
    <row r="310">
      <c r="A310" s="4">
        <v>308.0</v>
      </c>
      <c r="B310" s="4" t="s">
        <v>1098</v>
      </c>
      <c r="C310" s="7" t="s">
        <v>3305</v>
      </c>
      <c r="D310" s="4" t="s">
        <v>3310</v>
      </c>
      <c r="E310" s="4" t="s">
        <v>3311</v>
      </c>
      <c r="F310" s="9" t="s">
        <v>4665</v>
      </c>
    </row>
    <row r="311">
      <c r="A311" s="4">
        <v>309.0</v>
      </c>
      <c r="B311" s="4" t="s">
        <v>44</v>
      </c>
      <c r="C311" s="7" t="s">
        <v>3443</v>
      </c>
      <c r="D311" s="4" t="s">
        <v>3310</v>
      </c>
      <c r="E311" s="4" t="s">
        <v>3505</v>
      </c>
      <c r="F311" s="9" t="s">
        <v>4678</v>
      </c>
    </row>
    <row r="312">
      <c r="A312" s="4">
        <v>310.0</v>
      </c>
      <c r="B312" s="4" t="s">
        <v>3672</v>
      </c>
      <c r="C312" s="7" t="s">
        <v>3673</v>
      </c>
      <c r="D312" s="4" t="s">
        <v>3310</v>
      </c>
      <c r="E312" s="4" t="s">
        <v>3679</v>
      </c>
      <c r="F312" s="9" t="s">
        <v>4694</v>
      </c>
    </row>
    <row r="313">
      <c r="A313" s="4">
        <v>311.0</v>
      </c>
      <c r="B313" s="4" t="s">
        <v>155</v>
      </c>
      <c r="C313" s="7" t="s">
        <v>3349</v>
      </c>
      <c r="D313" s="4" t="s">
        <v>3310</v>
      </c>
      <c r="E313" s="4" t="s">
        <v>3354</v>
      </c>
      <c r="F313" s="9" t="s">
        <v>4709</v>
      </c>
    </row>
    <row r="314">
      <c r="A314" s="4">
        <v>312.0</v>
      </c>
      <c r="B314" s="4" t="s">
        <v>127</v>
      </c>
      <c r="C314" s="7" t="s">
        <v>3368</v>
      </c>
      <c r="D314" s="4" t="s">
        <v>3310</v>
      </c>
      <c r="E314" s="4" t="s">
        <v>3373</v>
      </c>
      <c r="F314" s="9" t="s">
        <v>4722</v>
      </c>
    </row>
    <row r="315">
      <c r="A315" s="4">
        <v>313.0</v>
      </c>
      <c r="B315" s="4" t="s">
        <v>44</v>
      </c>
      <c r="C315" s="7" t="s">
        <v>3305</v>
      </c>
      <c r="D315" s="4" t="s">
        <v>3310</v>
      </c>
      <c r="E315" s="4" t="s">
        <v>3387</v>
      </c>
      <c r="F315" s="9" t="s">
        <v>4733</v>
      </c>
    </row>
    <row r="316">
      <c r="A316" s="4">
        <v>314.0</v>
      </c>
      <c r="B316" s="4" t="s">
        <v>44</v>
      </c>
      <c r="C316" s="7" t="s">
        <v>3305</v>
      </c>
      <c r="D316" s="4" t="s">
        <v>3310</v>
      </c>
      <c r="E316" s="4" t="s">
        <v>3402</v>
      </c>
      <c r="F316" s="9" t="s">
        <v>4742</v>
      </c>
    </row>
    <row r="317">
      <c r="A317" s="4">
        <v>315.0</v>
      </c>
      <c r="B317" s="4" t="s">
        <v>972</v>
      </c>
      <c r="C317" s="7" t="s">
        <v>3579</v>
      </c>
      <c r="D317" s="4" t="s">
        <v>3310</v>
      </c>
      <c r="E317" s="4" t="s">
        <v>3584</v>
      </c>
      <c r="F317" s="9" t="s">
        <v>4750</v>
      </c>
    </row>
    <row r="318">
      <c r="A318" s="4">
        <v>316.0</v>
      </c>
      <c r="B318" s="4" t="s">
        <v>1098</v>
      </c>
      <c r="C318" s="7" t="s">
        <v>3305</v>
      </c>
      <c r="D318" s="4" t="s">
        <v>3310</v>
      </c>
      <c r="E318" s="4" t="s">
        <v>3601</v>
      </c>
      <c r="F318" s="9" t="s">
        <v>4758</v>
      </c>
    </row>
    <row r="319">
      <c r="A319" s="4">
        <v>317.0</v>
      </c>
      <c r="B319" s="4" t="s">
        <v>44</v>
      </c>
      <c r="C319" s="7" t="s">
        <v>3443</v>
      </c>
      <c r="D319" s="4" t="s">
        <v>3310</v>
      </c>
      <c r="E319" s="4" t="s">
        <v>3449</v>
      </c>
      <c r="F319" s="9" t="s">
        <v>4769</v>
      </c>
    </row>
    <row r="320">
      <c r="A320" s="4">
        <v>318.0</v>
      </c>
      <c r="B320" s="4" t="s">
        <v>155</v>
      </c>
      <c r="C320" s="7" t="s">
        <v>3349</v>
      </c>
      <c r="D320" s="4" t="s">
        <v>3310</v>
      </c>
      <c r="E320" s="4" t="s">
        <v>3467</v>
      </c>
      <c r="F320" s="9" t="s">
        <v>4784</v>
      </c>
    </row>
    <row r="321">
      <c r="A321" s="4">
        <v>319.0</v>
      </c>
      <c r="B321" s="4" t="s">
        <v>217</v>
      </c>
      <c r="C321" s="7" t="s">
        <v>3305</v>
      </c>
      <c r="D321" s="4" t="s">
        <v>3310</v>
      </c>
      <c r="E321" s="4" t="s">
        <v>3633</v>
      </c>
      <c r="F321" s="9" t="s">
        <v>4795</v>
      </c>
    </row>
    <row r="322">
      <c r="A322" s="4">
        <v>320.0</v>
      </c>
      <c r="B322" s="4" t="s">
        <v>1098</v>
      </c>
      <c r="C322" s="7" t="s">
        <v>3305</v>
      </c>
      <c r="D322" s="4" t="s">
        <v>3310</v>
      </c>
      <c r="E322" s="4" t="s">
        <v>3311</v>
      </c>
      <c r="F322" s="9" t="s">
        <v>4804</v>
      </c>
    </row>
    <row r="323">
      <c r="A323" s="4">
        <v>321.0</v>
      </c>
      <c r="B323" s="4" t="s">
        <v>44</v>
      </c>
      <c r="C323" s="7" t="s">
        <v>3443</v>
      </c>
      <c r="D323" s="4" t="s">
        <v>3310</v>
      </c>
      <c r="E323" s="4" t="s">
        <v>3505</v>
      </c>
      <c r="F323" s="9" t="s">
        <v>4812</v>
      </c>
    </row>
    <row r="324">
      <c r="A324" s="4">
        <v>322.0</v>
      </c>
      <c r="B324" s="4" t="s">
        <v>3672</v>
      </c>
      <c r="C324" s="7" t="s">
        <v>3673</v>
      </c>
      <c r="D324" s="4" t="s">
        <v>3310</v>
      </c>
      <c r="E324" s="4" t="s">
        <v>3679</v>
      </c>
      <c r="F324" s="9" t="s">
        <v>4823</v>
      </c>
    </row>
    <row r="325">
      <c r="A325" s="4">
        <v>323.0</v>
      </c>
      <c r="B325" s="4" t="s">
        <v>155</v>
      </c>
      <c r="C325" s="7" t="s">
        <v>3349</v>
      </c>
      <c r="D325" s="4" t="s">
        <v>3310</v>
      </c>
      <c r="E325" s="4" t="s">
        <v>3354</v>
      </c>
      <c r="F325" s="9" t="s">
        <v>4834</v>
      </c>
    </row>
    <row r="326">
      <c r="A326" s="4">
        <v>324.0</v>
      </c>
      <c r="B326" s="4" t="s">
        <v>127</v>
      </c>
      <c r="C326" s="7" t="s">
        <v>3368</v>
      </c>
      <c r="D326" s="4" t="s">
        <v>3310</v>
      </c>
      <c r="E326" s="4" t="s">
        <v>3373</v>
      </c>
      <c r="F326" s="9" t="s">
        <v>4846</v>
      </c>
    </row>
    <row r="327">
      <c r="A327" s="4">
        <v>325.0</v>
      </c>
      <c r="B327" s="4" t="s">
        <v>44</v>
      </c>
      <c r="C327" s="7" t="s">
        <v>3305</v>
      </c>
      <c r="D327" s="4" t="s">
        <v>3310</v>
      </c>
      <c r="E327" s="4" t="s">
        <v>3387</v>
      </c>
      <c r="F327" s="9" t="s">
        <v>4853</v>
      </c>
    </row>
    <row r="328">
      <c r="A328" s="4">
        <v>326.0</v>
      </c>
      <c r="B328" s="4" t="s">
        <v>44</v>
      </c>
      <c r="C328" s="7" t="s">
        <v>3305</v>
      </c>
      <c r="D328" s="4" t="s">
        <v>3310</v>
      </c>
      <c r="E328" s="4" t="s">
        <v>3402</v>
      </c>
      <c r="F328" s="9" t="s">
        <v>4863</v>
      </c>
    </row>
    <row r="329">
      <c r="A329" s="4">
        <v>327.0</v>
      </c>
      <c r="B329" s="4" t="s">
        <v>972</v>
      </c>
      <c r="C329" s="7" t="s">
        <v>3579</v>
      </c>
      <c r="D329" s="4" t="s">
        <v>3310</v>
      </c>
      <c r="E329" s="4" t="s">
        <v>3584</v>
      </c>
      <c r="F329" s="9" t="s">
        <v>4865</v>
      </c>
    </row>
    <row r="330">
      <c r="A330" s="4">
        <v>328.0</v>
      </c>
      <c r="B330" s="4" t="s">
        <v>1098</v>
      </c>
      <c r="C330" s="7" t="s">
        <v>3305</v>
      </c>
      <c r="D330" s="4" t="s">
        <v>3310</v>
      </c>
      <c r="E330" s="4" t="s">
        <v>3601</v>
      </c>
      <c r="F330" s="9" t="s">
        <v>4868</v>
      </c>
    </row>
    <row r="331">
      <c r="A331" s="4">
        <v>329.0</v>
      </c>
      <c r="B331" s="4" t="s">
        <v>44</v>
      </c>
      <c r="C331" s="7" t="s">
        <v>3443</v>
      </c>
      <c r="D331" s="4" t="s">
        <v>3310</v>
      </c>
      <c r="E331" s="4" t="s">
        <v>3449</v>
      </c>
      <c r="F331" s="9" t="s">
        <v>4870</v>
      </c>
    </row>
    <row r="332">
      <c r="A332" s="4">
        <v>330.0</v>
      </c>
      <c r="B332" s="4" t="s">
        <v>155</v>
      </c>
      <c r="C332" s="7" t="s">
        <v>3349</v>
      </c>
      <c r="D332" s="4" t="s">
        <v>3310</v>
      </c>
      <c r="E332" s="4" t="s">
        <v>3467</v>
      </c>
      <c r="F332" s="9" t="s">
        <v>4872</v>
      </c>
    </row>
    <row r="333">
      <c r="A333" s="4">
        <v>331.0</v>
      </c>
      <c r="B333" s="4" t="s">
        <v>217</v>
      </c>
      <c r="C333" s="7" t="s">
        <v>3305</v>
      </c>
      <c r="D333" s="4" t="s">
        <v>3310</v>
      </c>
      <c r="E333" s="4" t="s">
        <v>3633</v>
      </c>
      <c r="F333" s="9" t="s">
        <v>4875</v>
      </c>
    </row>
    <row r="334">
      <c r="A334" s="4">
        <v>332.0</v>
      </c>
      <c r="B334" s="4" t="s">
        <v>1098</v>
      </c>
      <c r="C334" s="7" t="s">
        <v>3305</v>
      </c>
      <c r="D334" s="4" t="s">
        <v>3310</v>
      </c>
      <c r="E334" s="4" t="s">
        <v>3311</v>
      </c>
      <c r="F334" s="9" t="s">
        <v>4877</v>
      </c>
    </row>
    <row r="335">
      <c r="A335" s="4">
        <v>333.0</v>
      </c>
      <c r="B335" s="4" t="s">
        <v>44</v>
      </c>
      <c r="C335" s="7" t="s">
        <v>3443</v>
      </c>
      <c r="D335" s="4" t="s">
        <v>3310</v>
      </c>
      <c r="E335" s="4" t="s">
        <v>3505</v>
      </c>
      <c r="F335" s="9" t="s">
        <v>4882</v>
      </c>
    </row>
    <row r="336">
      <c r="A336" s="4">
        <v>334.0</v>
      </c>
      <c r="B336" s="4" t="s">
        <v>3672</v>
      </c>
      <c r="C336" s="7" t="s">
        <v>3673</v>
      </c>
      <c r="D336" s="4" t="s">
        <v>3310</v>
      </c>
      <c r="E336" s="4" t="s">
        <v>3679</v>
      </c>
      <c r="F336" s="9" t="s">
        <v>4884</v>
      </c>
    </row>
    <row r="337">
      <c r="A337" s="4">
        <v>335.0</v>
      </c>
      <c r="B337" s="4" t="s">
        <v>155</v>
      </c>
      <c r="C337" s="7" t="s">
        <v>3349</v>
      </c>
      <c r="D337" s="4" t="s">
        <v>3310</v>
      </c>
      <c r="E337" s="4" t="s">
        <v>3354</v>
      </c>
      <c r="F337" s="9" t="s">
        <v>4887</v>
      </c>
    </row>
    <row r="338">
      <c r="A338" s="4">
        <v>336.0</v>
      </c>
      <c r="B338" s="4" t="s">
        <v>127</v>
      </c>
      <c r="C338" s="7" t="s">
        <v>3368</v>
      </c>
      <c r="D338" s="4" t="s">
        <v>3310</v>
      </c>
      <c r="E338" s="4" t="s">
        <v>3373</v>
      </c>
      <c r="F338" s="9" t="s">
        <v>4889</v>
      </c>
    </row>
    <row r="339">
      <c r="A339" s="4">
        <v>337.0</v>
      </c>
      <c r="B339" s="4" t="s">
        <v>44</v>
      </c>
      <c r="C339" s="7" t="s">
        <v>3305</v>
      </c>
      <c r="D339" s="4" t="s">
        <v>3310</v>
      </c>
      <c r="E339" s="4" t="s">
        <v>3387</v>
      </c>
      <c r="F339" s="9" t="s">
        <v>4892</v>
      </c>
    </row>
    <row r="340">
      <c r="A340" s="4">
        <v>338.0</v>
      </c>
      <c r="B340" s="4" t="s">
        <v>44</v>
      </c>
      <c r="C340" s="7" t="s">
        <v>3305</v>
      </c>
      <c r="D340" s="4" t="s">
        <v>3310</v>
      </c>
      <c r="E340" s="4" t="s">
        <v>3402</v>
      </c>
      <c r="F340" s="9" t="s">
        <v>4895</v>
      </c>
    </row>
    <row r="341">
      <c r="A341" s="4">
        <v>339.0</v>
      </c>
      <c r="B341" s="4" t="s">
        <v>972</v>
      </c>
      <c r="C341" s="7" t="s">
        <v>3579</v>
      </c>
      <c r="D341" s="4" t="s">
        <v>3310</v>
      </c>
      <c r="E341" s="4" t="s">
        <v>3584</v>
      </c>
      <c r="F341" s="9" t="s">
        <v>4897</v>
      </c>
    </row>
    <row r="342">
      <c r="A342" s="4">
        <v>340.0</v>
      </c>
      <c r="B342" s="4" t="s">
        <v>1098</v>
      </c>
      <c r="C342" s="7" t="s">
        <v>3305</v>
      </c>
      <c r="D342" s="4" t="s">
        <v>3310</v>
      </c>
      <c r="E342" s="4" t="s">
        <v>3601</v>
      </c>
      <c r="F342" s="9" t="s">
        <v>4900</v>
      </c>
    </row>
    <row r="343">
      <c r="A343" s="4">
        <v>341.0</v>
      </c>
      <c r="B343" s="4" t="s">
        <v>44</v>
      </c>
      <c r="C343" s="7" t="s">
        <v>3443</v>
      </c>
      <c r="D343" s="4" t="s">
        <v>3310</v>
      </c>
      <c r="E343" s="4" t="s">
        <v>3449</v>
      </c>
      <c r="F343" s="9" t="s">
        <v>4902</v>
      </c>
    </row>
    <row r="344">
      <c r="A344" s="4">
        <v>342.0</v>
      </c>
      <c r="B344" s="4" t="s">
        <v>155</v>
      </c>
      <c r="C344" s="7" t="s">
        <v>3349</v>
      </c>
      <c r="D344" s="4" t="s">
        <v>3310</v>
      </c>
      <c r="E344" s="4" t="s">
        <v>3467</v>
      </c>
      <c r="F344" s="9" t="s">
        <v>4905</v>
      </c>
    </row>
    <row r="345">
      <c r="A345" s="4">
        <v>343.0</v>
      </c>
      <c r="B345" s="4" t="s">
        <v>217</v>
      </c>
      <c r="C345" s="7" t="s">
        <v>3305</v>
      </c>
      <c r="D345" s="4" t="s">
        <v>3310</v>
      </c>
      <c r="E345" s="4" t="s">
        <v>3633</v>
      </c>
      <c r="F345" s="9" t="s">
        <v>4907</v>
      </c>
    </row>
    <row r="346">
      <c r="A346" s="4">
        <v>344.0</v>
      </c>
      <c r="B346" s="4" t="s">
        <v>1098</v>
      </c>
      <c r="C346" s="7" t="s">
        <v>3305</v>
      </c>
      <c r="D346" s="4" t="s">
        <v>3310</v>
      </c>
      <c r="E346" s="4" t="s">
        <v>3311</v>
      </c>
      <c r="F346" s="9" t="s">
        <v>4910</v>
      </c>
    </row>
    <row r="347">
      <c r="A347" s="4">
        <v>345.0</v>
      </c>
      <c r="B347" s="4" t="s">
        <v>44</v>
      </c>
      <c r="C347" s="7" t="s">
        <v>3443</v>
      </c>
      <c r="D347" s="4" t="s">
        <v>3310</v>
      </c>
      <c r="E347" s="4" t="s">
        <v>4306</v>
      </c>
      <c r="F347" s="9" t="s">
        <v>4913</v>
      </c>
    </row>
    <row r="348">
      <c r="A348" s="4">
        <v>346.0</v>
      </c>
      <c r="B348" s="4" t="s">
        <v>44</v>
      </c>
      <c r="C348" s="7" t="s">
        <v>3305</v>
      </c>
      <c r="D348" s="4" t="s">
        <v>3310</v>
      </c>
      <c r="E348" s="4" t="s">
        <v>4020</v>
      </c>
      <c r="F348" s="9" t="s">
        <v>4915</v>
      </c>
    </row>
    <row r="349">
      <c r="A349" s="4">
        <v>347.0</v>
      </c>
      <c r="B349" s="4" t="s">
        <v>155</v>
      </c>
      <c r="C349" s="7" t="s">
        <v>3349</v>
      </c>
      <c r="D349" s="4" t="s">
        <v>3310</v>
      </c>
      <c r="E349" s="4" t="s">
        <v>3354</v>
      </c>
      <c r="F349" s="9" t="s">
        <v>4918</v>
      </c>
    </row>
    <row r="350">
      <c r="A350" s="4">
        <v>348.0</v>
      </c>
      <c r="B350" s="4" t="s">
        <v>127</v>
      </c>
      <c r="C350" s="7" t="s">
        <v>3368</v>
      </c>
      <c r="D350" s="4" t="s">
        <v>3310</v>
      </c>
      <c r="E350" s="4" t="s">
        <v>3373</v>
      </c>
      <c r="F350" s="9" t="s">
        <v>4921</v>
      </c>
    </row>
    <row r="351">
      <c r="A351" s="4">
        <v>349.0</v>
      </c>
      <c r="B351" s="4" t="s">
        <v>44</v>
      </c>
      <c r="C351" s="7" t="s">
        <v>3305</v>
      </c>
      <c r="D351" s="4" t="s">
        <v>3310</v>
      </c>
      <c r="E351" s="4" t="s">
        <v>3387</v>
      </c>
      <c r="F351" s="9" t="s">
        <v>4923</v>
      </c>
    </row>
    <row r="352">
      <c r="A352" s="4">
        <v>350.0</v>
      </c>
      <c r="B352" s="4" t="s">
        <v>44</v>
      </c>
      <c r="C352" s="7" t="s">
        <v>3305</v>
      </c>
      <c r="D352" s="4" t="s">
        <v>3310</v>
      </c>
      <c r="E352" s="4" t="s">
        <v>3402</v>
      </c>
      <c r="F352" s="9" t="s">
        <v>4926</v>
      </c>
    </row>
    <row r="353">
      <c r="A353" s="4">
        <v>351.0</v>
      </c>
      <c r="B353" s="4" t="s">
        <v>972</v>
      </c>
      <c r="C353" s="7" t="s">
        <v>3579</v>
      </c>
      <c r="D353" s="4" t="s">
        <v>3310</v>
      </c>
      <c r="E353" s="4" t="s">
        <v>3584</v>
      </c>
      <c r="F353" s="9" t="s">
        <v>4928</v>
      </c>
    </row>
    <row r="354">
      <c r="A354" s="4">
        <v>352.0</v>
      </c>
      <c r="B354" s="4" t="s">
        <v>1098</v>
      </c>
      <c r="C354" s="7" t="s">
        <v>3305</v>
      </c>
      <c r="D354" s="4" t="s">
        <v>3310</v>
      </c>
      <c r="E354" s="4" t="s">
        <v>3601</v>
      </c>
      <c r="F354" s="9" t="s">
        <v>4930</v>
      </c>
    </row>
    <row r="355">
      <c r="A355" s="4">
        <v>353.0</v>
      </c>
      <c r="B355" s="4" t="s">
        <v>44</v>
      </c>
      <c r="C355" s="7" t="s">
        <v>3443</v>
      </c>
      <c r="D355" s="4" t="s">
        <v>3310</v>
      </c>
      <c r="E355" s="4" t="s">
        <v>3449</v>
      </c>
      <c r="F355" s="9" t="s">
        <v>4933</v>
      </c>
    </row>
    <row r="356">
      <c r="A356" s="4">
        <v>354.0</v>
      </c>
      <c r="B356" s="4" t="s">
        <v>155</v>
      </c>
      <c r="C356" s="7" t="s">
        <v>3349</v>
      </c>
      <c r="D356" s="4" t="s">
        <v>3310</v>
      </c>
      <c r="E356" s="4" t="s">
        <v>3467</v>
      </c>
      <c r="F356" s="9" t="s">
        <v>4935</v>
      </c>
    </row>
    <row r="357">
      <c r="A357" s="4">
        <v>355.0</v>
      </c>
      <c r="B357" s="4" t="s">
        <v>217</v>
      </c>
      <c r="C357" s="7" t="s">
        <v>3305</v>
      </c>
      <c r="D357" s="4" t="s">
        <v>3310</v>
      </c>
      <c r="E357" s="4" t="s">
        <v>3633</v>
      </c>
      <c r="F357" s="9" t="s">
        <v>4938</v>
      </c>
    </row>
    <row r="358">
      <c r="A358" s="4">
        <v>356.0</v>
      </c>
      <c r="B358" s="4" t="s">
        <v>1098</v>
      </c>
      <c r="C358" s="7" t="s">
        <v>3305</v>
      </c>
      <c r="D358" s="4" t="s">
        <v>3310</v>
      </c>
      <c r="E358" s="4" t="s">
        <v>3311</v>
      </c>
      <c r="F358" s="9" t="s">
        <v>4941</v>
      </c>
    </row>
    <row r="359">
      <c r="A359" s="4">
        <v>357.0</v>
      </c>
      <c r="B359" s="4" t="s">
        <v>44</v>
      </c>
      <c r="C359" s="7" t="s">
        <v>3443</v>
      </c>
      <c r="D359" s="4" t="s">
        <v>3310</v>
      </c>
      <c r="E359" s="4" t="s">
        <v>3505</v>
      </c>
      <c r="F359" s="9" t="s">
        <v>4943</v>
      </c>
    </row>
    <row r="360">
      <c r="A360" s="4">
        <v>358.0</v>
      </c>
      <c r="B360" s="4" t="s">
        <v>3672</v>
      </c>
      <c r="C360" s="7" t="s">
        <v>3673</v>
      </c>
      <c r="D360" s="4" t="s">
        <v>3310</v>
      </c>
      <c r="E360" s="4" t="s">
        <v>3679</v>
      </c>
      <c r="F360" s="9" t="s">
        <v>4946</v>
      </c>
    </row>
    <row r="361">
      <c r="A361" s="4">
        <v>359.0</v>
      </c>
      <c r="B361" s="4" t="s">
        <v>155</v>
      </c>
      <c r="C361" s="7" t="s">
        <v>3349</v>
      </c>
      <c r="D361" s="4" t="s">
        <v>3310</v>
      </c>
      <c r="E361" s="4" t="s">
        <v>3354</v>
      </c>
      <c r="F361" s="9" t="s">
        <v>4948</v>
      </c>
    </row>
    <row r="362">
      <c r="A362" s="4">
        <v>360.0</v>
      </c>
      <c r="B362" s="4" t="s">
        <v>127</v>
      </c>
      <c r="C362" s="7" t="s">
        <v>3368</v>
      </c>
      <c r="D362" s="4" t="s">
        <v>3310</v>
      </c>
      <c r="E362" s="4" t="s">
        <v>3373</v>
      </c>
      <c r="F362" s="9" t="s">
        <v>4951</v>
      </c>
    </row>
    <row r="363">
      <c r="A363" s="4">
        <v>361.0</v>
      </c>
      <c r="B363" s="4" t="s">
        <v>44</v>
      </c>
      <c r="C363" s="7" t="s">
        <v>3305</v>
      </c>
      <c r="D363" s="4" t="s">
        <v>3310</v>
      </c>
      <c r="E363" s="4" t="s">
        <v>3387</v>
      </c>
      <c r="F363" s="9" t="s">
        <v>4956</v>
      </c>
    </row>
    <row r="364">
      <c r="A364" s="4">
        <v>362.0</v>
      </c>
      <c r="B364" s="4" t="s">
        <v>44</v>
      </c>
      <c r="C364" s="7" t="s">
        <v>3305</v>
      </c>
      <c r="D364" s="4" t="s">
        <v>3310</v>
      </c>
      <c r="E364" s="4" t="s">
        <v>3402</v>
      </c>
      <c r="F364" s="9" t="s">
        <v>4959</v>
      </c>
    </row>
    <row r="365">
      <c r="A365" s="4">
        <v>363.0</v>
      </c>
      <c r="B365" s="4" t="s">
        <v>972</v>
      </c>
      <c r="C365" s="7" t="s">
        <v>3579</v>
      </c>
      <c r="D365" s="4" t="s">
        <v>3310</v>
      </c>
      <c r="E365" s="4" t="s">
        <v>3584</v>
      </c>
      <c r="F365" s="9" t="s">
        <v>4962</v>
      </c>
    </row>
    <row r="366">
      <c r="A366" s="4">
        <v>364.0</v>
      </c>
      <c r="B366" s="4" t="s">
        <v>1098</v>
      </c>
      <c r="C366" s="7" t="s">
        <v>3305</v>
      </c>
      <c r="D366" s="4" t="s">
        <v>3310</v>
      </c>
      <c r="E366" s="4" t="s">
        <v>3601</v>
      </c>
      <c r="F366" s="9" t="s">
        <v>4964</v>
      </c>
    </row>
    <row r="367">
      <c r="A367" s="4">
        <v>365.0</v>
      </c>
      <c r="B367" s="4" t="s">
        <v>44</v>
      </c>
      <c r="C367" s="7" t="s">
        <v>3443</v>
      </c>
      <c r="D367" s="4" t="s">
        <v>3310</v>
      </c>
      <c r="E367" s="4" t="s">
        <v>3449</v>
      </c>
      <c r="F367" s="9" t="s">
        <v>4968</v>
      </c>
    </row>
    <row r="368">
      <c r="A368" s="4">
        <v>366.0</v>
      </c>
      <c r="B368" s="4" t="s">
        <v>155</v>
      </c>
      <c r="C368" s="7" t="s">
        <v>3349</v>
      </c>
      <c r="D368" s="4" t="s">
        <v>3310</v>
      </c>
      <c r="E368" s="4" t="s">
        <v>3467</v>
      </c>
      <c r="F368" s="9" t="s">
        <v>4970</v>
      </c>
    </row>
    <row r="369">
      <c r="A369" s="4">
        <v>367.0</v>
      </c>
      <c r="B369" s="4" t="s">
        <v>217</v>
      </c>
      <c r="C369" s="7" t="s">
        <v>3305</v>
      </c>
      <c r="D369" s="4" t="s">
        <v>3310</v>
      </c>
      <c r="E369" s="4" t="s">
        <v>3633</v>
      </c>
      <c r="F369" s="9" t="s">
        <v>4973</v>
      </c>
    </row>
    <row r="370">
      <c r="A370" s="4">
        <v>368.0</v>
      </c>
      <c r="B370" s="4" t="s">
        <v>1098</v>
      </c>
      <c r="C370" s="7" t="s">
        <v>3305</v>
      </c>
      <c r="D370" s="4" t="s">
        <v>3310</v>
      </c>
      <c r="E370" s="4" t="s">
        <v>3311</v>
      </c>
      <c r="F370" s="9" t="s">
        <v>4976</v>
      </c>
    </row>
    <row r="371">
      <c r="A371" s="4">
        <v>369.0</v>
      </c>
      <c r="B371" s="4" t="s">
        <v>44</v>
      </c>
      <c r="C371" s="7" t="s">
        <v>3443</v>
      </c>
      <c r="D371" s="4" t="s">
        <v>3310</v>
      </c>
      <c r="E371" s="4" t="s">
        <v>3505</v>
      </c>
      <c r="F371" s="9" t="s">
        <v>4978</v>
      </c>
    </row>
    <row r="372">
      <c r="A372" s="4">
        <v>370.0</v>
      </c>
      <c r="B372" s="4" t="s">
        <v>3672</v>
      </c>
      <c r="C372" s="7" t="s">
        <v>3673</v>
      </c>
      <c r="D372" s="4" t="s">
        <v>3310</v>
      </c>
      <c r="E372" s="4" t="s">
        <v>3679</v>
      </c>
      <c r="F372" s="9" t="s">
        <v>4982</v>
      </c>
    </row>
    <row r="373">
      <c r="A373" s="4">
        <v>371.0</v>
      </c>
      <c r="B373" s="4" t="s">
        <v>155</v>
      </c>
      <c r="C373" s="7" t="s">
        <v>3349</v>
      </c>
      <c r="D373" s="4" t="s">
        <v>3310</v>
      </c>
      <c r="E373" s="4" t="s">
        <v>3354</v>
      </c>
      <c r="F373" s="9" t="s">
        <v>4984</v>
      </c>
    </row>
    <row r="374">
      <c r="A374" s="4">
        <v>372.0</v>
      </c>
      <c r="B374" s="4" t="s">
        <v>127</v>
      </c>
      <c r="C374" s="7" t="s">
        <v>3368</v>
      </c>
      <c r="D374" s="4" t="s">
        <v>3310</v>
      </c>
      <c r="E374" s="4" t="s">
        <v>3373</v>
      </c>
      <c r="F374" s="9" t="s">
        <v>4986</v>
      </c>
    </row>
    <row r="375">
      <c r="A375" s="4">
        <v>373.0</v>
      </c>
      <c r="B375" s="4" t="s">
        <v>44</v>
      </c>
      <c r="C375" s="7" t="s">
        <v>3305</v>
      </c>
      <c r="D375" s="4" t="s">
        <v>3310</v>
      </c>
      <c r="E375" s="4" t="s">
        <v>3387</v>
      </c>
      <c r="F375" s="9" t="s">
        <v>4989</v>
      </c>
    </row>
    <row r="376">
      <c r="A376" s="4">
        <v>374.0</v>
      </c>
      <c r="B376" s="4" t="s">
        <v>44</v>
      </c>
      <c r="C376" s="7" t="s">
        <v>3305</v>
      </c>
      <c r="D376" s="4" t="s">
        <v>3310</v>
      </c>
      <c r="E376" s="4" t="s">
        <v>3402</v>
      </c>
      <c r="F376" s="9" t="s">
        <v>4992</v>
      </c>
    </row>
    <row r="377">
      <c r="A377" s="4">
        <v>375.0</v>
      </c>
      <c r="B377" s="4" t="s">
        <v>972</v>
      </c>
      <c r="C377" s="7" t="s">
        <v>3579</v>
      </c>
      <c r="D377" s="4" t="s">
        <v>3310</v>
      </c>
      <c r="E377" s="4" t="s">
        <v>3584</v>
      </c>
      <c r="F377" s="9" t="s">
        <v>4994</v>
      </c>
    </row>
    <row r="378">
      <c r="A378" s="4">
        <v>376.0</v>
      </c>
      <c r="B378" s="4" t="s">
        <v>1098</v>
      </c>
      <c r="C378" s="7" t="s">
        <v>3305</v>
      </c>
      <c r="D378" s="4" t="s">
        <v>3310</v>
      </c>
      <c r="E378" s="4" t="s">
        <v>3601</v>
      </c>
      <c r="F378" s="9" t="s">
        <v>4997</v>
      </c>
    </row>
    <row r="379">
      <c r="A379" s="4">
        <v>377.0</v>
      </c>
      <c r="B379" s="4" t="s">
        <v>44</v>
      </c>
      <c r="C379" s="7" t="s">
        <v>3443</v>
      </c>
      <c r="D379" s="4" t="s">
        <v>3310</v>
      </c>
      <c r="E379" s="4" t="s">
        <v>3449</v>
      </c>
      <c r="F379" s="9" t="s">
        <v>5001</v>
      </c>
    </row>
    <row r="380">
      <c r="A380" s="4">
        <v>378.0</v>
      </c>
      <c r="B380" s="4" t="s">
        <v>155</v>
      </c>
      <c r="C380" s="7" t="s">
        <v>3349</v>
      </c>
      <c r="D380" s="4" t="s">
        <v>3310</v>
      </c>
      <c r="E380" s="4" t="s">
        <v>3467</v>
      </c>
      <c r="F380" s="9" t="s">
        <v>5003</v>
      </c>
    </row>
    <row r="381">
      <c r="A381" s="4">
        <v>379.0</v>
      </c>
      <c r="B381" s="4" t="s">
        <v>217</v>
      </c>
      <c r="C381" s="7" t="s">
        <v>3305</v>
      </c>
      <c r="D381" s="4" t="s">
        <v>3310</v>
      </c>
      <c r="E381" s="4" t="s">
        <v>3633</v>
      </c>
      <c r="F381" s="9" t="s">
        <v>5007</v>
      </c>
    </row>
    <row r="382">
      <c r="A382" s="4">
        <v>380.0</v>
      </c>
      <c r="B382" s="4" t="s">
        <v>1098</v>
      </c>
      <c r="C382" s="7" t="s">
        <v>3305</v>
      </c>
      <c r="D382" s="4" t="s">
        <v>3310</v>
      </c>
      <c r="E382" s="4" t="s">
        <v>3311</v>
      </c>
      <c r="F382" s="9" t="s">
        <v>5010</v>
      </c>
    </row>
    <row r="383">
      <c r="A383" s="4">
        <v>381.0</v>
      </c>
      <c r="B383" s="4" t="s">
        <v>44</v>
      </c>
      <c r="C383" s="7" t="s">
        <v>3443</v>
      </c>
      <c r="D383" s="4" t="s">
        <v>3310</v>
      </c>
      <c r="E383" s="4" t="s">
        <v>3505</v>
      </c>
      <c r="F383" s="9" t="s">
        <v>5013</v>
      </c>
    </row>
    <row r="384">
      <c r="A384" s="4">
        <v>382.0</v>
      </c>
      <c r="B384" s="4" t="s">
        <v>3672</v>
      </c>
      <c r="C384" s="7" t="s">
        <v>3673</v>
      </c>
      <c r="D384" s="4" t="s">
        <v>3310</v>
      </c>
      <c r="E384" s="4" t="s">
        <v>3679</v>
      </c>
      <c r="F384" s="9" t="s">
        <v>5015</v>
      </c>
    </row>
    <row r="385">
      <c r="A385" s="4">
        <v>383.0</v>
      </c>
      <c r="B385" s="4" t="s">
        <v>155</v>
      </c>
      <c r="C385" s="7" t="s">
        <v>3349</v>
      </c>
      <c r="D385" s="4" t="s">
        <v>3310</v>
      </c>
      <c r="E385" s="4" t="s">
        <v>3354</v>
      </c>
      <c r="F385" s="9" t="s">
        <v>5018</v>
      </c>
    </row>
    <row r="386">
      <c r="A386" s="4">
        <v>384.0</v>
      </c>
      <c r="B386" s="4" t="s">
        <v>127</v>
      </c>
      <c r="C386" s="7" t="s">
        <v>3368</v>
      </c>
      <c r="D386" s="4" t="s">
        <v>3310</v>
      </c>
      <c r="E386" s="4" t="s">
        <v>3373</v>
      </c>
      <c r="F386" s="9" t="s">
        <v>5021</v>
      </c>
    </row>
    <row r="387">
      <c r="A387" s="4">
        <v>385.0</v>
      </c>
      <c r="B387" s="4" t="s">
        <v>44</v>
      </c>
      <c r="C387" s="7" t="s">
        <v>3305</v>
      </c>
      <c r="D387" s="4" t="s">
        <v>3310</v>
      </c>
      <c r="E387" s="4" t="s">
        <v>3387</v>
      </c>
      <c r="F387" s="9" t="s">
        <v>5024</v>
      </c>
    </row>
    <row r="388">
      <c r="A388" s="4">
        <v>386.0</v>
      </c>
      <c r="B388" s="4" t="s">
        <v>44</v>
      </c>
      <c r="C388" s="7" t="s">
        <v>3305</v>
      </c>
      <c r="D388" s="4" t="s">
        <v>3310</v>
      </c>
      <c r="E388" s="4" t="s">
        <v>3402</v>
      </c>
      <c r="F388" s="9" t="s">
        <v>5026</v>
      </c>
    </row>
    <row r="389">
      <c r="A389" s="4">
        <v>387.0</v>
      </c>
      <c r="B389" s="4" t="s">
        <v>972</v>
      </c>
      <c r="C389" s="7" t="s">
        <v>3579</v>
      </c>
      <c r="D389" s="4" t="s">
        <v>3310</v>
      </c>
      <c r="E389" s="4" t="s">
        <v>3584</v>
      </c>
      <c r="F389" s="9" t="s">
        <v>5029</v>
      </c>
    </row>
    <row r="390">
      <c r="A390" s="4">
        <v>388.0</v>
      </c>
      <c r="B390" s="4" t="s">
        <v>1098</v>
      </c>
      <c r="C390" s="7" t="s">
        <v>3305</v>
      </c>
      <c r="D390" s="4" t="s">
        <v>3310</v>
      </c>
      <c r="E390" s="4" t="s">
        <v>3601</v>
      </c>
      <c r="F390" s="9" t="s">
        <v>5031</v>
      </c>
    </row>
    <row r="391">
      <c r="A391" s="4">
        <v>389.0</v>
      </c>
      <c r="B391" s="4" t="s">
        <v>44</v>
      </c>
      <c r="C391" s="7" t="s">
        <v>3443</v>
      </c>
      <c r="D391" s="4" t="s">
        <v>3310</v>
      </c>
      <c r="E391" s="4" t="s">
        <v>3449</v>
      </c>
      <c r="F391" s="9" t="s">
        <v>5034</v>
      </c>
    </row>
    <row r="392">
      <c r="A392" s="4">
        <v>390.0</v>
      </c>
      <c r="B392" s="4" t="s">
        <v>155</v>
      </c>
      <c r="C392" s="7" t="s">
        <v>3349</v>
      </c>
      <c r="D392" s="4" t="s">
        <v>3310</v>
      </c>
      <c r="E392" s="4" t="s">
        <v>3467</v>
      </c>
      <c r="F392" s="9" t="s">
        <v>5037</v>
      </c>
    </row>
    <row r="393">
      <c r="A393" s="4">
        <v>391.0</v>
      </c>
      <c r="B393" s="4" t="s">
        <v>217</v>
      </c>
      <c r="C393" s="7" t="s">
        <v>3305</v>
      </c>
      <c r="D393" s="4" t="s">
        <v>3310</v>
      </c>
      <c r="E393" s="4" t="s">
        <v>3633</v>
      </c>
      <c r="F393" s="9" t="s">
        <v>5040</v>
      </c>
    </row>
    <row r="394">
      <c r="A394" s="4">
        <v>392.0</v>
      </c>
      <c r="B394" s="4" t="s">
        <v>1098</v>
      </c>
      <c r="C394" s="7" t="s">
        <v>3305</v>
      </c>
      <c r="D394" s="4" t="s">
        <v>3310</v>
      </c>
      <c r="E394" s="4" t="s">
        <v>3311</v>
      </c>
      <c r="F394" s="9" t="s">
        <v>5042</v>
      </c>
    </row>
    <row r="395">
      <c r="A395" s="4">
        <v>393.0</v>
      </c>
      <c r="B395" s="4" t="s">
        <v>44</v>
      </c>
      <c r="C395" s="7" t="s">
        <v>3443</v>
      </c>
      <c r="D395" s="4" t="s">
        <v>3310</v>
      </c>
      <c r="E395" s="4" t="s">
        <v>3505</v>
      </c>
      <c r="F395" s="9" t="s">
        <v>5045</v>
      </c>
    </row>
    <row r="396">
      <c r="A396" s="4">
        <v>394.0</v>
      </c>
      <c r="B396" s="4" t="s">
        <v>44</v>
      </c>
      <c r="C396" s="7" t="s">
        <v>3305</v>
      </c>
      <c r="D396" s="4" t="s">
        <v>3310</v>
      </c>
      <c r="E396" s="4" t="s">
        <v>4020</v>
      </c>
      <c r="F396" s="9" t="s">
        <v>5048</v>
      </c>
    </row>
    <row r="397">
      <c r="A397" s="4">
        <v>395.0</v>
      </c>
      <c r="B397" s="4" t="s">
        <v>44</v>
      </c>
      <c r="C397" s="7" t="s">
        <v>3443</v>
      </c>
      <c r="D397" s="4" t="s">
        <v>3310</v>
      </c>
      <c r="E397" s="4" t="s">
        <v>5050</v>
      </c>
      <c r="F397" s="9" t="s">
        <v>5051</v>
      </c>
    </row>
    <row r="398">
      <c r="A398" s="4">
        <v>396.0</v>
      </c>
      <c r="B398" s="4" t="s">
        <v>127</v>
      </c>
      <c r="C398" s="7" t="s">
        <v>3368</v>
      </c>
      <c r="D398" s="4" t="s">
        <v>3310</v>
      </c>
      <c r="E398" s="4" t="s">
        <v>3373</v>
      </c>
      <c r="F398" s="9" t="s">
        <v>5054</v>
      </c>
    </row>
    <row r="399">
      <c r="A399" s="4">
        <v>397.0</v>
      </c>
      <c r="B399" s="4" t="s">
        <v>155</v>
      </c>
      <c r="C399" s="7" t="s">
        <v>3349</v>
      </c>
      <c r="D399" s="4" t="s">
        <v>3310</v>
      </c>
      <c r="E399" s="4" t="s">
        <v>3716</v>
      </c>
      <c r="F399" s="9" t="s">
        <v>5057</v>
      </c>
    </row>
    <row r="400">
      <c r="A400" s="4">
        <v>398.0</v>
      </c>
      <c r="B400" s="4" t="s">
        <v>44</v>
      </c>
      <c r="C400" s="7" t="s">
        <v>3305</v>
      </c>
      <c r="D400" s="4" t="s">
        <v>3310</v>
      </c>
      <c r="E400" s="4" t="s">
        <v>3322</v>
      </c>
      <c r="F400" s="9" t="s">
        <v>5060</v>
      </c>
    </row>
    <row r="401">
      <c r="A401" s="4">
        <v>399.0</v>
      </c>
      <c r="B401" s="4" t="s">
        <v>972</v>
      </c>
      <c r="C401" s="7" t="s">
        <v>3579</v>
      </c>
      <c r="D401" s="4" t="s">
        <v>3310</v>
      </c>
      <c r="E401" s="4" t="s">
        <v>3584</v>
      </c>
      <c r="F401" s="9" t="s">
        <v>5063</v>
      </c>
    </row>
    <row r="402">
      <c r="A402" s="4">
        <v>400.0</v>
      </c>
      <c r="B402" s="4" t="s">
        <v>44</v>
      </c>
      <c r="C402" s="7" t="s">
        <v>3305</v>
      </c>
      <c r="D402" s="4" t="s">
        <v>3310</v>
      </c>
      <c r="E402" s="4" t="s">
        <v>4020</v>
      </c>
      <c r="F402" s="9" t="s">
        <v>5065</v>
      </c>
    </row>
    <row r="403">
      <c r="A403" s="4">
        <v>401.0</v>
      </c>
      <c r="B403" s="4" t="s">
        <v>44</v>
      </c>
      <c r="C403" s="7" t="s">
        <v>3443</v>
      </c>
      <c r="D403" s="4" t="s">
        <v>3310</v>
      </c>
      <c r="E403" s="4" t="s">
        <v>3449</v>
      </c>
      <c r="F403" s="9" t="s">
        <v>5068</v>
      </c>
    </row>
    <row r="404">
      <c r="A404" s="4">
        <v>402.0</v>
      </c>
      <c r="B404" s="4" t="s">
        <v>155</v>
      </c>
      <c r="C404" s="7" t="s">
        <v>3349</v>
      </c>
      <c r="D404" s="4" t="s">
        <v>3310</v>
      </c>
      <c r="E404" s="4" t="s">
        <v>3467</v>
      </c>
      <c r="F404" s="9" t="s">
        <v>5071</v>
      </c>
    </row>
    <row r="405">
      <c r="A405" s="4">
        <v>403.0</v>
      </c>
      <c r="B405" s="4" t="s">
        <v>155</v>
      </c>
      <c r="C405" s="7" t="s">
        <v>3349</v>
      </c>
      <c r="D405" s="4" t="s">
        <v>3310</v>
      </c>
      <c r="E405" s="4" t="s">
        <v>3716</v>
      </c>
      <c r="F405" s="9" t="s">
        <v>5073</v>
      </c>
    </row>
    <row r="406">
      <c r="A406" s="4">
        <v>404.0</v>
      </c>
      <c r="B406" s="4" t="s">
        <v>1098</v>
      </c>
      <c r="C406" s="7" t="s">
        <v>3305</v>
      </c>
      <c r="D406" s="4" t="s">
        <v>3310</v>
      </c>
      <c r="E406" s="4" t="s">
        <v>3311</v>
      </c>
      <c r="F406" s="9" t="s">
        <v>5075</v>
      </c>
    </row>
    <row r="407">
      <c r="A407" s="4">
        <v>405.0</v>
      </c>
      <c r="B407" s="4" t="s">
        <v>44</v>
      </c>
      <c r="C407" s="7" t="s">
        <v>3443</v>
      </c>
      <c r="D407" s="4" t="s">
        <v>3310</v>
      </c>
      <c r="E407" s="4" t="s">
        <v>3505</v>
      </c>
      <c r="F407" s="9" t="s">
        <v>5078</v>
      </c>
    </row>
    <row r="408">
      <c r="A408" s="4">
        <v>406.0</v>
      </c>
      <c r="B408" s="4" t="s">
        <v>3672</v>
      </c>
      <c r="C408" s="7" t="s">
        <v>3673</v>
      </c>
      <c r="D408" s="4" t="s">
        <v>3310</v>
      </c>
      <c r="E408" s="4" t="s">
        <v>3679</v>
      </c>
      <c r="F408" s="9" t="s">
        <v>5081</v>
      </c>
    </row>
    <row r="409">
      <c r="A409" s="4">
        <v>407.0</v>
      </c>
      <c r="B409" s="4" t="s">
        <v>155</v>
      </c>
      <c r="C409" s="7" t="s">
        <v>3349</v>
      </c>
      <c r="D409" s="4" t="s">
        <v>3310</v>
      </c>
      <c r="E409" s="4" t="s">
        <v>3354</v>
      </c>
      <c r="F409" s="9" t="s">
        <v>5083</v>
      </c>
    </row>
    <row r="410">
      <c r="A410" s="4">
        <v>408.0</v>
      </c>
      <c r="B410" s="4" t="s">
        <v>44</v>
      </c>
      <c r="C410" s="7" t="s">
        <v>3305</v>
      </c>
      <c r="D410" s="4" t="s">
        <v>3310</v>
      </c>
      <c r="E410" s="4" t="s">
        <v>3322</v>
      </c>
      <c r="F410" s="9" t="s">
        <v>5086</v>
      </c>
    </row>
    <row r="411">
      <c r="A411" s="4">
        <v>409.0</v>
      </c>
      <c r="B411" s="4" t="s">
        <v>44</v>
      </c>
      <c r="C411" s="7" t="s">
        <v>3305</v>
      </c>
      <c r="D411" s="4" t="s">
        <v>3310</v>
      </c>
      <c r="E411" s="4" t="s">
        <v>3387</v>
      </c>
      <c r="F411" s="9" t="s">
        <v>5089</v>
      </c>
    </row>
    <row r="412">
      <c r="A412" s="4">
        <v>410.0</v>
      </c>
      <c r="B412" s="4" t="s">
        <v>44</v>
      </c>
      <c r="C412" s="7" t="s">
        <v>3305</v>
      </c>
      <c r="D412" s="4" t="s">
        <v>3310</v>
      </c>
      <c r="E412" s="4" t="s">
        <v>3402</v>
      </c>
      <c r="F412" s="9" t="s">
        <v>5092</v>
      </c>
    </row>
    <row r="413">
      <c r="A413" s="4">
        <v>411.0</v>
      </c>
      <c r="B413" s="4" t="s">
        <v>972</v>
      </c>
      <c r="C413" s="7" t="s">
        <v>3579</v>
      </c>
      <c r="D413" s="4" t="s">
        <v>3310</v>
      </c>
      <c r="E413" s="4" t="s">
        <v>3584</v>
      </c>
      <c r="F413" s="9" t="s">
        <v>5094</v>
      </c>
    </row>
    <row r="414">
      <c r="A414" s="4">
        <v>412.0</v>
      </c>
      <c r="B414" s="4" t="s">
        <v>1098</v>
      </c>
      <c r="C414" s="7" t="s">
        <v>3305</v>
      </c>
      <c r="D414" s="4" t="s">
        <v>3310</v>
      </c>
      <c r="E414" s="4" t="s">
        <v>3601</v>
      </c>
      <c r="F414" s="9" t="s">
        <v>5097</v>
      </c>
    </row>
    <row r="415">
      <c r="A415" s="4">
        <v>413.0</v>
      </c>
      <c r="B415" s="4" t="s">
        <v>44</v>
      </c>
      <c r="C415" s="7" t="s">
        <v>3305</v>
      </c>
      <c r="D415" s="4" t="s">
        <v>3310</v>
      </c>
      <c r="E415" s="4" t="s">
        <v>3322</v>
      </c>
      <c r="F415" s="9" t="s">
        <v>5100</v>
      </c>
    </row>
    <row r="416">
      <c r="A416" s="4">
        <v>414.0</v>
      </c>
      <c r="B416" s="4" t="s">
        <v>155</v>
      </c>
      <c r="C416" s="7" t="s">
        <v>3349</v>
      </c>
      <c r="D416" s="4" t="s">
        <v>3310</v>
      </c>
      <c r="E416" s="4" t="s">
        <v>3467</v>
      </c>
      <c r="F416" s="9" t="s">
        <v>5102</v>
      </c>
    </row>
    <row r="417">
      <c r="A417" s="4">
        <v>415.0</v>
      </c>
      <c r="B417" s="4" t="s">
        <v>217</v>
      </c>
      <c r="C417" s="7" t="s">
        <v>3305</v>
      </c>
      <c r="D417" s="4" t="s">
        <v>3310</v>
      </c>
      <c r="E417" s="4" t="s">
        <v>3633</v>
      </c>
      <c r="F417" s="9" t="s">
        <v>5105</v>
      </c>
    </row>
    <row r="418">
      <c r="A418" s="4">
        <v>416.0</v>
      </c>
      <c r="B418" s="4" t="s">
        <v>1098</v>
      </c>
      <c r="C418" s="7" t="s">
        <v>3305</v>
      </c>
      <c r="D418" s="4" t="s">
        <v>3310</v>
      </c>
      <c r="E418" s="4" t="s">
        <v>3311</v>
      </c>
      <c r="F418" s="9" t="s">
        <v>5108</v>
      </c>
    </row>
    <row r="419">
      <c r="A419" s="4">
        <v>417.0</v>
      </c>
      <c r="B419" s="4" t="s">
        <v>44</v>
      </c>
      <c r="C419" s="7" t="s">
        <v>3443</v>
      </c>
      <c r="D419" s="4" t="s">
        <v>3310</v>
      </c>
      <c r="E419" s="4" t="s">
        <v>3505</v>
      </c>
      <c r="F419" s="9" t="s">
        <v>5110</v>
      </c>
    </row>
    <row r="420">
      <c r="A420" s="4">
        <v>418.0</v>
      </c>
      <c r="B420" s="4" t="s">
        <v>3672</v>
      </c>
      <c r="C420" s="7" t="s">
        <v>3673</v>
      </c>
      <c r="D420" s="4" t="s">
        <v>3310</v>
      </c>
      <c r="E420" s="4" t="s">
        <v>3679</v>
      </c>
      <c r="F420" s="9" t="s">
        <v>5113</v>
      </c>
    </row>
    <row r="421">
      <c r="A421" s="4">
        <v>419.0</v>
      </c>
      <c r="B421" s="4" t="s">
        <v>155</v>
      </c>
      <c r="C421" s="7" t="s">
        <v>3349</v>
      </c>
      <c r="D421" s="4" t="s">
        <v>3310</v>
      </c>
      <c r="E421" s="4" t="s">
        <v>3354</v>
      </c>
      <c r="F421" s="9" t="s">
        <v>5115</v>
      </c>
    </row>
    <row r="422">
      <c r="A422" s="4">
        <v>420.0</v>
      </c>
      <c r="B422" s="4" t="s">
        <v>972</v>
      </c>
      <c r="C422" s="7" t="s">
        <v>3579</v>
      </c>
      <c r="D422" s="4" t="s">
        <v>3310</v>
      </c>
      <c r="E422" s="4" t="s">
        <v>5118</v>
      </c>
      <c r="F422" s="9" t="s">
        <v>5119</v>
      </c>
    </row>
    <row r="423">
      <c r="A423" s="4">
        <v>421.0</v>
      </c>
      <c r="B423" s="4" t="s">
        <v>155</v>
      </c>
      <c r="C423" s="7" t="s">
        <v>3349</v>
      </c>
      <c r="D423" s="4" t="s">
        <v>3310</v>
      </c>
      <c r="E423" s="4" t="s">
        <v>3716</v>
      </c>
      <c r="F423" s="9" t="s">
        <v>5122</v>
      </c>
    </row>
    <row r="424">
      <c r="A424" s="4">
        <v>422.0</v>
      </c>
      <c r="B424" s="4" t="s">
        <v>1098</v>
      </c>
      <c r="C424" s="7" t="s">
        <v>3305</v>
      </c>
      <c r="D424" s="4" t="s">
        <v>3310</v>
      </c>
      <c r="E424" s="4" t="s">
        <v>4518</v>
      </c>
      <c r="F424" s="9" t="s">
        <v>5125</v>
      </c>
    </row>
    <row r="425">
      <c r="A425" s="4">
        <v>423.0</v>
      </c>
      <c r="B425" s="4" t="s">
        <v>44</v>
      </c>
      <c r="C425" s="7" t="s">
        <v>3443</v>
      </c>
      <c r="D425" s="4" t="s">
        <v>3310</v>
      </c>
      <c r="E425" s="4" t="s">
        <v>4306</v>
      </c>
      <c r="F425" s="9" t="s">
        <v>5127</v>
      </c>
    </row>
    <row r="426">
      <c r="A426" s="4">
        <v>424.0</v>
      </c>
      <c r="B426" s="4" t="s">
        <v>44</v>
      </c>
      <c r="C426" s="7" t="s">
        <v>3305</v>
      </c>
      <c r="D426" s="4" t="s">
        <v>3310</v>
      </c>
      <c r="E426" s="4" t="s">
        <v>4020</v>
      </c>
      <c r="F426" s="9" t="s">
        <v>5130</v>
      </c>
    </row>
    <row r="427">
      <c r="A427" s="4">
        <v>425.0</v>
      </c>
      <c r="B427" s="4" t="s">
        <v>44</v>
      </c>
      <c r="C427" s="7" t="s">
        <v>3443</v>
      </c>
      <c r="D427" s="4" t="s">
        <v>3310</v>
      </c>
      <c r="E427" s="4" t="s">
        <v>5050</v>
      </c>
      <c r="F427" s="9" t="s">
        <v>5134</v>
      </c>
    </row>
    <row r="428">
      <c r="A428" s="4">
        <v>426.0</v>
      </c>
      <c r="B428" s="4" t="s">
        <v>972</v>
      </c>
      <c r="C428" s="7" t="s">
        <v>3579</v>
      </c>
      <c r="D428" s="4" t="s">
        <v>3310</v>
      </c>
      <c r="E428" s="4" t="s">
        <v>5118</v>
      </c>
      <c r="F428" s="9" t="s">
        <v>5136</v>
      </c>
    </row>
    <row r="429">
      <c r="A429" s="4">
        <v>427.0</v>
      </c>
      <c r="B429" s="4" t="s">
        <v>155</v>
      </c>
      <c r="C429" s="7" t="s">
        <v>3349</v>
      </c>
      <c r="D429" s="4" t="s">
        <v>3310</v>
      </c>
      <c r="E429" s="4" t="s">
        <v>3716</v>
      </c>
      <c r="F429" s="9" t="s">
        <v>5139</v>
      </c>
    </row>
    <row r="430">
      <c r="A430" s="4">
        <v>428.0</v>
      </c>
      <c r="B430" s="4" t="s">
        <v>1098</v>
      </c>
      <c r="C430" s="7" t="s">
        <v>3305</v>
      </c>
      <c r="D430" s="4" t="s">
        <v>3310</v>
      </c>
      <c r="E430" s="4" t="s">
        <v>4518</v>
      </c>
      <c r="F430" s="9" t="s">
        <v>5142</v>
      </c>
    </row>
    <row r="431">
      <c r="A431" s="4">
        <v>429.0</v>
      </c>
      <c r="B431" s="4" t="s">
        <v>44</v>
      </c>
      <c r="C431" s="7" t="s">
        <v>3443</v>
      </c>
      <c r="D431" s="4" t="s">
        <v>3310</v>
      </c>
      <c r="E431" s="4" t="s">
        <v>4306</v>
      </c>
      <c r="F431" s="9" t="s">
        <v>5143</v>
      </c>
    </row>
    <row r="432">
      <c r="A432" s="4">
        <v>430.0</v>
      </c>
      <c r="B432" s="4" t="s">
        <v>44</v>
      </c>
      <c r="C432" s="7" t="s">
        <v>3305</v>
      </c>
      <c r="D432" s="4" t="s">
        <v>3310</v>
      </c>
      <c r="E432" s="4" t="s">
        <v>4020</v>
      </c>
      <c r="F432" s="9" t="s">
        <v>5146</v>
      </c>
    </row>
    <row r="433">
      <c r="A433" s="4">
        <v>431.0</v>
      </c>
      <c r="B433" s="4" t="s">
        <v>44</v>
      </c>
      <c r="C433" s="7" t="s">
        <v>3443</v>
      </c>
      <c r="D433" s="4" t="s">
        <v>3310</v>
      </c>
      <c r="E433" s="4" t="s">
        <v>5050</v>
      </c>
      <c r="F433" s="9" t="s">
        <v>5149</v>
      </c>
    </row>
    <row r="434">
      <c r="A434" s="4">
        <v>432.0</v>
      </c>
      <c r="B434" s="4" t="s">
        <v>972</v>
      </c>
      <c r="C434" s="7" t="s">
        <v>3579</v>
      </c>
      <c r="D434" s="4" t="s">
        <v>3310</v>
      </c>
      <c r="E434" s="4" t="s">
        <v>5118</v>
      </c>
      <c r="F434" s="9" t="s">
        <v>5151</v>
      </c>
    </row>
    <row r="435">
      <c r="A435" s="4">
        <v>433.0</v>
      </c>
      <c r="B435" s="4" t="s">
        <v>155</v>
      </c>
      <c r="C435" s="7" t="s">
        <v>3349</v>
      </c>
      <c r="D435" s="4" t="s">
        <v>3310</v>
      </c>
      <c r="E435" s="4" t="s">
        <v>3716</v>
      </c>
      <c r="F435" s="9" t="s">
        <v>5154</v>
      </c>
    </row>
    <row r="436">
      <c r="A436" s="4">
        <v>434.0</v>
      </c>
      <c r="B436" s="4" t="s">
        <v>1098</v>
      </c>
      <c r="C436" s="7" t="s">
        <v>3305</v>
      </c>
      <c r="D436" s="4" t="s">
        <v>3310</v>
      </c>
      <c r="E436" s="4" t="s">
        <v>4518</v>
      </c>
      <c r="F436" s="9" t="s">
        <v>5157</v>
      </c>
    </row>
    <row r="437">
      <c r="A437" s="4">
        <v>435.0</v>
      </c>
      <c r="B437" s="4" t="s">
        <v>44</v>
      </c>
      <c r="C437" s="7" t="s">
        <v>3443</v>
      </c>
      <c r="D437" s="4" t="s">
        <v>3310</v>
      </c>
      <c r="E437" s="4" t="s">
        <v>4306</v>
      </c>
      <c r="F437" s="9" t="s">
        <v>5159</v>
      </c>
    </row>
    <row r="438">
      <c r="A438" s="4">
        <v>436.0</v>
      </c>
      <c r="B438" s="4" t="s">
        <v>44</v>
      </c>
      <c r="C438" s="7" t="s">
        <v>3305</v>
      </c>
      <c r="D438" s="4" t="s">
        <v>3310</v>
      </c>
      <c r="E438" s="4" t="s">
        <v>4020</v>
      </c>
      <c r="F438" s="9" t="s">
        <v>5162</v>
      </c>
    </row>
    <row r="439">
      <c r="A439" s="4">
        <v>437.0</v>
      </c>
      <c r="B439" s="4" t="s">
        <v>44</v>
      </c>
      <c r="C439" s="7" t="s">
        <v>3443</v>
      </c>
      <c r="D439" s="4" t="s">
        <v>3310</v>
      </c>
      <c r="E439" s="4" t="s">
        <v>5050</v>
      </c>
      <c r="F439" s="9" t="s">
        <v>5164</v>
      </c>
    </row>
    <row r="440">
      <c r="A440" s="4">
        <v>438.0</v>
      </c>
      <c r="B440" s="4" t="s">
        <v>972</v>
      </c>
      <c r="C440" s="7" t="s">
        <v>3579</v>
      </c>
      <c r="D440" s="4" t="s">
        <v>3310</v>
      </c>
      <c r="E440" s="4" t="s">
        <v>5118</v>
      </c>
      <c r="F440" s="9" t="s">
        <v>5167</v>
      </c>
    </row>
    <row r="441">
      <c r="A441" s="4">
        <v>439.0</v>
      </c>
      <c r="B441" s="4" t="s">
        <v>155</v>
      </c>
      <c r="C441" s="7" t="s">
        <v>3349</v>
      </c>
      <c r="D441" s="4" t="s">
        <v>3310</v>
      </c>
      <c r="E441" s="4" t="s">
        <v>3716</v>
      </c>
      <c r="F441" s="9" t="s">
        <v>5170</v>
      </c>
    </row>
    <row r="442">
      <c r="A442" s="4">
        <v>440.0</v>
      </c>
      <c r="B442" s="4" t="s">
        <v>1098</v>
      </c>
      <c r="C442" s="7" t="s">
        <v>3305</v>
      </c>
      <c r="D442" s="4" t="s">
        <v>3310</v>
      </c>
      <c r="E442" s="4" t="s">
        <v>4518</v>
      </c>
      <c r="F442" s="9" t="s">
        <v>5173</v>
      </c>
    </row>
    <row r="443">
      <c r="A443" s="4">
        <v>441.0</v>
      </c>
      <c r="B443" s="4" t="s">
        <v>44</v>
      </c>
      <c r="C443" s="7" t="s">
        <v>3443</v>
      </c>
      <c r="D443" s="4" t="s">
        <v>3310</v>
      </c>
      <c r="E443" s="4" t="s">
        <v>4306</v>
      </c>
      <c r="F443" s="9" t="s">
        <v>5175</v>
      </c>
    </row>
    <row r="444">
      <c r="A444" s="4">
        <v>442.0</v>
      </c>
      <c r="B444" s="4" t="s">
        <v>44</v>
      </c>
      <c r="C444" s="7" t="s">
        <v>3305</v>
      </c>
      <c r="D444" s="4" t="s">
        <v>3310</v>
      </c>
      <c r="E444" s="4" t="s">
        <v>4020</v>
      </c>
      <c r="F444" s="9" t="s">
        <v>5177</v>
      </c>
    </row>
    <row r="445">
      <c r="A445" s="4">
        <v>443.0</v>
      </c>
      <c r="B445" s="4" t="s">
        <v>44</v>
      </c>
      <c r="C445" s="7" t="s">
        <v>3443</v>
      </c>
      <c r="D445" s="4" t="s">
        <v>3310</v>
      </c>
      <c r="E445" s="4" t="s">
        <v>5050</v>
      </c>
      <c r="F445" s="9" t="s">
        <v>5179</v>
      </c>
    </row>
    <row r="446">
      <c r="A446" s="4">
        <v>444.0</v>
      </c>
      <c r="B446" s="4" t="s">
        <v>972</v>
      </c>
      <c r="C446" s="7" t="s">
        <v>3579</v>
      </c>
      <c r="D446" s="4" t="s">
        <v>3310</v>
      </c>
      <c r="E446" s="4" t="s">
        <v>5118</v>
      </c>
      <c r="F446" s="9" t="s">
        <v>5182</v>
      </c>
    </row>
    <row r="447">
      <c r="A447" s="4">
        <v>445.0</v>
      </c>
      <c r="B447" s="4" t="s">
        <v>155</v>
      </c>
      <c r="C447" s="7" t="s">
        <v>3349</v>
      </c>
      <c r="D447" s="4" t="s">
        <v>3310</v>
      </c>
      <c r="E447" s="4" t="s">
        <v>3716</v>
      </c>
      <c r="F447" s="9" t="s">
        <v>5185</v>
      </c>
    </row>
    <row r="448">
      <c r="A448" s="4">
        <v>446.0</v>
      </c>
      <c r="B448" s="4" t="s">
        <v>1098</v>
      </c>
      <c r="C448" s="7" t="s">
        <v>3305</v>
      </c>
      <c r="D448" s="4" t="s">
        <v>3310</v>
      </c>
      <c r="E448" s="4" t="s">
        <v>4518</v>
      </c>
      <c r="F448" s="9" t="s">
        <v>5188</v>
      </c>
    </row>
    <row r="449">
      <c r="A449" s="4">
        <v>447.0</v>
      </c>
      <c r="B449" s="4" t="s">
        <v>44</v>
      </c>
      <c r="C449" s="7" t="s">
        <v>3443</v>
      </c>
      <c r="D449" s="4" t="s">
        <v>3310</v>
      </c>
      <c r="E449" s="4" t="s">
        <v>4306</v>
      </c>
      <c r="F449" s="9" t="s">
        <v>5190</v>
      </c>
    </row>
    <row r="450">
      <c r="A450" s="4">
        <v>448.0</v>
      </c>
      <c r="B450" s="4" t="s">
        <v>44</v>
      </c>
      <c r="C450" s="7" t="s">
        <v>3305</v>
      </c>
      <c r="D450" s="4" t="s">
        <v>3310</v>
      </c>
      <c r="E450" s="4" t="s">
        <v>4020</v>
      </c>
      <c r="F450" s="9" t="s">
        <v>5193</v>
      </c>
    </row>
    <row r="451">
      <c r="A451" s="4">
        <v>449.0</v>
      </c>
      <c r="B451" s="4" t="s">
        <v>44</v>
      </c>
      <c r="C451" s="7" t="s">
        <v>3443</v>
      </c>
      <c r="D451" s="4" t="s">
        <v>3310</v>
      </c>
      <c r="E451" s="4" t="s">
        <v>5050</v>
      </c>
      <c r="F451" s="9" t="s">
        <v>5195</v>
      </c>
    </row>
    <row r="452">
      <c r="A452" s="4">
        <v>450.0</v>
      </c>
      <c r="B452" s="4" t="s">
        <v>972</v>
      </c>
      <c r="C452" s="7" t="s">
        <v>3579</v>
      </c>
      <c r="D452" s="4" t="s">
        <v>3310</v>
      </c>
      <c r="E452" s="4" t="s">
        <v>5118</v>
      </c>
      <c r="F452" s="9" t="s">
        <v>5198</v>
      </c>
    </row>
    <row r="453">
      <c r="A453" s="4">
        <v>451.0</v>
      </c>
      <c r="B453" s="4" t="s">
        <v>155</v>
      </c>
      <c r="C453" s="7" t="s">
        <v>3349</v>
      </c>
      <c r="D453" s="4" t="s">
        <v>3310</v>
      </c>
      <c r="E453" s="4" t="s">
        <v>3716</v>
      </c>
      <c r="F453" s="9" t="s">
        <v>5200</v>
      </c>
    </row>
    <row r="454">
      <c r="A454" s="4">
        <v>452.0</v>
      </c>
      <c r="B454" s="4" t="s">
        <v>1098</v>
      </c>
      <c r="C454" s="7" t="s">
        <v>3305</v>
      </c>
      <c r="D454" s="4" t="s">
        <v>3310</v>
      </c>
      <c r="E454" s="4" t="s">
        <v>4518</v>
      </c>
      <c r="F454" s="9" t="s">
        <v>5203</v>
      </c>
    </row>
    <row r="455">
      <c r="A455" s="4">
        <v>453.0</v>
      </c>
      <c r="B455" s="4" t="s">
        <v>44</v>
      </c>
      <c r="C455" s="7" t="s">
        <v>3443</v>
      </c>
      <c r="D455" s="4" t="s">
        <v>3310</v>
      </c>
      <c r="E455" s="4" t="s">
        <v>4306</v>
      </c>
      <c r="F455" s="9" t="s">
        <v>5205</v>
      </c>
    </row>
    <row r="456">
      <c r="A456" s="4">
        <v>454.0</v>
      </c>
      <c r="B456" s="4" t="s">
        <v>44</v>
      </c>
      <c r="C456" s="7" t="s">
        <v>3305</v>
      </c>
      <c r="D456" s="4" t="s">
        <v>3310</v>
      </c>
      <c r="E456" s="4" t="s">
        <v>4020</v>
      </c>
      <c r="F456" s="9" t="s">
        <v>5209</v>
      </c>
    </row>
    <row r="457">
      <c r="A457" s="4">
        <v>455.0</v>
      </c>
      <c r="B457" s="4" t="s">
        <v>44</v>
      </c>
      <c r="C457" s="7" t="s">
        <v>3443</v>
      </c>
      <c r="D457" s="4" t="s">
        <v>3310</v>
      </c>
      <c r="E457" s="4" t="s">
        <v>5050</v>
      </c>
      <c r="F457" s="9" t="s">
        <v>5211</v>
      </c>
    </row>
    <row r="458">
      <c r="A458" s="4">
        <v>456.0</v>
      </c>
      <c r="B458" s="4" t="s">
        <v>972</v>
      </c>
      <c r="C458" s="7" t="s">
        <v>3579</v>
      </c>
      <c r="D458" s="4" t="s">
        <v>3310</v>
      </c>
      <c r="E458" s="4" t="s">
        <v>5118</v>
      </c>
      <c r="F458" s="9" t="s">
        <v>5216</v>
      </c>
    </row>
    <row r="459">
      <c r="A459" s="4">
        <v>457.0</v>
      </c>
      <c r="B459" s="4" t="s">
        <v>155</v>
      </c>
      <c r="C459" s="7" t="s">
        <v>3349</v>
      </c>
      <c r="D459" s="4" t="s">
        <v>3310</v>
      </c>
      <c r="E459" s="4" t="s">
        <v>3716</v>
      </c>
      <c r="F459" s="9" t="s">
        <v>5220</v>
      </c>
    </row>
    <row r="460">
      <c r="A460" s="4">
        <v>458.0</v>
      </c>
      <c r="B460" s="4" t="s">
        <v>1098</v>
      </c>
      <c r="C460" s="7" t="s">
        <v>3305</v>
      </c>
      <c r="D460" s="4" t="s">
        <v>3310</v>
      </c>
      <c r="E460" s="4" t="s">
        <v>4518</v>
      </c>
      <c r="F460" s="9" t="s">
        <v>5226</v>
      </c>
    </row>
    <row r="461">
      <c r="A461" s="4">
        <v>459.0</v>
      </c>
      <c r="B461" s="4" t="s">
        <v>44</v>
      </c>
      <c r="C461" s="7" t="s">
        <v>3443</v>
      </c>
      <c r="D461" s="4" t="s">
        <v>3310</v>
      </c>
      <c r="E461" s="4" t="s">
        <v>4306</v>
      </c>
      <c r="F461" s="9" t="s">
        <v>5228</v>
      </c>
    </row>
    <row r="462">
      <c r="A462" s="4">
        <v>460.0</v>
      </c>
      <c r="B462" s="4" t="s">
        <v>44</v>
      </c>
      <c r="C462" s="7" t="s">
        <v>3305</v>
      </c>
      <c r="D462" s="4" t="s">
        <v>3310</v>
      </c>
      <c r="E462" s="4" t="s">
        <v>4020</v>
      </c>
      <c r="F462" s="9" t="s">
        <v>5231</v>
      </c>
    </row>
    <row r="463">
      <c r="A463" s="4">
        <v>461.0</v>
      </c>
      <c r="B463" s="4" t="s">
        <v>44</v>
      </c>
      <c r="C463" s="7" t="s">
        <v>3443</v>
      </c>
      <c r="D463" s="4" t="s">
        <v>3310</v>
      </c>
      <c r="E463" s="4" t="s">
        <v>5050</v>
      </c>
      <c r="F463" s="9" t="s">
        <v>5235</v>
      </c>
    </row>
    <row r="464">
      <c r="A464" s="4">
        <v>462.0</v>
      </c>
      <c r="B464" s="4" t="s">
        <v>972</v>
      </c>
      <c r="C464" s="7" t="s">
        <v>3579</v>
      </c>
      <c r="D464" s="4" t="s">
        <v>3310</v>
      </c>
      <c r="E464" s="4" t="s">
        <v>5118</v>
      </c>
      <c r="F464" s="9" t="s">
        <v>5237</v>
      </c>
    </row>
    <row r="465">
      <c r="A465" s="4">
        <v>463.0</v>
      </c>
      <c r="B465" s="4" t="s">
        <v>155</v>
      </c>
      <c r="C465" s="7" t="s">
        <v>3349</v>
      </c>
      <c r="D465" s="4" t="s">
        <v>3310</v>
      </c>
      <c r="E465" s="4" t="s">
        <v>3716</v>
      </c>
      <c r="F465" s="9" t="s">
        <v>5240</v>
      </c>
    </row>
    <row r="466">
      <c r="A466" s="4">
        <v>464.0</v>
      </c>
      <c r="B466" s="4" t="s">
        <v>1098</v>
      </c>
      <c r="C466" s="7" t="s">
        <v>3305</v>
      </c>
      <c r="D466" s="4" t="s">
        <v>3310</v>
      </c>
      <c r="E466" s="4" t="s">
        <v>4518</v>
      </c>
      <c r="F466" s="9" t="s">
        <v>5243</v>
      </c>
    </row>
    <row r="467">
      <c r="A467" s="4">
        <v>465.0</v>
      </c>
      <c r="B467" s="4" t="s">
        <v>44</v>
      </c>
      <c r="C467" s="7" t="s">
        <v>3443</v>
      </c>
      <c r="D467" s="4" t="s">
        <v>3310</v>
      </c>
      <c r="E467" s="4" t="s">
        <v>4306</v>
      </c>
      <c r="F467" s="9" t="s">
        <v>5245</v>
      </c>
    </row>
    <row r="468">
      <c r="A468" s="4">
        <v>466.0</v>
      </c>
      <c r="B468" s="4" t="s">
        <v>44</v>
      </c>
      <c r="C468" s="7" t="s">
        <v>3305</v>
      </c>
      <c r="D468" s="4" t="s">
        <v>3310</v>
      </c>
      <c r="E468" s="4" t="s">
        <v>4020</v>
      </c>
      <c r="F468" s="9" t="s">
        <v>5248</v>
      </c>
    </row>
    <row r="469">
      <c r="A469" s="4">
        <v>467.0</v>
      </c>
      <c r="B469" s="4" t="s">
        <v>44</v>
      </c>
      <c r="C469" s="7" t="s">
        <v>3305</v>
      </c>
      <c r="D469" s="4" t="s">
        <v>3310</v>
      </c>
      <c r="E469" s="4" t="s">
        <v>3322</v>
      </c>
      <c r="F469" s="9" t="s">
        <v>5251</v>
      </c>
    </row>
    <row r="470">
      <c r="A470" s="4">
        <v>468.0</v>
      </c>
      <c r="B470" s="4" t="s">
        <v>972</v>
      </c>
      <c r="C470" s="7" t="s">
        <v>3579</v>
      </c>
      <c r="D470" s="4" t="s">
        <v>3310</v>
      </c>
      <c r="E470" s="4" t="s">
        <v>5118</v>
      </c>
      <c r="F470" s="9" t="s">
        <v>5255</v>
      </c>
    </row>
    <row r="471">
      <c r="A471" s="4">
        <v>469.0</v>
      </c>
      <c r="B471" s="4" t="s">
        <v>155</v>
      </c>
      <c r="C471" s="7" t="s">
        <v>3349</v>
      </c>
      <c r="D471" s="4" t="s">
        <v>3310</v>
      </c>
      <c r="E471" s="4" t="s">
        <v>3716</v>
      </c>
      <c r="F471" s="9" t="s">
        <v>5262</v>
      </c>
    </row>
    <row r="472">
      <c r="A472" s="4">
        <v>470.0</v>
      </c>
      <c r="B472" s="4" t="s">
        <v>1098</v>
      </c>
      <c r="C472" s="7" t="s">
        <v>3305</v>
      </c>
      <c r="D472" s="4" t="s">
        <v>3310</v>
      </c>
      <c r="E472" s="4" t="s">
        <v>4518</v>
      </c>
      <c r="F472" s="9" t="s">
        <v>5265</v>
      </c>
    </row>
    <row r="473">
      <c r="A473" s="4">
        <v>471.0</v>
      </c>
      <c r="B473" s="4" t="s">
        <v>44</v>
      </c>
      <c r="C473" s="7" t="s">
        <v>3443</v>
      </c>
      <c r="D473" s="4" t="s">
        <v>3310</v>
      </c>
      <c r="E473" s="4" t="s">
        <v>4306</v>
      </c>
      <c r="F473" s="9" t="s">
        <v>5268</v>
      </c>
    </row>
    <row r="474">
      <c r="A474" s="4">
        <v>472.0</v>
      </c>
      <c r="B474" s="4" t="s">
        <v>44</v>
      </c>
      <c r="C474" s="7" t="s">
        <v>3305</v>
      </c>
      <c r="D474" s="4" t="s">
        <v>3310</v>
      </c>
      <c r="E474" s="4" t="s">
        <v>4020</v>
      </c>
      <c r="F474" s="9" t="s">
        <v>5271</v>
      </c>
    </row>
    <row r="475">
      <c r="A475" s="4">
        <v>473.0</v>
      </c>
      <c r="B475" s="4" t="s">
        <v>44</v>
      </c>
      <c r="C475" s="7" t="s">
        <v>3443</v>
      </c>
      <c r="D475" s="4" t="s">
        <v>3310</v>
      </c>
      <c r="E475" s="4" t="s">
        <v>5050</v>
      </c>
      <c r="F475" s="9" t="s">
        <v>5277</v>
      </c>
    </row>
    <row r="476">
      <c r="A476" s="4">
        <v>474.0</v>
      </c>
      <c r="B476" s="4" t="s">
        <v>972</v>
      </c>
      <c r="C476" s="7" t="s">
        <v>3579</v>
      </c>
      <c r="D476" s="4" t="s">
        <v>3310</v>
      </c>
      <c r="E476" s="4" t="s">
        <v>5118</v>
      </c>
      <c r="F476" s="9" t="s">
        <v>5280</v>
      </c>
    </row>
    <row r="477">
      <c r="A477" s="4">
        <v>475.0</v>
      </c>
      <c r="B477" s="4" t="s">
        <v>155</v>
      </c>
      <c r="C477" s="7" t="s">
        <v>3349</v>
      </c>
      <c r="D477" s="4" t="s">
        <v>3310</v>
      </c>
      <c r="E477" s="4" t="s">
        <v>3716</v>
      </c>
      <c r="F477" s="9" t="s">
        <v>5282</v>
      </c>
    </row>
    <row r="478">
      <c r="A478" s="4">
        <v>476.0</v>
      </c>
      <c r="B478" s="4" t="s">
        <v>1098</v>
      </c>
      <c r="C478" s="7" t="s">
        <v>3305</v>
      </c>
      <c r="D478" s="4" t="s">
        <v>3310</v>
      </c>
      <c r="E478" s="4" t="s">
        <v>4518</v>
      </c>
      <c r="F478" s="9" t="s">
        <v>5287</v>
      </c>
    </row>
    <row r="479">
      <c r="A479" s="4">
        <v>477.0</v>
      </c>
      <c r="B479" s="4" t="s">
        <v>44</v>
      </c>
      <c r="C479" s="7" t="s">
        <v>3443</v>
      </c>
      <c r="D479" s="4" t="s">
        <v>3310</v>
      </c>
      <c r="E479" s="4" t="s">
        <v>4306</v>
      </c>
      <c r="F479" s="9" t="s">
        <v>5291</v>
      </c>
    </row>
    <row r="480">
      <c r="A480" s="4">
        <v>478.0</v>
      </c>
      <c r="B480" s="4" t="s">
        <v>44</v>
      </c>
      <c r="C480" s="7" t="s">
        <v>3305</v>
      </c>
      <c r="D480" s="4" t="s">
        <v>3310</v>
      </c>
      <c r="E480" s="4" t="s">
        <v>4020</v>
      </c>
      <c r="F480" s="9" t="s">
        <v>5295</v>
      </c>
    </row>
    <row r="481">
      <c r="A481" s="4">
        <v>479.0</v>
      </c>
      <c r="B481" s="4" t="s">
        <v>44</v>
      </c>
      <c r="C481" s="7" t="s">
        <v>3443</v>
      </c>
      <c r="D481" s="4" t="s">
        <v>3310</v>
      </c>
      <c r="E481" s="4" t="s">
        <v>5050</v>
      </c>
      <c r="F481" s="9" t="s">
        <v>5297</v>
      </c>
    </row>
    <row r="482">
      <c r="A482" s="4">
        <v>480.0</v>
      </c>
      <c r="B482" s="4" t="s">
        <v>972</v>
      </c>
      <c r="C482" s="7" t="s">
        <v>3579</v>
      </c>
      <c r="D482" s="4" t="s">
        <v>3310</v>
      </c>
      <c r="E482" s="4" t="s">
        <v>5118</v>
      </c>
      <c r="F482" s="9" t="s">
        <v>5300</v>
      </c>
    </row>
    <row r="483">
      <c r="A483" s="4">
        <v>481.0</v>
      </c>
      <c r="B483" s="4" t="s">
        <v>155</v>
      </c>
      <c r="C483" s="7" t="s">
        <v>3349</v>
      </c>
      <c r="D483" s="4" t="s">
        <v>3310</v>
      </c>
      <c r="E483" s="4" t="s">
        <v>3716</v>
      </c>
      <c r="F483" s="9" t="s">
        <v>5302</v>
      </c>
    </row>
    <row r="484">
      <c r="A484" s="4">
        <v>482.0</v>
      </c>
      <c r="B484" s="4" t="s">
        <v>1098</v>
      </c>
      <c r="C484" s="7" t="s">
        <v>3305</v>
      </c>
      <c r="D484" s="4" t="s">
        <v>3310</v>
      </c>
      <c r="E484" s="4" t="s">
        <v>4518</v>
      </c>
      <c r="F484" s="9" t="s">
        <v>5306</v>
      </c>
    </row>
    <row r="485">
      <c r="A485" s="4">
        <v>483.0</v>
      </c>
      <c r="B485" s="4" t="s">
        <v>44</v>
      </c>
      <c r="C485" s="7" t="s">
        <v>3443</v>
      </c>
      <c r="D485" s="4" t="s">
        <v>3310</v>
      </c>
      <c r="E485" s="4" t="s">
        <v>4306</v>
      </c>
      <c r="F485" s="9" t="s">
        <v>5309</v>
      </c>
    </row>
    <row r="486">
      <c r="A486" s="4">
        <v>484.0</v>
      </c>
      <c r="B486" s="4" t="s">
        <v>44</v>
      </c>
      <c r="C486" s="7" t="s">
        <v>3305</v>
      </c>
      <c r="D486" s="4" t="s">
        <v>3310</v>
      </c>
      <c r="E486" s="4" t="s">
        <v>4020</v>
      </c>
      <c r="F486" s="9" t="s">
        <v>5311</v>
      </c>
    </row>
    <row r="487">
      <c r="A487" s="4">
        <v>485.0</v>
      </c>
      <c r="B487" s="4" t="s">
        <v>44</v>
      </c>
      <c r="C487" s="7" t="s">
        <v>3443</v>
      </c>
      <c r="D487" s="4" t="s">
        <v>3310</v>
      </c>
      <c r="E487" s="4" t="s">
        <v>3449</v>
      </c>
      <c r="F487" s="9" t="s">
        <v>5314</v>
      </c>
    </row>
    <row r="488">
      <c r="A488" s="4">
        <v>486.0</v>
      </c>
      <c r="B488" s="4" t="s">
        <v>972</v>
      </c>
      <c r="C488" s="7" t="s">
        <v>3579</v>
      </c>
      <c r="D488" s="4" t="s">
        <v>3310</v>
      </c>
      <c r="E488" s="4" t="s">
        <v>5118</v>
      </c>
      <c r="F488" s="9" t="s">
        <v>5316</v>
      </c>
    </row>
    <row r="489">
      <c r="A489" s="4">
        <v>487.0</v>
      </c>
      <c r="B489" s="4" t="s">
        <v>155</v>
      </c>
      <c r="C489" s="7" t="s">
        <v>3349</v>
      </c>
      <c r="D489" s="4" t="s">
        <v>3310</v>
      </c>
      <c r="E489" s="4" t="s">
        <v>3716</v>
      </c>
      <c r="F489" s="9" t="s">
        <v>5319</v>
      </c>
    </row>
    <row r="490">
      <c r="A490" s="4">
        <v>488.0</v>
      </c>
      <c r="B490" s="4" t="s">
        <v>1098</v>
      </c>
      <c r="C490" s="7" t="s">
        <v>3305</v>
      </c>
      <c r="D490" s="4" t="s">
        <v>3310</v>
      </c>
      <c r="E490" s="4" t="s">
        <v>4518</v>
      </c>
      <c r="F490" s="9" t="s">
        <v>5322</v>
      </c>
    </row>
    <row r="491">
      <c r="A491" s="4">
        <v>489.0</v>
      </c>
      <c r="B491" s="4" t="s">
        <v>44</v>
      </c>
      <c r="C491" s="7" t="s">
        <v>3443</v>
      </c>
      <c r="D491" s="4" t="s">
        <v>3310</v>
      </c>
      <c r="E491" s="4" t="s">
        <v>3505</v>
      </c>
      <c r="F491" s="9" t="s">
        <v>5325</v>
      </c>
    </row>
    <row r="492">
      <c r="A492" s="4">
        <v>490.0</v>
      </c>
      <c r="B492" s="4" t="s">
        <v>3672</v>
      </c>
      <c r="C492" s="7" t="s">
        <v>3673</v>
      </c>
      <c r="D492" s="4" t="s">
        <v>3310</v>
      </c>
      <c r="E492" s="4" t="s">
        <v>3679</v>
      </c>
      <c r="F492" s="9" t="s">
        <v>5327</v>
      </c>
    </row>
    <row r="493">
      <c r="A493" s="4">
        <v>491.0</v>
      </c>
      <c r="B493" s="4" t="s">
        <v>44</v>
      </c>
      <c r="C493" s="7" t="s">
        <v>3443</v>
      </c>
      <c r="D493" s="4" t="s">
        <v>3310</v>
      </c>
      <c r="E493" s="4" t="s">
        <v>5050</v>
      </c>
      <c r="F493" s="9" t="s">
        <v>5330</v>
      </c>
    </row>
    <row r="494">
      <c r="A494" s="4">
        <v>492.0</v>
      </c>
      <c r="B494" s="4" t="s">
        <v>972</v>
      </c>
      <c r="C494" s="7" t="s">
        <v>3579</v>
      </c>
      <c r="D494" s="4" t="s">
        <v>3310</v>
      </c>
      <c r="E494" s="4" t="s">
        <v>5118</v>
      </c>
      <c r="F494" s="9" t="s">
        <v>5332</v>
      </c>
    </row>
    <row r="495">
      <c r="A495" s="4">
        <v>493.0</v>
      </c>
      <c r="B495" s="4" t="s">
        <v>155</v>
      </c>
      <c r="C495" s="7" t="s">
        <v>3349</v>
      </c>
      <c r="D495" s="4" t="s">
        <v>3310</v>
      </c>
      <c r="E495" s="4" t="s">
        <v>3716</v>
      </c>
      <c r="F495" s="9" t="s">
        <v>5335</v>
      </c>
    </row>
    <row r="496">
      <c r="A496" s="4">
        <v>494.0</v>
      </c>
      <c r="B496" s="4" t="s">
        <v>1098</v>
      </c>
      <c r="C496" s="7" t="s">
        <v>3305</v>
      </c>
      <c r="D496" s="4" t="s">
        <v>3310</v>
      </c>
      <c r="E496" s="4" t="s">
        <v>4518</v>
      </c>
      <c r="F496" s="9" t="s">
        <v>5338</v>
      </c>
    </row>
    <row r="497">
      <c r="A497" s="4">
        <v>495.0</v>
      </c>
      <c r="B497" s="4" t="s">
        <v>44</v>
      </c>
      <c r="C497" s="7" t="s">
        <v>3443</v>
      </c>
      <c r="D497" s="4" t="s">
        <v>3310</v>
      </c>
      <c r="E497" s="4" t="s">
        <v>4306</v>
      </c>
      <c r="F497" s="9" t="s">
        <v>5340</v>
      </c>
    </row>
    <row r="498">
      <c r="A498" s="4">
        <v>496.0</v>
      </c>
      <c r="B498" s="4" t="s">
        <v>44</v>
      </c>
      <c r="C498" s="7" t="s">
        <v>3305</v>
      </c>
      <c r="D498" s="4" t="s">
        <v>3310</v>
      </c>
      <c r="E498" s="4" t="s">
        <v>4020</v>
      </c>
      <c r="F498" s="9" t="s">
        <v>5343</v>
      </c>
    </row>
    <row r="499">
      <c r="A499" s="4">
        <v>497.0</v>
      </c>
      <c r="B499" s="4" t="s">
        <v>44</v>
      </c>
      <c r="C499" s="7" t="s">
        <v>3443</v>
      </c>
      <c r="D499" s="4" t="s">
        <v>3310</v>
      </c>
      <c r="E499" s="4" t="s">
        <v>5050</v>
      </c>
      <c r="F499" s="9" t="s">
        <v>5345</v>
      </c>
    </row>
    <row r="500">
      <c r="A500" s="4">
        <v>498.0</v>
      </c>
      <c r="B500" s="4" t="s">
        <v>972</v>
      </c>
      <c r="C500" s="7" t="s">
        <v>3579</v>
      </c>
      <c r="D500" s="4" t="s">
        <v>3310</v>
      </c>
      <c r="E500" s="4" t="s">
        <v>5118</v>
      </c>
      <c r="F500" s="9" t="s">
        <v>5349</v>
      </c>
    </row>
    <row r="501">
      <c r="A501" s="4">
        <v>499.0</v>
      </c>
      <c r="B501" s="4" t="s">
        <v>217</v>
      </c>
      <c r="C501" s="7" t="s">
        <v>3305</v>
      </c>
      <c r="D501" s="4" t="s">
        <v>3310</v>
      </c>
      <c r="E501" s="4" t="s">
        <v>3633</v>
      </c>
      <c r="F501" s="9" t="s">
        <v>5353</v>
      </c>
    </row>
    <row r="502">
      <c r="A502" s="4">
        <v>500.0</v>
      </c>
      <c r="B502" s="4" t="s">
        <v>1098</v>
      </c>
      <c r="C502" s="7" t="s">
        <v>3305</v>
      </c>
      <c r="D502" s="4" t="s">
        <v>3310</v>
      </c>
      <c r="E502" s="4" t="s">
        <v>3311</v>
      </c>
      <c r="F502" s="9" t="s">
        <v>5355</v>
      </c>
    </row>
    <row r="503">
      <c r="A503" s="4">
        <v>501.0</v>
      </c>
      <c r="B503" s="4" t="s">
        <v>44</v>
      </c>
      <c r="C503" s="7" t="s">
        <v>3443</v>
      </c>
      <c r="D503" s="4" t="s">
        <v>3310</v>
      </c>
      <c r="E503" s="4" t="s">
        <v>3505</v>
      </c>
      <c r="F503" s="9" t="s">
        <v>5359</v>
      </c>
    </row>
    <row r="504">
      <c r="A504" s="4">
        <v>502.0</v>
      </c>
      <c r="B504" s="4" t="s">
        <v>3672</v>
      </c>
      <c r="C504" s="7" t="s">
        <v>3673</v>
      </c>
      <c r="D504" s="4" t="s">
        <v>3310</v>
      </c>
      <c r="E504" s="4" t="s">
        <v>3679</v>
      </c>
      <c r="F504" s="9" t="s">
        <v>5366</v>
      </c>
    </row>
    <row r="505">
      <c r="A505" s="4">
        <v>503.0</v>
      </c>
      <c r="B505" s="4" t="s">
        <v>155</v>
      </c>
      <c r="C505" s="7" t="s">
        <v>3349</v>
      </c>
      <c r="D505" s="4" t="s">
        <v>3310</v>
      </c>
      <c r="E505" s="4" t="s">
        <v>3354</v>
      </c>
      <c r="F505" s="9" t="s">
        <v>5370</v>
      </c>
    </row>
    <row r="506">
      <c r="A506" s="4">
        <v>504.0</v>
      </c>
      <c r="B506" s="4" t="s">
        <v>127</v>
      </c>
      <c r="C506" s="7" t="s">
        <v>3368</v>
      </c>
      <c r="D506" s="4" t="s">
        <v>3310</v>
      </c>
      <c r="E506" s="4" t="s">
        <v>3373</v>
      </c>
      <c r="F506" s="9" t="s">
        <v>5375</v>
      </c>
    </row>
    <row r="507">
      <c r="A507" s="4">
        <v>505.0</v>
      </c>
      <c r="B507" s="4" t="s">
        <v>44</v>
      </c>
      <c r="C507" s="7" t="s">
        <v>3305</v>
      </c>
      <c r="D507" s="4" t="s">
        <v>3310</v>
      </c>
      <c r="E507" s="4" t="s">
        <v>3387</v>
      </c>
      <c r="F507" s="9" t="s">
        <v>5377</v>
      </c>
    </row>
    <row r="508">
      <c r="A508" s="4">
        <v>506.0</v>
      </c>
      <c r="B508" s="4" t="s">
        <v>44</v>
      </c>
      <c r="C508" s="7" t="s">
        <v>3305</v>
      </c>
      <c r="D508" s="4" t="s">
        <v>3310</v>
      </c>
      <c r="E508" s="4" t="s">
        <v>3402</v>
      </c>
      <c r="F508" s="9" t="s">
        <v>5381</v>
      </c>
    </row>
    <row r="509">
      <c r="A509" s="4">
        <v>507.0</v>
      </c>
      <c r="B509" s="4" t="s">
        <v>972</v>
      </c>
      <c r="C509" s="7" t="s">
        <v>3579</v>
      </c>
      <c r="D509" s="4" t="s">
        <v>3310</v>
      </c>
      <c r="E509" s="4" t="s">
        <v>3584</v>
      </c>
      <c r="F509" s="9" t="s">
        <v>5386</v>
      </c>
    </row>
    <row r="510">
      <c r="A510" s="4">
        <v>508.0</v>
      </c>
      <c r="B510" s="4" t="s">
        <v>1098</v>
      </c>
      <c r="C510" s="7" t="s">
        <v>3305</v>
      </c>
      <c r="D510" s="4" t="s">
        <v>3310</v>
      </c>
      <c r="E510" s="4" t="s">
        <v>3601</v>
      </c>
      <c r="F510" s="9" t="s">
        <v>5388</v>
      </c>
    </row>
    <row r="511">
      <c r="A511" s="4">
        <v>509.0</v>
      </c>
      <c r="B511" s="4" t="s">
        <v>44</v>
      </c>
      <c r="C511" s="7" t="s">
        <v>3443</v>
      </c>
      <c r="D511" s="4" t="s">
        <v>3310</v>
      </c>
      <c r="E511" s="4" t="s">
        <v>3449</v>
      </c>
      <c r="F511" s="9" t="s">
        <v>5391</v>
      </c>
    </row>
    <row r="512">
      <c r="A512" s="4">
        <v>510.0</v>
      </c>
      <c r="B512" s="4" t="s">
        <v>155</v>
      </c>
      <c r="C512" s="7" t="s">
        <v>3349</v>
      </c>
      <c r="D512" s="4" t="s">
        <v>3310</v>
      </c>
      <c r="E512" s="4" t="s">
        <v>3467</v>
      </c>
      <c r="F512" s="9" t="s">
        <v>5394</v>
      </c>
    </row>
    <row r="513">
      <c r="A513" s="4">
        <v>511.0</v>
      </c>
      <c r="B513" s="4" t="s">
        <v>217</v>
      </c>
      <c r="C513" s="7" t="s">
        <v>3305</v>
      </c>
      <c r="D513" s="4" t="s">
        <v>3310</v>
      </c>
      <c r="E513" s="4" t="s">
        <v>3633</v>
      </c>
      <c r="F513" s="9" t="s">
        <v>5398</v>
      </c>
    </row>
    <row r="514">
      <c r="A514" s="4">
        <v>512.0</v>
      </c>
      <c r="B514" s="4" t="s">
        <v>1098</v>
      </c>
      <c r="C514" s="7" t="s">
        <v>3305</v>
      </c>
      <c r="D514" s="4" t="s">
        <v>3310</v>
      </c>
      <c r="E514" s="4" t="s">
        <v>3311</v>
      </c>
      <c r="F514" s="9" t="s">
        <v>5401</v>
      </c>
    </row>
    <row r="515">
      <c r="A515" s="4">
        <v>513.0</v>
      </c>
      <c r="B515" s="4" t="s">
        <v>44</v>
      </c>
      <c r="C515" s="7" t="s">
        <v>3443</v>
      </c>
      <c r="D515" s="4" t="s">
        <v>3310</v>
      </c>
      <c r="E515" s="4" t="s">
        <v>3505</v>
      </c>
      <c r="F515" s="9" t="s">
        <v>5403</v>
      </c>
    </row>
    <row r="516">
      <c r="A516" s="4">
        <v>514.0</v>
      </c>
      <c r="B516" s="4" t="s">
        <v>3672</v>
      </c>
      <c r="C516" s="7" t="s">
        <v>3673</v>
      </c>
      <c r="D516" s="4" t="s">
        <v>3310</v>
      </c>
      <c r="E516" s="4" t="s">
        <v>3679</v>
      </c>
      <c r="F516" s="9" t="s">
        <v>5406</v>
      </c>
    </row>
    <row r="517">
      <c r="A517" s="4">
        <v>515.0</v>
      </c>
      <c r="B517" s="4" t="s">
        <v>155</v>
      </c>
      <c r="C517" s="7" t="s">
        <v>3349</v>
      </c>
      <c r="D517" s="4" t="s">
        <v>3310</v>
      </c>
      <c r="E517" s="4" t="s">
        <v>3354</v>
      </c>
      <c r="F517" s="9" t="s">
        <v>5414</v>
      </c>
    </row>
    <row r="518">
      <c r="A518" s="4">
        <v>516.0</v>
      </c>
      <c r="B518" s="4" t="s">
        <v>127</v>
      </c>
      <c r="C518" s="7" t="s">
        <v>3368</v>
      </c>
      <c r="D518" s="4" t="s">
        <v>3310</v>
      </c>
      <c r="E518" s="4" t="s">
        <v>3373</v>
      </c>
      <c r="F518" s="9" t="s">
        <v>5417</v>
      </c>
    </row>
    <row r="519">
      <c r="A519" s="4">
        <v>517.0</v>
      </c>
      <c r="B519" s="4" t="s">
        <v>155</v>
      </c>
      <c r="C519" s="7" t="s">
        <v>3349</v>
      </c>
      <c r="D519" s="4" t="s">
        <v>3310</v>
      </c>
      <c r="E519" s="4" t="s">
        <v>3716</v>
      </c>
      <c r="F519" s="9" t="s">
        <v>5424</v>
      </c>
    </row>
    <row r="520">
      <c r="A520" s="4">
        <v>518.0</v>
      </c>
      <c r="B520" s="4" t="s">
        <v>1098</v>
      </c>
      <c r="C520" s="7" t="s">
        <v>3305</v>
      </c>
      <c r="D520" s="4" t="s">
        <v>3310</v>
      </c>
      <c r="E520" s="4" t="s">
        <v>4518</v>
      </c>
      <c r="F520" s="9" t="s">
        <v>5427</v>
      </c>
    </row>
    <row r="521">
      <c r="A521" s="4">
        <v>519.0</v>
      </c>
      <c r="B521" s="4" t="s">
        <v>44</v>
      </c>
      <c r="C521" s="7" t="s">
        <v>3443</v>
      </c>
      <c r="D521" s="4" t="s">
        <v>3310</v>
      </c>
      <c r="E521" s="4" t="s">
        <v>4306</v>
      </c>
      <c r="F521" s="9" t="s">
        <v>5430</v>
      </c>
    </row>
    <row r="522">
      <c r="A522" s="4">
        <v>520.0</v>
      </c>
      <c r="B522" s="4" t="s">
        <v>44</v>
      </c>
      <c r="C522" s="7" t="s">
        <v>3305</v>
      </c>
      <c r="D522" s="4" t="s">
        <v>3310</v>
      </c>
      <c r="E522" s="4" t="s">
        <v>4020</v>
      </c>
      <c r="F522" s="9" t="s">
        <v>5432</v>
      </c>
    </row>
    <row r="523">
      <c r="A523" s="4">
        <v>521.0</v>
      </c>
      <c r="B523" s="4" t="s">
        <v>44</v>
      </c>
      <c r="C523" s="7" t="s">
        <v>3443</v>
      </c>
      <c r="D523" s="4" t="s">
        <v>3310</v>
      </c>
      <c r="E523" s="4" t="s">
        <v>5050</v>
      </c>
      <c r="F523" s="9" t="s">
        <v>5435</v>
      </c>
    </row>
    <row r="524">
      <c r="A524" s="4">
        <v>522.0</v>
      </c>
      <c r="B524" s="4" t="s">
        <v>972</v>
      </c>
      <c r="C524" s="7" t="s">
        <v>3579</v>
      </c>
      <c r="D524" s="4" t="s">
        <v>3310</v>
      </c>
      <c r="E524" s="4" t="s">
        <v>5118</v>
      </c>
      <c r="F524" s="9" t="s">
        <v>5437</v>
      </c>
    </row>
    <row r="525">
      <c r="A525" s="4">
        <v>523.0</v>
      </c>
      <c r="B525" s="4" t="s">
        <v>217</v>
      </c>
      <c r="C525" s="7" t="s">
        <v>3305</v>
      </c>
      <c r="D525" s="4" t="s">
        <v>3310</v>
      </c>
      <c r="E525" s="4" t="s">
        <v>3633</v>
      </c>
      <c r="F525" s="9" t="s">
        <v>5440</v>
      </c>
    </row>
    <row r="526">
      <c r="A526" s="4">
        <v>524.0</v>
      </c>
      <c r="B526" s="4" t="s">
        <v>1098</v>
      </c>
      <c r="C526" s="7" t="s">
        <v>3305</v>
      </c>
      <c r="D526" s="4" t="s">
        <v>3310</v>
      </c>
      <c r="E526" s="4" t="s">
        <v>3311</v>
      </c>
      <c r="F526" s="9" t="s">
        <v>5443</v>
      </c>
    </row>
    <row r="527">
      <c r="A527" s="4">
        <v>525.0</v>
      </c>
      <c r="B527" s="4" t="s">
        <v>44</v>
      </c>
      <c r="C527" s="7" t="s">
        <v>3443</v>
      </c>
      <c r="D527" s="4" t="s">
        <v>3310</v>
      </c>
      <c r="E527" s="4" t="s">
        <v>3505</v>
      </c>
      <c r="F527" s="9" t="s">
        <v>5445</v>
      </c>
    </row>
    <row r="528">
      <c r="A528" s="4">
        <v>526.0</v>
      </c>
      <c r="B528" s="4" t="s">
        <v>3672</v>
      </c>
      <c r="C528" s="7" t="s">
        <v>3673</v>
      </c>
      <c r="D528" s="4" t="s">
        <v>3310</v>
      </c>
      <c r="E528" s="4" t="s">
        <v>3679</v>
      </c>
      <c r="F528" s="9" t="s">
        <v>5447</v>
      </c>
    </row>
    <row r="529">
      <c r="A529" s="4">
        <v>527.0</v>
      </c>
      <c r="B529" s="4" t="s">
        <v>155</v>
      </c>
      <c r="C529" s="7" t="s">
        <v>3349</v>
      </c>
      <c r="D529" s="4" t="s">
        <v>3310</v>
      </c>
      <c r="E529" s="4" t="s">
        <v>3354</v>
      </c>
      <c r="F529" s="9" t="s">
        <v>5450</v>
      </c>
    </row>
    <row r="530">
      <c r="A530" s="4">
        <v>528.0</v>
      </c>
      <c r="B530" s="4" t="s">
        <v>127</v>
      </c>
      <c r="C530" s="7" t="s">
        <v>3368</v>
      </c>
      <c r="D530" s="4" t="s">
        <v>3310</v>
      </c>
      <c r="E530" s="4" t="s">
        <v>3373</v>
      </c>
      <c r="F530" s="9" t="s">
        <v>5451</v>
      </c>
    </row>
    <row r="531">
      <c r="A531" s="4">
        <v>529.0</v>
      </c>
      <c r="B531" s="4" t="s">
        <v>44</v>
      </c>
      <c r="C531" s="7" t="s">
        <v>3305</v>
      </c>
      <c r="D531" s="4" t="s">
        <v>3310</v>
      </c>
      <c r="E531" s="4" t="s">
        <v>3387</v>
      </c>
      <c r="F531" s="9" t="s">
        <v>5452</v>
      </c>
    </row>
    <row r="532">
      <c r="A532" s="4">
        <v>530.0</v>
      </c>
      <c r="B532" s="4" t="s">
        <v>44</v>
      </c>
      <c r="C532" s="7" t="s">
        <v>3305</v>
      </c>
      <c r="D532" s="4" t="s">
        <v>3310</v>
      </c>
      <c r="E532" s="4" t="s">
        <v>3402</v>
      </c>
      <c r="F532" s="9" t="s">
        <v>5453</v>
      </c>
    </row>
    <row r="533">
      <c r="A533" s="4">
        <v>531.0</v>
      </c>
      <c r="B533" s="4" t="s">
        <v>972</v>
      </c>
      <c r="C533" s="7" t="s">
        <v>3579</v>
      </c>
      <c r="D533" s="4" t="s">
        <v>3310</v>
      </c>
      <c r="E533" s="4" t="s">
        <v>3584</v>
      </c>
      <c r="F533" s="9" t="s">
        <v>5454</v>
      </c>
    </row>
    <row r="534">
      <c r="A534" s="4">
        <v>532.0</v>
      </c>
      <c r="B534" s="4" t="s">
        <v>1098</v>
      </c>
      <c r="C534" s="7" t="s">
        <v>3305</v>
      </c>
      <c r="D534" s="4" t="s">
        <v>3310</v>
      </c>
      <c r="E534" s="4" t="s">
        <v>3601</v>
      </c>
      <c r="F534" s="9" t="s">
        <v>5455</v>
      </c>
    </row>
    <row r="535">
      <c r="A535" s="4">
        <v>533.0</v>
      </c>
      <c r="B535" s="4" t="s">
        <v>44</v>
      </c>
      <c r="C535" s="7" t="s">
        <v>3443</v>
      </c>
      <c r="D535" s="4" t="s">
        <v>3310</v>
      </c>
      <c r="E535" s="4" t="s">
        <v>3449</v>
      </c>
      <c r="F535" s="9" t="s">
        <v>5456</v>
      </c>
    </row>
    <row r="536">
      <c r="A536" s="4">
        <v>534.0</v>
      </c>
      <c r="B536" s="4" t="s">
        <v>155</v>
      </c>
      <c r="C536" s="7" t="s">
        <v>3349</v>
      </c>
      <c r="D536" s="4" t="s">
        <v>3310</v>
      </c>
      <c r="E536" s="4" t="s">
        <v>3467</v>
      </c>
      <c r="F536" s="9" t="s">
        <v>5457</v>
      </c>
    </row>
    <row r="537">
      <c r="A537" s="4">
        <v>535.0</v>
      </c>
      <c r="B537" s="4" t="s">
        <v>217</v>
      </c>
      <c r="C537" s="7" t="s">
        <v>3305</v>
      </c>
      <c r="D537" s="4" t="s">
        <v>3310</v>
      </c>
      <c r="E537" s="4" t="s">
        <v>3633</v>
      </c>
      <c r="F537" s="9" t="s">
        <v>5458</v>
      </c>
    </row>
    <row r="538">
      <c r="A538" s="4">
        <v>536.0</v>
      </c>
      <c r="B538" s="4" t="s">
        <v>1098</v>
      </c>
      <c r="C538" s="7" t="s">
        <v>3305</v>
      </c>
      <c r="D538" s="4" t="s">
        <v>3310</v>
      </c>
      <c r="E538" s="4" t="s">
        <v>3311</v>
      </c>
      <c r="F538" s="9" t="s">
        <v>5459</v>
      </c>
    </row>
    <row r="539">
      <c r="A539" s="4">
        <v>537.0</v>
      </c>
      <c r="B539" s="4" t="s">
        <v>44</v>
      </c>
      <c r="C539" s="7" t="s">
        <v>3443</v>
      </c>
      <c r="D539" s="4" t="s">
        <v>3310</v>
      </c>
      <c r="E539" s="4" t="s">
        <v>3505</v>
      </c>
      <c r="F539" s="9" t="s">
        <v>5460</v>
      </c>
    </row>
    <row r="540">
      <c r="A540" s="4">
        <v>538.0</v>
      </c>
      <c r="B540" s="4" t="s">
        <v>3672</v>
      </c>
      <c r="C540" s="7" t="s">
        <v>3673</v>
      </c>
      <c r="D540" s="4" t="s">
        <v>3310</v>
      </c>
      <c r="E540" s="4" t="s">
        <v>3679</v>
      </c>
      <c r="F540" s="9" t="s">
        <v>5461</v>
      </c>
    </row>
    <row r="541">
      <c r="A541" s="4">
        <v>539.0</v>
      </c>
      <c r="B541" s="4" t="s">
        <v>155</v>
      </c>
      <c r="C541" s="7" t="s">
        <v>3349</v>
      </c>
      <c r="D541" s="4" t="s">
        <v>3310</v>
      </c>
      <c r="E541" s="4" t="s">
        <v>3354</v>
      </c>
      <c r="F541" s="9" t="s">
        <v>5462</v>
      </c>
    </row>
    <row r="542">
      <c r="A542" s="4">
        <v>540.0</v>
      </c>
      <c r="B542" s="4" t="s">
        <v>127</v>
      </c>
      <c r="C542" s="7" t="s">
        <v>3368</v>
      </c>
      <c r="D542" s="4" t="s">
        <v>3310</v>
      </c>
      <c r="E542" s="4" t="s">
        <v>3373</v>
      </c>
      <c r="F542" s="9" t="s">
        <v>5463</v>
      </c>
    </row>
    <row r="543">
      <c r="A543" s="4">
        <v>541.0</v>
      </c>
      <c r="B543" s="4" t="s">
        <v>44</v>
      </c>
      <c r="C543" s="7" t="s">
        <v>3305</v>
      </c>
      <c r="D543" s="4" t="s">
        <v>3310</v>
      </c>
      <c r="E543" s="4" t="s">
        <v>3387</v>
      </c>
      <c r="F543" s="9" t="s">
        <v>5464</v>
      </c>
    </row>
    <row r="544">
      <c r="A544" s="4">
        <v>542.0</v>
      </c>
      <c r="B544" s="4" t="s">
        <v>44</v>
      </c>
      <c r="C544" s="7" t="s">
        <v>3305</v>
      </c>
      <c r="D544" s="4" t="s">
        <v>3310</v>
      </c>
      <c r="E544" s="4" t="s">
        <v>3402</v>
      </c>
      <c r="F544" s="9" t="s">
        <v>5465</v>
      </c>
    </row>
    <row r="545">
      <c r="A545" s="4">
        <v>543.0</v>
      </c>
      <c r="B545" s="4" t="s">
        <v>972</v>
      </c>
      <c r="C545" s="7" t="s">
        <v>3579</v>
      </c>
      <c r="D545" s="4" t="s">
        <v>3310</v>
      </c>
      <c r="E545" s="4" t="s">
        <v>3584</v>
      </c>
      <c r="F545" s="9" t="s">
        <v>5467</v>
      </c>
    </row>
    <row r="546">
      <c r="A546" s="4">
        <v>544.0</v>
      </c>
      <c r="B546" s="4" t="s">
        <v>1098</v>
      </c>
      <c r="C546" s="7" t="s">
        <v>3305</v>
      </c>
      <c r="D546" s="4" t="s">
        <v>3310</v>
      </c>
      <c r="E546" s="4" t="s">
        <v>3601</v>
      </c>
      <c r="F546" s="9" t="s">
        <v>5468</v>
      </c>
    </row>
    <row r="547">
      <c r="A547" s="4">
        <v>545.0</v>
      </c>
      <c r="B547" s="4" t="s">
        <v>44</v>
      </c>
      <c r="C547" s="7" t="s">
        <v>3443</v>
      </c>
      <c r="D547" s="4" t="s">
        <v>3310</v>
      </c>
      <c r="E547" s="4" t="s">
        <v>3449</v>
      </c>
      <c r="F547" s="9" t="s">
        <v>5470</v>
      </c>
    </row>
    <row r="548">
      <c r="A548" s="4">
        <v>546.0</v>
      </c>
      <c r="B548" s="4" t="s">
        <v>155</v>
      </c>
      <c r="C548" s="7" t="s">
        <v>3349</v>
      </c>
      <c r="D548" s="4" t="s">
        <v>3310</v>
      </c>
      <c r="E548" s="4" t="s">
        <v>3467</v>
      </c>
      <c r="F548" s="9" t="s">
        <v>5471</v>
      </c>
    </row>
    <row r="549">
      <c r="A549" s="4">
        <v>547.0</v>
      </c>
      <c r="B549" s="4" t="s">
        <v>217</v>
      </c>
      <c r="C549" s="7" t="s">
        <v>3305</v>
      </c>
      <c r="D549" s="4" t="s">
        <v>3310</v>
      </c>
      <c r="E549" s="4" t="s">
        <v>3633</v>
      </c>
      <c r="F549" s="9" t="s">
        <v>5473</v>
      </c>
    </row>
    <row r="550">
      <c r="A550" s="4">
        <v>548.0</v>
      </c>
      <c r="B550" s="4" t="s">
        <v>1098</v>
      </c>
      <c r="C550" s="7" t="s">
        <v>3305</v>
      </c>
      <c r="D550" s="4" t="s">
        <v>3310</v>
      </c>
      <c r="E550" s="4" t="s">
        <v>3311</v>
      </c>
      <c r="F550" s="9" t="s">
        <v>5474</v>
      </c>
    </row>
    <row r="551">
      <c r="A551" s="4">
        <v>549.0</v>
      </c>
      <c r="B551" s="4" t="s">
        <v>44</v>
      </c>
      <c r="C551" s="7" t="s">
        <v>3443</v>
      </c>
      <c r="D551" s="4" t="s">
        <v>3310</v>
      </c>
      <c r="E551" s="4" t="s">
        <v>3505</v>
      </c>
      <c r="F551" s="9" t="s">
        <v>5475</v>
      </c>
    </row>
    <row r="552">
      <c r="A552" s="4">
        <v>550.0</v>
      </c>
      <c r="B552" s="4" t="s">
        <v>3672</v>
      </c>
      <c r="C552" s="7" t="s">
        <v>3673</v>
      </c>
      <c r="D552" s="4" t="s">
        <v>3310</v>
      </c>
      <c r="E552" s="4" t="s">
        <v>3679</v>
      </c>
      <c r="F552" s="9" t="s">
        <v>5476</v>
      </c>
    </row>
    <row r="553">
      <c r="A553" s="4">
        <v>551.0</v>
      </c>
      <c r="B553" s="4" t="s">
        <v>155</v>
      </c>
      <c r="C553" s="7" t="s">
        <v>3349</v>
      </c>
      <c r="D553" s="4" t="s">
        <v>3310</v>
      </c>
      <c r="E553" s="4" t="s">
        <v>3354</v>
      </c>
      <c r="F553" s="9" t="s">
        <v>5477</v>
      </c>
    </row>
    <row r="554">
      <c r="A554" s="4">
        <v>552.0</v>
      </c>
      <c r="B554" s="4" t="s">
        <v>127</v>
      </c>
      <c r="C554" s="7" t="s">
        <v>3368</v>
      </c>
      <c r="D554" s="4" t="s">
        <v>3310</v>
      </c>
      <c r="E554" s="4" t="s">
        <v>3373</v>
      </c>
      <c r="F554" s="9" t="s">
        <v>5478</v>
      </c>
    </row>
    <row r="555">
      <c r="A555" s="4">
        <v>553.0</v>
      </c>
      <c r="B555" s="4" t="s">
        <v>44</v>
      </c>
      <c r="C555" s="7" t="s">
        <v>3305</v>
      </c>
      <c r="D555" s="4" t="s">
        <v>3310</v>
      </c>
      <c r="E555" s="4" t="s">
        <v>3387</v>
      </c>
      <c r="F555" s="9" t="s">
        <v>5479</v>
      </c>
    </row>
    <row r="556">
      <c r="A556" s="4">
        <v>554.0</v>
      </c>
      <c r="B556" s="4" t="s">
        <v>44</v>
      </c>
      <c r="C556" s="7" t="s">
        <v>3305</v>
      </c>
      <c r="D556" s="4" t="s">
        <v>3310</v>
      </c>
      <c r="E556" s="4" t="s">
        <v>3402</v>
      </c>
      <c r="F556" s="9" t="s">
        <v>5480</v>
      </c>
    </row>
    <row r="557">
      <c r="A557" s="4">
        <v>555.0</v>
      </c>
      <c r="B557" s="4" t="s">
        <v>972</v>
      </c>
      <c r="C557" s="7" t="s">
        <v>3579</v>
      </c>
      <c r="D557" s="4" t="s">
        <v>3310</v>
      </c>
      <c r="E557" s="4" t="s">
        <v>3584</v>
      </c>
      <c r="F557" s="9" t="s">
        <v>5481</v>
      </c>
    </row>
    <row r="558">
      <c r="A558" s="4">
        <v>556.0</v>
      </c>
      <c r="B558" s="4" t="s">
        <v>1098</v>
      </c>
      <c r="C558" s="7" t="s">
        <v>3305</v>
      </c>
      <c r="D558" s="4" t="s">
        <v>3310</v>
      </c>
      <c r="E558" s="4" t="s">
        <v>3601</v>
      </c>
      <c r="F558" s="9" t="s">
        <v>5482</v>
      </c>
    </row>
    <row r="559">
      <c r="A559" s="4">
        <v>557.0</v>
      </c>
      <c r="B559" s="4" t="s">
        <v>44</v>
      </c>
      <c r="C559" s="7" t="s">
        <v>3443</v>
      </c>
      <c r="D559" s="4" t="s">
        <v>3310</v>
      </c>
      <c r="E559" s="4" t="s">
        <v>3449</v>
      </c>
      <c r="F559" s="9" t="s">
        <v>5483</v>
      </c>
    </row>
    <row r="560">
      <c r="A560" s="4">
        <v>558.0</v>
      </c>
      <c r="B560" s="4" t="s">
        <v>155</v>
      </c>
      <c r="C560" s="7" t="s">
        <v>3349</v>
      </c>
      <c r="D560" s="4" t="s">
        <v>3310</v>
      </c>
      <c r="E560" s="4" t="s">
        <v>3467</v>
      </c>
      <c r="F560" s="9" t="s">
        <v>5484</v>
      </c>
    </row>
    <row r="561">
      <c r="A561" s="4">
        <v>559.0</v>
      </c>
      <c r="B561" s="4" t="s">
        <v>217</v>
      </c>
      <c r="C561" s="7" t="s">
        <v>3305</v>
      </c>
      <c r="D561" s="4" t="s">
        <v>3310</v>
      </c>
      <c r="E561" s="4" t="s">
        <v>3633</v>
      </c>
      <c r="F561" s="9" t="s">
        <v>5485</v>
      </c>
    </row>
    <row r="562">
      <c r="A562" s="4">
        <v>560.0</v>
      </c>
      <c r="B562" s="4" t="s">
        <v>1098</v>
      </c>
      <c r="C562" s="7" t="s">
        <v>3305</v>
      </c>
      <c r="D562" s="4" t="s">
        <v>3310</v>
      </c>
      <c r="E562" s="4" t="s">
        <v>3311</v>
      </c>
      <c r="F562" s="9" t="s">
        <v>5486</v>
      </c>
    </row>
    <row r="563">
      <c r="A563" s="4" t="s">
        <v>918</v>
      </c>
      <c r="F563" s="20"/>
    </row>
    <row r="564">
      <c r="A564" s="4">
        <v>561.0</v>
      </c>
      <c r="B564" s="4" t="s">
        <v>941</v>
      </c>
      <c r="C564" s="7" t="s">
        <v>5487</v>
      </c>
      <c r="D564" s="4" t="s">
        <v>5488</v>
      </c>
      <c r="E564" s="4" t="s">
        <v>5489</v>
      </c>
      <c r="F564" s="9" t="s">
        <v>5490</v>
      </c>
    </row>
    <row r="565">
      <c r="A565" s="4">
        <v>562.0</v>
      </c>
      <c r="B565" s="4" t="s">
        <v>941</v>
      </c>
      <c r="C565" s="7" t="s">
        <v>5491</v>
      </c>
      <c r="D565" s="4" t="s">
        <v>5488</v>
      </c>
      <c r="E565" s="4" t="s">
        <v>5492</v>
      </c>
      <c r="F565" s="9" t="s">
        <v>5493</v>
      </c>
    </row>
    <row r="566">
      <c r="A566" s="4">
        <v>563.0</v>
      </c>
      <c r="B566" s="4" t="s">
        <v>941</v>
      </c>
      <c r="C566" s="7" t="s">
        <v>5491</v>
      </c>
      <c r="D566" s="4" t="s">
        <v>5494</v>
      </c>
      <c r="E566" s="4" t="s">
        <v>5495</v>
      </c>
      <c r="F566" s="9" t="s">
        <v>5496</v>
      </c>
    </row>
    <row r="567">
      <c r="A567" s="4">
        <v>564.0</v>
      </c>
      <c r="B567" s="4" t="s">
        <v>941</v>
      </c>
      <c r="C567" s="7" t="s">
        <v>942</v>
      </c>
      <c r="D567" s="4" t="s">
        <v>5488</v>
      </c>
      <c r="E567" s="4" t="s">
        <v>5497</v>
      </c>
      <c r="F567" s="9" t="s">
        <v>5498</v>
      </c>
    </row>
    <row r="568">
      <c r="A568" s="4">
        <v>565.0</v>
      </c>
      <c r="B568" s="4" t="s">
        <v>941</v>
      </c>
      <c r="C568" s="7" t="s">
        <v>5499</v>
      </c>
      <c r="D568" s="4" t="s">
        <v>5488</v>
      </c>
      <c r="E568" s="4" t="s">
        <v>5500</v>
      </c>
      <c r="F568" s="9" t="s">
        <v>5501</v>
      </c>
    </row>
    <row r="569">
      <c r="A569" s="4">
        <v>566.0</v>
      </c>
      <c r="B569" s="4" t="s">
        <v>941</v>
      </c>
      <c r="C569" s="7" t="s">
        <v>5499</v>
      </c>
      <c r="D569" s="4" t="s">
        <v>5488</v>
      </c>
      <c r="E569" s="4" t="s">
        <v>5502</v>
      </c>
      <c r="F569" s="9" t="s">
        <v>5503</v>
      </c>
    </row>
    <row r="570">
      <c r="A570" s="4">
        <v>567.0</v>
      </c>
      <c r="B570" s="4" t="s">
        <v>1098</v>
      </c>
      <c r="C570" s="7" t="s">
        <v>5491</v>
      </c>
      <c r="D570" s="4" t="s">
        <v>5494</v>
      </c>
      <c r="E570" s="4" t="s">
        <v>5504</v>
      </c>
      <c r="F570" s="9" t="s">
        <v>5505</v>
      </c>
    </row>
    <row r="571">
      <c r="A571" s="4">
        <v>568.0</v>
      </c>
      <c r="B571" s="4" t="s">
        <v>941</v>
      </c>
      <c r="C571" s="7" t="s">
        <v>5491</v>
      </c>
      <c r="D571" s="4" t="s">
        <v>5506</v>
      </c>
      <c r="E571" s="4" t="s">
        <v>5507</v>
      </c>
      <c r="F571" s="9" t="s">
        <v>5508</v>
      </c>
    </row>
    <row r="572">
      <c r="A572" s="4">
        <v>569.0</v>
      </c>
      <c r="B572" s="4" t="s">
        <v>941</v>
      </c>
      <c r="C572" s="7" t="s">
        <v>5491</v>
      </c>
      <c r="D572" s="4" t="s">
        <v>5488</v>
      </c>
      <c r="E572" s="4" t="s">
        <v>5509</v>
      </c>
      <c r="F572" s="9" t="s">
        <v>5510</v>
      </c>
    </row>
    <row r="573">
      <c r="A573" s="4">
        <v>570.0</v>
      </c>
      <c r="B573" s="4" t="s">
        <v>941</v>
      </c>
      <c r="C573" s="7" t="s">
        <v>942</v>
      </c>
      <c r="D573" s="4" t="s">
        <v>5488</v>
      </c>
      <c r="E573" s="4" t="s">
        <v>5511</v>
      </c>
      <c r="F573" s="9" t="s">
        <v>5512</v>
      </c>
    </row>
    <row r="574">
      <c r="A574" s="4">
        <v>571.0</v>
      </c>
      <c r="B574" s="4" t="s">
        <v>941</v>
      </c>
      <c r="C574" s="7" t="s">
        <v>5513</v>
      </c>
      <c r="D574" s="4" t="s">
        <v>5514</v>
      </c>
      <c r="E574" s="4" t="s">
        <v>5515</v>
      </c>
      <c r="F574" s="9" t="s">
        <v>5516</v>
      </c>
    </row>
    <row r="575">
      <c r="A575" s="4">
        <v>572.0</v>
      </c>
      <c r="B575" s="4" t="s">
        <v>941</v>
      </c>
      <c r="C575" s="7" t="s">
        <v>5517</v>
      </c>
      <c r="D575" s="4" t="s">
        <v>5518</v>
      </c>
      <c r="E575" s="4" t="s">
        <v>5519</v>
      </c>
      <c r="F575" s="9" t="s">
        <v>5520</v>
      </c>
    </row>
    <row r="576">
      <c r="A576" s="4">
        <v>573.0</v>
      </c>
      <c r="B576" s="4" t="s">
        <v>941</v>
      </c>
      <c r="C576" s="7" t="s">
        <v>5521</v>
      </c>
      <c r="D576" s="4" t="s">
        <v>5522</v>
      </c>
      <c r="E576" s="4" t="s">
        <v>5523</v>
      </c>
      <c r="F576" s="9" t="s">
        <v>5524</v>
      </c>
    </row>
    <row r="577">
      <c r="A577" s="4">
        <v>574.0</v>
      </c>
      <c r="B577" s="4" t="s">
        <v>136</v>
      </c>
      <c r="C577" s="7" t="s">
        <v>5525</v>
      </c>
      <c r="D577" s="4" t="s">
        <v>5526</v>
      </c>
      <c r="E577" s="4" t="s">
        <v>5527</v>
      </c>
      <c r="F577" s="9" t="s">
        <v>5528</v>
      </c>
    </row>
    <row r="578">
      <c r="A578" s="4">
        <v>575.0</v>
      </c>
      <c r="B578" s="4" t="s">
        <v>1098</v>
      </c>
      <c r="C578" s="7" t="s">
        <v>5491</v>
      </c>
      <c r="D578" s="4" t="s">
        <v>5529</v>
      </c>
      <c r="E578" s="4" t="s">
        <v>5530</v>
      </c>
      <c r="F578" s="9" t="s">
        <v>5531</v>
      </c>
    </row>
    <row r="579">
      <c r="A579" s="4">
        <v>576.0</v>
      </c>
      <c r="B579" s="4" t="s">
        <v>941</v>
      </c>
      <c r="C579" s="7" t="s">
        <v>5491</v>
      </c>
      <c r="D579" s="4" t="s">
        <v>5488</v>
      </c>
      <c r="E579" s="4" t="s">
        <v>5532</v>
      </c>
      <c r="F579" s="9" t="s">
        <v>5533</v>
      </c>
    </row>
    <row r="580">
      <c r="A580" s="4">
        <v>577.0</v>
      </c>
      <c r="B580" s="4" t="s">
        <v>941</v>
      </c>
      <c r="C580" s="7" t="s">
        <v>942</v>
      </c>
      <c r="D580" s="4" t="s">
        <v>5488</v>
      </c>
      <c r="E580" s="4" t="s">
        <v>5534</v>
      </c>
      <c r="F580" s="9" t="s">
        <v>5535</v>
      </c>
    </row>
    <row r="581">
      <c r="A581" s="4">
        <v>578.0</v>
      </c>
      <c r="B581" s="4" t="s">
        <v>941</v>
      </c>
      <c r="C581" s="7" t="s">
        <v>5487</v>
      </c>
      <c r="D581" s="4" t="s">
        <v>5488</v>
      </c>
      <c r="E581" s="4" t="s">
        <v>5536</v>
      </c>
      <c r="F581" s="9" t="s">
        <v>5537</v>
      </c>
    </row>
    <row r="582">
      <c r="A582" s="4">
        <v>579.0</v>
      </c>
      <c r="B582" s="4" t="s">
        <v>941</v>
      </c>
      <c r="C582" s="7" t="s">
        <v>5513</v>
      </c>
      <c r="D582" s="4" t="s">
        <v>5488</v>
      </c>
      <c r="E582" s="4" t="s">
        <v>5538</v>
      </c>
      <c r="F582" s="9" t="s">
        <v>5539</v>
      </c>
    </row>
    <row r="583">
      <c r="A583" s="4">
        <v>580.0</v>
      </c>
      <c r="B583" s="4" t="s">
        <v>941</v>
      </c>
      <c r="C583" s="7" t="s">
        <v>5517</v>
      </c>
      <c r="D583" s="4" t="s">
        <v>5488</v>
      </c>
      <c r="E583" s="4" t="s">
        <v>5540</v>
      </c>
      <c r="F583" s="9" t="s">
        <v>5541</v>
      </c>
    </row>
    <row r="584">
      <c r="A584" s="4">
        <v>581.0</v>
      </c>
      <c r="B584" s="4" t="s">
        <v>941</v>
      </c>
      <c r="C584" s="7" t="s">
        <v>5521</v>
      </c>
      <c r="D584" s="4" t="s">
        <v>5488</v>
      </c>
      <c r="E584" s="4" t="s">
        <v>5542</v>
      </c>
      <c r="F584" s="9" t="s">
        <v>5543</v>
      </c>
    </row>
    <row r="585">
      <c r="A585" s="4">
        <v>582.0</v>
      </c>
      <c r="B585" s="4" t="s">
        <v>217</v>
      </c>
      <c r="C585" s="7" t="s">
        <v>5491</v>
      </c>
      <c r="D585" s="4" t="s">
        <v>5488</v>
      </c>
      <c r="E585" s="4" t="s">
        <v>5544</v>
      </c>
      <c r="F585" s="9" t="s">
        <v>5545</v>
      </c>
    </row>
    <row r="586">
      <c r="A586" s="4">
        <v>583.0</v>
      </c>
      <c r="B586" s="4" t="s">
        <v>941</v>
      </c>
      <c r="C586" s="7" t="s">
        <v>5491</v>
      </c>
      <c r="D586" s="4" t="s">
        <v>5488</v>
      </c>
      <c r="E586" s="4" t="s">
        <v>5546</v>
      </c>
      <c r="F586" s="9" t="s">
        <v>5547</v>
      </c>
    </row>
    <row r="587">
      <c r="A587" s="4">
        <v>584.0</v>
      </c>
      <c r="B587" s="4" t="s">
        <v>941</v>
      </c>
      <c r="C587" s="7" t="s">
        <v>5548</v>
      </c>
      <c r="D587" s="4" t="s">
        <v>5488</v>
      </c>
      <c r="E587" s="4" t="s">
        <v>5549</v>
      </c>
      <c r="F587" s="9" t="s">
        <v>5550</v>
      </c>
    </row>
    <row r="588">
      <c r="A588" s="4">
        <v>585.0</v>
      </c>
      <c r="B588" s="4" t="s">
        <v>972</v>
      </c>
      <c r="C588" s="7" t="s">
        <v>5525</v>
      </c>
      <c r="D588" s="4" t="s">
        <v>5488</v>
      </c>
      <c r="E588" s="4" t="s">
        <v>5551</v>
      </c>
      <c r="F588" s="9" t="s">
        <v>5552</v>
      </c>
    </row>
    <row r="589">
      <c r="A589" s="21" t="s">
        <v>40</v>
      </c>
      <c r="B589" s="22"/>
      <c r="C589" s="22"/>
      <c r="D589" s="22"/>
      <c r="E589" s="22"/>
      <c r="F589" s="23"/>
      <c r="G589" s="22"/>
      <c r="H589" s="22"/>
      <c r="I589" s="22"/>
      <c r="J589" s="22"/>
      <c r="K589" s="22"/>
      <c r="L589" s="22"/>
      <c r="M589" s="22"/>
      <c r="N589" s="22"/>
      <c r="O589" s="22"/>
      <c r="P589" s="22"/>
      <c r="Q589" s="22"/>
      <c r="R589" s="22"/>
      <c r="S589" s="22"/>
      <c r="T589" s="22"/>
      <c r="U589" s="22"/>
      <c r="V589" s="22"/>
      <c r="W589" s="22"/>
      <c r="X589" s="22"/>
      <c r="Y589" s="22"/>
      <c r="Z589" s="22"/>
    </row>
    <row r="590">
      <c r="A590" s="4">
        <v>586.0</v>
      </c>
      <c r="B590" s="4" t="s">
        <v>941</v>
      </c>
      <c r="C590" s="7" t="s">
        <v>1042</v>
      </c>
      <c r="D590" s="4" t="s">
        <v>5553</v>
      </c>
      <c r="E590" s="4" t="s">
        <v>5554</v>
      </c>
      <c r="F590" s="9" t="s">
        <v>5555</v>
      </c>
    </row>
    <row r="591">
      <c r="A591" s="4">
        <v>587.0</v>
      </c>
      <c r="B591" s="4" t="s">
        <v>941</v>
      </c>
      <c r="C591" s="7" t="s">
        <v>5556</v>
      </c>
      <c r="D591" s="4" t="s">
        <v>5553</v>
      </c>
      <c r="E591" s="4" t="s">
        <v>5557</v>
      </c>
      <c r="F591" s="9" t="s">
        <v>5558</v>
      </c>
    </row>
    <row r="592">
      <c r="A592" s="4">
        <v>588.0</v>
      </c>
      <c r="B592" s="4" t="s">
        <v>941</v>
      </c>
      <c r="C592" s="7" t="s">
        <v>1042</v>
      </c>
      <c r="D592" s="4" t="s">
        <v>5553</v>
      </c>
      <c r="E592" s="4" t="s">
        <v>5559</v>
      </c>
      <c r="F592" s="9" t="s">
        <v>5560</v>
      </c>
    </row>
    <row r="593">
      <c r="A593" s="4">
        <v>589.0</v>
      </c>
      <c r="B593" s="4" t="s">
        <v>1098</v>
      </c>
      <c r="C593" s="7" t="s">
        <v>1042</v>
      </c>
      <c r="D593" s="4" t="s">
        <v>5553</v>
      </c>
      <c r="E593" s="4" t="s">
        <v>5561</v>
      </c>
      <c r="F593" s="9" t="s">
        <v>5562</v>
      </c>
    </row>
    <row r="594">
      <c r="A594" s="4">
        <v>590.0</v>
      </c>
      <c r="B594" s="4" t="s">
        <v>941</v>
      </c>
      <c r="C594" s="7" t="s">
        <v>5563</v>
      </c>
      <c r="D594" s="4" t="s">
        <v>5553</v>
      </c>
      <c r="E594" s="4" t="s">
        <v>5564</v>
      </c>
      <c r="F594" s="9" t="s">
        <v>5565</v>
      </c>
    </row>
    <row r="595">
      <c r="A595" s="4">
        <v>591.0</v>
      </c>
      <c r="B595" s="4" t="s">
        <v>941</v>
      </c>
      <c r="C595" s="7" t="s">
        <v>5566</v>
      </c>
      <c r="D595" s="4" t="s">
        <v>5553</v>
      </c>
      <c r="E595" s="4" t="s">
        <v>5567</v>
      </c>
      <c r="F595" s="9" t="s">
        <v>5568</v>
      </c>
    </row>
    <row r="596">
      <c r="A596" s="4">
        <v>592.0</v>
      </c>
      <c r="B596" s="4" t="s">
        <v>155</v>
      </c>
      <c r="C596" s="7" t="s">
        <v>5569</v>
      </c>
      <c r="D596" s="4" t="s">
        <v>5553</v>
      </c>
      <c r="E596" s="4" t="s">
        <v>5570</v>
      </c>
      <c r="F596" s="9" t="s">
        <v>5571</v>
      </c>
    </row>
    <row r="597">
      <c r="A597" s="4">
        <v>593.0</v>
      </c>
      <c r="B597" s="4" t="s">
        <v>136</v>
      </c>
      <c r="C597" s="7" t="s">
        <v>5572</v>
      </c>
      <c r="D597" s="4" t="s">
        <v>5553</v>
      </c>
      <c r="E597" s="4" t="s">
        <v>5573</v>
      </c>
      <c r="F597" s="9" t="s">
        <v>5574</v>
      </c>
    </row>
    <row r="598">
      <c r="A598" s="4">
        <v>594.0</v>
      </c>
      <c r="B598" s="4" t="s">
        <v>941</v>
      </c>
      <c r="C598" s="7" t="s">
        <v>1042</v>
      </c>
      <c r="D598" s="4" t="s">
        <v>5553</v>
      </c>
      <c r="E598" s="4" t="s">
        <v>5575</v>
      </c>
      <c r="F598" s="9" t="s">
        <v>5576</v>
      </c>
    </row>
    <row r="599">
      <c r="A599" s="4">
        <v>595.0</v>
      </c>
      <c r="B599" s="4" t="s">
        <v>44</v>
      </c>
      <c r="C599" s="7" t="s">
        <v>1042</v>
      </c>
      <c r="D599" s="4" t="s">
        <v>5553</v>
      </c>
      <c r="E599" s="4" t="s">
        <v>5577</v>
      </c>
      <c r="F599" s="9" t="s">
        <v>5578</v>
      </c>
    </row>
    <row r="600">
      <c r="A600" s="4">
        <v>596.0</v>
      </c>
      <c r="B600" s="4" t="s">
        <v>941</v>
      </c>
      <c r="C600" s="7" t="s">
        <v>1042</v>
      </c>
      <c r="D600" s="4" t="s">
        <v>5553</v>
      </c>
      <c r="E600" s="4" t="s">
        <v>5579</v>
      </c>
      <c r="F600" s="9" t="s">
        <v>5580</v>
      </c>
    </row>
    <row r="601">
      <c r="A601" s="4">
        <v>597.0</v>
      </c>
      <c r="B601" s="4" t="s">
        <v>217</v>
      </c>
      <c r="C601" s="7" t="s">
        <v>1042</v>
      </c>
      <c r="D601" s="4" t="s">
        <v>5553</v>
      </c>
      <c r="E601" s="4" t="s">
        <v>5581</v>
      </c>
      <c r="F601" s="9" t="s">
        <v>5582</v>
      </c>
    </row>
    <row r="602">
      <c r="A602" s="4">
        <v>598.0</v>
      </c>
      <c r="B602" s="4" t="s">
        <v>941</v>
      </c>
      <c r="C602" s="7" t="s">
        <v>5566</v>
      </c>
      <c r="D602" s="4" t="s">
        <v>5553</v>
      </c>
      <c r="E602" s="4" t="s">
        <v>5583</v>
      </c>
      <c r="F602" s="9" t="s">
        <v>5584</v>
      </c>
    </row>
    <row r="603">
      <c r="A603" s="4">
        <v>599.0</v>
      </c>
      <c r="B603" s="4" t="s">
        <v>127</v>
      </c>
      <c r="C603" s="7" t="s">
        <v>5585</v>
      </c>
      <c r="D603" s="4" t="s">
        <v>5553</v>
      </c>
      <c r="E603" s="4" t="s">
        <v>5586</v>
      </c>
      <c r="F603" s="9" t="s">
        <v>5587</v>
      </c>
    </row>
    <row r="604">
      <c r="A604" s="4">
        <v>600.0</v>
      </c>
      <c r="B604" s="4" t="s">
        <v>941</v>
      </c>
      <c r="C604" s="7" t="s">
        <v>1042</v>
      </c>
      <c r="D604" s="4" t="s">
        <v>5553</v>
      </c>
      <c r="E604" s="4" t="s">
        <v>5554</v>
      </c>
      <c r="F604" s="9" t="s">
        <v>5588</v>
      </c>
    </row>
    <row r="605">
      <c r="A605" s="4">
        <v>601.0</v>
      </c>
      <c r="B605" s="4" t="s">
        <v>941</v>
      </c>
      <c r="C605" s="7" t="s">
        <v>5556</v>
      </c>
      <c r="D605" s="4" t="s">
        <v>5553</v>
      </c>
      <c r="E605" s="4" t="s">
        <v>5557</v>
      </c>
      <c r="F605" s="9" t="s">
        <v>5589</v>
      </c>
    </row>
    <row r="606">
      <c r="A606" s="4">
        <v>602.0</v>
      </c>
      <c r="B606" s="4" t="s">
        <v>941</v>
      </c>
      <c r="C606" s="7" t="s">
        <v>1042</v>
      </c>
      <c r="D606" s="4" t="s">
        <v>5553</v>
      </c>
      <c r="E606" s="4" t="s">
        <v>5559</v>
      </c>
      <c r="F606" s="9" t="s">
        <v>5590</v>
      </c>
    </row>
    <row r="607">
      <c r="A607" s="4">
        <v>603.0</v>
      </c>
      <c r="B607" s="4" t="s">
        <v>1098</v>
      </c>
      <c r="C607" s="7" t="s">
        <v>1042</v>
      </c>
      <c r="D607" s="4" t="s">
        <v>5553</v>
      </c>
      <c r="E607" s="4" t="s">
        <v>5561</v>
      </c>
      <c r="F607" s="9" t="s">
        <v>5591</v>
      </c>
    </row>
    <row r="608">
      <c r="A608" s="4">
        <v>604.0</v>
      </c>
      <c r="B608" s="4" t="s">
        <v>941</v>
      </c>
      <c r="C608" s="7" t="s">
        <v>5563</v>
      </c>
      <c r="D608" s="4" t="s">
        <v>5553</v>
      </c>
      <c r="E608" s="4" t="s">
        <v>5564</v>
      </c>
      <c r="F608" s="9" t="s">
        <v>5592</v>
      </c>
    </row>
    <row r="609">
      <c r="A609" s="4">
        <v>605.0</v>
      </c>
      <c r="B609" s="4" t="s">
        <v>941</v>
      </c>
      <c r="C609" s="7" t="s">
        <v>5566</v>
      </c>
      <c r="D609" s="4" t="s">
        <v>5553</v>
      </c>
      <c r="E609" s="4" t="s">
        <v>5567</v>
      </c>
      <c r="F609" s="9" t="s">
        <v>5593</v>
      </c>
    </row>
    <row r="610">
      <c r="A610" s="4">
        <v>606.0</v>
      </c>
      <c r="B610" s="4" t="s">
        <v>155</v>
      </c>
      <c r="C610" s="7" t="s">
        <v>5569</v>
      </c>
      <c r="D610" s="4" t="s">
        <v>5553</v>
      </c>
      <c r="E610" s="4" t="s">
        <v>5570</v>
      </c>
      <c r="F610" s="9" t="s">
        <v>5594</v>
      </c>
    </row>
    <row r="611">
      <c r="A611" s="4">
        <v>607.0</v>
      </c>
      <c r="B611" s="4" t="s">
        <v>136</v>
      </c>
      <c r="C611" s="7" t="s">
        <v>5572</v>
      </c>
      <c r="D611" s="4" t="s">
        <v>5553</v>
      </c>
      <c r="E611" s="4" t="s">
        <v>5573</v>
      </c>
      <c r="F611" s="9" t="s">
        <v>5595</v>
      </c>
    </row>
    <row r="612">
      <c r="A612" s="4">
        <v>608.0</v>
      </c>
      <c r="B612" s="4" t="s">
        <v>941</v>
      </c>
      <c r="C612" s="7" t="s">
        <v>1042</v>
      </c>
      <c r="D612" s="4" t="s">
        <v>5553</v>
      </c>
      <c r="E612" s="4" t="s">
        <v>5575</v>
      </c>
      <c r="F612" s="9" t="s">
        <v>5596</v>
      </c>
    </row>
    <row r="613">
      <c r="A613" s="4">
        <v>609.0</v>
      </c>
      <c r="B613" s="4" t="s">
        <v>44</v>
      </c>
      <c r="C613" s="7" t="s">
        <v>1042</v>
      </c>
      <c r="D613" s="4" t="s">
        <v>5553</v>
      </c>
      <c r="E613" s="4" t="s">
        <v>5577</v>
      </c>
      <c r="F613" s="9" t="s">
        <v>5597</v>
      </c>
    </row>
    <row r="614">
      <c r="A614" s="4">
        <v>610.0</v>
      </c>
      <c r="B614" s="4" t="s">
        <v>941</v>
      </c>
      <c r="C614" s="7" t="s">
        <v>1042</v>
      </c>
      <c r="D614" s="4" t="s">
        <v>5553</v>
      </c>
      <c r="E614" s="4" t="s">
        <v>5579</v>
      </c>
      <c r="F614" s="9" t="s">
        <v>5598</v>
      </c>
    </row>
    <row r="615">
      <c r="A615" s="4">
        <v>611.0</v>
      </c>
      <c r="B615" s="4" t="s">
        <v>217</v>
      </c>
      <c r="C615" s="7" t="s">
        <v>1042</v>
      </c>
      <c r="D615" s="4" t="s">
        <v>5553</v>
      </c>
      <c r="E615" s="4" t="s">
        <v>5581</v>
      </c>
      <c r="F615" s="9" t="s">
        <v>5599</v>
      </c>
    </row>
    <row r="616">
      <c r="A616" s="4">
        <v>612.0</v>
      </c>
      <c r="B616" s="4" t="s">
        <v>941</v>
      </c>
      <c r="C616" s="7" t="s">
        <v>5566</v>
      </c>
      <c r="D616" s="4" t="s">
        <v>5553</v>
      </c>
      <c r="E616" s="4" t="s">
        <v>5583</v>
      </c>
      <c r="F616" s="9" t="s">
        <v>5600</v>
      </c>
    </row>
    <row r="617">
      <c r="A617" s="4">
        <v>613.0</v>
      </c>
      <c r="B617" s="4" t="s">
        <v>127</v>
      </c>
      <c r="C617" s="7" t="s">
        <v>5585</v>
      </c>
      <c r="D617" s="4" t="s">
        <v>5553</v>
      </c>
      <c r="E617" s="4" t="s">
        <v>5586</v>
      </c>
      <c r="F617" s="9" t="s">
        <v>5601</v>
      </c>
    </row>
    <row r="618">
      <c r="A618" s="4">
        <v>614.0</v>
      </c>
      <c r="B618" s="4" t="s">
        <v>941</v>
      </c>
      <c r="C618" s="7" t="s">
        <v>1042</v>
      </c>
      <c r="D618" s="4" t="s">
        <v>5553</v>
      </c>
      <c r="E618" s="4" t="s">
        <v>5554</v>
      </c>
      <c r="F618" s="9" t="s">
        <v>5602</v>
      </c>
    </row>
    <row r="619">
      <c r="A619" s="4">
        <v>615.0</v>
      </c>
      <c r="B619" s="4" t="s">
        <v>941</v>
      </c>
      <c r="C619" s="7" t="s">
        <v>5556</v>
      </c>
      <c r="D619" s="4" t="s">
        <v>5553</v>
      </c>
      <c r="E619" s="4" t="s">
        <v>5557</v>
      </c>
      <c r="F619" s="9" t="s">
        <v>5603</v>
      </c>
    </row>
    <row r="620">
      <c r="A620" s="4">
        <v>616.0</v>
      </c>
      <c r="B620" s="4" t="s">
        <v>941</v>
      </c>
      <c r="C620" s="7" t="s">
        <v>1042</v>
      </c>
      <c r="D620" s="4" t="s">
        <v>5553</v>
      </c>
      <c r="E620" s="4" t="s">
        <v>5559</v>
      </c>
      <c r="F620" s="9" t="s">
        <v>5604</v>
      </c>
    </row>
    <row r="621">
      <c r="A621" s="4">
        <v>617.0</v>
      </c>
      <c r="B621" s="4" t="s">
        <v>1098</v>
      </c>
      <c r="C621" s="7" t="s">
        <v>1042</v>
      </c>
      <c r="D621" s="4" t="s">
        <v>5553</v>
      </c>
      <c r="E621" s="4" t="s">
        <v>5561</v>
      </c>
      <c r="F621" s="9" t="s">
        <v>5605</v>
      </c>
    </row>
    <row r="622">
      <c r="A622" s="4">
        <v>618.0</v>
      </c>
      <c r="B622" s="4" t="s">
        <v>941</v>
      </c>
      <c r="C622" s="7" t="s">
        <v>5563</v>
      </c>
      <c r="D622" s="4" t="s">
        <v>5553</v>
      </c>
      <c r="E622" s="4" t="s">
        <v>5564</v>
      </c>
      <c r="F622" s="9" t="s">
        <v>5606</v>
      </c>
    </row>
    <row r="623">
      <c r="A623" s="4">
        <v>619.0</v>
      </c>
      <c r="B623" s="4" t="s">
        <v>941</v>
      </c>
      <c r="C623" s="7" t="s">
        <v>5566</v>
      </c>
      <c r="D623" s="4" t="s">
        <v>5553</v>
      </c>
      <c r="E623" s="4" t="s">
        <v>5567</v>
      </c>
      <c r="F623" s="9" t="s">
        <v>5607</v>
      </c>
    </row>
    <row r="624">
      <c r="A624" s="4">
        <v>620.0</v>
      </c>
      <c r="B624" s="4" t="s">
        <v>155</v>
      </c>
      <c r="C624" s="7" t="s">
        <v>5569</v>
      </c>
      <c r="D624" s="4" t="s">
        <v>5553</v>
      </c>
      <c r="E624" s="4" t="s">
        <v>5570</v>
      </c>
      <c r="F624" s="9" t="s">
        <v>5608</v>
      </c>
    </row>
    <row r="625">
      <c r="A625" s="4">
        <v>621.0</v>
      </c>
      <c r="B625" s="4" t="s">
        <v>136</v>
      </c>
      <c r="C625" s="7" t="s">
        <v>5572</v>
      </c>
      <c r="D625" s="4" t="s">
        <v>5553</v>
      </c>
      <c r="E625" s="4" t="s">
        <v>5573</v>
      </c>
      <c r="F625" s="9" t="s">
        <v>5609</v>
      </c>
    </row>
    <row r="626">
      <c r="A626" s="4">
        <v>622.0</v>
      </c>
      <c r="B626" s="4" t="s">
        <v>941</v>
      </c>
      <c r="C626" s="7" t="s">
        <v>1042</v>
      </c>
      <c r="D626" s="4" t="s">
        <v>5553</v>
      </c>
      <c r="E626" s="4" t="s">
        <v>5575</v>
      </c>
      <c r="F626" s="9" t="s">
        <v>5610</v>
      </c>
    </row>
    <row r="627">
      <c r="A627" s="4">
        <v>623.0</v>
      </c>
      <c r="B627" s="4" t="s">
        <v>44</v>
      </c>
      <c r="C627" s="7" t="s">
        <v>1042</v>
      </c>
      <c r="D627" s="4" t="s">
        <v>5553</v>
      </c>
      <c r="E627" s="4" t="s">
        <v>5577</v>
      </c>
      <c r="F627" s="9" t="s">
        <v>5611</v>
      </c>
    </row>
    <row r="628">
      <c r="A628" s="4">
        <v>624.0</v>
      </c>
      <c r="B628" s="4" t="s">
        <v>941</v>
      </c>
      <c r="C628" s="7" t="s">
        <v>1042</v>
      </c>
      <c r="D628" s="4" t="s">
        <v>5553</v>
      </c>
      <c r="E628" s="4" t="s">
        <v>5579</v>
      </c>
      <c r="F628" s="9" t="s">
        <v>5612</v>
      </c>
    </row>
    <row r="629">
      <c r="A629" s="4">
        <v>625.0</v>
      </c>
      <c r="B629" s="4" t="s">
        <v>217</v>
      </c>
      <c r="C629" s="7" t="s">
        <v>1042</v>
      </c>
      <c r="D629" s="4" t="s">
        <v>5553</v>
      </c>
      <c r="E629" s="4" t="s">
        <v>5581</v>
      </c>
      <c r="F629" s="9" t="s">
        <v>5613</v>
      </c>
    </row>
    <row r="630">
      <c r="A630" s="4">
        <v>626.0</v>
      </c>
      <c r="B630" s="4" t="s">
        <v>941</v>
      </c>
      <c r="C630" s="7" t="s">
        <v>5566</v>
      </c>
      <c r="D630" s="4" t="s">
        <v>5553</v>
      </c>
      <c r="E630" s="4" t="s">
        <v>5583</v>
      </c>
      <c r="F630" s="9" t="s">
        <v>5614</v>
      </c>
    </row>
    <row r="631">
      <c r="A631" s="4">
        <v>627.0</v>
      </c>
      <c r="B631" s="4" t="s">
        <v>127</v>
      </c>
      <c r="C631" s="7" t="s">
        <v>5585</v>
      </c>
      <c r="D631" s="4" t="s">
        <v>5553</v>
      </c>
      <c r="E631" s="4" t="s">
        <v>5586</v>
      </c>
      <c r="F631" s="9" t="s">
        <v>5615</v>
      </c>
    </row>
    <row r="632">
      <c r="A632" s="4">
        <v>628.0</v>
      </c>
      <c r="B632" s="4" t="s">
        <v>941</v>
      </c>
      <c r="C632" s="7" t="s">
        <v>1042</v>
      </c>
      <c r="D632" s="4" t="s">
        <v>5553</v>
      </c>
      <c r="E632" s="4" t="s">
        <v>5554</v>
      </c>
      <c r="F632" s="9" t="s">
        <v>5616</v>
      </c>
    </row>
    <row r="633">
      <c r="A633" s="4">
        <v>629.0</v>
      </c>
      <c r="B633" s="4" t="s">
        <v>941</v>
      </c>
      <c r="C633" s="7" t="s">
        <v>5556</v>
      </c>
      <c r="D633" s="4" t="s">
        <v>5553</v>
      </c>
      <c r="E633" s="4" t="s">
        <v>5557</v>
      </c>
      <c r="F633" s="9" t="s">
        <v>5617</v>
      </c>
    </row>
    <row r="634">
      <c r="A634" s="4">
        <v>630.0</v>
      </c>
      <c r="B634" s="4" t="s">
        <v>941</v>
      </c>
      <c r="C634" s="7" t="s">
        <v>1042</v>
      </c>
      <c r="D634" s="4" t="s">
        <v>5553</v>
      </c>
      <c r="E634" s="4" t="s">
        <v>5559</v>
      </c>
      <c r="F634" s="9" t="s">
        <v>5618</v>
      </c>
    </row>
    <row r="635">
      <c r="A635" s="4">
        <v>631.0</v>
      </c>
      <c r="B635" s="4" t="s">
        <v>1098</v>
      </c>
      <c r="C635" s="7" t="s">
        <v>1042</v>
      </c>
      <c r="D635" s="4" t="s">
        <v>5553</v>
      </c>
      <c r="E635" s="4" t="s">
        <v>5561</v>
      </c>
      <c r="F635" s="9" t="s">
        <v>5619</v>
      </c>
    </row>
    <row r="636">
      <c r="A636" s="4">
        <v>632.0</v>
      </c>
      <c r="B636" s="4" t="s">
        <v>941</v>
      </c>
      <c r="C636" s="7" t="s">
        <v>5563</v>
      </c>
      <c r="D636" s="4" t="s">
        <v>5553</v>
      </c>
      <c r="E636" s="4" t="s">
        <v>5564</v>
      </c>
      <c r="F636" s="9" t="s">
        <v>5620</v>
      </c>
    </row>
    <row r="637">
      <c r="A637" s="4">
        <v>633.0</v>
      </c>
      <c r="B637" s="4" t="s">
        <v>941</v>
      </c>
      <c r="C637" s="7" t="s">
        <v>5566</v>
      </c>
      <c r="D637" s="4" t="s">
        <v>5553</v>
      </c>
      <c r="E637" s="4" t="s">
        <v>5567</v>
      </c>
      <c r="F637" s="9" t="s">
        <v>5621</v>
      </c>
    </row>
    <row r="638">
      <c r="A638" s="4">
        <v>634.0</v>
      </c>
      <c r="B638" s="4" t="s">
        <v>155</v>
      </c>
      <c r="C638" s="7" t="s">
        <v>5569</v>
      </c>
      <c r="D638" s="4" t="s">
        <v>5553</v>
      </c>
      <c r="E638" s="4" t="s">
        <v>5570</v>
      </c>
      <c r="F638" s="9" t="s">
        <v>5622</v>
      </c>
    </row>
    <row r="639">
      <c r="A639" s="4">
        <v>635.0</v>
      </c>
      <c r="B639" s="4" t="s">
        <v>136</v>
      </c>
      <c r="C639" s="7" t="s">
        <v>5572</v>
      </c>
      <c r="D639" s="4" t="s">
        <v>5553</v>
      </c>
      <c r="E639" s="4" t="s">
        <v>5573</v>
      </c>
      <c r="F639" s="9" t="s">
        <v>5623</v>
      </c>
    </row>
    <row r="640">
      <c r="A640" s="4">
        <v>636.0</v>
      </c>
      <c r="B640" s="4" t="s">
        <v>941</v>
      </c>
      <c r="C640" s="7" t="s">
        <v>1042</v>
      </c>
      <c r="D640" s="4" t="s">
        <v>5553</v>
      </c>
      <c r="E640" s="4" t="s">
        <v>5575</v>
      </c>
      <c r="F640" s="9" t="s">
        <v>5624</v>
      </c>
    </row>
    <row r="641">
      <c r="A641" s="4">
        <v>637.0</v>
      </c>
      <c r="B641" s="4" t="s">
        <v>44</v>
      </c>
      <c r="C641" s="7" t="s">
        <v>1042</v>
      </c>
      <c r="D641" s="4" t="s">
        <v>5553</v>
      </c>
      <c r="E641" s="4" t="s">
        <v>5577</v>
      </c>
      <c r="F641" s="9" t="s">
        <v>5627</v>
      </c>
    </row>
    <row r="642">
      <c r="A642" s="4">
        <v>638.0</v>
      </c>
      <c r="B642" s="4" t="s">
        <v>941</v>
      </c>
      <c r="C642" s="7" t="s">
        <v>1042</v>
      </c>
      <c r="D642" s="4" t="s">
        <v>5553</v>
      </c>
      <c r="E642" s="4" t="s">
        <v>5579</v>
      </c>
      <c r="F642" s="9" t="s">
        <v>5628</v>
      </c>
    </row>
    <row r="643">
      <c r="A643" s="4">
        <v>639.0</v>
      </c>
      <c r="B643" s="4" t="s">
        <v>217</v>
      </c>
      <c r="C643" s="7" t="s">
        <v>1042</v>
      </c>
      <c r="D643" s="4" t="s">
        <v>5553</v>
      </c>
      <c r="E643" s="4" t="s">
        <v>5581</v>
      </c>
      <c r="F643" s="9" t="s">
        <v>5629</v>
      </c>
    </row>
    <row r="644">
      <c r="A644" s="4">
        <v>640.0</v>
      </c>
      <c r="B644" s="4" t="s">
        <v>941</v>
      </c>
      <c r="C644" s="7" t="s">
        <v>5566</v>
      </c>
      <c r="D644" s="4" t="s">
        <v>5553</v>
      </c>
      <c r="E644" s="4" t="s">
        <v>5583</v>
      </c>
      <c r="F644" s="9" t="s">
        <v>5630</v>
      </c>
    </row>
    <row r="645">
      <c r="A645" s="4">
        <v>641.0</v>
      </c>
      <c r="B645" s="4" t="s">
        <v>127</v>
      </c>
      <c r="C645" s="7" t="s">
        <v>5585</v>
      </c>
      <c r="D645" s="4" t="s">
        <v>5553</v>
      </c>
      <c r="E645" s="4" t="s">
        <v>5586</v>
      </c>
      <c r="F645" s="9" t="s">
        <v>5631</v>
      </c>
    </row>
    <row r="646">
      <c r="A646" s="4">
        <v>642.0</v>
      </c>
      <c r="B646" s="4" t="s">
        <v>941</v>
      </c>
      <c r="C646" s="7" t="s">
        <v>1042</v>
      </c>
      <c r="D646" s="4" t="s">
        <v>5553</v>
      </c>
      <c r="E646" s="4" t="s">
        <v>5554</v>
      </c>
      <c r="F646" s="9" t="s">
        <v>5632</v>
      </c>
    </row>
    <row r="647">
      <c r="A647" s="4">
        <v>643.0</v>
      </c>
      <c r="B647" s="4" t="s">
        <v>941</v>
      </c>
      <c r="C647" s="7" t="s">
        <v>5556</v>
      </c>
      <c r="D647" s="4" t="s">
        <v>5553</v>
      </c>
      <c r="E647" s="4" t="s">
        <v>5557</v>
      </c>
      <c r="F647" s="9" t="s">
        <v>5633</v>
      </c>
    </row>
    <row r="648">
      <c r="A648" s="4">
        <v>644.0</v>
      </c>
      <c r="B648" s="4" t="s">
        <v>941</v>
      </c>
      <c r="C648" s="7" t="s">
        <v>1042</v>
      </c>
      <c r="D648" s="4" t="s">
        <v>5553</v>
      </c>
      <c r="E648" s="4" t="s">
        <v>5559</v>
      </c>
      <c r="F648" s="9" t="s">
        <v>5634</v>
      </c>
    </row>
    <row r="649">
      <c r="A649" s="4">
        <v>645.0</v>
      </c>
      <c r="B649" s="4" t="s">
        <v>1098</v>
      </c>
      <c r="C649" s="7" t="s">
        <v>1042</v>
      </c>
      <c r="D649" s="4" t="s">
        <v>5553</v>
      </c>
      <c r="E649" s="4" t="s">
        <v>5561</v>
      </c>
      <c r="F649" s="9" t="s">
        <v>5635</v>
      </c>
    </row>
    <row r="650">
      <c r="A650" s="4">
        <v>646.0</v>
      </c>
      <c r="B650" s="4" t="s">
        <v>941</v>
      </c>
      <c r="C650" s="7" t="s">
        <v>5563</v>
      </c>
      <c r="D650" s="4" t="s">
        <v>5553</v>
      </c>
      <c r="E650" s="4" t="s">
        <v>5564</v>
      </c>
      <c r="F650" s="9" t="s">
        <v>5636</v>
      </c>
    </row>
    <row r="651">
      <c r="A651" s="4">
        <v>647.0</v>
      </c>
      <c r="B651" s="4" t="s">
        <v>941</v>
      </c>
      <c r="C651" s="7" t="s">
        <v>5566</v>
      </c>
      <c r="D651" s="4" t="s">
        <v>5553</v>
      </c>
      <c r="E651" s="4" t="s">
        <v>5567</v>
      </c>
      <c r="F651" s="9" t="s">
        <v>5637</v>
      </c>
    </row>
    <row r="652">
      <c r="A652" s="4">
        <v>648.0</v>
      </c>
      <c r="B652" s="4" t="s">
        <v>155</v>
      </c>
      <c r="C652" s="7" t="s">
        <v>5569</v>
      </c>
      <c r="D652" s="4" t="s">
        <v>5553</v>
      </c>
      <c r="E652" s="4" t="s">
        <v>5570</v>
      </c>
      <c r="F652" s="9" t="s">
        <v>5638</v>
      </c>
    </row>
    <row r="653">
      <c r="A653" s="4">
        <v>649.0</v>
      </c>
      <c r="B653" s="4" t="s">
        <v>136</v>
      </c>
      <c r="C653" s="7" t="s">
        <v>5572</v>
      </c>
      <c r="D653" s="4" t="s">
        <v>5553</v>
      </c>
      <c r="E653" s="4" t="s">
        <v>5573</v>
      </c>
      <c r="F653" s="9" t="s">
        <v>5639</v>
      </c>
    </row>
    <row r="654">
      <c r="A654" s="4">
        <v>650.0</v>
      </c>
      <c r="B654" s="4" t="s">
        <v>941</v>
      </c>
      <c r="C654" s="7" t="s">
        <v>1042</v>
      </c>
      <c r="D654" s="4" t="s">
        <v>5553</v>
      </c>
      <c r="E654" s="4" t="s">
        <v>5575</v>
      </c>
      <c r="F654" s="9" t="s">
        <v>5640</v>
      </c>
    </row>
    <row r="655">
      <c r="A655" s="4">
        <v>651.0</v>
      </c>
      <c r="B655" s="4" t="s">
        <v>44</v>
      </c>
      <c r="C655" s="7" t="s">
        <v>1042</v>
      </c>
      <c r="D655" s="4" t="s">
        <v>5553</v>
      </c>
      <c r="E655" s="4" t="s">
        <v>5577</v>
      </c>
      <c r="F655" s="9" t="s">
        <v>5641</v>
      </c>
    </row>
    <row r="656">
      <c r="A656" s="4">
        <v>652.0</v>
      </c>
      <c r="B656" s="4" t="s">
        <v>941</v>
      </c>
      <c r="C656" s="7" t="s">
        <v>1042</v>
      </c>
      <c r="D656" s="4" t="s">
        <v>5553</v>
      </c>
      <c r="E656" s="4" t="s">
        <v>5579</v>
      </c>
      <c r="F656" s="9" t="s">
        <v>5642</v>
      </c>
    </row>
    <row r="657">
      <c r="A657" s="4">
        <v>653.0</v>
      </c>
      <c r="B657" s="4" t="s">
        <v>217</v>
      </c>
      <c r="C657" s="7" t="s">
        <v>1042</v>
      </c>
      <c r="D657" s="4" t="s">
        <v>5553</v>
      </c>
      <c r="E657" s="4" t="s">
        <v>5581</v>
      </c>
      <c r="F657" s="9" t="s">
        <v>5643</v>
      </c>
    </row>
    <row r="658">
      <c r="A658" s="4">
        <v>654.0</v>
      </c>
      <c r="B658" s="4" t="s">
        <v>941</v>
      </c>
      <c r="C658" s="7" t="s">
        <v>5566</v>
      </c>
      <c r="D658" s="4" t="s">
        <v>5553</v>
      </c>
      <c r="E658" s="4" t="s">
        <v>5583</v>
      </c>
      <c r="F658" s="9" t="s">
        <v>5644</v>
      </c>
    </row>
    <row r="659">
      <c r="A659" s="4">
        <v>655.0</v>
      </c>
      <c r="B659" s="4" t="s">
        <v>127</v>
      </c>
      <c r="C659" s="7" t="s">
        <v>5585</v>
      </c>
      <c r="D659" s="4" t="s">
        <v>5553</v>
      </c>
      <c r="E659" s="4" t="s">
        <v>5586</v>
      </c>
      <c r="F659" s="9" t="s">
        <v>5645</v>
      </c>
    </row>
    <row r="660">
      <c r="A660" s="4">
        <v>656.0</v>
      </c>
      <c r="B660" s="4" t="s">
        <v>941</v>
      </c>
      <c r="C660" s="7" t="s">
        <v>1042</v>
      </c>
      <c r="D660" s="4" t="s">
        <v>5553</v>
      </c>
      <c r="E660" s="4" t="s">
        <v>5554</v>
      </c>
      <c r="F660" s="9" t="s">
        <v>5646</v>
      </c>
    </row>
    <row r="661">
      <c r="A661" s="4">
        <v>657.0</v>
      </c>
      <c r="B661" s="4" t="s">
        <v>941</v>
      </c>
      <c r="C661" s="7" t="s">
        <v>5556</v>
      </c>
      <c r="D661" s="4" t="s">
        <v>5553</v>
      </c>
      <c r="E661" s="4" t="s">
        <v>5557</v>
      </c>
      <c r="F661" s="9" t="s">
        <v>5647</v>
      </c>
    </row>
    <row r="662">
      <c r="A662" s="4">
        <v>658.0</v>
      </c>
      <c r="B662" s="4" t="s">
        <v>941</v>
      </c>
      <c r="C662" s="7" t="s">
        <v>1042</v>
      </c>
      <c r="D662" s="4" t="s">
        <v>5553</v>
      </c>
      <c r="E662" s="4" t="s">
        <v>5559</v>
      </c>
      <c r="F662" s="9" t="s">
        <v>5648</v>
      </c>
    </row>
    <row r="663">
      <c r="A663" s="4">
        <v>659.0</v>
      </c>
      <c r="B663" s="4" t="s">
        <v>1098</v>
      </c>
      <c r="C663" s="7" t="s">
        <v>1042</v>
      </c>
      <c r="D663" s="4" t="s">
        <v>5553</v>
      </c>
      <c r="E663" s="4" t="s">
        <v>5561</v>
      </c>
      <c r="F663" s="9" t="s">
        <v>5649</v>
      </c>
    </row>
    <row r="664">
      <c r="A664" s="4">
        <v>660.0</v>
      </c>
      <c r="B664" s="4" t="s">
        <v>941</v>
      </c>
      <c r="C664" s="7" t="s">
        <v>5563</v>
      </c>
      <c r="D664" s="4" t="s">
        <v>5553</v>
      </c>
      <c r="E664" s="4" t="s">
        <v>5564</v>
      </c>
      <c r="F664" s="9" t="s">
        <v>5650</v>
      </c>
    </row>
    <row r="665">
      <c r="A665" s="4">
        <v>661.0</v>
      </c>
      <c r="B665" s="4" t="s">
        <v>941</v>
      </c>
      <c r="C665" s="7" t="s">
        <v>5566</v>
      </c>
      <c r="D665" s="4" t="s">
        <v>5553</v>
      </c>
      <c r="E665" s="4" t="s">
        <v>5567</v>
      </c>
      <c r="F665" s="9" t="s">
        <v>5651</v>
      </c>
    </row>
    <row r="666">
      <c r="A666" s="4">
        <v>662.0</v>
      </c>
      <c r="B666" s="4" t="s">
        <v>155</v>
      </c>
      <c r="C666" s="7" t="s">
        <v>5569</v>
      </c>
      <c r="D666" s="4" t="s">
        <v>5553</v>
      </c>
      <c r="E666" s="4" t="s">
        <v>5570</v>
      </c>
      <c r="F666" s="9" t="s">
        <v>5652</v>
      </c>
    </row>
    <row r="667">
      <c r="A667" s="4">
        <v>663.0</v>
      </c>
      <c r="B667" s="4" t="s">
        <v>136</v>
      </c>
      <c r="C667" s="7" t="s">
        <v>5572</v>
      </c>
      <c r="D667" s="4" t="s">
        <v>5553</v>
      </c>
      <c r="E667" s="4" t="s">
        <v>5573</v>
      </c>
      <c r="F667" s="9" t="s">
        <v>5653</v>
      </c>
    </row>
    <row r="668">
      <c r="A668" s="4">
        <v>664.0</v>
      </c>
      <c r="B668" s="4" t="s">
        <v>941</v>
      </c>
      <c r="C668" s="7" t="s">
        <v>1042</v>
      </c>
      <c r="D668" s="4" t="s">
        <v>5553</v>
      </c>
      <c r="E668" s="4" t="s">
        <v>5575</v>
      </c>
      <c r="F668" s="9" t="s">
        <v>5654</v>
      </c>
    </row>
    <row r="669">
      <c r="A669" s="4">
        <v>665.0</v>
      </c>
      <c r="B669" s="4" t="s">
        <v>44</v>
      </c>
      <c r="C669" s="7" t="s">
        <v>1042</v>
      </c>
      <c r="D669" s="4" t="s">
        <v>5553</v>
      </c>
      <c r="E669" s="4" t="s">
        <v>5577</v>
      </c>
      <c r="F669" s="9" t="s">
        <v>5655</v>
      </c>
    </row>
    <row r="670">
      <c r="A670" s="4">
        <v>666.0</v>
      </c>
      <c r="B670" s="4" t="s">
        <v>941</v>
      </c>
      <c r="C670" s="7" t="s">
        <v>1042</v>
      </c>
      <c r="D670" s="4" t="s">
        <v>5553</v>
      </c>
      <c r="E670" s="4" t="s">
        <v>5579</v>
      </c>
      <c r="F670" s="9" t="s">
        <v>5656</v>
      </c>
    </row>
    <row r="671">
      <c r="A671" s="4">
        <v>667.0</v>
      </c>
      <c r="B671" s="4" t="s">
        <v>217</v>
      </c>
      <c r="C671" s="7" t="s">
        <v>1042</v>
      </c>
      <c r="D671" s="4" t="s">
        <v>5553</v>
      </c>
      <c r="E671" s="4" t="s">
        <v>5581</v>
      </c>
      <c r="F671" s="9" t="s">
        <v>5657</v>
      </c>
    </row>
    <row r="672">
      <c r="A672" s="4">
        <v>668.0</v>
      </c>
      <c r="B672" s="4" t="s">
        <v>941</v>
      </c>
      <c r="C672" s="7" t="s">
        <v>5566</v>
      </c>
      <c r="D672" s="4" t="s">
        <v>5553</v>
      </c>
      <c r="E672" s="4" t="s">
        <v>5583</v>
      </c>
      <c r="F672" s="9" t="s">
        <v>5658</v>
      </c>
    </row>
    <row r="673">
      <c r="A673" s="4">
        <v>669.0</v>
      </c>
      <c r="B673" s="4" t="s">
        <v>127</v>
      </c>
      <c r="C673" s="7" t="s">
        <v>5585</v>
      </c>
      <c r="D673" s="4" t="s">
        <v>5553</v>
      </c>
      <c r="E673" s="4" t="s">
        <v>5586</v>
      </c>
      <c r="F673" s="9" t="s">
        <v>5659</v>
      </c>
    </row>
    <row r="674">
      <c r="A674" s="4">
        <v>670.0</v>
      </c>
      <c r="B674" s="4" t="s">
        <v>941</v>
      </c>
      <c r="C674" s="7" t="s">
        <v>1042</v>
      </c>
      <c r="D674" s="4" t="s">
        <v>5553</v>
      </c>
      <c r="E674" s="4" t="s">
        <v>5554</v>
      </c>
      <c r="F674" s="9" t="s">
        <v>5660</v>
      </c>
    </row>
    <row r="675">
      <c r="A675" s="4">
        <v>671.0</v>
      </c>
      <c r="B675" s="4" t="s">
        <v>941</v>
      </c>
      <c r="C675" s="7" t="s">
        <v>5556</v>
      </c>
      <c r="D675" s="4" t="s">
        <v>5553</v>
      </c>
      <c r="E675" s="4" t="s">
        <v>5557</v>
      </c>
      <c r="F675" s="9" t="s">
        <v>5661</v>
      </c>
    </row>
    <row r="676">
      <c r="A676" s="4">
        <v>672.0</v>
      </c>
      <c r="B676" s="4" t="s">
        <v>941</v>
      </c>
      <c r="C676" s="7" t="s">
        <v>1042</v>
      </c>
      <c r="D676" s="4" t="s">
        <v>5553</v>
      </c>
      <c r="E676" s="4" t="s">
        <v>5559</v>
      </c>
      <c r="F676" s="9" t="s">
        <v>5662</v>
      </c>
    </row>
    <row r="677">
      <c r="A677" s="4">
        <v>673.0</v>
      </c>
      <c r="B677" s="4" t="s">
        <v>1098</v>
      </c>
      <c r="C677" s="7" t="s">
        <v>1042</v>
      </c>
      <c r="D677" s="4" t="s">
        <v>5553</v>
      </c>
      <c r="E677" s="4" t="s">
        <v>5561</v>
      </c>
      <c r="F677" s="9" t="s">
        <v>5663</v>
      </c>
    </row>
    <row r="678">
      <c r="A678" s="4">
        <v>674.0</v>
      </c>
      <c r="B678" s="4" t="s">
        <v>941</v>
      </c>
      <c r="C678" s="7" t="s">
        <v>5563</v>
      </c>
      <c r="D678" s="4" t="s">
        <v>5553</v>
      </c>
      <c r="E678" s="4" t="s">
        <v>5564</v>
      </c>
      <c r="F678" s="9" t="s">
        <v>5664</v>
      </c>
    </row>
    <row r="679">
      <c r="A679" s="4">
        <v>675.0</v>
      </c>
      <c r="B679" s="4" t="s">
        <v>941</v>
      </c>
      <c r="C679" s="7" t="s">
        <v>5566</v>
      </c>
      <c r="D679" s="4" t="s">
        <v>5553</v>
      </c>
      <c r="E679" s="4" t="s">
        <v>5567</v>
      </c>
      <c r="F679" s="9" t="s">
        <v>5665</v>
      </c>
    </row>
    <row r="680">
      <c r="A680" s="4">
        <v>676.0</v>
      </c>
      <c r="B680" s="4" t="s">
        <v>155</v>
      </c>
      <c r="C680" s="7" t="s">
        <v>5569</v>
      </c>
      <c r="D680" s="4" t="s">
        <v>5553</v>
      </c>
      <c r="E680" s="4" t="s">
        <v>5570</v>
      </c>
      <c r="F680" s="9" t="s">
        <v>5666</v>
      </c>
    </row>
    <row r="681">
      <c r="A681" s="4">
        <v>677.0</v>
      </c>
      <c r="B681" s="4" t="s">
        <v>136</v>
      </c>
      <c r="C681" s="7" t="s">
        <v>5572</v>
      </c>
      <c r="D681" s="4" t="s">
        <v>5553</v>
      </c>
      <c r="E681" s="4" t="s">
        <v>5573</v>
      </c>
      <c r="F681" s="9" t="s">
        <v>5667</v>
      </c>
    </row>
    <row r="682">
      <c r="A682" s="4">
        <v>678.0</v>
      </c>
      <c r="B682" s="4" t="s">
        <v>941</v>
      </c>
      <c r="C682" s="7" t="s">
        <v>1042</v>
      </c>
      <c r="D682" s="4" t="s">
        <v>5553</v>
      </c>
      <c r="E682" s="4" t="s">
        <v>5575</v>
      </c>
      <c r="F682" s="9" t="s">
        <v>5668</v>
      </c>
    </row>
    <row r="683">
      <c r="A683" s="4">
        <v>679.0</v>
      </c>
      <c r="B683" s="4" t="s">
        <v>44</v>
      </c>
      <c r="C683" s="7" t="s">
        <v>1042</v>
      </c>
      <c r="D683" s="4" t="s">
        <v>5553</v>
      </c>
      <c r="E683" s="4" t="s">
        <v>5577</v>
      </c>
      <c r="F683" s="9" t="s">
        <v>5669</v>
      </c>
    </row>
    <row r="684">
      <c r="A684" s="4">
        <v>680.0</v>
      </c>
      <c r="B684" s="4" t="s">
        <v>941</v>
      </c>
      <c r="C684" s="7" t="s">
        <v>1042</v>
      </c>
      <c r="D684" s="4" t="s">
        <v>5553</v>
      </c>
      <c r="E684" s="4" t="s">
        <v>5579</v>
      </c>
      <c r="F684" s="9" t="s">
        <v>5670</v>
      </c>
    </row>
    <row r="685">
      <c r="A685" s="4">
        <v>681.0</v>
      </c>
      <c r="B685" s="4" t="s">
        <v>217</v>
      </c>
      <c r="C685" s="7" t="s">
        <v>1042</v>
      </c>
      <c r="D685" s="4" t="s">
        <v>5553</v>
      </c>
      <c r="E685" s="4" t="s">
        <v>5581</v>
      </c>
      <c r="F685" s="9" t="s">
        <v>5671</v>
      </c>
    </row>
    <row r="686">
      <c r="A686" s="4">
        <v>682.0</v>
      </c>
      <c r="B686" s="4" t="s">
        <v>941</v>
      </c>
      <c r="C686" s="7" t="s">
        <v>5566</v>
      </c>
      <c r="D686" s="4" t="s">
        <v>5553</v>
      </c>
      <c r="E686" s="4" t="s">
        <v>5583</v>
      </c>
      <c r="F686" s="9" t="s">
        <v>5672</v>
      </c>
    </row>
    <row r="687">
      <c r="A687" s="4">
        <v>683.0</v>
      </c>
      <c r="B687" s="4" t="s">
        <v>127</v>
      </c>
      <c r="C687" s="7" t="s">
        <v>5585</v>
      </c>
      <c r="D687" s="4" t="s">
        <v>5553</v>
      </c>
      <c r="E687" s="4" t="s">
        <v>5586</v>
      </c>
      <c r="F687" s="9" t="s">
        <v>5673</v>
      </c>
    </row>
    <row r="688">
      <c r="A688" s="4">
        <v>684.0</v>
      </c>
      <c r="B688" s="4" t="s">
        <v>941</v>
      </c>
      <c r="C688" s="7" t="s">
        <v>1042</v>
      </c>
      <c r="D688" s="4" t="s">
        <v>5553</v>
      </c>
      <c r="E688" s="4" t="s">
        <v>5554</v>
      </c>
      <c r="F688" s="9" t="s">
        <v>5674</v>
      </c>
    </row>
    <row r="689">
      <c r="A689" s="4">
        <v>685.0</v>
      </c>
      <c r="B689" s="4" t="s">
        <v>941</v>
      </c>
      <c r="C689" s="7" t="s">
        <v>5556</v>
      </c>
      <c r="D689" s="4" t="s">
        <v>5553</v>
      </c>
      <c r="E689" s="4" t="s">
        <v>5557</v>
      </c>
      <c r="F689" s="9" t="s">
        <v>5675</v>
      </c>
    </row>
    <row r="690">
      <c r="A690" s="4">
        <v>686.0</v>
      </c>
      <c r="B690" s="4" t="s">
        <v>941</v>
      </c>
      <c r="C690" s="7" t="s">
        <v>1042</v>
      </c>
      <c r="D690" s="4" t="s">
        <v>5553</v>
      </c>
      <c r="E690" s="4" t="s">
        <v>5559</v>
      </c>
      <c r="F690" s="9" t="s">
        <v>5676</v>
      </c>
    </row>
    <row r="691">
      <c r="A691" s="4">
        <v>687.0</v>
      </c>
      <c r="B691" s="4" t="s">
        <v>1098</v>
      </c>
      <c r="C691" s="7" t="s">
        <v>1042</v>
      </c>
      <c r="D691" s="4" t="s">
        <v>5553</v>
      </c>
      <c r="E691" s="4" t="s">
        <v>5561</v>
      </c>
      <c r="F691" s="9" t="s">
        <v>5677</v>
      </c>
    </row>
    <row r="692">
      <c r="A692" s="4">
        <v>688.0</v>
      </c>
      <c r="B692" s="4" t="s">
        <v>941</v>
      </c>
      <c r="C692" s="7" t="s">
        <v>5563</v>
      </c>
      <c r="D692" s="4" t="s">
        <v>5553</v>
      </c>
      <c r="E692" s="4" t="s">
        <v>5564</v>
      </c>
      <c r="F692" s="9" t="s">
        <v>5678</v>
      </c>
    </row>
    <row r="693">
      <c r="A693" s="4">
        <v>689.0</v>
      </c>
      <c r="B693" s="4" t="s">
        <v>941</v>
      </c>
      <c r="C693" s="7" t="s">
        <v>5566</v>
      </c>
      <c r="D693" s="4" t="s">
        <v>5553</v>
      </c>
      <c r="E693" s="4" t="s">
        <v>5567</v>
      </c>
      <c r="F693" s="9" t="s">
        <v>5679</v>
      </c>
    </row>
    <row r="694">
      <c r="A694" s="4">
        <v>690.0</v>
      </c>
      <c r="B694" s="4" t="s">
        <v>155</v>
      </c>
      <c r="C694" s="7" t="s">
        <v>5569</v>
      </c>
      <c r="D694" s="4" t="s">
        <v>5553</v>
      </c>
      <c r="E694" s="4" t="s">
        <v>5570</v>
      </c>
      <c r="F694" s="9" t="s">
        <v>5681</v>
      </c>
    </row>
    <row r="695">
      <c r="A695" s="4">
        <v>691.0</v>
      </c>
      <c r="B695" s="4" t="s">
        <v>136</v>
      </c>
      <c r="C695" s="7" t="s">
        <v>5572</v>
      </c>
      <c r="D695" s="4" t="s">
        <v>5553</v>
      </c>
      <c r="E695" s="4" t="s">
        <v>5573</v>
      </c>
      <c r="F695" s="9" t="s">
        <v>5683</v>
      </c>
    </row>
    <row r="696">
      <c r="A696" s="4">
        <v>692.0</v>
      </c>
      <c r="B696" s="4" t="s">
        <v>941</v>
      </c>
      <c r="C696" s="7" t="s">
        <v>1042</v>
      </c>
      <c r="D696" s="4" t="s">
        <v>5553</v>
      </c>
      <c r="E696" s="4" t="s">
        <v>5575</v>
      </c>
      <c r="F696" s="9" t="s">
        <v>5685</v>
      </c>
    </row>
    <row r="697">
      <c r="A697" s="4">
        <v>693.0</v>
      </c>
      <c r="B697" s="4" t="s">
        <v>44</v>
      </c>
      <c r="C697" s="7" t="s">
        <v>1042</v>
      </c>
      <c r="D697" s="4" t="s">
        <v>5553</v>
      </c>
      <c r="E697" s="4" t="s">
        <v>5577</v>
      </c>
      <c r="F697" s="9" t="s">
        <v>5686</v>
      </c>
    </row>
    <row r="698">
      <c r="A698" s="4">
        <v>694.0</v>
      </c>
      <c r="B698" s="4" t="s">
        <v>941</v>
      </c>
      <c r="C698" s="7" t="s">
        <v>1042</v>
      </c>
      <c r="D698" s="4" t="s">
        <v>5553</v>
      </c>
      <c r="E698" s="4" t="s">
        <v>5579</v>
      </c>
      <c r="F698" s="9" t="s">
        <v>5687</v>
      </c>
    </row>
    <row r="699">
      <c r="A699" s="4">
        <v>695.0</v>
      </c>
      <c r="B699" s="4" t="s">
        <v>217</v>
      </c>
      <c r="C699" s="7" t="s">
        <v>1042</v>
      </c>
      <c r="D699" s="4" t="s">
        <v>5553</v>
      </c>
      <c r="E699" s="4" t="s">
        <v>5581</v>
      </c>
      <c r="F699" s="9" t="s">
        <v>5688</v>
      </c>
    </row>
    <row r="700">
      <c r="A700" s="4">
        <v>696.0</v>
      </c>
      <c r="B700" s="4" t="s">
        <v>941</v>
      </c>
      <c r="C700" s="7" t="s">
        <v>5566</v>
      </c>
      <c r="D700" s="4" t="s">
        <v>5553</v>
      </c>
      <c r="E700" s="4" t="s">
        <v>5583</v>
      </c>
      <c r="F700" s="9" t="s">
        <v>5690</v>
      </c>
    </row>
    <row r="701">
      <c r="A701" s="4">
        <v>697.0</v>
      </c>
      <c r="B701" s="4" t="s">
        <v>127</v>
      </c>
      <c r="C701" s="7" t="s">
        <v>5585</v>
      </c>
      <c r="D701" s="4" t="s">
        <v>5553</v>
      </c>
      <c r="E701" s="4" t="s">
        <v>5586</v>
      </c>
      <c r="F701" s="9" t="s">
        <v>5691</v>
      </c>
    </row>
    <row r="702">
      <c r="A702" s="4">
        <v>698.0</v>
      </c>
      <c r="B702" s="4" t="s">
        <v>941</v>
      </c>
      <c r="C702" s="7" t="s">
        <v>1042</v>
      </c>
      <c r="D702" s="4" t="s">
        <v>5553</v>
      </c>
      <c r="E702" s="4" t="s">
        <v>5554</v>
      </c>
      <c r="F702" s="9" t="s">
        <v>5693</v>
      </c>
    </row>
    <row r="703">
      <c r="A703" s="4">
        <v>699.0</v>
      </c>
      <c r="B703" s="4" t="s">
        <v>941</v>
      </c>
      <c r="C703" s="7" t="s">
        <v>5556</v>
      </c>
      <c r="D703" s="4" t="s">
        <v>5553</v>
      </c>
      <c r="E703" s="4" t="s">
        <v>5557</v>
      </c>
      <c r="F703" s="9" t="s">
        <v>5694</v>
      </c>
    </row>
    <row r="704">
      <c r="A704" s="4">
        <v>700.0</v>
      </c>
      <c r="B704" s="4" t="s">
        <v>941</v>
      </c>
      <c r="C704" s="7" t="s">
        <v>1042</v>
      </c>
      <c r="D704" s="4" t="s">
        <v>5553</v>
      </c>
      <c r="E704" s="4" t="s">
        <v>5559</v>
      </c>
      <c r="F704" s="9" t="s">
        <v>5695</v>
      </c>
    </row>
    <row r="705">
      <c r="A705" s="4">
        <v>701.0</v>
      </c>
      <c r="B705" s="4" t="s">
        <v>1098</v>
      </c>
      <c r="C705" s="7" t="s">
        <v>1042</v>
      </c>
      <c r="D705" s="4" t="s">
        <v>5553</v>
      </c>
      <c r="E705" s="4" t="s">
        <v>5561</v>
      </c>
      <c r="F705" s="9" t="s">
        <v>5698</v>
      </c>
    </row>
    <row r="706">
      <c r="A706" s="4">
        <v>702.0</v>
      </c>
      <c r="B706" s="4" t="s">
        <v>941</v>
      </c>
      <c r="C706" s="7" t="s">
        <v>5563</v>
      </c>
      <c r="D706" s="4" t="s">
        <v>5553</v>
      </c>
      <c r="E706" s="4" t="s">
        <v>5564</v>
      </c>
      <c r="F706" s="9" t="s">
        <v>5699</v>
      </c>
    </row>
    <row r="707">
      <c r="A707" s="4">
        <v>703.0</v>
      </c>
      <c r="B707" s="4" t="s">
        <v>941</v>
      </c>
      <c r="C707" s="7" t="s">
        <v>5566</v>
      </c>
      <c r="D707" s="4" t="s">
        <v>5553</v>
      </c>
      <c r="E707" s="4" t="s">
        <v>5567</v>
      </c>
      <c r="F707" s="9" t="s">
        <v>5700</v>
      </c>
    </row>
    <row r="708">
      <c r="A708" s="4">
        <v>704.0</v>
      </c>
      <c r="B708" s="4" t="s">
        <v>155</v>
      </c>
      <c r="C708" s="7" t="s">
        <v>5569</v>
      </c>
      <c r="D708" s="4" t="s">
        <v>5553</v>
      </c>
      <c r="E708" s="4" t="s">
        <v>5570</v>
      </c>
      <c r="F708" s="9" t="s">
        <v>5701</v>
      </c>
    </row>
    <row r="709">
      <c r="A709" s="4">
        <v>705.0</v>
      </c>
      <c r="B709" s="4" t="s">
        <v>136</v>
      </c>
      <c r="C709" s="7" t="s">
        <v>5572</v>
      </c>
      <c r="D709" s="4" t="s">
        <v>5553</v>
      </c>
      <c r="E709" s="4" t="s">
        <v>5573</v>
      </c>
      <c r="F709" s="9" t="s">
        <v>5702</v>
      </c>
    </row>
    <row r="710">
      <c r="A710" s="4">
        <v>706.0</v>
      </c>
      <c r="B710" s="4" t="s">
        <v>941</v>
      </c>
      <c r="C710" s="7" t="s">
        <v>1042</v>
      </c>
      <c r="D710" s="4" t="s">
        <v>5553</v>
      </c>
      <c r="E710" s="4" t="s">
        <v>5575</v>
      </c>
      <c r="F710" s="9" t="s">
        <v>5703</v>
      </c>
    </row>
    <row r="711">
      <c r="A711" s="4">
        <v>707.0</v>
      </c>
      <c r="B711" s="4" t="s">
        <v>44</v>
      </c>
      <c r="C711" s="7" t="s">
        <v>1042</v>
      </c>
      <c r="D711" s="4" t="s">
        <v>5553</v>
      </c>
      <c r="E711" s="4" t="s">
        <v>5577</v>
      </c>
      <c r="F711" s="9" t="s">
        <v>5704</v>
      </c>
    </row>
    <row r="712">
      <c r="A712" s="4">
        <v>708.0</v>
      </c>
      <c r="B712" s="4" t="s">
        <v>941</v>
      </c>
      <c r="C712" s="7" t="s">
        <v>1042</v>
      </c>
      <c r="D712" s="4" t="s">
        <v>5553</v>
      </c>
      <c r="E712" s="4" t="s">
        <v>5579</v>
      </c>
      <c r="F712" s="9" t="s">
        <v>5706</v>
      </c>
    </row>
    <row r="713">
      <c r="A713" s="4">
        <v>709.0</v>
      </c>
      <c r="B713" s="4" t="s">
        <v>217</v>
      </c>
      <c r="C713" s="7" t="s">
        <v>1042</v>
      </c>
      <c r="D713" s="4" t="s">
        <v>5553</v>
      </c>
      <c r="E713" s="4" t="s">
        <v>5581</v>
      </c>
      <c r="F713" s="9" t="s">
        <v>5707</v>
      </c>
    </row>
    <row r="714">
      <c r="A714" s="4">
        <v>710.0</v>
      </c>
      <c r="B714" s="4" t="s">
        <v>941</v>
      </c>
      <c r="C714" s="7" t="s">
        <v>5566</v>
      </c>
      <c r="D714" s="4" t="s">
        <v>5553</v>
      </c>
      <c r="E714" s="4" t="s">
        <v>5583</v>
      </c>
      <c r="F714" s="9" t="s">
        <v>5708</v>
      </c>
    </row>
    <row r="715">
      <c r="A715" s="4">
        <v>711.0</v>
      </c>
      <c r="B715" s="4" t="s">
        <v>127</v>
      </c>
      <c r="C715" s="7" t="s">
        <v>5585</v>
      </c>
      <c r="D715" s="4" t="s">
        <v>5553</v>
      </c>
      <c r="E715" s="4" t="s">
        <v>5586</v>
      </c>
      <c r="F715" s="9" t="s">
        <v>5709</v>
      </c>
    </row>
    <row r="716">
      <c r="A716" s="4">
        <v>712.0</v>
      </c>
      <c r="B716" s="4" t="s">
        <v>941</v>
      </c>
      <c r="C716" s="7" t="s">
        <v>1042</v>
      </c>
      <c r="D716" s="4" t="s">
        <v>5553</v>
      </c>
      <c r="E716" s="4" t="s">
        <v>5554</v>
      </c>
      <c r="F716" s="9" t="s">
        <v>5710</v>
      </c>
    </row>
    <row r="717">
      <c r="A717" s="4">
        <v>713.0</v>
      </c>
      <c r="B717" s="4" t="s">
        <v>941</v>
      </c>
      <c r="C717" s="7" t="s">
        <v>5556</v>
      </c>
      <c r="D717" s="4" t="s">
        <v>5553</v>
      </c>
      <c r="E717" s="4" t="s">
        <v>5557</v>
      </c>
      <c r="F717" s="9" t="s">
        <v>5711</v>
      </c>
    </row>
    <row r="718">
      <c r="A718" s="4">
        <v>714.0</v>
      </c>
      <c r="B718" s="4" t="s">
        <v>941</v>
      </c>
      <c r="C718" s="7" t="s">
        <v>1042</v>
      </c>
      <c r="D718" s="4" t="s">
        <v>5553</v>
      </c>
      <c r="E718" s="4" t="s">
        <v>5559</v>
      </c>
      <c r="F718" s="9" t="s">
        <v>5712</v>
      </c>
    </row>
    <row r="719">
      <c r="A719" s="4">
        <v>715.0</v>
      </c>
      <c r="B719" s="4" t="s">
        <v>1098</v>
      </c>
      <c r="C719" s="7" t="s">
        <v>1042</v>
      </c>
      <c r="D719" s="4" t="s">
        <v>5553</v>
      </c>
      <c r="E719" s="4" t="s">
        <v>5561</v>
      </c>
      <c r="F719" s="9" t="s">
        <v>5713</v>
      </c>
    </row>
    <row r="720">
      <c r="A720" s="4">
        <v>716.0</v>
      </c>
      <c r="B720" s="4" t="s">
        <v>941</v>
      </c>
      <c r="C720" s="7" t="s">
        <v>5563</v>
      </c>
      <c r="D720" s="4" t="s">
        <v>5553</v>
      </c>
      <c r="E720" s="4" t="s">
        <v>5564</v>
      </c>
      <c r="F720" s="9" t="s">
        <v>5714</v>
      </c>
    </row>
    <row r="721">
      <c r="A721" s="4">
        <v>717.0</v>
      </c>
      <c r="B721" s="4" t="s">
        <v>941</v>
      </c>
      <c r="C721" s="7" t="s">
        <v>5566</v>
      </c>
      <c r="D721" s="4" t="s">
        <v>5553</v>
      </c>
      <c r="E721" s="4" t="s">
        <v>5567</v>
      </c>
      <c r="F721" s="9" t="s">
        <v>5715</v>
      </c>
    </row>
    <row r="722">
      <c r="A722" s="4">
        <v>718.0</v>
      </c>
      <c r="B722" s="4" t="s">
        <v>155</v>
      </c>
      <c r="C722" s="7" t="s">
        <v>5569</v>
      </c>
      <c r="D722" s="4" t="s">
        <v>5553</v>
      </c>
      <c r="E722" s="4" t="s">
        <v>5570</v>
      </c>
      <c r="F722" s="9" t="s">
        <v>5716</v>
      </c>
    </row>
    <row r="723">
      <c r="A723" s="4">
        <v>719.0</v>
      </c>
      <c r="B723" s="4" t="s">
        <v>136</v>
      </c>
      <c r="C723" s="7" t="s">
        <v>5572</v>
      </c>
      <c r="D723" s="4" t="s">
        <v>5553</v>
      </c>
      <c r="E723" s="4" t="s">
        <v>5573</v>
      </c>
      <c r="F723" s="9" t="s">
        <v>5717</v>
      </c>
    </row>
    <row r="724">
      <c r="A724" s="4">
        <v>720.0</v>
      </c>
      <c r="B724" s="4" t="s">
        <v>941</v>
      </c>
      <c r="C724" s="7" t="s">
        <v>1042</v>
      </c>
      <c r="D724" s="4" t="s">
        <v>5553</v>
      </c>
      <c r="E724" s="4" t="s">
        <v>5575</v>
      </c>
      <c r="F724" s="9" t="s">
        <v>5718</v>
      </c>
    </row>
    <row r="725">
      <c r="A725" s="4">
        <v>721.0</v>
      </c>
      <c r="B725" s="4" t="s">
        <v>44</v>
      </c>
      <c r="C725" s="7" t="s">
        <v>1042</v>
      </c>
      <c r="D725" s="4" t="s">
        <v>5553</v>
      </c>
      <c r="E725" s="4" t="s">
        <v>5577</v>
      </c>
      <c r="F725" s="9" t="s">
        <v>5719</v>
      </c>
    </row>
    <row r="726">
      <c r="A726" s="4">
        <v>722.0</v>
      </c>
      <c r="B726" s="4" t="s">
        <v>941</v>
      </c>
      <c r="C726" s="7" t="s">
        <v>1042</v>
      </c>
      <c r="D726" s="4" t="s">
        <v>5553</v>
      </c>
      <c r="E726" s="4" t="s">
        <v>5579</v>
      </c>
      <c r="F726" s="9" t="s">
        <v>5720</v>
      </c>
    </row>
    <row r="727">
      <c r="A727" s="4">
        <v>723.0</v>
      </c>
      <c r="B727" s="4" t="s">
        <v>217</v>
      </c>
      <c r="C727" s="7" t="s">
        <v>1042</v>
      </c>
      <c r="D727" s="4" t="s">
        <v>5553</v>
      </c>
      <c r="E727" s="4" t="s">
        <v>5581</v>
      </c>
      <c r="F727" s="9" t="s">
        <v>5721</v>
      </c>
    </row>
    <row r="728">
      <c r="A728" s="4">
        <v>724.0</v>
      </c>
      <c r="B728" s="4" t="s">
        <v>941</v>
      </c>
      <c r="C728" s="7" t="s">
        <v>5566</v>
      </c>
      <c r="D728" s="4" t="s">
        <v>5553</v>
      </c>
      <c r="E728" s="4" t="s">
        <v>5583</v>
      </c>
      <c r="F728" s="9" t="s">
        <v>5722</v>
      </c>
    </row>
    <row r="729">
      <c r="A729" s="4">
        <v>725.0</v>
      </c>
      <c r="B729" s="4" t="s">
        <v>127</v>
      </c>
      <c r="C729" s="7" t="s">
        <v>5585</v>
      </c>
      <c r="D729" s="4" t="s">
        <v>5553</v>
      </c>
      <c r="E729" s="4" t="s">
        <v>5586</v>
      </c>
      <c r="F729" s="9" t="s">
        <v>5723</v>
      </c>
    </row>
    <row r="730">
      <c r="A730" s="4">
        <v>726.0</v>
      </c>
      <c r="B730" s="4" t="s">
        <v>941</v>
      </c>
      <c r="C730" s="7" t="s">
        <v>1042</v>
      </c>
      <c r="D730" s="4" t="s">
        <v>5553</v>
      </c>
      <c r="E730" s="4" t="s">
        <v>5554</v>
      </c>
      <c r="F730" s="9" t="s">
        <v>5724</v>
      </c>
    </row>
    <row r="731">
      <c r="A731" s="4">
        <v>727.0</v>
      </c>
      <c r="B731" s="4" t="s">
        <v>941</v>
      </c>
      <c r="C731" s="7" t="s">
        <v>5556</v>
      </c>
      <c r="D731" s="4" t="s">
        <v>5553</v>
      </c>
      <c r="E731" s="4" t="s">
        <v>5557</v>
      </c>
      <c r="F731" s="9" t="s">
        <v>5725</v>
      </c>
    </row>
    <row r="732">
      <c r="A732" s="4">
        <v>728.0</v>
      </c>
      <c r="B732" s="4" t="s">
        <v>941</v>
      </c>
      <c r="C732" s="7" t="s">
        <v>1042</v>
      </c>
      <c r="D732" s="4" t="s">
        <v>5553</v>
      </c>
      <c r="E732" s="4" t="s">
        <v>5559</v>
      </c>
      <c r="F732" s="9" t="s">
        <v>5726</v>
      </c>
    </row>
    <row r="733">
      <c r="A733" s="4">
        <v>729.0</v>
      </c>
      <c r="B733" s="4" t="s">
        <v>1098</v>
      </c>
      <c r="C733" s="7" t="s">
        <v>1042</v>
      </c>
      <c r="D733" s="4" t="s">
        <v>5553</v>
      </c>
      <c r="E733" s="4" t="s">
        <v>5561</v>
      </c>
      <c r="F733" s="9" t="s">
        <v>5727</v>
      </c>
    </row>
    <row r="734">
      <c r="A734" s="4">
        <v>730.0</v>
      </c>
      <c r="B734" s="4" t="s">
        <v>941</v>
      </c>
      <c r="C734" s="7" t="s">
        <v>5563</v>
      </c>
      <c r="D734" s="4" t="s">
        <v>5553</v>
      </c>
      <c r="E734" s="4" t="s">
        <v>5564</v>
      </c>
      <c r="F734" s="9" t="s">
        <v>5728</v>
      </c>
    </row>
    <row r="735">
      <c r="A735" s="4">
        <v>731.0</v>
      </c>
      <c r="B735" s="4" t="s">
        <v>941</v>
      </c>
      <c r="C735" s="7" t="s">
        <v>5566</v>
      </c>
      <c r="D735" s="4" t="s">
        <v>5553</v>
      </c>
      <c r="E735" s="4" t="s">
        <v>5567</v>
      </c>
      <c r="F735" s="9" t="s">
        <v>5729</v>
      </c>
    </row>
    <row r="736">
      <c r="A736" s="4">
        <v>732.0</v>
      </c>
      <c r="B736" s="4" t="s">
        <v>155</v>
      </c>
      <c r="C736" s="7" t="s">
        <v>5569</v>
      </c>
      <c r="D736" s="4" t="s">
        <v>5553</v>
      </c>
      <c r="E736" s="4" t="s">
        <v>5570</v>
      </c>
      <c r="F736" s="9" t="s">
        <v>5730</v>
      </c>
    </row>
    <row r="737">
      <c r="A737" s="4">
        <v>733.0</v>
      </c>
      <c r="B737" s="4" t="s">
        <v>136</v>
      </c>
      <c r="C737" s="7" t="s">
        <v>5572</v>
      </c>
      <c r="D737" s="4" t="s">
        <v>5553</v>
      </c>
      <c r="E737" s="4" t="s">
        <v>5573</v>
      </c>
      <c r="F737" s="9" t="s">
        <v>5731</v>
      </c>
    </row>
    <row r="738">
      <c r="A738" s="4">
        <v>734.0</v>
      </c>
      <c r="B738" s="4" t="s">
        <v>941</v>
      </c>
      <c r="C738" s="7" t="s">
        <v>1042</v>
      </c>
      <c r="D738" s="4" t="s">
        <v>5553</v>
      </c>
      <c r="E738" s="4" t="s">
        <v>5575</v>
      </c>
      <c r="F738" s="9" t="s">
        <v>5732</v>
      </c>
    </row>
    <row r="739">
      <c r="A739" s="4">
        <v>735.0</v>
      </c>
      <c r="B739" s="4" t="s">
        <v>44</v>
      </c>
      <c r="C739" s="7" t="s">
        <v>1042</v>
      </c>
      <c r="D739" s="4" t="s">
        <v>5553</v>
      </c>
      <c r="E739" s="4" t="s">
        <v>5577</v>
      </c>
      <c r="F739" s="9" t="s">
        <v>5733</v>
      </c>
    </row>
    <row r="740">
      <c r="A740" s="4">
        <v>736.0</v>
      </c>
      <c r="B740" s="4" t="s">
        <v>941</v>
      </c>
      <c r="C740" s="7" t="s">
        <v>1042</v>
      </c>
      <c r="D740" s="4" t="s">
        <v>5553</v>
      </c>
      <c r="E740" s="4" t="s">
        <v>5579</v>
      </c>
      <c r="F740" s="9" t="s">
        <v>5734</v>
      </c>
    </row>
    <row r="741">
      <c r="A741" s="4">
        <v>737.0</v>
      </c>
      <c r="B741" s="4" t="s">
        <v>217</v>
      </c>
      <c r="C741" s="7" t="s">
        <v>1042</v>
      </c>
      <c r="D741" s="4" t="s">
        <v>5553</v>
      </c>
      <c r="E741" s="4" t="s">
        <v>5581</v>
      </c>
      <c r="F741" s="9" t="s">
        <v>5735</v>
      </c>
    </row>
    <row r="742">
      <c r="A742" s="4">
        <v>738.0</v>
      </c>
      <c r="B742" s="4" t="s">
        <v>941</v>
      </c>
      <c r="C742" s="7" t="s">
        <v>5566</v>
      </c>
      <c r="D742" s="4" t="s">
        <v>5553</v>
      </c>
      <c r="E742" s="4" t="s">
        <v>5583</v>
      </c>
      <c r="F742" s="9" t="s">
        <v>5736</v>
      </c>
    </row>
    <row r="743">
      <c r="A743" s="4">
        <v>739.0</v>
      </c>
      <c r="B743" s="4" t="s">
        <v>127</v>
      </c>
      <c r="C743" s="7" t="s">
        <v>5585</v>
      </c>
      <c r="D743" s="4" t="s">
        <v>5553</v>
      </c>
      <c r="E743" s="4" t="s">
        <v>5586</v>
      </c>
      <c r="F743" s="9" t="s">
        <v>5737</v>
      </c>
    </row>
    <row r="744">
      <c r="A744" s="4">
        <v>740.0</v>
      </c>
      <c r="B744" s="4" t="s">
        <v>941</v>
      </c>
      <c r="C744" s="7" t="s">
        <v>1042</v>
      </c>
      <c r="D744" s="4" t="s">
        <v>5553</v>
      </c>
      <c r="E744" s="4" t="s">
        <v>5554</v>
      </c>
      <c r="F744" s="9" t="s">
        <v>5738</v>
      </c>
    </row>
    <row r="745">
      <c r="A745" s="4">
        <v>741.0</v>
      </c>
      <c r="B745" s="4" t="s">
        <v>941</v>
      </c>
      <c r="C745" s="7" t="s">
        <v>5556</v>
      </c>
      <c r="D745" s="4" t="s">
        <v>5553</v>
      </c>
      <c r="E745" s="4" t="s">
        <v>5557</v>
      </c>
      <c r="F745" s="9" t="s">
        <v>5739</v>
      </c>
    </row>
    <row r="746">
      <c r="A746" s="4">
        <v>742.0</v>
      </c>
      <c r="B746" s="4" t="s">
        <v>941</v>
      </c>
      <c r="C746" s="7" t="s">
        <v>1042</v>
      </c>
      <c r="D746" s="4" t="s">
        <v>5553</v>
      </c>
      <c r="E746" s="4" t="s">
        <v>5559</v>
      </c>
      <c r="F746" s="9" t="s">
        <v>5740</v>
      </c>
    </row>
    <row r="747">
      <c r="A747" s="4">
        <v>743.0</v>
      </c>
      <c r="B747" s="4" t="s">
        <v>1098</v>
      </c>
      <c r="C747" s="7" t="s">
        <v>1042</v>
      </c>
      <c r="D747" s="4" t="s">
        <v>5553</v>
      </c>
      <c r="E747" s="4" t="s">
        <v>5561</v>
      </c>
      <c r="F747" s="9" t="s">
        <v>5741</v>
      </c>
    </row>
    <row r="748">
      <c r="A748" s="4">
        <v>744.0</v>
      </c>
      <c r="B748" s="4" t="s">
        <v>941</v>
      </c>
      <c r="C748" s="7" t="s">
        <v>5563</v>
      </c>
      <c r="D748" s="4" t="s">
        <v>5553</v>
      </c>
      <c r="E748" s="4" t="s">
        <v>5564</v>
      </c>
      <c r="F748" s="9" t="s">
        <v>5742</v>
      </c>
    </row>
    <row r="749">
      <c r="A749" s="4">
        <v>745.0</v>
      </c>
      <c r="B749" s="4" t="s">
        <v>941</v>
      </c>
      <c r="C749" s="7" t="s">
        <v>5566</v>
      </c>
      <c r="D749" s="4" t="s">
        <v>5553</v>
      </c>
      <c r="E749" s="4" t="s">
        <v>5567</v>
      </c>
      <c r="F749" s="9" t="s">
        <v>5743</v>
      </c>
    </row>
    <row r="750">
      <c r="A750" s="4">
        <v>746.0</v>
      </c>
      <c r="B750" s="4" t="s">
        <v>155</v>
      </c>
      <c r="C750" s="7" t="s">
        <v>5569</v>
      </c>
      <c r="D750" s="4" t="s">
        <v>5553</v>
      </c>
      <c r="E750" s="4" t="s">
        <v>5570</v>
      </c>
      <c r="F750" s="9" t="s">
        <v>5744</v>
      </c>
    </row>
    <row r="751">
      <c r="A751" s="4">
        <v>747.0</v>
      </c>
      <c r="B751" s="4" t="s">
        <v>136</v>
      </c>
      <c r="C751" s="7" t="s">
        <v>5572</v>
      </c>
      <c r="D751" s="4" t="s">
        <v>5553</v>
      </c>
      <c r="E751" s="4" t="s">
        <v>5573</v>
      </c>
      <c r="F751" s="9" t="s">
        <v>5745</v>
      </c>
    </row>
    <row r="752">
      <c r="A752" s="4">
        <v>748.0</v>
      </c>
      <c r="B752" s="4" t="s">
        <v>941</v>
      </c>
      <c r="C752" s="7" t="s">
        <v>1042</v>
      </c>
      <c r="D752" s="4" t="s">
        <v>5553</v>
      </c>
      <c r="E752" s="4" t="s">
        <v>5575</v>
      </c>
      <c r="F752" s="9" t="s">
        <v>5746</v>
      </c>
    </row>
    <row r="753">
      <c r="A753" s="4">
        <v>749.0</v>
      </c>
      <c r="B753" s="4" t="s">
        <v>44</v>
      </c>
      <c r="C753" s="7" t="s">
        <v>1042</v>
      </c>
      <c r="D753" s="4" t="s">
        <v>5553</v>
      </c>
      <c r="E753" s="4" t="s">
        <v>5577</v>
      </c>
      <c r="F753" s="9" t="s">
        <v>5747</v>
      </c>
    </row>
    <row r="754">
      <c r="A754" s="4">
        <v>750.0</v>
      </c>
      <c r="B754" s="4" t="s">
        <v>941</v>
      </c>
      <c r="C754" s="7" t="s">
        <v>1042</v>
      </c>
      <c r="D754" s="4" t="s">
        <v>5553</v>
      </c>
      <c r="E754" s="4" t="s">
        <v>5579</v>
      </c>
      <c r="F754" s="9" t="s">
        <v>5748</v>
      </c>
    </row>
    <row r="755">
      <c r="A755" s="4">
        <v>751.0</v>
      </c>
      <c r="B755" s="4" t="s">
        <v>217</v>
      </c>
      <c r="C755" s="7" t="s">
        <v>1042</v>
      </c>
      <c r="D755" s="4" t="s">
        <v>5553</v>
      </c>
      <c r="E755" s="4" t="s">
        <v>5581</v>
      </c>
      <c r="F755" s="9" t="s">
        <v>5749</v>
      </c>
    </row>
    <row r="756">
      <c r="A756" s="4">
        <v>752.0</v>
      </c>
      <c r="B756" s="4" t="s">
        <v>941</v>
      </c>
      <c r="C756" s="7" t="s">
        <v>5566</v>
      </c>
      <c r="D756" s="4" t="s">
        <v>5553</v>
      </c>
      <c r="E756" s="4" t="s">
        <v>5583</v>
      </c>
      <c r="F756" s="9" t="s">
        <v>5750</v>
      </c>
    </row>
    <row r="757">
      <c r="A757" s="4">
        <v>753.0</v>
      </c>
      <c r="B757" s="4" t="s">
        <v>127</v>
      </c>
      <c r="C757" s="7" t="s">
        <v>5585</v>
      </c>
      <c r="D757" s="4" t="s">
        <v>5553</v>
      </c>
      <c r="E757" s="4" t="s">
        <v>5586</v>
      </c>
      <c r="F757" s="9" t="s">
        <v>5751</v>
      </c>
    </row>
    <row r="758">
      <c r="A758" s="4">
        <v>754.0</v>
      </c>
      <c r="B758" s="4" t="s">
        <v>941</v>
      </c>
      <c r="C758" s="7" t="s">
        <v>1042</v>
      </c>
      <c r="D758" s="4" t="s">
        <v>5553</v>
      </c>
      <c r="E758" s="4" t="s">
        <v>5554</v>
      </c>
      <c r="F758" s="9" t="s">
        <v>5752</v>
      </c>
    </row>
    <row r="759">
      <c r="A759" s="4">
        <v>755.0</v>
      </c>
      <c r="B759" s="4" t="s">
        <v>941</v>
      </c>
      <c r="C759" s="7" t="s">
        <v>5556</v>
      </c>
      <c r="D759" s="4" t="s">
        <v>5553</v>
      </c>
      <c r="E759" s="4" t="s">
        <v>5557</v>
      </c>
      <c r="F759" s="9" t="s">
        <v>5753</v>
      </c>
    </row>
    <row r="760">
      <c r="A760" s="4">
        <v>756.0</v>
      </c>
      <c r="B760" s="4" t="s">
        <v>941</v>
      </c>
      <c r="C760" s="7" t="s">
        <v>1042</v>
      </c>
      <c r="D760" s="4" t="s">
        <v>5553</v>
      </c>
      <c r="E760" s="4" t="s">
        <v>5559</v>
      </c>
      <c r="F760" s="9" t="s">
        <v>5754</v>
      </c>
    </row>
    <row r="761">
      <c r="A761" s="4">
        <v>757.0</v>
      </c>
      <c r="B761" s="4" t="s">
        <v>1098</v>
      </c>
      <c r="C761" s="7" t="s">
        <v>1042</v>
      </c>
      <c r="D761" s="4" t="s">
        <v>5553</v>
      </c>
      <c r="E761" s="4" t="s">
        <v>5561</v>
      </c>
      <c r="F761" s="9" t="s">
        <v>5755</v>
      </c>
    </row>
    <row r="762">
      <c r="A762" s="4">
        <v>758.0</v>
      </c>
      <c r="B762" s="4" t="s">
        <v>941</v>
      </c>
      <c r="C762" s="7" t="s">
        <v>5563</v>
      </c>
      <c r="D762" s="4" t="s">
        <v>5553</v>
      </c>
      <c r="E762" s="4" t="s">
        <v>5564</v>
      </c>
      <c r="F762" s="9" t="s">
        <v>5756</v>
      </c>
    </row>
    <row r="763">
      <c r="A763" s="4">
        <v>759.0</v>
      </c>
      <c r="B763" s="4" t="s">
        <v>941</v>
      </c>
      <c r="C763" s="7" t="s">
        <v>5566</v>
      </c>
      <c r="D763" s="4" t="s">
        <v>5553</v>
      </c>
      <c r="E763" s="4" t="s">
        <v>5567</v>
      </c>
      <c r="F763" s="9" t="s">
        <v>5757</v>
      </c>
    </row>
    <row r="764">
      <c r="A764" s="4">
        <v>760.0</v>
      </c>
      <c r="B764" s="4" t="s">
        <v>155</v>
      </c>
      <c r="C764" s="7" t="s">
        <v>5569</v>
      </c>
      <c r="D764" s="4" t="s">
        <v>5553</v>
      </c>
      <c r="E764" s="4" t="s">
        <v>5570</v>
      </c>
      <c r="F764" s="9" t="s">
        <v>5758</v>
      </c>
    </row>
    <row r="765">
      <c r="A765" s="4">
        <v>761.0</v>
      </c>
      <c r="B765" s="4" t="s">
        <v>136</v>
      </c>
      <c r="C765" s="7" t="s">
        <v>5572</v>
      </c>
      <c r="D765" s="4" t="s">
        <v>5553</v>
      </c>
      <c r="E765" s="4" t="s">
        <v>5573</v>
      </c>
      <c r="F765" s="9" t="s">
        <v>5759</v>
      </c>
    </row>
    <row r="766">
      <c r="A766" s="4">
        <v>762.0</v>
      </c>
      <c r="B766" s="4" t="s">
        <v>941</v>
      </c>
      <c r="C766" s="7" t="s">
        <v>1042</v>
      </c>
      <c r="D766" s="4" t="s">
        <v>5553</v>
      </c>
      <c r="E766" s="4" t="s">
        <v>5575</v>
      </c>
      <c r="F766" s="9" t="s">
        <v>5760</v>
      </c>
    </row>
    <row r="767">
      <c r="A767" s="4">
        <v>763.0</v>
      </c>
      <c r="B767" s="4" t="s">
        <v>44</v>
      </c>
      <c r="C767" s="7" t="s">
        <v>1042</v>
      </c>
      <c r="D767" s="4" t="s">
        <v>5553</v>
      </c>
      <c r="E767" s="4" t="s">
        <v>5577</v>
      </c>
      <c r="F767" s="9" t="s">
        <v>5761</v>
      </c>
    </row>
    <row r="768">
      <c r="A768" s="4">
        <v>764.0</v>
      </c>
      <c r="B768" s="4" t="s">
        <v>941</v>
      </c>
      <c r="C768" s="7" t="s">
        <v>1042</v>
      </c>
      <c r="D768" s="4" t="s">
        <v>5553</v>
      </c>
      <c r="E768" s="4" t="s">
        <v>5579</v>
      </c>
      <c r="F768" s="9" t="s">
        <v>5762</v>
      </c>
    </row>
    <row r="769">
      <c r="A769" s="4">
        <v>765.0</v>
      </c>
      <c r="B769" s="4" t="s">
        <v>217</v>
      </c>
      <c r="C769" s="7" t="s">
        <v>1042</v>
      </c>
      <c r="D769" s="4" t="s">
        <v>5553</v>
      </c>
      <c r="E769" s="4" t="s">
        <v>5581</v>
      </c>
      <c r="F769" s="9" t="s">
        <v>5763</v>
      </c>
    </row>
    <row r="770">
      <c r="A770" s="4">
        <v>766.0</v>
      </c>
      <c r="B770" s="4" t="s">
        <v>941</v>
      </c>
      <c r="C770" s="7" t="s">
        <v>5566</v>
      </c>
      <c r="D770" s="4" t="s">
        <v>5553</v>
      </c>
      <c r="E770" s="4" t="s">
        <v>5583</v>
      </c>
      <c r="F770" s="9" t="s">
        <v>5764</v>
      </c>
    </row>
    <row r="771">
      <c r="A771" s="4">
        <v>767.0</v>
      </c>
      <c r="B771" s="4" t="s">
        <v>127</v>
      </c>
      <c r="C771" s="7" t="s">
        <v>5585</v>
      </c>
      <c r="D771" s="4" t="s">
        <v>5553</v>
      </c>
      <c r="E771" s="4" t="s">
        <v>5586</v>
      </c>
      <c r="F771" s="9" t="s">
        <v>5765</v>
      </c>
    </row>
    <row r="772">
      <c r="A772" s="4">
        <v>768.0</v>
      </c>
      <c r="B772" s="4" t="s">
        <v>941</v>
      </c>
      <c r="C772" s="7" t="s">
        <v>1042</v>
      </c>
      <c r="D772" s="4" t="s">
        <v>5553</v>
      </c>
      <c r="E772" s="4" t="s">
        <v>5554</v>
      </c>
      <c r="F772" s="9" t="s">
        <v>5766</v>
      </c>
    </row>
    <row r="773">
      <c r="A773" s="4">
        <v>769.0</v>
      </c>
      <c r="B773" s="4" t="s">
        <v>941</v>
      </c>
      <c r="C773" s="7" t="s">
        <v>5556</v>
      </c>
      <c r="D773" s="4" t="s">
        <v>5553</v>
      </c>
      <c r="E773" s="4" t="s">
        <v>5557</v>
      </c>
      <c r="F773" s="9" t="s">
        <v>5767</v>
      </c>
    </row>
    <row r="774">
      <c r="A774" s="4">
        <v>770.0</v>
      </c>
      <c r="B774" s="4" t="s">
        <v>941</v>
      </c>
      <c r="C774" s="7" t="s">
        <v>1042</v>
      </c>
      <c r="D774" s="4" t="s">
        <v>5553</v>
      </c>
      <c r="E774" s="4" t="s">
        <v>5559</v>
      </c>
      <c r="F774" s="9" t="s">
        <v>5768</v>
      </c>
    </row>
    <row r="775">
      <c r="A775" s="4">
        <v>771.0</v>
      </c>
      <c r="B775" s="4" t="s">
        <v>1098</v>
      </c>
      <c r="C775" s="7" t="s">
        <v>1042</v>
      </c>
      <c r="D775" s="4" t="s">
        <v>5553</v>
      </c>
      <c r="E775" s="4" t="s">
        <v>5561</v>
      </c>
      <c r="F775" s="9" t="s">
        <v>5769</v>
      </c>
    </row>
    <row r="776">
      <c r="A776" s="4">
        <v>772.0</v>
      </c>
      <c r="B776" s="4" t="s">
        <v>941</v>
      </c>
      <c r="C776" s="7" t="s">
        <v>5563</v>
      </c>
      <c r="D776" s="4" t="s">
        <v>5553</v>
      </c>
      <c r="E776" s="4" t="s">
        <v>5564</v>
      </c>
      <c r="F776" s="9" t="s">
        <v>5770</v>
      </c>
    </row>
    <row r="777">
      <c r="A777" s="4">
        <v>773.0</v>
      </c>
      <c r="B777" s="4" t="s">
        <v>941</v>
      </c>
      <c r="C777" s="7" t="s">
        <v>5566</v>
      </c>
      <c r="D777" s="4" t="s">
        <v>5553</v>
      </c>
      <c r="E777" s="4" t="s">
        <v>5567</v>
      </c>
      <c r="F777" s="9" t="s">
        <v>5771</v>
      </c>
    </row>
    <row r="778">
      <c r="A778" s="4">
        <v>774.0</v>
      </c>
      <c r="B778" s="4" t="s">
        <v>155</v>
      </c>
      <c r="C778" s="7" t="s">
        <v>5569</v>
      </c>
      <c r="D778" s="4" t="s">
        <v>5553</v>
      </c>
      <c r="E778" s="4" t="s">
        <v>5570</v>
      </c>
      <c r="F778" s="9" t="s">
        <v>5772</v>
      </c>
    </row>
    <row r="779">
      <c r="A779" s="4">
        <v>775.0</v>
      </c>
      <c r="B779" s="4" t="s">
        <v>136</v>
      </c>
      <c r="C779" s="7" t="s">
        <v>5572</v>
      </c>
      <c r="D779" s="4" t="s">
        <v>5553</v>
      </c>
      <c r="E779" s="4" t="s">
        <v>5573</v>
      </c>
      <c r="F779" s="9" t="s">
        <v>5773</v>
      </c>
    </row>
    <row r="780">
      <c r="A780" s="4">
        <v>776.0</v>
      </c>
      <c r="B780" s="4" t="s">
        <v>941</v>
      </c>
      <c r="C780" s="7" t="s">
        <v>1042</v>
      </c>
      <c r="D780" s="4" t="s">
        <v>5553</v>
      </c>
      <c r="E780" s="4" t="s">
        <v>5575</v>
      </c>
      <c r="F780" s="9" t="s">
        <v>5774</v>
      </c>
    </row>
    <row r="781">
      <c r="A781" s="4">
        <v>777.0</v>
      </c>
      <c r="B781" s="4" t="s">
        <v>44</v>
      </c>
      <c r="C781" s="7" t="s">
        <v>1042</v>
      </c>
      <c r="D781" s="4" t="s">
        <v>5553</v>
      </c>
      <c r="E781" s="4" t="s">
        <v>5577</v>
      </c>
      <c r="F781" s="9" t="s">
        <v>5775</v>
      </c>
    </row>
    <row r="782">
      <c r="A782" s="4">
        <v>778.0</v>
      </c>
      <c r="B782" s="4" t="s">
        <v>941</v>
      </c>
      <c r="C782" s="7" t="s">
        <v>1042</v>
      </c>
      <c r="D782" s="4" t="s">
        <v>5553</v>
      </c>
      <c r="E782" s="4" t="s">
        <v>5579</v>
      </c>
      <c r="F782" s="9" t="s">
        <v>5776</v>
      </c>
    </row>
    <row r="783">
      <c r="A783" s="4">
        <v>779.0</v>
      </c>
      <c r="B783" s="4" t="s">
        <v>217</v>
      </c>
      <c r="C783" s="7" t="s">
        <v>1042</v>
      </c>
      <c r="D783" s="4" t="s">
        <v>5553</v>
      </c>
      <c r="E783" s="4" t="s">
        <v>5581</v>
      </c>
      <c r="F783" s="9" t="s">
        <v>5777</v>
      </c>
    </row>
    <row r="784">
      <c r="A784" s="4">
        <v>780.0</v>
      </c>
      <c r="B784" s="4" t="s">
        <v>941</v>
      </c>
      <c r="C784" s="7" t="s">
        <v>5566</v>
      </c>
      <c r="D784" s="4" t="s">
        <v>5553</v>
      </c>
      <c r="E784" s="4" t="s">
        <v>5583</v>
      </c>
      <c r="F784" s="9" t="s">
        <v>5778</v>
      </c>
    </row>
    <row r="785">
      <c r="A785" s="4">
        <v>781.0</v>
      </c>
      <c r="B785" s="4" t="s">
        <v>127</v>
      </c>
      <c r="C785" s="7" t="s">
        <v>5585</v>
      </c>
      <c r="D785" s="4" t="s">
        <v>5553</v>
      </c>
      <c r="E785" s="4" t="s">
        <v>5586</v>
      </c>
      <c r="F785" s="9" t="s">
        <v>5779</v>
      </c>
    </row>
    <row r="786">
      <c r="A786" s="4">
        <v>782.0</v>
      </c>
      <c r="B786" s="4" t="s">
        <v>941</v>
      </c>
      <c r="C786" s="7" t="s">
        <v>1042</v>
      </c>
      <c r="D786" s="4" t="s">
        <v>5553</v>
      </c>
      <c r="E786" s="4" t="s">
        <v>5554</v>
      </c>
      <c r="F786" s="9" t="s">
        <v>5780</v>
      </c>
    </row>
    <row r="787">
      <c r="A787" s="4">
        <v>783.0</v>
      </c>
      <c r="B787" s="4" t="s">
        <v>941</v>
      </c>
      <c r="C787" s="7" t="s">
        <v>5556</v>
      </c>
      <c r="D787" s="4" t="s">
        <v>5553</v>
      </c>
      <c r="E787" s="4" t="s">
        <v>5557</v>
      </c>
      <c r="F787" s="9" t="s">
        <v>5781</v>
      </c>
    </row>
    <row r="788">
      <c r="A788" s="4">
        <v>784.0</v>
      </c>
      <c r="B788" s="4" t="s">
        <v>941</v>
      </c>
      <c r="C788" s="7" t="s">
        <v>1042</v>
      </c>
      <c r="D788" s="4" t="s">
        <v>5553</v>
      </c>
      <c r="E788" s="4" t="s">
        <v>5559</v>
      </c>
      <c r="F788" s="9" t="s">
        <v>5782</v>
      </c>
    </row>
    <row r="789">
      <c r="A789" s="4">
        <v>785.0</v>
      </c>
      <c r="B789" s="4" t="s">
        <v>1098</v>
      </c>
      <c r="C789" s="7" t="s">
        <v>1042</v>
      </c>
      <c r="D789" s="4" t="s">
        <v>5553</v>
      </c>
      <c r="E789" s="4" t="s">
        <v>5561</v>
      </c>
      <c r="F789" s="9" t="s">
        <v>5783</v>
      </c>
    </row>
    <row r="790">
      <c r="A790" s="4">
        <v>786.0</v>
      </c>
      <c r="B790" s="4" t="s">
        <v>941</v>
      </c>
      <c r="C790" s="7" t="s">
        <v>5563</v>
      </c>
      <c r="D790" s="4" t="s">
        <v>5553</v>
      </c>
      <c r="E790" s="4" t="s">
        <v>5564</v>
      </c>
      <c r="F790" s="9" t="s">
        <v>5784</v>
      </c>
    </row>
    <row r="791">
      <c r="A791" s="4">
        <v>787.0</v>
      </c>
      <c r="B791" s="4" t="s">
        <v>941</v>
      </c>
      <c r="C791" s="7" t="s">
        <v>5566</v>
      </c>
      <c r="D791" s="4" t="s">
        <v>5553</v>
      </c>
      <c r="E791" s="4" t="s">
        <v>5567</v>
      </c>
      <c r="F791" s="9" t="s">
        <v>5785</v>
      </c>
    </row>
    <row r="792">
      <c r="A792" s="4">
        <v>788.0</v>
      </c>
      <c r="B792" s="4" t="s">
        <v>155</v>
      </c>
      <c r="C792" s="7" t="s">
        <v>5569</v>
      </c>
      <c r="D792" s="4" t="s">
        <v>5553</v>
      </c>
      <c r="E792" s="4" t="s">
        <v>5570</v>
      </c>
      <c r="F792" s="9" t="s">
        <v>5786</v>
      </c>
    </row>
    <row r="793">
      <c r="A793" s="4">
        <v>789.0</v>
      </c>
      <c r="B793" s="4" t="s">
        <v>136</v>
      </c>
      <c r="C793" s="7" t="s">
        <v>5572</v>
      </c>
      <c r="D793" s="4" t="s">
        <v>5553</v>
      </c>
      <c r="E793" s="4" t="s">
        <v>5573</v>
      </c>
      <c r="F793" s="9" t="s">
        <v>5787</v>
      </c>
    </row>
    <row r="794">
      <c r="A794" s="4">
        <v>790.0</v>
      </c>
      <c r="B794" s="4" t="s">
        <v>941</v>
      </c>
      <c r="C794" s="7" t="s">
        <v>1042</v>
      </c>
      <c r="D794" s="4" t="s">
        <v>5553</v>
      </c>
      <c r="E794" s="4" t="s">
        <v>5575</v>
      </c>
      <c r="F794" s="9" t="s">
        <v>5788</v>
      </c>
    </row>
    <row r="795">
      <c r="A795" s="4">
        <v>791.0</v>
      </c>
      <c r="B795" s="4" t="s">
        <v>44</v>
      </c>
      <c r="C795" s="7" t="s">
        <v>1042</v>
      </c>
      <c r="D795" s="4" t="s">
        <v>5553</v>
      </c>
      <c r="E795" s="4" t="s">
        <v>5577</v>
      </c>
      <c r="F795" s="9" t="s">
        <v>5789</v>
      </c>
    </row>
    <row r="796">
      <c r="A796" s="4">
        <v>792.0</v>
      </c>
      <c r="B796" s="4" t="s">
        <v>941</v>
      </c>
      <c r="C796" s="7" t="s">
        <v>1042</v>
      </c>
      <c r="D796" s="4" t="s">
        <v>5553</v>
      </c>
      <c r="E796" s="4" t="s">
        <v>5579</v>
      </c>
      <c r="F796" s="9" t="s">
        <v>5790</v>
      </c>
    </row>
    <row r="797">
      <c r="A797" s="4">
        <v>793.0</v>
      </c>
      <c r="B797" s="4" t="s">
        <v>217</v>
      </c>
      <c r="C797" s="7" t="s">
        <v>1042</v>
      </c>
      <c r="D797" s="4" t="s">
        <v>5553</v>
      </c>
      <c r="E797" s="4" t="s">
        <v>5581</v>
      </c>
      <c r="F797" s="9" t="s">
        <v>5791</v>
      </c>
    </row>
    <row r="798">
      <c r="A798" s="4">
        <v>794.0</v>
      </c>
      <c r="B798" s="4" t="s">
        <v>941</v>
      </c>
      <c r="C798" s="7" t="s">
        <v>5566</v>
      </c>
      <c r="D798" s="4" t="s">
        <v>5553</v>
      </c>
      <c r="E798" s="4" t="s">
        <v>5583</v>
      </c>
      <c r="F798" s="9" t="s">
        <v>5792</v>
      </c>
    </row>
    <row r="799">
      <c r="A799" s="4">
        <v>795.0</v>
      </c>
      <c r="B799" s="4" t="s">
        <v>127</v>
      </c>
      <c r="C799" s="7" t="s">
        <v>5585</v>
      </c>
      <c r="D799" s="4" t="s">
        <v>5553</v>
      </c>
      <c r="E799" s="4" t="s">
        <v>5586</v>
      </c>
      <c r="F799" s="9" t="s">
        <v>5793</v>
      </c>
    </row>
    <row r="800">
      <c r="A800" s="4">
        <v>796.0</v>
      </c>
      <c r="B800" s="4" t="s">
        <v>941</v>
      </c>
      <c r="C800" s="7" t="s">
        <v>1042</v>
      </c>
      <c r="D800" s="4" t="s">
        <v>5553</v>
      </c>
      <c r="E800" s="4" t="s">
        <v>5554</v>
      </c>
      <c r="F800" s="9" t="s">
        <v>5794</v>
      </c>
    </row>
    <row r="801">
      <c r="A801" s="4">
        <v>797.0</v>
      </c>
      <c r="B801" s="4" t="s">
        <v>941</v>
      </c>
      <c r="C801" s="7" t="s">
        <v>5556</v>
      </c>
      <c r="D801" s="4" t="s">
        <v>5553</v>
      </c>
      <c r="E801" s="4" t="s">
        <v>5557</v>
      </c>
      <c r="F801" s="9" t="s">
        <v>5795</v>
      </c>
    </row>
    <row r="802">
      <c r="A802" s="4">
        <v>798.0</v>
      </c>
      <c r="B802" s="4" t="s">
        <v>941</v>
      </c>
      <c r="C802" s="7" t="s">
        <v>1042</v>
      </c>
      <c r="D802" s="4" t="s">
        <v>5553</v>
      </c>
      <c r="E802" s="4" t="s">
        <v>5559</v>
      </c>
      <c r="F802" s="9" t="s">
        <v>5796</v>
      </c>
    </row>
    <row r="803">
      <c r="A803" s="4">
        <v>799.0</v>
      </c>
      <c r="B803" s="4" t="s">
        <v>1098</v>
      </c>
      <c r="C803" s="7" t="s">
        <v>1042</v>
      </c>
      <c r="D803" s="4" t="s">
        <v>5553</v>
      </c>
      <c r="E803" s="4" t="s">
        <v>5561</v>
      </c>
      <c r="F803" s="9" t="s">
        <v>5797</v>
      </c>
    </row>
    <row r="804">
      <c r="A804" s="4">
        <v>800.0</v>
      </c>
      <c r="B804" s="4" t="s">
        <v>941</v>
      </c>
      <c r="C804" s="7" t="s">
        <v>5563</v>
      </c>
      <c r="D804" s="4" t="s">
        <v>5553</v>
      </c>
      <c r="E804" s="4" t="s">
        <v>5564</v>
      </c>
      <c r="F804" s="9" t="s">
        <v>5798</v>
      </c>
    </row>
    <row r="805">
      <c r="A805" s="4">
        <v>801.0</v>
      </c>
      <c r="B805" s="4" t="s">
        <v>941</v>
      </c>
      <c r="C805" s="7" t="s">
        <v>5566</v>
      </c>
      <c r="D805" s="4" t="s">
        <v>5553</v>
      </c>
      <c r="E805" s="4" t="s">
        <v>5567</v>
      </c>
      <c r="F805" s="9" t="s">
        <v>5799</v>
      </c>
    </row>
    <row r="806">
      <c r="A806" s="4">
        <v>802.0</v>
      </c>
      <c r="B806" s="4" t="s">
        <v>155</v>
      </c>
      <c r="C806" s="7" t="s">
        <v>5569</v>
      </c>
      <c r="D806" s="4" t="s">
        <v>5553</v>
      </c>
      <c r="E806" s="4" t="s">
        <v>5570</v>
      </c>
      <c r="F806" s="9" t="s">
        <v>5800</v>
      </c>
    </row>
    <row r="807">
      <c r="A807" s="4">
        <v>803.0</v>
      </c>
      <c r="B807" s="4" t="s">
        <v>136</v>
      </c>
      <c r="C807" s="7" t="s">
        <v>5572</v>
      </c>
      <c r="D807" s="4" t="s">
        <v>5553</v>
      </c>
      <c r="E807" s="4" t="s">
        <v>5573</v>
      </c>
      <c r="F807" s="9" t="s">
        <v>5801</v>
      </c>
    </row>
    <row r="808">
      <c r="A808" s="4">
        <v>804.0</v>
      </c>
      <c r="B808" s="4" t="s">
        <v>941</v>
      </c>
      <c r="C808" s="7" t="s">
        <v>1042</v>
      </c>
      <c r="D808" s="4" t="s">
        <v>5553</v>
      </c>
      <c r="E808" s="4" t="s">
        <v>5575</v>
      </c>
      <c r="F808" s="9" t="s">
        <v>5802</v>
      </c>
    </row>
    <row r="809">
      <c r="A809" s="4">
        <v>805.0</v>
      </c>
      <c r="B809" s="4" t="s">
        <v>44</v>
      </c>
      <c r="C809" s="7" t="s">
        <v>1042</v>
      </c>
      <c r="D809" s="4" t="s">
        <v>5553</v>
      </c>
      <c r="E809" s="4" t="s">
        <v>5577</v>
      </c>
      <c r="F809" s="9" t="s">
        <v>5803</v>
      </c>
    </row>
    <row r="810">
      <c r="A810" s="4">
        <v>806.0</v>
      </c>
      <c r="B810" s="4" t="s">
        <v>941</v>
      </c>
      <c r="C810" s="7" t="s">
        <v>1042</v>
      </c>
      <c r="D810" s="4" t="s">
        <v>5553</v>
      </c>
      <c r="E810" s="4" t="s">
        <v>5579</v>
      </c>
      <c r="F810" s="9" t="s">
        <v>5804</v>
      </c>
    </row>
    <row r="811">
      <c r="A811" s="4">
        <v>807.0</v>
      </c>
      <c r="B811" s="4" t="s">
        <v>217</v>
      </c>
      <c r="C811" s="7" t="s">
        <v>1042</v>
      </c>
      <c r="D811" s="4" t="s">
        <v>5553</v>
      </c>
      <c r="E811" s="4" t="s">
        <v>5581</v>
      </c>
      <c r="F811" s="9" t="s">
        <v>5805</v>
      </c>
    </row>
    <row r="812">
      <c r="A812" s="4">
        <v>808.0</v>
      </c>
      <c r="B812" s="4" t="s">
        <v>941</v>
      </c>
      <c r="C812" s="7" t="s">
        <v>5566</v>
      </c>
      <c r="D812" s="4" t="s">
        <v>5553</v>
      </c>
      <c r="E812" s="4" t="s">
        <v>5583</v>
      </c>
      <c r="F812" s="9" t="s">
        <v>5806</v>
      </c>
    </row>
    <row r="813">
      <c r="A813" s="4">
        <v>809.0</v>
      </c>
      <c r="B813" s="4" t="s">
        <v>127</v>
      </c>
      <c r="C813" s="7" t="s">
        <v>5585</v>
      </c>
      <c r="D813" s="4" t="s">
        <v>5553</v>
      </c>
      <c r="E813" s="4" t="s">
        <v>5586</v>
      </c>
      <c r="F813" s="9" t="s">
        <v>5807</v>
      </c>
    </row>
    <row r="814">
      <c r="A814" s="4">
        <v>810.0</v>
      </c>
      <c r="B814" s="4" t="s">
        <v>941</v>
      </c>
      <c r="C814" s="7" t="s">
        <v>1042</v>
      </c>
      <c r="D814" s="4" t="s">
        <v>5553</v>
      </c>
      <c r="E814" s="4" t="s">
        <v>5554</v>
      </c>
      <c r="F814" s="9" t="s">
        <v>5808</v>
      </c>
    </row>
    <row r="815">
      <c r="A815" s="4">
        <v>811.0</v>
      </c>
      <c r="B815" s="4" t="s">
        <v>941</v>
      </c>
      <c r="C815" s="7" t="s">
        <v>5556</v>
      </c>
      <c r="D815" s="4" t="s">
        <v>5553</v>
      </c>
      <c r="E815" s="4" t="s">
        <v>5557</v>
      </c>
      <c r="F815" s="9" t="s">
        <v>5809</v>
      </c>
    </row>
    <row r="816">
      <c r="A816" s="4">
        <v>812.0</v>
      </c>
      <c r="B816" s="4" t="s">
        <v>941</v>
      </c>
      <c r="C816" s="7" t="s">
        <v>1042</v>
      </c>
      <c r="D816" s="4" t="s">
        <v>5553</v>
      </c>
      <c r="E816" s="4" t="s">
        <v>5559</v>
      </c>
      <c r="F816" s="9" t="s">
        <v>5811</v>
      </c>
    </row>
    <row r="817">
      <c r="A817" s="4">
        <v>813.0</v>
      </c>
      <c r="B817" s="4" t="s">
        <v>1098</v>
      </c>
      <c r="C817" s="7" t="s">
        <v>1042</v>
      </c>
      <c r="D817" s="4" t="s">
        <v>5553</v>
      </c>
      <c r="E817" s="4" t="s">
        <v>5561</v>
      </c>
      <c r="F817" s="9" t="s">
        <v>5812</v>
      </c>
    </row>
    <row r="818">
      <c r="A818" s="4">
        <v>814.0</v>
      </c>
      <c r="B818" s="4" t="s">
        <v>941</v>
      </c>
      <c r="C818" s="7" t="s">
        <v>5563</v>
      </c>
      <c r="D818" s="4" t="s">
        <v>5553</v>
      </c>
      <c r="E818" s="4" t="s">
        <v>5564</v>
      </c>
      <c r="F818" s="9" t="s">
        <v>5813</v>
      </c>
    </row>
    <row r="819">
      <c r="A819" s="4">
        <v>815.0</v>
      </c>
      <c r="B819" s="4" t="s">
        <v>941</v>
      </c>
      <c r="C819" s="7" t="s">
        <v>5566</v>
      </c>
      <c r="D819" s="4" t="s">
        <v>5553</v>
      </c>
      <c r="E819" s="4" t="s">
        <v>5567</v>
      </c>
      <c r="F819" s="9" t="s">
        <v>5815</v>
      </c>
    </row>
    <row r="820">
      <c r="A820" s="4">
        <v>816.0</v>
      </c>
      <c r="B820" s="4" t="s">
        <v>155</v>
      </c>
      <c r="C820" s="7" t="s">
        <v>5569</v>
      </c>
      <c r="D820" s="4" t="s">
        <v>5553</v>
      </c>
      <c r="E820" s="4" t="s">
        <v>5570</v>
      </c>
      <c r="F820" s="9" t="s">
        <v>5816</v>
      </c>
    </row>
    <row r="821">
      <c r="A821" s="4">
        <v>817.0</v>
      </c>
      <c r="B821" s="4" t="s">
        <v>136</v>
      </c>
      <c r="C821" s="7" t="s">
        <v>5572</v>
      </c>
      <c r="D821" s="4" t="s">
        <v>5553</v>
      </c>
      <c r="E821" s="4" t="s">
        <v>5573</v>
      </c>
      <c r="F821" s="9" t="s">
        <v>5817</v>
      </c>
    </row>
    <row r="822">
      <c r="A822" s="4">
        <v>818.0</v>
      </c>
      <c r="B822" s="4" t="s">
        <v>941</v>
      </c>
      <c r="C822" s="7" t="s">
        <v>1042</v>
      </c>
      <c r="D822" s="4" t="s">
        <v>5553</v>
      </c>
      <c r="E822" s="4" t="s">
        <v>5575</v>
      </c>
      <c r="F822" s="9" t="s">
        <v>5818</v>
      </c>
    </row>
    <row r="823">
      <c r="A823" s="4">
        <v>819.0</v>
      </c>
      <c r="B823" s="4" t="s">
        <v>44</v>
      </c>
      <c r="C823" s="7" t="s">
        <v>1042</v>
      </c>
      <c r="D823" s="4" t="s">
        <v>5553</v>
      </c>
      <c r="E823" s="4" t="s">
        <v>5577</v>
      </c>
      <c r="F823" s="9" t="s">
        <v>5819</v>
      </c>
    </row>
    <row r="824">
      <c r="A824" s="4">
        <v>820.0</v>
      </c>
      <c r="B824" s="4" t="s">
        <v>941</v>
      </c>
      <c r="C824" s="7" t="s">
        <v>1042</v>
      </c>
      <c r="D824" s="4" t="s">
        <v>5553</v>
      </c>
      <c r="E824" s="4" t="s">
        <v>5579</v>
      </c>
      <c r="F824" s="9" t="s">
        <v>5820</v>
      </c>
    </row>
    <row r="825">
      <c r="A825" s="4">
        <v>821.0</v>
      </c>
      <c r="B825" s="4" t="s">
        <v>217</v>
      </c>
      <c r="C825" s="7" t="s">
        <v>1042</v>
      </c>
      <c r="D825" s="4" t="s">
        <v>5553</v>
      </c>
      <c r="E825" s="4" t="s">
        <v>5581</v>
      </c>
      <c r="F825" s="9" t="s">
        <v>5821</v>
      </c>
    </row>
    <row r="826">
      <c r="A826" s="4">
        <v>822.0</v>
      </c>
      <c r="B826" s="4" t="s">
        <v>941</v>
      </c>
      <c r="C826" s="7" t="s">
        <v>5566</v>
      </c>
      <c r="D826" s="4" t="s">
        <v>5553</v>
      </c>
      <c r="E826" s="4" t="s">
        <v>5583</v>
      </c>
      <c r="F826" s="9" t="s">
        <v>5822</v>
      </c>
    </row>
    <row r="827">
      <c r="A827" s="4">
        <v>823.0</v>
      </c>
      <c r="B827" s="4" t="s">
        <v>127</v>
      </c>
      <c r="C827" s="7" t="s">
        <v>5585</v>
      </c>
      <c r="D827" s="4" t="s">
        <v>5553</v>
      </c>
      <c r="E827" s="4" t="s">
        <v>5586</v>
      </c>
      <c r="F827" s="9" t="s">
        <v>5823</v>
      </c>
    </row>
    <row r="828">
      <c r="A828" s="4">
        <v>824.0</v>
      </c>
      <c r="B828" s="4" t="s">
        <v>941</v>
      </c>
      <c r="C828" s="7" t="s">
        <v>1042</v>
      </c>
      <c r="D828" s="4" t="s">
        <v>5553</v>
      </c>
      <c r="E828" s="4" t="s">
        <v>5554</v>
      </c>
      <c r="F828" s="9" t="s">
        <v>5827</v>
      </c>
    </row>
    <row r="829">
      <c r="A829" s="4">
        <v>825.0</v>
      </c>
      <c r="B829" s="4" t="s">
        <v>941</v>
      </c>
      <c r="C829" s="7" t="s">
        <v>5556</v>
      </c>
      <c r="D829" s="4" t="s">
        <v>5553</v>
      </c>
      <c r="E829" s="4" t="s">
        <v>5557</v>
      </c>
      <c r="F829" s="9" t="s">
        <v>5828</v>
      </c>
    </row>
    <row r="830">
      <c r="A830" s="4">
        <v>826.0</v>
      </c>
      <c r="B830" s="4" t="s">
        <v>941</v>
      </c>
      <c r="C830" s="7" t="s">
        <v>1042</v>
      </c>
      <c r="D830" s="4" t="s">
        <v>5553</v>
      </c>
      <c r="E830" s="4" t="s">
        <v>5559</v>
      </c>
      <c r="F830" s="9" t="s">
        <v>5829</v>
      </c>
    </row>
    <row r="831">
      <c r="A831" s="4">
        <v>827.0</v>
      </c>
      <c r="B831" s="4" t="s">
        <v>1098</v>
      </c>
      <c r="C831" s="7" t="s">
        <v>1042</v>
      </c>
      <c r="D831" s="4" t="s">
        <v>5553</v>
      </c>
      <c r="E831" s="4" t="s">
        <v>5561</v>
      </c>
      <c r="F831" s="9" t="s">
        <v>5830</v>
      </c>
    </row>
    <row r="832">
      <c r="A832" s="4">
        <v>828.0</v>
      </c>
      <c r="B832" s="4" t="s">
        <v>941</v>
      </c>
      <c r="C832" s="7" t="s">
        <v>5563</v>
      </c>
      <c r="D832" s="4" t="s">
        <v>5553</v>
      </c>
      <c r="E832" s="4" t="s">
        <v>5564</v>
      </c>
      <c r="F832" s="9" t="s">
        <v>5831</v>
      </c>
    </row>
    <row r="833">
      <c r="A833" s="4">
        <v>829.0</v>
      </c>
      <c r="B833" s="4" t="s">
        <v>941</v>
      </c>
      <c r="C833" s="7" t="s">
        <v>5566</v>
      </c>
      <c r="D833" s="4" t="s">
        <v>5553</v>
      </c>
      <c r="E833" s="4" t="s">
        <v>5567</v>
      </c>
      <c r="F833" s="9" t="s">
        <v>5832</v>
      </c>
    </row>
    <row r="834">
      <c r="A834" s="4">
        <v>830.0</v>
      </c>
      <c r="B834" s="4" t="s">
        <v>155</v>
      </c>
      <c r="C834" s="7" t="s">
        <v>5569</v>
      </c>
      <c r="D834" s="4" t="s">
        <v>5553</v>
      </c>
      <c r="E834" s="4" t="s">
        <v>5570</v>
      </c>
      <c r="F834" s="9" t="s">
        <v>5833</v>
      </c>
    </row>
    <row r="835">
      <c r="A835" s="4">
        <v>831.0</v>
      </c>
      <c r="B835" s="4" t="s">
        <v>136</v>
      </c>
      <c r="C835" s="7" t="s">
        <v>5572</v>
      </c>
      <c r="D835" s="4" t="s">
        <v>5553</v>
      </c>
      <c r="E835" s="4" t="s">
        <v>5573</v>
      </c>
      <c r="F835" s="9" t="s">
        <v>5834</v>
      </c>
    </row>
    <row r="836">
      <c r="A836" s="4">
        <v>832.0</v>
      </c>
      <c r="B836" s="4" t="s">
        <v>941</v>
      </c>
      <c r="C836" s="7" t="s">
        <v>1042</v>
      </c>
      <c r="D836" s="4" t="s">
        <v>5553</v>
      </c>
      <c r="E836" s="4" t="s">
        <v>5575</v>
      </c>
      <c r="F836" s="9" t="s">
        <v>5835</v>
      </c>
    </row>
    <row r="837">
      <c r="A837" s="4">
        <v>833.0</v>
      </c>
      <c r="B837" s="4" t="s">
        <v>44</v>
      </c>
      <c r="C837" s="7" t="s">
        <v>1042</v>
      </c>
      <c r="D837" s="4" t="s">
        <v>5553</v>
      </c>
      <c r="E837" s="4" t="s">
        <v>5577</v>
      </c>
      <c r="F837" s="9" t="s">
        <v>5836</v>
      </c>
    </row>
    <row r="838">
      <c r="A838" s="4">
        <v>834.0</v>
      </c>
      <c r="B838" s="4" t="s">
        <v>941</v>
      </c>
      <c r="C838" s="7" t="s">
        <v>1042</v>
      </c>
      <c r="D838" s="4" t="s">
        <v>5553</v>
      </c>
      <c r="E838" s="4" t="s">
        <v>5579</v>
      </c>
      <c r="F838" s="9" t="s">
        <v>5837</v>
      </c>
    </row>
    <row r="839">
      <c r="A839" s="4">
        <v>835.0</v>
      </c>
      <c r="B839" s="4" t="s">
        <v>217</v>
      </c>
      <c r="C839" s="7" t="s">
        <v>1042</v>
      </c>
      <c r="D839" s="4" t="s">
        <v>5553</v>
      </c>
      <c r="E839" s="4" t="s">
        <v>5581</v>
      </c>
      <c r="F839" s="9" t="s">
        <v>5838</v>
      </c>
    </row>
    <row r="840">
      <c r="A840" s="4">
        <v>836.0</v>
      </c>
      <c r="B840" s="4" t="s">
        <v>941</v>
      </c>
      <c r="C840" s="7" t="s">
        <v>5566</v>
      </c>
      <c r="D840" s="4" t="s">
        <v>5553</v>
      </c>
      <c r="E840" s="4" t="s">
        <v>5583</v>
      </c>
      <c r="F840" s="9" t="s">
        <v>5839</v>
      </c>
    </row>
    <row r="841">
      <c r="A841" s="4">
        <v>837.0</v>
      </c>
      <c r="B841" s="4" t="s">
        <v>127</v>
      </c>
      <c r="C841" s="7" t="s">
        <v>5585</v>
      </c>
      <c r="D841" s="4" t="s">
        <v>5553</v>
      </c>
      <c r="E841" s="4" t="s">
        <v>5586</v>
      </c>
      <c r="F841" s="9" t="s">
        <v>5840</v>
      </c>
    </row>
    <row r="842">
      <c r="A842" s="4">
        <v>838.0</v>
      </c>
      <c r="B842" s="4" t="s">
        <v>941</v>
      </c>
      <c r="C842" s="7" t="s">
        <v>1042</v>
      </c>
      <c r="D842" s="4" t="s">
        <v>5553</v>
      </c>
      <c r="E842" s="4" t="s">
        <v>5554</v>
      </c>
      <c r="F842" s="9" t="s">
        <v>5841</v>
      </c>
    </row>
    <row r="843">
      <c r="A843" s="4">
        <v>839.0</v>
      </c>
      <c r="B843" s="4" t="s">
        <v>941</v>
      </c>
      <c r="C843" s="7" t="s">
        <v>5556</v>
      </c>
      <c r="D843" s="4" t="s">
        <v>5553</v>
      </c>
      <c r="E843" s="4" t="s">
        <v>5557</v>
      </c>
      <c r="F843" s="9" t="s">
        <v>5842</v>
      </c>
    </row>
    <row r="844">
      <c r="A844" s="4">
        <v>840.0</v>
      </c>
      <c r="B844" s="4" t="s">
        <v>941</v>
      </c>
      <c r="C844" s="7" t="s">
        <v>1042</v>
      </c>
      <c r="D844" s="4" t="s">
        <v>5553</v>
      </c>
      <c r="E844" s="4" t="s">
        <v>5559</v>
      </c>
      <c r="F844" s="9" t="s">
        <v>5843</v>
      </c>
    </row>
    <row r="845">
      <c r="A845" s="4">
        <v>841.0</v>
      </c>
      <c r="B845" s="4" t="s">
        <v>1098</v>
      </c>
      <c r="C845" s="7" t="s">
        <v>1042</v>
      </c>
      <c r="D845" s="4" t="s">
        <v>5553</v>
      </c>
      <c r="E845" s="4" t="s">
        <v>5561</v>
      </c>
      <c r="F845" s="9" t="s">
        <v>5845</v>
      </c>
    </row>
    <row r="846">
      <c r="A846" s="4">
        <v>842.0</v>
      </c>
      <c r="B846" s="4" t="s">
        <v>941</v>
      </c>
      <c r="C846" s="7" t="s">
        <v>5563</v>
      </c>
      <c r="D846" s="4" t="s">
        <v>5553</v>
      </c>
      <c r="E846" s="4" t="s">
        <v>5564</v>
      </c>
      <c r="F846" s="9" t="s">
        <v>5847</v>
      </c>
    </row>
    <row r="847">
      <c r="A847" s="4">
        <v>843.0</v>
      </c>
      <c r="B847" s="4" t="s">
        <v>941</v>
      </c>
      <c r="C847" s="7" t="s">
        <v>5566</v>
      </c>
      <c r="D847" s="4" t="s">
        <v>5553</v>
      </c>
      <c r="E847" s="4" t="s">
        <v>5567</v>
      </c>
      <c r="F847" s="9" t="s">
        <v>5848</v>
      </c>
    </row>
    <row r="848">
      <c r="A848" s="4">
        <v>844.0</v>
      </c>
      <c r="B848" s="4" t="s">
        <v>155</v>
      </c>
      <c r="C848" s="7" t="s">
        <v>5569</v>
      </c>
      <c r="D848" s="4" t="s">
        <v>5553</v>
      </c>
      <c r="E848" s="4" t="s">
        <v>5570</v>
      </c>
      <c r="F848" s="9" t="s">
        <v>5850</v>
      </c>
    </row>
    <row r="849">
      <c r="A849" s="4">
        <v>845.0</v>
      </c>
      <c r="B849" s="4" t="s">
        <v>136</v>
      </c>
      <c r="C849" s="7" t="s">
        <v>5572</v>
      </c>
      <c r="D849" s="4" t="s">
        <v>5553</v>
      </c>
      <c r="E849" s="4" t="s">
        <v>5573</v>
      </c>
      <c r="F849" s="9" t="s">
        <v>5852</v>
      </c>
    </row>
    <row r="850">
      <c r="A850" s="4">
        <v>846.0</v>
      </c>
      <c r="B850" s="4" t="s">
        <v>941</v>
      </c>
      <c r="C850" s="7" t="s">
        <v>1042</v>
      </c>
      <c r="D850" s="4" t="s">
        <v>5553</v>
      </c>
      <c r="E850" s="4" t="s">
        <v>5575</v>
      </c>
      <c r="F850" s="9" t="s">
        <v>5854</v>
      </c>
    </row>
    <row r="851">
      <c r="A851" s="4">
        <v>847.0</v>
      </c>
      <c r="B851" s="4" t="s">
        <v>44</v>
      </c>
      <c r="C851" s="7" t="s">
        <v>1042</v>
      </c>
      <c r="D851" s="4" t="s">
        <v>5553</v>
      </c>
      <c r="E851" s="4" t="s">
        <v>5577</v>
      </c>
      <c r="F851" s="9" t="s">
        <v>5855</v>
      </c>
    </row>
    <row r="852">
      <c r="A852" s="4">
        <v>848.0</v>
      </c>
      <c r="B852" s="4" t="s">
        <v>941</v>
      </c>
      <c r="C852" s="7" t="s">
        <v>1042</v>
      </c>
      <c r="D852" s="4" t="s">
        <v>5553</v>
      </c>
      <c r="E852" s="4" t="s">
        <v>5579</v>
      </c>
      <c r="F852" s="9" t="s">
        <v>5856</v>
      </c>
    </row>
    <row r="853">
      <c r="A853" s="4">
        <v>849.0</v>
      </c>
      <c r="B853" s="4" t="s">
        <v>217</v>
      </c>
      <c r="C853" s="7" t="s">
        <v>1042</v>
      </c>
      <c r="D853" s="4" t="s">
        <v>5553</v>
      </c>
      <c r="E853" s="4" t="s">
        <v>5581</v>
      </c>
      <c r="F853" s="9" t="s">
        <v>5857</v>
      </c>
    </row>
    <row r="854">
      <c r="A854" s="4">
        <v>850.0</v>
      </c>
      <c r="B854" s="4" t="s">
        <v>941</v>
      </c>
      <c r="C854" s="7" t="s">
        <v>5566</v>
      </c>
      <c r="D854" s="4" t="s">
        <v>5553</v>
      </c>
      <c r="E854" s="4" t="s">
        <v>5583</v>
      </c>
      <c r="F854" s="9" t="s">
        <v>5859</v>
      </c>
    </row>
    <row r="855">
      <c r="A855" s="4">
        <v>851.0</v>
      </c>
      <c r="B855" s="4" t="s">
        <v>127</v>
      </c>
      <c r="C855" s="7" t="s">
        <v>5585</v>
      </c>
      <c r="D855" s="4" t="s">
        <v>5553</v>
      </c>
      <c r="E855" s="4" t="s">
        <v>5586</v>
      </c>
      <c r="F855" s="9" t="s">
        <v>5861</v>
      </c>
    </row>
    <row r="856">
      <c r="A856" s="4">
        <v>852.0</v>
      </c>
      <c r="B856" s="4" t="s">
        <v>941</v>
      </c>
      <c r="C856" s="7" t="s">
        <v>1042</v>
      </c>
      <c r="D856" s="4" t="s">
        <v>5553</v>
      </c>
      <c r="E856" s="4" t="s">
        <v>5554</v>
      </c>
      <c r="F856" s="9" t="s">
        <v>5862</v>
      </c>
    </row>
    <row r="857">
      <c r="A857" s="4">
        <v>853.0</v>
      </c>
      <c r="B857" s="4" t="s">
        <v>941</v>
      </c>
      <c r="C857" s="7" t="s">
        <v>5556</v>
      </c>
      <c r="D857" s="4" t="s">
        <v>5553</v>
      </c>
      <c r="E857" s="4" t="s">
        <v>5557</v>
      </c>
      <c r="F857" s="9" t="s">
        <v>5863</v>
      </c>
    </row>
    <row r="858">
      <c r="A858" s="4">
        <v>854.0</v>
      </c>
      <c r="B858" s="4" t="s">
        <v>941</v>
      </c>
      <c r="C858" s="7" t="s">
        <v>1042</v>
      </c>
      <c r="D858" s="4" t="s">
        <v>5553</v>
      </c>
      <c r="E858" s="4" t="s">
        <v>5559</v>
      </c>
      <c r="F858" s="9" t="s">
        <v>5864</v>
      </c>
    </row>
    <row r="859">
      <c r="A859" s="4">
        <v>855.0</v>
      </c>
      <c r="B859" s="4" t="s">
        <v>1098</v>
      </c>
      <c r="C859" s="7" t="s">
        <v>1042</v>
      </c>
      <c r="D859" s="4" t="s">
        <v>5553</v>
      </c>
      <c r="E859" s="4" t="s">
        <v>5561</v>
      </c>
      <c r="F859" s="9" t="s">
        <v>5865</v>
      </c>
    </row>
    <row r="860">
      <c r="A860" s="4">
        <v>856.0</v>
      </c>
      <c r="B860" s="4" t="s">
        <v>941</v>
      </c>
      <c r="C860" s="7" t="s">
        <v>5563</v>
      </c>
      <c r="D860" s="4" t="s">
        <v>5553</v>
      </c>
      <c r="E860" s="4" t="s">
        <v>5564</v>
      </c>
      <c r="F860" s="9" t="s">
        <v>5866</v>
      </c>
    </row>
    <row r="861">
      <c r="A861" s="4">
        <v>857.0</v>
      </c>
      <c r="B861" s="4" t="s">
        <v>941</v>
      </c>
      <c r="C861" s="7" t="s">
        <v>5566</v>
      </c>
      <c r="D861" s="4" t="s">
        <v>5553</v>
      </c>
      <c r="E861" s="4" t="s">
        <v>5567</v>
      </c>
      <c r="F861" s="9" t="s">
        <v>5867</v>
      </c>
    </row>
    <row r="862">
      <c r="A862" s="4">
        <v>858.0</v>
      </c>
      <c r="B862" s="4" t="s">
        <v>155</v>
      </c>
      <c r="C862" s="7" t="s">
        <v>5569</v>
      </c>
      <c r="D862" s="4" t="s">
        <v>5553</v>
      </c>
      <c r="E862" s="4" t="s">
        <v>5570</v>
      </c>
      <c r="F862" s="9" t="s">
        <v>5868</v>
      </c>
    </row>
    <row r="863">
      <c r="A863" s="4">
        <v>859.0</v>
      </c>
      <c r="B863" s="4" t="s">
        <v>136</v>
      </c>
      <c r="C863" s="7" t="s">
        <v>5572</v>
      </c>
      <c r="D863" s="4" t="s">
        <v>5553</v>
      </c>
      <c r="E863" s="4" t="s">
        <v>5573</v>
      </c>
      <c r="F863" s="9" t="s">
        <v>5869</v>
      </c>
    </row>
    <row r="864">
      <c r="A864" s="4">
        <v>860.0</v>
      </c>
      <c r="B864" s="4" t="s">
        <v>941</v>
      </c>
      <c r="C864" s="7" t="s">
        <v>1042</v>
      </c>
      <c r="D864" s="4" t="s">
        <v>5553</v>
      </c>
      <c r="E864" s="4" t="s">
        <v>5575</v>
      </c>
      <c r="F864" s="9" t="s">
        <v>5870</v>
      </c>
    </row>
    <row r="865">
      <c r="A865" s="4">
        <v>861.0</v>
      </c>
      <c r="B865" s="4" t="s">
        <v>44</v>
      </c>
      <c r="C865" s="7" t="s">
        <v>1042</v>
      </c>
      <c r="D865" s="4" t="s">
        <v>5553</v>
      </c>
      <c r="E865" s="4" t="s">
        <v>5577</v>
      </c>
      <c r="F865" s="9" t="s">
        <v>5871</v>
      </c>
    </row>
    <row r="866">
      <c r="A866" s="4">
        <v>862.0</v>
      </c>
      <c r="B866" s="4" t="s">
        <v>941</v>
      </c>
      <c r="C866" s="7" t="s">
        <v>1042</v>
      </c>
      <c r="D866" s="4" t="s">
        <v>5553</v>
      </c>
      <c r="E866" s="4" t="s">
        <v>5579</v>
      </c>
      <c r="F866" s="9" t="s">
        <v>5872</v>
      </c>
    </row>
    <row r="867">
      <c r="A867" s="4">
        <v>863.0</v>
      </c>
      <c r="B867" s="4" t="s">
        <v>217</v>
      </c>
      <c r="C867" s="7" t="s">
        <v>1042</v>
      </c>
      <c r="D867" s="4" t="s">
        <v>5553</v>
      </c>
      <c r="E867" s="4" t="s">
        <v>5581</v>
      </c>
      <c r="F867" s="9" t="s">
        <v>5873</v>
      </c>
    </row>
    <row r="868">
      <c r="A868" s="4">
        <v>864.0</v>
      </c>
      <c r="B868" s="4" t="s">
        <v>941</v>
      </c>
      <c r="C868" s="7" t="s">
        <v>5566</v>
      </c>
      <c r="D868" s="4" t="s">
        <v>5553</v>
      </c>
      <c r="E868" s="4" t="s">
        <v>5583</v>
      </c>
      <c r="F868" s="9" t="s">
        <v>5874</v>
      </c>
    </row>
    <row r="869">
      <c r="A869" s="4">
        <v>865.0</v>
      </c>
      <c r="B869" s="4" t="s">
        <v>127</v>
      </c>
      <c r="C869" s="7" t="s">
        <v>5585</v>
      </c>
      <c r="D869" s="4" t="s">
        <v>5553</v>
      </c>
      <c r="E869" s="4" t="s">
        <v>5586</v>
      </c>
      <c r="F869" s="9" t="s">
        <v>5875</v>
      </c>
    </row>
    <row r="870">
      <c r="A870" s="4">
        <v>866.0</v>
      </c>
      <c r="B870" s="4" t="s">
        <v>941</v>
      </c>
      <c r="C870" s="7" t="s">
        <v>1042</v>
      </c>
      <c r="D870" s="4" t="s">
        <v>5553</v>
      </c>
      <c r="E870" s="4" t="s">
        <v>5554</v>
      </c>
      <c r="F870" s="9" t="s">
        <v>5876</v>
      </c>
    </row>
    <row r="871">
      <c r="A871" s="4">
        <v>867.0</v>
      </c>
      <c r="B871" s="4" t="s">
        <v>941</v>
      </c>
      <c r="C871" s="7" t="s">
        <v>5556</v>
      </c>
      <c r="D871" s="4" t="s">
        <v>5553</v>
      </c>
      <c r="E871" s="4" t="s">
        <v>5557</v>
      </c>
      <c r="F871" s="9" t="s">
        <v>5877</v>
      </c>
    </row>
    <row r="872">
      <c r="A872" s="4">
        <v>868.0</v>
      </c>
      <c r="B872" s="4" t="s">
        <v>941</v>
      </c>
      <c r="C872" s="7" t="s">
        <v>1042</v>
      </c>
      <c r="D872" s="4" t="s">
        <v>5553</v>
      </c>
      <c r="E872" s="4" t="s">
        <v>5559</v>
      </c>
      <c r="F872" s="9" t="s">
        <v>5878</v>
      </c>
    </row>
    <row r="873">
      <c r="A873" s="4">
        <v>869.0</v>
      </c>
      <c r="B873" s="4" t="s">
        <v>1098</v>
      </c>
      <c r="C873" s="7" t="s">
        <v>1042</v>
      </c>
      <c r="D873" s="4" t="s">
        <v>5553</v>
      </c>
      <c r="E873" s="4" t="s">
        <v>5561</v>
      </c>
      <c r="F873" s="9" t="s">
        <v>5879</v>
      </c>
    </row>
    <row r="874">
      <c r="A874" s="4">
        <v>870.0</v>
      </c>
      <c r="B874" s="4" t="s">
        <v>941</v>
      </c>
      <c r="C874" s="7" t="s">
        <v>5563</v>
      </c>
      <c r="D874" s="4" t="s">
        <v>5553</v>
      </c>
      <c r="E874" s="4" t="s">
        <v>5564</v>
      </c>
      <c r="F874" s="9" t="s">
        <v>5880</v>
      </c>
    </row>
    <row r="875">
      <c r="A875" s="4">
        <v>871.0</v>
      </c>
      <c r="B875" s="4" t="s">
        <v>941</v>
      </c>
      <c r="C875" s="7" t="s">
        <v>5566</v>
      </c>
      <c r="D875" s="4" t="s">
        <v>5553</v>
      </c>
      <c r="E875" s="4" t="s">
        <v>5567</v>
      </c>
      <c r="F875" s="9" t="s">
        <v>5881</v>
      </c>
    </row>
    <row r="876">
      <c r="A876" s="4">
        <v>872.0</v>
      </c>
      <c r="B876" s="4" t="s">
        <v>155</v>
      </c>
      <c r="C876" s="7" t="s">
        <v>5569</v>
      </c>
      <c r="D876" s="4" t="s">
        <v>5553</v>
      </c>
      <c r="E876" s="4" t="s">
        <v>5570</v>
      </c>
      <c r="F876" s="9" t="s">
        <v>5882</v>
      </c>
    </row>
    <row r="877">
      <c r="A877" s="4">
        <v>873.0</v>
      </c>
      <c r="B877" s="4" t="s">
        <v>136</v>
      </c>
      <c r="C877" s="7" t="s">
        <v>5572</v>
      </c>
      <c r="D877" s="4" t="s">
        <v>5553</v>
      </c>
      <c r="E877" s="4" t="s">
        <v>5573</v>
      </c>
      <c r="F877" s="9" t="s">
        <v>5883</v>
      </c>
    </row>
    <row r="878">
      <c r="A878" s="4">
        <v>874.0</v>
      </c>
      <c r="B878" s="4" t="s">
        <v>941</v>
      </c>
      <c r="C878" s="7" t="s">
        <v>1042</v>
      </c>
      <c r="D878" s="4" t="s">
        <v>5553</v>
      </c>
      <c r="E878" s="4" t="s">
        <v>5575</v>
      </c>
      <c r="F878" s="9" t="s">
        <v>5884</v>
      </c>
    </row>
    <row r="879">
      <c r="A879" s="4">
        <v>875.0</v>
      </c>
      <c r="B879" s="4" t="s">
        <v>44</v>
      </c>
      <c r="C879" s="7" t="s">
        <v>1042</v>
      </c>
      <c r="D879" s="4" t="s">
        <v>5553</v>
      </c>
      <c r="E879" s="4" t="s">
        <v>5577</v>
      </c>
      <c r="F879" s="9" t="s">
        <v>5885</v>
      </c>
    </row>
    <row r="880">
      <c r="A880" s="4">
        <v>876.0</v>
      </c>
      <c r="B880" s="4" t="s">
        <v>941</v>
      </c>
      <c r="C880" s="7" t="s">
        <v>1042</v>
      </c>
      <c r="D880" s="4" t="s">
        <v>5553</v>
      </c>
      <c r="E880" s="4" t="s">
        <v>5579</v>
      </c>
      <c r="F880" s="9" t="s">
        <v>5886</v>
      </c>
    </row>
    <row r="881">
      <c r="A881" s="4">
        <v>877.0</v>
      </c>
      <c r="B881" s="4" t="s">
        <v>217</v>
      </c>
      <c r="C881" s="7" t="s">
        <v>1042</v>
      </c>
      <c r="D881" s="4" t="s">
        <v>5553</v>
      </c>
      <c r="E881" s="4" t="s">
        <v>5581</v>
      </c>
      <c r="F881" s="9" t="s">
        <v>5887</v>
      </c>
    </row>
    <row r="882">
      <c r="A882" s="4">
        <v>878.0</v>
      </c>
      <c r="B882" s="4" t="s">
        <v>941</v>
      </c>
      <c r="C882" s="7" t="s">
        <v>5566</v>
      </c>
      <c r="D882" s="4" t="s">
        <v>5553</v>
      </c>
      <c r="E882" s="4" t="s">
        <v>5583</v>
      </c>
      <c r="F882" s="9" t="s">
        <v>5888</v>
      </c>
    </row>
    <row r="883">
      <c r="A883" s="4">
        <v>879.0</v>
      </c>
      <c r="B883" s="4" t="s">
        <v>127</v>
      </c>
      <c r="C883" s="7" t="s">
        <v>5585</v>
      </c>
      <c r="D883" s="4" t="s">
        <v>5553</v>
      </c>
      <c r="E883" s="4" t="s">
        <v>5586</v>
      </c>
      <c r="F883" s="9" t="s">
        <v>5889</v>
      </c>
    </row>
    <row r="884">
      <c r="A884" s="4">
        <v>880.0</v>
      </c>
      <c r="B884" s="4" t="s">
        <v>941</v>
      </c>
      <c r="C884" s="7" t="s">
        <v>1042</v>
      </c>
      <c r="D884" s="4" t="s">
        <v>5553</v>
      </c>
      <c r="E884" s="4" t="s">
        <v>5554</v>
      </c>
      <c r="F884" s="9" t="s">
        <v>5890</v>
      </c>
    </row>
    <row r="885">
      <c r="A885" s="4">
        <v>881.0</v>
      </c>
      <c r="B885" s="4" t="s">
        <v>941</v>
      </c>
      <c r="C885" s="7" t="s">
        <v>5556</v>
      </c>
      <c r="D885" s="4" t="s">
        <v>5553</v>
      </c>
      <c r="E885" s="4" t="s">
        <v>5557</v>
      </c>
      <c r="F885" s="9" t="s">
        <v>5891</v>
      </c>
    </row>
    <row r="886">
      <c r="A886" s="4">
        <v>882.0</v>
      </c>
      <c r="B886" s="4" t="s">
        <v>941</v>
      </c>
      <c r="C886" s="7" t="s">
        <v>1042</v>
      </c>
      <c r="D886" s="4" t="s">
        <v>5553</v>
      </c>
      <c r="E886" s="4" t="s">
        <v>5559</v>
      </c>
      <c r="F886" s="9" t="s">
        <v>5892</v>
      </c>
    </row>
    <row r="887">
      <c r="A887" s="4">
        <v>883.0</v>
      </c>
      <c r="B887" s="4" t="s">
        <v>1098</v>
      </c>
      <c r="C887" s="7" t="s">
        <v>1042</v>
      </c>
      <c r="D887" s="4" t="s">
        <v>5553</v>
      </c>
      <c r="E887" s="4" t="s">
        <v>5561</v>
      </c>
      <c r="F887" s="9" t="s">
        <v>5893</v>
      </c>
    </row>
    <row r="888">
      <c r="A888" s="4">
        <v>884.0</v>
      </c>
      <c r="B888" s="4" t="s">
        <v>941</v>
      </c>
      <c r="C888" s="7" t="s">
        <v>5563</v>
      </c>
      <c r="D888" s="4" t="s">
        <v>5553</v>
      </c>
      <c r="E888" s="4" t="s">
        <v>5564</v>
      </c>
      <c r="F888" s="9" t="s">
        <v>5894</v>
      </c>
    </row>
    <row r="889">
      <c r="A889" s="4">
        <v>885.0</v>
      </c>
      <c r="B889" s="4" t="s">
        <v>941</v>
      </c>
      <c r="C889" s="7" t="s">
        <v>5566</v>
      </c>
      <c r="D889" s="4" t="s">
        <v>5553</v>
      </c>
      <c r="E889" s="4" t="s">
        <v>5567</v>
      </c>
      <c r="F889" s="9" t="s">
        <v>5895</v>
      </c>
    </row>
    <row r="890">
      <c r="A890" s="4">
        <v>886.0</v>
      </c>
      <c r="B890" s="4" t="s">
        <v>155</v>
      </c>
      <c r="C890" s="7" t="s">
        <v>5569</v>
      </c>
      <c r="D890" s="4" t="s">
        <v>5553</v>
      </c>
      <c r="E890" s="4" t="s">
        <v>5570</v>
      </c>
      <c r="F890" s="9" t="s">
        <v>5896</v>
      </c>
    </row>
    <row r="891">
      <c r="A891" s="4">
        <v>887.0</v>
      </c>
      <c r="B891" s="4" t="s">
        <v>136</v>
      </c>
      <c r="C891" s="7" t="s">
        <v>5572</v>
      </c>
      <c r="D891" s="4" t="s">
        <v>5553</v>
      </c>
      <c r="E891" s="4" t="s">
        <v>5573</v>
      </c>
      <c r="F891" s="9" t="s">
        <v>5897</v>
      </c>
    </row>
    <row r="892">
      <c r="A892" s="4">
        <v>888.0</v>
      </c>
      <c r="B892" s="4" t="s">
        <v>941</v>
      </c>
      <c r="C892" s="7" t="s">
        <v>1042</v>
      </c>
      <c r="D892" s="4" t="s">
        <v>5553</v>
      </c>
      <c r="E892" s="4" t="s">
        <v>5575</v>
      </c>
      <c r="F892" s="9" t="s">
        <v>5898</v>
      </c>
    </row>
    <row r="893">
      <c r="A893" s="4">
        <v>889.0</v>
      </c>
      <c r="B893" s="4" t="s">
        <v>44</v>
      </c>
      <c r="C893" s="7" t="s">
        <v>1042</v>
      </c>
      <c r="D893" s="4" t="s">
        <v>5553</v>
      </c>
      <c r="E893" s="4" t="s">
        <v>5577</v>
      </c>
      <c r="F893" s="9" t="s">
        <v>5899</v>
      </c>
    </row>
    <row r="894">
      <c r="A894" s="4">
        <v>890.0</v>
      </c>
      <c r="B894" s="4" t="s">
        <v>941</v>
      </c>
      <c r="C894" s="7" t="s">
        <v>1042</v>
      </c>
      <c r="D894" s="4" t="s">
        <v>5553</v>
      </c>
      <c r="E894" s="4" t="s">
        <v>5579</v>
      </c>
      <c r="F894" s="9" t="s">
        <v>5900</v>
      </c>
    </row>
    <row r="895">
      <c r="A895" s="4">
        <v>891.0</v>
      </c>
      <c r="B895" s="4" t="s">
        <v>217</v>
      </c>
      <c r="C895" s="7" t="s">
        <v>1042</v>
      </c>
      <c r="D895" s="4" t="s">
        <v>5553</v>
      </c>
      <c r="E895" s="4" t="s">
        <v>5581</v>
      </c>
      <c r="F895" s="9" t="s">
        <v>5901</v>
      </c>
    </row>
    <row r="896">
      <c r="A896" s="4">
        <v>892.0</v>
      </c>
      <c r="B896" s="4" t="s">
        <v>941</v>
      </c>
      <c r="C896" s="7" t="s">
        <v>5566</v>
      </c>
      <c r="D896" s="4" t="s">
        <v>5553</v>
      </c>
      <c r="E896" s="4" t="s">
        <v>5583</v>
      </c>
      <c r="F896" s="9" t="s">
        <v>5902</v>
      </c>
    </row>
    <row r="897">
      <c r="A897" s="4">
        <v>893.0</v>
      </c>
      <c r="B897" s="4" t="s">
        <v>127</v>
      </c>
      <c r="C897" s="7" t="s">
        <v>5585</v>
      </c>
      <c r="D897" s="4" t="s">
        <v>5553</v>
      </c>
      <c r="E897" s="4" t="s">
        <v>5586</v>
      </c>
      <c r="F897" s="9" t="s">
        <v>5903</v>
      </c>
    </row>
    <row r="898">
      <c r="A898" s="4">
        <v>894.0</v>
      </c>
      <c r="B898" s="4" t="s">
        <v>941</v>
      </c>
      <c r="C898" s="7" t="s">
        <v>1042</v>
      </c>
      <c r="D898" s="4" t="s">
        <v>5553</v>
      </c>
      <c r="E898" s="4" t="s">
        <v>5554</v>
      </c>
      <c r="F898" s="9" t="s">
        <v>5904</v>
      </c>
    </row>
    <row r="899">
      <c r="A899" s="4">
        <v>895.0</v>
      </c>
      <c r="B899" s="4" t="s">
        <v>941</v>
      </c>
      <c r="C899" s="7" t="s">
        <v>5556</v>
      </c>
      <c r="D899" s="4" t="s">
        <v>5553</v>
      </c>
      <c r="E899" s="4" t="s">
        <v>5557</v>
      </c>
      <c r="F899" s="9" t="s">
        <v>5905</v>
      </c>
    </row>
    <row r="900">
      <c r="A900" s="4">
        <v>896.0</v>
      </c>
      <c r="B900" s="4" t="s">
        <v>941</v>
      </c>
      <c r="C900" s="7" t="s">
        <v>1042</v>
      </c>
      <c r="D900" s="4" t="s">
        <v>5553</v>
      </c>
      <c r="E900" s="4" t="s">
        <v>5559</v>
      </c>
      <c r="F900" s="9" t="s">
        <v>5909</v>
      </c>
    </row>
    <row r="901">
      <c r="A901" s="4">
        <v>897.0</v>
      </c>
      <c r="B901" s="4" t="s">
        <v>1098</v>
      </c>
      <c r="C901" s="7" t="s">
        <v>1042</v>
      </c>
      <c r="D901" s="4" t="s">
        <v>5553</v>
      </c>
      <c r="E901" s="4" t="s">
        <v>5561</v>
      </c>
      <c r="F901" s="9" t="s">
        <v>5912</v>
      </c>
    </row>
    <row r="902">
      <c r="A902" s="4">
        <v>898.0</v>
      </c>
      <c r="B902" s="4" t="s">
        <v>941</v>
      </c>
      <c r="C902" s="7" t="s">
        <v>5563</v>
      </c>
      <c r="D902" s="4" t="s">
        <v>5553</v>
      </c>
      <c r="E902" s="4" t="s">
        <v>5564</v>
      </c>
      <c r="F902" s="9" t="s">
        <v>5915</v>
      </c>
    </row>
    <row r="903">
      <c r="A903" s="4">
        <v>899.0</v>
      </c>
      <c r="B903" s="4" t="s">
        <v>941</v>
      </c>
      <c r="C903" s="7" t="s">
        <v>5566</v>
      </c>
      <c r="D903" s="4" t="s">
        <v>5553</v>
      </c>
      <c r="E903" s="4" t="s">
        <v>5567</v>
      </c>
      <c r="F903" s="9" t="s">
        <v>5917</v>
      </c>
    </row>
    <row r="904">
      <c r="A904" s="4">
        <v>900.0</v>
      </c>
      <c r="B904" s="4" t="s">
        <v>155</v>
      </c>
      <c r="C904" s="7" t="s">
        <v>5569</v>
      </c>
      <c r="D904" s="4" t="s">
        <v>5553</v>
      </c>
      <c r="E904" s="4" t="s">
        <v>5570</v>
      </c>
      <c r="F904" s="9" t="s">
        <v>5919</v>
      </c>
    </row>
    <row r="905">
      <c r="A905" s="4">
        <v>901.0</v>
      </c>
      <c r="B905" s="4" t="s">
        <v>136</v>
      </c>
      <c r="C905" s="7" t="s">
        <v>5572</v>
      </c>
      <c r="D905" s="4" t="s">
        <v>5553</v>
      </c>
      <c r="E905" s="4" t="s">
        <v>5573</v>
      </c>
      <c r="F905" s="9" t="s">
        <v>5922</v>
      </c>
    </row>
    <row r="906">
      <c r="A906" s="4">
        <v>902.0</v>
      </c>
      <c r="B906" s="4" t="s">
        <v>941</v>
      </c>
      <c r="C906" s="7" t="s">
        <v>1042</v>
      </c>
      <c r="D906" s="4" t="s">
        <v>5553</v>
      </c>
      <c r="E906" s="4" t="s">
        <v>5575</v>
      </c>
      <c r="F906" s="9" t="s">
        <v>5924</v>
      </c>
    </row>
    <row r="907">
      <c r="A907" s="4">
        <v>903.0</v>
      </c>
      <c r="B907" s="4" t="s">
        <v>44</v>
      </c>
      <c r="C907" s="7" t="s">
        <v>1042</v>
      </c>
      <c r="D907" s="4" t="s">
        <v>5553</v>
      </c>
      <c r="E907" s="4" t="s">
        <v>5577</v>
      </c>
      <c r="F907" s="9" t="s">
        <v>5927</v>
      </c>
    </row>
    <row r="908">
      <c r="A908" s="4">
        <v>904.0</v>
      </c>
      <c r="B908" s="4" t="s">
        <v>941</v>
      </c>
      <c r="C908" s="7" t="s">
        <v>1042</v>
      </c>
      <c r="D908" s="4" t="s">
        <v>5553</v>
      </c>
      <c r="E908" s="4" t="s">
        <v>5579</v>
      </c>
      <c r="F908" s="9" t="s">
        <v>5928</v>
      </c>
    </row>
    <row r="909">
      <c r="A909" s="4">
        <v>905.0</v>
      </c>
      <c r="B909" s="4" t="s">
        <v>217</v>
      </c>
      <c r="C909" s="7" t="s">
        <v>1042</v>
      </c>
      <c r="D909" s="4" t="s">
        <v>5553</v>
      </c>
      <c r="E909" s="4" t="s">
        <v>5581</v>
      </c>
      <c r="F909" s="9" t="s">
        <v>5929</v>
      </c>
    </row>
    <row r="910">
      <c r="A910" s="4">
        <v>906.0</v>
      </c>
      <c r="B910" s="4" t="s">
        <v>941</v>
      </c>
      <c r="C910" s="7" t="s">
        <v>5566</v>
      </c>
      <c r="D910" s="4" t="s">
        <v>5553</v>
      </c>
      <c r="E910" s="4" t="s">
        <v>5583</v>
      </c>
      <c r="F910" s="9" t="s">
        <v>5930</v>
      </c>
    </row>
    <row r="911">
      <c r="A911" s="4">
        <v>907.0</v>
      </c>
      <c r="B911" s="4" t="s">
        <v>127</v>
      </c>
      <c r="C911" s="7" t="s">
        <v>5585</v>
      </c>
      <c r="D911" s="4" t="s">
        <v>5553</v>
      </c>
      <c r="E911" s="4" t="s">
        <v>5586</v>
      </c>
      <c r="F911" s="9" t="s">
        <v>5931</v>
      </c>
    </row>
    <row r="912">
      <c r="A912" s="4">
        <v>908.0</v>
      </c>
      <c r="B912" s="4" t="s">
        <v>941</v>
      </c>
      <c r="C912" s="7" t="s">
        <v>1042</v>
      </c>
      <c r="D912" s="4" t="s">
        <v>5553</v>
      </c>
      <c r="E912" s="4" t="s">
        <v>5554</v>
      </c>
      <c r="F912" s="9" t="s">
        <v>5932</v>
      </c>
    </row>
    <row r="913">
      <c r="A913" s="4">
        <v>909.0</v>
      </c>
      <c r="B913" s="4" t="s">
        <v>941</v>
      </c>
      <c r="C913" s="7" t="s">
        <v>5556</v>
      </c>
      <c r="D913" s="4" t="s">
        <v>5553</v>
      </c>
      <c r="E913" s="4" t="s">
        <v>5557</v>
      </c>
      <c r="F913" s="9" t="s">
        <v>5933</v>
      </c>
    </row>
    <row r="914">
      <c r="A914" s="4">
        <v>910.0</v>
      </c>
      <c r="B914" s="4" t="s">
        <v>941</v>
      </c>
      <c r="C914" s="7" t="s">
        <v>1042</v>
      </c>
      <c r="D914" s="4" t="s">
        <v>5553</v>
      </c>
      <c r="E914" s="4" t="s">
        <v>5559</v>
      </c>
      <c r="F914" s="9" t="s">
        <v>5934</v>
      </c>
    </row>
    <row r="915">
      <c r="A915" s="4">
        <v>911.0</v>
      </c>
      <c r="B915" s="4" t="s">
        <v>1098</v>
      </c>
      <c r="C915" s="7" t="s">
        <v>1042</v>
      </c>
      <c r="D915" s="4" t="s">
        <v>5553</v>
      </c>
      <c r="E915" s="4" t="s">
        <v>5561</v>
      </c>
      <c r="F915" s="9" t="s">
        <v>5935</v>
      </c>
    </row>
    <row r="916">
      <c r="A916" s="4">
        <v>912.0</v>
      </c>
      <c r="B916" s="4" t="s">
        <v>941</v>
      </c>
      <c r="C916" s="7" t="s">
        <v>5563</v>
      </c>
      <c r="D916" s="4" t="s">
        <v>5553</v>
      </c>
      <c r="E916" s="4" t="s">
        <v>5564</v>
      </c>
      <c r="F916" s="9" t="s">
        <v>5936</v>
      </c>
    </row>
    <row r="917">
      <c r="A917" s="4">
        <v>913.0</v>
      </c>
      <c r="B917" s="4" t="s">
        <v>941</v>
      </c>
      <c r="C917" s="7" t="s">
        <v>5566</v>
      </c>
      <c r="D917" s="4" t="s">
        <v>5553</v>
      </c>
      <c r="E917" s="4" t="s">
        <v>5567</v>
      </c>
      <c r="F917" s="9" t="s">
        <v>5937</v>
      </c>
    </row>
    <row r="918">
      <c r="A918" s="4">
        <v>914.0</v>
      </c>
      <c r="B918" s="4" t="s">
        <v>155</v>
      </c>
      <c r="C918" s="7" t="s">
        <v>5569</v>
      </c>
      <c r="D918" s="4" t="s">
        <v>5553</v>
      </c>
      <c r="E918" s="4" t="s">
        <v>5570</v>
      </c>
      <c r="F918" s="9" t="s">
        <v>5938</v>
      </c>
    </row>
    <row r="919">
      <c r="A919" s="4">
        <v>915.0</v>
      </c>
      <c r="B919" s="4" t="s">
        <v>136</v>
      </c>
      <c r="C919" s="7" t="s">
        <v>5572</v>
      </c>
      <c r="D919" s="4" t="s">
        <v>5553</v>
      </c>
      <c r="E919" s="4" t="s">
        <v>5573</v>
      </c>
      <c r="F919" s="9" t="s">
        <v>5939</v>
      </c>
    </row>
    <row r="920">
      <c r="A920" s="4">
        <v>916.0</v>
      </c>
      <c r="B920" s="4" t="s">
        <v>941</v>
      </c>
      <c r="C920" s="7" t="s">
        <v>1042</v>
      </c>
      <c r="D920" s="4" t="s">
        <v>5553</v>
      </c>
      <c r="E920" s="4" t="s">
        <v>5575</v>
      </c>
      <c r="F920" s="9" t="s">
        <v>5940</v>
      </c>
    </row>
    <row r="921">
      <c r="A921" s="4">
        <v>917.0</v>
      </c>
      <c r="B921" s="4" t="s">
        <v>44</v>
      </c>
      <c r="C921" s="7" t="s">
        <v>1042</v>
      </c>
      <c r="D921" s="4" t="s">
        <v>5553</v>
      </c>
      <c r="E921" s="4" t="s">
        <v>5577</v>
      </c>
      <c r="F921" s="9" t="s">
        <v>5941</v>
      </c>
    </row>
    <row r="922">
      <c r="A922" s="4">
        <v>918.0</v>
      </c>
      <c r="B922" s="4" t="s">
        <v>941</v>
      </c>
      <c r="C922" s="7" t="s">
        <v>1042</v>
      </c>
      <c r="D922" s="4" t="s">
        <v>5553</v>
      </c>
      <c r="E922" s="4" t="s">
        <v>5579</v>
      </c>
      <c r="F922" s="9" t="s">
        <v>5942</v>
      </c>
    </row>
    <row r="923">
      <c r="A923" s="4">
        <v>919.0</v>
      </c>
      <c r="B923" s="4" t="s">
        <v>217</v>
      </c>
      <c r="C923" s="7" t="s">
        <v>1042</v>
      </c>
      <c r="D923" s="4" t="s">
        <v>5553</v>
      </c>
      <c r="E923" s="4" t="s">
        <v>5581</v>
      </c>
      <c r="F923" s="9" t="s">
        <v>5943</v>
      </c>
    </row>
    <row r="924">
      <c r="A924" s="4">
        <v>920.0</v>
      </c>
      <c r="B924" s="4" t="s">
        <v>941</v>
      </c>
      <c r="C924" s="7" t="s">
        <v>5566</v>
      </c>
      <c r="D924" s="4" t="s">
        <v>5553</v>
      </c>
      <c r="E924" s="4" t="s">
        <v>5583</v>
      </c>
      <c r="F924" s="9" t="s">
        <v>5944</v>
      </c>
    </row>
    <row r="925">
      <c r="A925" s="4">
        <v>921.0</v>
      </c>
      <c r="B925" s="4" t="s">
        <v>127</v>
      </c>
      <c r="C925" s="7" t="s">
        <v>5585</v>
      </c>
      <c r="D925" s="4" t="s">
        <v>5553</v>
      </c>
      <c r="E925" s="4" t="s">
        <v>5586</v>
      </c>
      <c r="F925" s="9" t="s">
        <v>5945</v>
      </c>
    </row>
    <row r="926">
      <c r="A926" s="4">
        <v>922.0</v>
      </c>
      <c r="B926" s="4" t="s">
        <v>941</v>
      </c>
      <c r="C926" s="7" t="s">
        <v>1042</v>
      </c>
      <c r="D926" s="4" t="s">
        <v>5553</v>
      </c>
      <c r="E926" s="4" t="s">
        <v>5554</v>
      </c>
      <c r="F926" s="9" t="s">
        <v>5946</v>
      </c>
    </row>
    <row r="927">
      <c r="A927" s="4">
        <v>923.0</v>
      </c>
      <c r="B927" s="4" t="s">
        <v>941</v>
      </c>
      <c r="C927" s="7" t="s">
        <v>5556</v>
      </c>
      <c r="D927" s="4" t="s">
        <v>5553</v>
      </c>
      <c r="E927" s="4" t="s">
        <v>5557</v>
      </c>
      <c r="F927" s="9" t="s">
        <v>5947</v>
      </c>
    </row>
    <row r="928">
      <c r="A928" s="4">
        <v>924.0</v>
      </c>
      <c r="B928" s="4" t="s">
        <v>941</v>
      </c>
      <c r="C928" s="7" t="s">
        <v>1042</v>
      </c>
      <c r="D928" s="4" t="s">
        <v>5553</v>
      </c>
      <c r="E928" s="4" t="s">
        <v>5559</v>
      </c>
      <c r="F928" s="9" t="s">
        <v>5948</v>
      </c>
    </row>
    <row r="929">
      <c r="A929" s="4">
        <v>925.0</v>
      </c>
      <c r="B929" s="4" t="s">
        <v>1098</v>
      </c>
      <c r="C929" s="7" t="s">
        <v>1042</v>
      </c>
      <c r="D929" s="4" t="s">
        <v>5553</v>
      </c>
      <c r="E929" s="4" t="s">
        <v>5561</v>
      </c>
      <c r="F929" s="9" t="s">
        <v>5949</v>
      </c>
    </row>
    <row r="930">
      <c r="A930" s="4">
        <v>926.0</v>
      </c>
      <c r="B930" s="4" t="s">
        <v>941</v>
      </c>
      <c r="C930" s="7" t="s">
        <v>5563</v>
      </c>
      <c r="D930" s="4" t="s">
        <v>5553</v>
      </c>
      <c r="E930" s="4" t="s">
        <v>5564</v>
      </c>
      <c r="F930" s="9" t="s">
        <v>5950</v>
      </c>
    </row>
    <row r="931">
      <c r="A931" s="4">
        <v>927.0</v>
      </c>
      <c r="B931" s="4" t="s">
        <v>941</v>
      </c>
      <c r="C931" s="7" t="s">
        <v>5566</v>
      </c>
      <c r="D931" s="4" t="s">
        <v>5553</v>
      </c>
      <c r="E931" s="4" t="s">
        <v>5567</v>
      </c>
      <c r="F931" s="9" t="s">
        <v>5951</v>
      </c>
    </row>
    <row r="932">
      <c r="A932" s="4">
        <v>928.0</v>
      </c>
      <c r="B932" s="4" t="s">
        <v>155</v>
      </c>
      <c r="C932" s="7" t="s">
        <v>5569</v>
      </c>
      <c r="D932" s="4" t="s">
        <v>5553</v>
      </c>
      <c r="E932" s="4" t="s">
        <v>5570</v>
      </c>
      <c r="F932" s="9" t="s">
        <v>5952</v>
      </c>
    </row>
    <row r="933">
      <c r="A933" s="4">
        <v>929.0</v>
      </c>
      <c r="B933" s="4" t="s">
        <v>136</v>
      </c>
      <c r="C933" s="7" t="s">
        <v>5572</v>
      </c>
      <c r="D933" s="4" t="s">
        <v>5553</v>
      </c>
      <c r="E933" s="4" t="s">
        <v>5573</v>
      </c>
      <c r="F933" s="9" t="s">
        <v>5953</v>
      </c>
    </row>
    <row r="934">
      <c r="A934" s="4">
        <v>930.0</v>
      </c>
      <c r="B934" s="4" t="s">
        <v>941</v>
      </c>
      <c r="C934" s="7" t="s">
        <v>1042</v>
      </c>
      <c r="D934" s="4" t="s">
        <v>5553</v>
      </c>
      <c r="E934" s="4" t="s">
        <v>5575</v>
      </c>
      <c r="F934" s="9" t="s">
        <v>5954</v>
      </c>
    </row>
    <row r="935">
      <c r="A935" s="4">
        <v>931.0</v>
      </c>
      <c r="B935" s="4" t="s">
        <v>44</v>
      </c>
      <c r="C935" s="7" t="s">
        <v>1042</v>
      </c>
      <c r="D935" s="4" t="s">
        <v>5553</v>
      </c>
      <c r="E935" s="4" t="s">
        <v>5577</v>
      </c>
      <c r="F935" s="9" t="s">
        <v>5955</v>
      </c>
    </row>
    <row r="936">
      <c r="A936" s="4">
        <v>932.0</v>
      </c>
      <c r="B936" s="4" t="s">
        <v>941</v>
      </c>
      <c r="C936" s="7" t="s">
        <v>1042</v>
      </c>
      <c r="D936" s="4" t="s">
        <v>5553</v>
      </c>
      <c r="E936" s="4" t="s">
        <v>5579</v>
      </c>
      <c r="F936" s="9" t="s">
        <v>5956</v>
      </c>
    </row>
    <row r="937">
      <c r="A937" s="4">
        <v>933.0</v>
      </c>
      <c r="B937" s="4" t="s">
        <v>217</v>
      </c>
      <c r="C937" s="7" t="s">
        <v>1042</v>
      </c>
      <c r="D937" s="4" t="s">
        <v>5553</v>
      </c>
      <c r="E937" s="4" t="s">
        <v>5581</v>
      </c>
      <c r="F937" s="9" t="s">
        <v>5957</v>
      </c>
    </row>
    <row r="938">
      <c r="A938" s="4">
        <v>934.0</v>
      </c>
      <c r="B938" s="4" t="s">
        <v>941</v>
      </c>
      <c r="C938" s="7" t="s">
        <v>5566</v>
      </c>
      <c r="D938" s="4" t="s">
        <v>5553</v>
      </c>
      <c r="E938" s="4" t="s">
        <v>5583</v>
      </c>
      <c r="F938" s="9" t="s">
        <v>5958</v>
      </c>
    </row>
    <row r="939">
      <c r="A939" s="4">
        <v>935.0</v>
      </c>
      <c r="B939" s="4" t="s">
        <v>127</v>
      </c>
      <c r="C939" s="7" t="s">
        <v>5585</v>
      </c>
      <c r="D939" s="4" t="s">
        <v>5553</v>
      </c>
      <c r="E939" s="4" t="s">
        <v>5586</v>
      </c>
      <c r="F939" s="9" t="s">
        <v>5959</v>
      </c>
    </row>
    <row r="940">
      <c r="A940" s="4">
        <v>936.0</v>
      </c>
      <c r="B940" s="4" t="s">
        <v>941</v>
      </c>
      <c r="C940" s="7" t="s">
        <v>1042</v>
      </c>
      <c r="D940" s="4" t="s">
        <v>5553</v>
      </c>
      <c r="E940" s="4" t="s">
        <v>5554</v>
      </c>
      <c r="F940" s="9" t="s">
        <v>5960</v>
      </c>
    </row>
    <row r="941">
      <c r="A941" s="4">
        <v>937.0</v>
      </c>
      <c r="B941" s="4" t="s">
        <v>941</v>
      </c>
      <c r="C941" s="7" t="s">
        <v>5556</v>
      </c>
      <c r="D941" s="4" t="s">
        <v>5553</v>
      </c>
      <c r="E941" s="4" t="s">
        <v>5557</v>
      </c>
      <c r="F941" s="9" t="s">
        <v>5961</v>
      </c>
    </row>
    <row r="942">
      <c r="A942" s="4">
        <v>938.0</v>
      </c>
      <c r="B942" s="4" t="s">
        <v>941</v>
      </c>
      <c r="C942" s="7" t="s">
        <v>1042</v>
      </c>
      <c r="D942" s="4" t="s">
        <v>5553</v>
      </c>
      <c r="E942" s="4" t="s">
        <v>5559</v>
      </c>
      <c r="F942" s="9" t="s">
        <v>5962</v>
      </c>
    </row>
    <row r="943">
      <c r="A943" s="4">
        <v>939.0</v>
      </c>
      <c r="B943" s="4" t="s">
        <v>1098</v>
      </c>
      <c r="C943" s="7" t="s">
        <v>1042</v>
      </c>
      <c r="D943" s="4" t="s">
        <v>5553</v>
      </c>
      <c r="E943" s="4" t="s">
        <v>5561</v>
      </c>
      <c r="F943" s="9" t="s">
        <v>5963</v>
      </c>
    </row>
    <row r="944">
      <c r="A944" s="4">
        <v>940.0</v>
      </c>
      <c r="B944" s="4" t="s">
        <v>941</v>
      </c>
      <c r="C944" s="7" t="s">
        <v>5563</v>
      </c>
      <c r="D944" s="4" t="s">
        <v>5553</v>
      </c>
      <c r="E944" s="4" t="s">
        <v>5564</v>
      </c>
      <c r="F944" s="9" t="s">
        <v>5964</v>
      </c>
    </row>
    <row r="945">
      <c r="A945" s="4">
        <v>941.0</v>
      </c>
      <c r="B945" s="4" t="s">
        <v>941</v>
      </c>
      <c r="C945" s="7" t="s">
        <v>5566</v>
      </c>
      <c r="D945" s="4" t="s">
        <v>5553</v>
      </c>
      <c r="E945" s="4" t="s">
        <v>5567</v>
      </c>
      <c r="F945" s="9" t="s">
        <v>5968</v>
      </c>
    </row>
    <row r="946">
      <c r="A946" s="4">
        <v>942.0</v>
      </c>
      <c r="B946" s="4" t="s">
        <v>155</v>
      </c>
      <c r="C946" s="7" t="s">
        <v>5569</v>
      </c>
      <c r="D946" s="4" t="s">
        <v>5553</v>
      </c>
      <c r="E946" s="4" t="s">
        <v>5570</v>
      </c>
      <c r="F946" s="9" t="s">
        <v>5974</v>
      </c>
    </row>
    <row r="947">
      <c r="A947" s="4">
        <v>943.0</v>
      </c>
      <c r="B947" s="4" t="s">
        <v>136</v>
      </c>
      <c r="C947" s="7" t="s">
        <v>5572</v>
      </c>
      <c r="D947" s="4" t="s">
        <v>5553</v>
      </c>
      <c r="E947" s="4" t="s">
        <v>5573</v>
      </c>
      <c r="F947" s="9" t="s">
        <v>5976</v>
      </c>
    </row>
    <row r="948">
      <c r="A948" s="4">
        <v>944.0</v>
      </c>
      <c r="B948" s="4" t="s">
        <v>941</v>
      </c>
      <c r="C948" s="7" t="s">
        <v>1042</v>
      </c>
      <c r="D948" s="4" t="s">
        <v>5553</v>
      </c>
      <c r="E948" s="4" t="s">
        <v>5575</v>
      </c>
      <c r="F948" s="9" t="s">
        <v>5978</v>
      </c>
    </row>
    <row r="949">
      <c r="A949" s="4">
        <v>945.0</v>
      </c>
      <c r="B949" s="4" t="s">
        <v>44</v>
      </c>
      <c r="C949" s="7" t="s">
        <v>1042</v>
      </c>
      <c r="D949" s="4" t="s">
        <v>5553</v>
      </c>
      <c r="E949" s="4" t="s">
        <v>5577</v>
      </c>
      <c r="F949" s="9" t="s">
        <v>5981</v>
      </c>
    </row>
    <row r="950">
      <c r="A950" s="4">
        <v>946.0</v>
      </c>
      <c r="B950" s="4" t="s">
        <v>941</v>
      </c>
      <c r="C950" s="7" t="s">
        <v>1042</v>
      </c>
      <c r="D950" s="4" t="s">
        <v>5553</v>
      </c>
      <c r="E950" s="4" t="s">
        <v>5579</v>
      </c>
      <c r="F950" s="9" t="s">
        <v>5983</v>
      </c>
    </row>
    <row r="951">
      <c r="A951" s="4">
        <v>947.0</v>
      </c>
      <c r="B951" s="4" t="s">
        <v>217</v>
      </c>
      <c r="C951" s="7" t="s">
        <v>1042</v>
      </c>
      <c r="D951" s="4" t="s">
        <v>5553</v>
      </c>
      <c r="E951" s="4" t="s">
        <v>5581</v>
      </c>
      <c r="F951" s="9" t="s">
        <v>5985</v>
      </c>
    </row>
    <row r="952">
      <c r="A952" s="4">
        <v>948.0</v>
      </c>
      <c r="B952" s="4" t="s">
        <v>941</v>
      </c>
      <c r="C952" s="7" t="s">
        <v>5566</v>
      </c>
      <c r="D952" s="4" t="s">
        <v>5553</v>
      </c>
      <c r="E952" s="4" t="s">
        <v>5583</v>
      </c>
      <c r="F952" s="9" t="s">
        <v>5987</v>
      </c>
    </row>
    <row r="953">
      <c r="A953" s="4">
        <v>949.0</v>
      </c>
      <c r="B953" s="4" t="s">
        <v>127</v>
      </c>
      <c r="C953" s="7" t="s">
        <v>5585</v>
      </c>
      <c r="D953" s="4" t="s">
        <v>5553</v>
      </c>
      <c r="E953" s="4" t="s">
        <v>5586</v>
      </c>
      <c r="F953" s="9" t="s">
        <v>5988</v>
      </c>
    </row>
    <row r="954">
      <c r="A954" s="4">
        <v>950.0</v>
      </c>
      <c r="B954" s="4" t="s">
        <v>941</v>
      </c>
      <c r="C954" s="7" t="s">
        <v>1042</v>
      </c>
      <c r="D954" s="4" t="s">
        <v>5553</v>
      </c>
      <c r="E954" s="4" t="s">
        <v>5554</v>
      </c>
      <c r="F954" s="9" t="s">
        <v>5991</v>
      </c>
    </row>
    <row r="955">
      <c r="A955" s="4">
        <v>951.0</v>
      </c>
      <c r="B955" s="4" t="s">
        <v>941</v>
      </c>
      <c r="C955" s="7" t="s">
        <v>5556</v>
      </c>
      <c r="D955" s="4" t="s">
        <v>5553</v>
      </c>
      <c r="E955" s="4" t="s">
        <v>5557</v>
      </c>
      <c r="F955" s="9" t="s">
        <v>5993</v>
      </c>
    </row>
    <row r="956">
      <c r="A956" s="4">
        <v>952.0</v>
      </c>
      <c r="B956" s="4" t="s">
        <v>941</v>
      </c>
      <c r="C956" s="7" t="s">
        <v>1042</v>
      </c>
      <c r="D956" s="4" t="s">
        <v>5553</v>
      </c>
      <c r="E956" s="4" t="s">
        <v>5559</v>
      </c>
      <c r="F956" s="9" t="s">
        <v>6002</v>
      </c>
    </row>
    <row r="957">
      <c r="A957" s="4">
        <v>953.0</v>
      </c>
      <c r="B957" s="4" t="s">
        <v>1098</v>
      </c>
      <c r="C957" s="7" t="s">
        <v>1042</v>
      </c>
      <c r="D957" s="4" t="s">
        <v>5553</v>
      </c>
      <c r="E957" s="4" t="s">
        <v>5561</v>
      </c>
      <c r="F957" s="9" t="s">
        <v>6003</v>
      </c>
    </row>
    <row r="958">
      <c r="A958" s="4">
        <v>954.0</v>
      </c>
      <c r="B958" s="4" t="s">
        <v>941</v>
      </c>
      <c r="C958" s="7" t="s">
        <v>5563</v>
      </c>
      <c r="D958" s="4" t="s">
        <v>5553</v>
      </c>
      <c r="E958" s="4" t="s">
        <v>5564</v>
      </c>
      <c r="F958" s="9" t="s">
        <v>6006</v>
      </c>
    </row>
    <row r="959">
      <c r="A959" s="4">
        <v>955.0</v>
      </c>
      <c r="B959" s="4" t="s">
        <v>941</v>
      </c>
      <c r="C959" s="7" t="s">
        <v>5566</v>
      </c>
      <c r="D959" s="4" t="s">
        <v>5553</v>
      </c>
      <c r="E959" s="4" t="s">
        <v>5567</v>
      </c>
      <c r="F959" s="9" t="s">
        <v>6007</v>
      </c>
    </row>
    <row r="960">
      <c r="A960" s="4">
        <v>956.0</v>
      </c>
      <c r="B960" s="4" t="s">
        <v>155</v>
      </c>
      <c r="C960" s="7" t="s">
        <v>5569</v>
      </c>
      <c r="D960" s="4" t="s">
        <v>5553</v>
      </c>
      <c r="E960" s="4" t="s">
        <v>5570</v>
      </c>
      <c r="F960" s="9" t="s">
        <v>6008</v>
      </c>
    </row>
    <row r="961">
      <c r="A961" s="4">
        <v>957.0</v>
      </c>
      <c r="B961" s="4" t="s">
        <v>136</v>
      </c>
      <c r="C961" s="7" t="s">
        <v>5572</v>
      </c>
      <c r="D961" s="4" t="s">
        <v>5553</v>
      </c>
      <c r="E961" s="4" t="s">
        <v>5573</v>
      </c>
      <c r="F961" s="9" t="s">
        <v>6009</v>
      </c>
    </row>
    <row r="962">
      <c r="A962" s="4">
        <v>958.0</v>
      </c>
      <c r="B962" s="4" t="s">
        <v>941</v>
      </c>
      <c r="C962" s="7" t="s">
        <v>1042</v>
      </c>
      <c r="D962" s="4" t="s">
        <v>5553</v>
      </c>
      <c r="E962" s="4" t="s">
        <v>5575</v>
      </c>
      <c r="F962" s="9" t="s">
        <v>6011</v>
      </c>
    </row>
    <row r="963">
      <c r="A963" s="4">
        <v>959.0</v>
      </c>
      <c r="B963" s="4" t="s">
        <v>44</v>
      </c>
      <c r="C963" s="7" t="s">
        <v>1042</v>
      </c>
      <c r="D963" s="4" t="s">
        <v>5553</v>
      </c>
      <c r="E963" s="4" t="s">
        <v>5577</v>
      </c>
      <c r="F963" s="9" t="s">
        <v>6012</v>
      </c>
    </row>
    <row r="964">
      <c r="A964" s="4">
        <v>960.0</v>
      </c>
      <c r="B964" s="4" t="s">
        <v>941</v>
      </c>
      <c r="C964" s="7" t="s">
        <v>1042</v>
      </c>
      <c r="D964" s="4" t="s">
        <v>5553</v>
      </c>
      <c r="E964" s="4" t="s">
        <v>5579</v>
      </c>
      <c r="F964" s="9" t="s">
        <v>6014</v>
      </c>
    </row>
    <row r="965">
      <c r="A965" s="4">
        <v>961.0</v>
      </c>
      <c r="B965" s="4" t="s">
        <v>217</v>
      </c>
      <c r="C965" s="7" t="s">
        <v>1042</v>
      </c>
      <c r="D965" s="4" t="s">
        <v>5553</v>
      </c>
      <c r="E965" s="4" t="s">
        <v>5581</v>
      </c>
      <c r="F965" s="9" t="s">
        <v>6016</v>
      </c>
    </row>
    <row r="966">
      <c r="A966" s="4">
        <v>962.0</v>
      </c>
      <c r="B966" s="4" t="s">
        <v>941</v>
      </c>
      <c r="C966" s="7" t="s">
        <v>5566</v>
      </c>
      <c r="D966" s="4" t="s">
        <v>5553</v>
      </c>
      <c r="E966" s="4" t="s">
        <v>5583</v>
      </c>
      <c r="F966" s="9" t="s">
        <v>6018</v>
      </c>
    </row>
    <row r="967">
      <c r="A967" s="4">
        <v>963.0</v>
      </c>
      <c r="B967" s="4" t="s">
        <v>127</v>
      </c>
      <c r="C967" s="7" t="s">
        <v>5585</v>
      </c>
      <c r="D967" s="4" t="s">
        <v>5553</v>
      </c>
      <c r="E967" s="4" t="s">
        <v>5586</v>
      </c>
      <c r="F967" s="9" t="s">
        <v>6019</v>
      </c>
    </row>
    <row r="968">
      <c r="A968" s="4">
        <v>964.0</v>
      </c>
      <c r="B968" s="4" t="s">
        <v>941</v>
      </c>
      <c r="C968" s="7" t="s">
        <v>1042</v>
      </c>
      <c r="D968" s="4" t="s">
        <v>5553</v>
      </c>
      <c r="E968" s="4" t="s">
        <v>5554</v>
      </c>
      <c r="F968" s="9" t="s">
        <v>6020</v>
      </c>
    </row>
    <row r="969">
      <c r="A969" s="4">
        <v>965.0</v>
      </c>
      <c r="B969" s="4" t="s">
        <v>941</v>
      </c>
      <c r="C969" s="7" t="s">
        <v>5556</v>
      </c>
      <c r="D969" s="4" t="s">
        <v>5553</v>
      </c>
      <c r="E969" s="4" t="s">
        <v>5557</v>
      </c>
      <c r="F969" s="9" t="s">
        <v>6021</v>
      </c>
    </row>
    <row r="970">
      <c r="A970" s="4">
        <v>966.0</v>
      </c>
      <c r="B970" s="4" t="s">
        <v>941</v>
      </c>
      <c r="C970" s="7" t="s">
        <v>1042</v>
      </c>
      <c r="D970" s="4" t="s">
        <v>5553</v>
      </c>
      <c r="E970" s="4" t="s">
        <v>5559</v>
      </c>
      <c r="F970" s="9" t="s">
        <v>6022</v>
      </c>
    </row>
    <row r="971">
      <c r="A971" s="4">
        <v>967.0</v>
      </c>
      <c r="B971" s="4" t="s">
        <v>1098</v>
      </c>
      <c r="C971" s="7" t="s">
        <v>1042</v>
      </c>
      <c r="D971" s="4" t="s">
        <v>5553</v>
      </c>
      <c r="E971" s="4" t="s">
        <v>5561</v>
      </c>
      <c r="F971" s="9" t="s">
        <v>6023</v>
      </c>
    </row>
    <row r="972">
      <c r="A972" s="4">
        <v>968.0</v>
      </c>
      <c r="B972" s="4" t="s">
        <v>941</v>
      </c>
      <c r="C972" s="7" t="s">
        <v>5563</v>
      </c>
      <c r="D972" s="4" t="s">
        <v>5553</v>
      </c>
      <c r="E972" s="4" t="s">
        <v>5564</v>
      </c>
      <c r="F972" s="9" t="s">
        <v>6024</v>
      </c>
    </row>
    <row r="973">
      <c r="A973" s="4">
        <v>969.0</v>
      </c>
      <c r="B973" s="4" t="s">
        <v>941</v>
      </c>
      <c r="C973" s="7" t="s">
        <v>5566</v>
      </c>
      <c r="D973" s="4" t="s">
        <v>5553</v>
      </c>
      <c r="E973" s="4" t="s">
        <v>5567</v>
      </c>
      <c r="F973" s="9" t="s">
        <v>6025</v>
      </c>
    </row>
    <row r="974">
      <c r="A974" s="4">
        <v>970.0</v>
      </c>
      <c r="B974" s="4" t="s">
        <v>155</v>
      </c>
      <c r="C974" s="7" t="s">
        <v>5569</v>
      </c>
      <c r="D974" s="4" t="s">
        <v>5553</v>
      </c>
      <c r="E974" s="4" t="s">
        <v>5570</v>
      </c>
      <c r="F974" s="9" t="s">
        <v>6026</v>
      </c>
    </row>
    <row r="975">
      <c r="A975" s="4">
        <v>971.0</v>
      </c>
      <c r="B975" s="4" t="s">
        <v>136</v>
      </c>
      <c r="C975" s="7" t="s">
        <v>5572</v>
      </c>
      <c r="D975" s="4" t="s">
        <v>5553</v>
      </c>
      <c r="E975" s="4" t="s">
        <v>5573</v>
      </c>
      <c r="F975" s="9" t="s">
        <v>6027</v>
      </c>
    </row>
    <row r="976">
      <c r="A976" s="4">
        <v>972.0</v>
      </c>
      <c r="B976" s="4" t="s">
        <v>941</v>
      </c>
      <c r="C976" s="7" t="s">
        <v>1042</v>
      </c>
      <c r="D976" s="4" t="s">
        <v>5553</v>
      </c>
      <c r="E976" s="4" t="s">
        <v>5575</v>
      </c>
      <c r="F976" s="9" t="s">
        <v>6030</v>
      </c>
    </row>
    <row r="977">
      <c r="A977" s="4">
        <v>973.0</v>
      </c>
      <c r="B977" s="4" t="s">
        <v>44</v>
      </c>
      <c r="C977" s="7" t="s">
        <v>1042</v>
      </c>
      <c r="D977" s="4" t="s">
        <v>5553</v>
      </c>
      <c r="E977" s="4" t="s">
        <v>5577</v>
      </c>
      <c r="F977" s="9" t="s">
        <v>6032</v>
      </c>
    </row>
    <row r="978">
      <c r="A978" s="4">
        <v>974.0</v>
      </c>
      <c r="B978" s="4" t="s">
        <v>941</v>
      </c>
      <c r="C978" s="7" t="s">
        <v>1042</v>
      </c>
      <c r="D978" s="4" t="s">
        <v>5553</v>
      </c>
      <c r="E978" s="4" t="s">
        <v>5579</v>
      </c>
      <c r="F978" s="9" t="s">
        <v>6035</v>
      </c>
    </row>
    <row r="979">
      <c r="A979" s="4">
        <v>975.0</v>
      </c>
      <c r="B979" s="4" t="s">
        <v>217</v>
      </c>
      <c r="C979" s="7" t="s">
        <v>1042</v>
      </c>
      <c r="D979" s="4" t="s">
        <v>5553</v>
      </c>
      <c r="E979" s="4" t="s">
        <v>5581</v>
      </c>
      <c r="F979" s="9" t="s">
        <v>6038</v>
      </c>
    </row>
    <row r="980">
      <c r="A980" s="4">
        <v>976.0</v>
      </c>
      <c r="B980" s="4" t="s">
        <v>941</v>
      </c>
      <c r="C980" s="7" t="s">
        <v>5566</v>
      </c>
      <c r="D980" s="4" t="s">
        <v>5553</v>
      </c>
      <c r="E980" s="4" t="s">
        <v>5583</v>
      </c>
      <c r="F980" s="9" t="s">
        <v>6039</v>
      </c>
    </row>
    <row r="981">
      <c r="A981" s="4">
        <v>977.0</v>
      </c>
      <c r="B981" s="4" t="s">
        <v>127</v>
      </c>
      <c r="C981" s="7" t="s">
        <v>5585</v>
      </c>
      <c r="D981" s="4" t="s">
        <v>5553</v>
      </c>
      <c r="E981" s="4" t="s">
        <v>5586</v>
      </c>
      <c r="F981" s="9" t="s">
        <v>6040</v>
      </c>
    </row>
    <row r="982">
      <c r="A982" s="4">
        <v>978.0</v>
      </c>
      <c r="B982" s="4" t="s">
        <v>941</v>
      </c>
      <c r="C982" s="7" t="s">
        <v>1042</v>
      </c>
      <c r="D982" s="4" t="s">
        <v>5553</v>
      </c>
      <c r="E982" s="4" t="s">
        <v>5554</v>
      </c>
      <c r="F982" s="9" t="s">
        <v>6041</v>
      </c>
    </row>
    <row r="983">
      <c r="A983" s="4">
        <v>979.0</v>
      </c>
      <c r="B983" s="4" t="s">
        <v>941</v>
      </c>
      <c r="C983" s="7" t="s">
        <v>5556</v>
      </c>
      <c r="D983" s="4" t="s">
        <v>5553</v>
      </c>
      <c r="E983" s="4" t="s">
        <v>5557</v>
      </c>
      <c r="F983" s="9" t="s">
        <v>6042</v>
      </c>
    </row>
    <row r="984">
      <c r="A984" s="4">
        <v>980.0</v>
      </c>
      <c r="B984" s="4" t="s">
        <v>941</v>
      </c>
      <c r="C984" s="7" t="s">
        <v>1042</v>
      </c>
      <c r="D984" s="4" t="s">
        <v>5553</v>
      </c>
      <c r="E984" s="4" t="s">
        <v>5559</v>
      </c>
      <c r="F984" s="9" t="s">
        <v>6043</v>
      </c>
    </row>
    <row r="985">
      <c r="A985" s="4">
        <v>981.0</v>
      </c>
      <c r="B985" s="4" t="s">
        <v>1098</v>
      </c>
      <c r="C985" s="7" t="s">
        <v>1042</v>
      </c>
      <c r="D985" s="4" t="s">
        <v>5553</v>
      </c>
      <c r="E985" s="4" t="s">
        <v>5561</v>
      </c>
      <c r="F985" s="9" t="s">
        <v>6045</v>
      </c>
    </row>
    <row r="986">
      <c r="A986" s="4">
        <v>982.0</v>
      </c>
      <c r="B986" s="4" t="s">
        <v>941</v>
      </c>
      <c r="C986" s="7" t="s">
        <v>5563</v>
      </c>
      <c r="D986" s="4" t="s">
        <v>5553</v>
      </c>
      <c r="E986" s="4" t="s">
        <v>5564</v>
      </c>
      <c r="F986" s="9" t="s">
        <v>6048</v>
      </c>
    </row>
    <row r="987">
      <c r="A987" s="4">
        <v>983.0</v>
      </c>
      <c r="B987" s="4" t="s">
        <v>941</v>
      </c>
      <c r="C987" s="7" t="s">
        <v>5566</v>
      </c>
      <c r="D987" s="4" t="s">
        <v>5553</v>
      </c>
      <c r="E987" s="4" t="s">
        <v>5567</v>
      </c>
      <c r="F987" s="9" t="s">
        <v>6050</v>
      </c>
    </row>
    <row r="988">
      <c r="A988" s="4">
        <v>984.0</v>
      </c>
      <c r="B988" s="4" t="s">
        <v>155</v>
      </c>
      <c r="C988" s="7" t="s">
        <v>5569</v>
      </c>
      <c r="D988" s="4" t="s">
        <v>5553</v>
      </c>
      <c r="E988" s="4" t="s">
        <v>5570</v>
      </c>
      <c r="F988" s="9" t="s">
        <v>6051</v>
      </c>
    </row>
    <row r="989">
      <c r="A989" s="4">
        <v>985.0</v>
      </c>
      <c r="B989" s="4" t="s">
        <v>136</v>
      </c>
      <c r="C989" s="7" t="s">
        <v>5572</v>
      </c>
      <c r="D989" s="4" t="s">
        <v>5553</v>
      </c>
      <c r="E989" s="4" t="s">
        <v>5573</v>
      </c>
      <c r="F989" s="9" t="s">
        <v>6053</v>
      </c>
    </row>
    <row r="990">
      <c r="A990" s="4">
        <v>986.0</v>
      </c>
      <c r="B990" s="4" t="s">
        <v>941</v>
      </c>
      <c r="C990" s="7" t="s">
        <v>1042</v>
      </c>
      <c r="D990" s="4" t="s">
        <v>5553</v>
      </c>
      <c r="E990" s="4" t="s">
        <v>5575</v>
      </c>
      <c r="F990" s="9" t="s">
        <v>6054</v>
      </c>
    </row>
    <row r="991">
      <c r="A991" s="4">
        <v>987.0</v>
      </c>
      <c r="B991" s="4" t="s">
        <v>44</v>
      </c>
      <c r="C991" s="7" t="s">
        <v>1042</v>
      </c>
      <c r="D991" s="4" t="s">
        <v>5553</v>
      </c>
      <c r="E991" s="4" t="s">
        <v>5577</v>
      </c>
      <c r="F991" s="9" t="s">
        <v>6056</v>
      </c>
    </row>
    <row r="992">
      <c r="A992" s="4">
        <v>988.0</v>
      </c>
      <c r="B992" s="4" t="s">
        <v>941</v>
      </c>
      <c r="C992" s="7" t="s">
        <v>1042</v>
      </c>
      <c r="D992" s="4" t="s">
        <v>5553</v>
      </c>
      <c r="E992" s="4" t="s">
        <v>5579</v>
      </c>
      <c r="F992" s="9" t="s">
        <v>6057</v>
      </c>
    </row>
    <row r="993">
      <c r="A993" s="4">
        <v>989.0</v>
      </c>
      <c r="B993" s="4" t="s">
        <v>217</v>
      </c>
      <c r="C993" s="7" t="s">
        <v>1042</v>
      </c>
      <c r="D993" s="4" t="s">
        <v>5553</v>
      </c>
      <c r="E993" s="4" t="s">
        <v>5581</v>
      </c>
      <c r="F993" s="9" t="s">
        <v>6058</v>
      </c>
    </row>
    <row r="994">
      <c r="A994" s="4">
        <v>990.0</v>
      </c>
      <c r="B994" s="4" t="s">
        <v>941</v>
      </c>
      <c r="C994" s="7" t="s">
        <v>5566</v>
      </c>
      <c r="D994" s="4" t="s">
        <v>5553</v>
      </c>
      <c r="E994" s="4" t="s">
        <v>5583</v>
      </c>
      <c r="F994" s="9" t="s">
        <v>6060</v>
      </c>
    </row>
    <row r="995">
      <c r="A995" s="4">
        <v>991.0</v>
      </c>
      <c r="B995" s="4" t="s">
        <v>127</v>
      </c>
      <c r="C995" s="7" t="s">
        <v>5585</v>
      </c>
      <c r="D995" s="4" t="s">
        <v>5553</v>
      </c>
      <c r="E995" s="4" t="s">
        <v>5586</v>
      </c>
      <c r="F995" s="9" t="s">
        <v>6061</v>
      </c>
    </row>
    <row r="996">
      <c r="A996" s="4">
        <v>992.0</v>
      </c>
      <c r="B996" s="4" t="s">
        <v>941</v>
      </c>
      <c r="C996" s="7" t="s">
        <v>1042</v>
      </c>
      <c r="D996" s="4" t="s">
        <v>5553</v>
      </c>
      <c r="E996" s="4" t="s">
        <v>5554</v>
      </c>
      <c r="F996" s="9" t="s">
        <v>6062</v>
      </c>
    </row>
    <row r="997">
      <c r="A997" s="4">
        <v>993.0</v>
      </c>
      <c r="B997" s="4" t="s">
        <v>941</v>
      </c>
      <c r="C997" s="7" t="s">
        <v>5556</v>
      </c>
      <c r="D997" s="4" t="s">
        <v>5553</v>
      </c>
      <c r="E997" s="4" t="s">
        <v>5557</v>
      </c>
      <c r="F997" s="9" t="s">
        <v>6063</v>
      </c>
    </row>
    <row r="998">
      <c r="A998" s="4">
        <v>994.0</v>
      </c>
      <c r="B998" s="4" t="s">
        <v>941</v>
      </c>
      <c r="C998" s="7" t="s">
        <v>1042</v>
      </c>
      <c r="D998" s="4" t="s">
        <v>5553</v>
      </c>
      <c r="E998" s="4" t="s">
        <v>5559</v>
      </c>
      <c r="F998" s="9" t="s">
        <v>6065</v>
      </c>
    </row>
    <row r="999">
      <c r="A999" s="4">
        <v>995.0</v>
      </c>
      <c r="B999" s="4" t="s">
        <v>1098</v>
      </c>
      <c r="C999" s="7" t="s">
        <v>1042</v>
      </c>
      <c r="D999" s="4" t="s">
        <v>5553</v>
      </c>
      <c r="E999" s="4" t="s">
        <v>5561</v>
      </c>
      <c r="F999" s="9" t="s">
        <v>6066</v>
      </c>
    </row>
    <row r="1000">
      <c r="A1000" s="4">
        <v>996.0</v>
      </c>
      <c r="B1000" s="4" t="s">
        <v>941</v>
      </c>
      <c r="C1000" s="7" t="s">
        <v>5563</v>
      </c>
      <c r="D1000" s="4" t="s">
        <v>5553</v>
      </c>
      <c r="E1000" s="4" t="s">
        <v>5564</v>
      </c>
      <c r="F1000" s="9" t="s">
        <v>6068</v>
      </c>
    </row>
    <row r="1001">
      <c r="A1001" s="4">
        <v>997.0</v>
      </c>
      <c r="B1001" s="4" t="s">
        <v>941</v>
      </c>
      <c r="C1001" s="7" t="s">
        <v>5566</v>
      </c>
      <c r="D1001" s="4" t="s">
        <v>5553</v>
      </c>
      <c r="E1001" s="4" t="s">
        <v>5567</v>
      </c>
      <c r="F1001" s="9" t="s">
        <v>6070</v>
      </c>
    </row>
    <row r="1002">
      <c r="A1002" s="4">
        <v>998.0</v>
      </c>
      <c r="B1002" s="4" t="s">
        <v>155</v>
      </c>
      <c r="C1002" s="7" t="s">
        <v>5569</v>
      </c>
      <c r="D1002" s="4" t="s">
        <v>5553</v>
      </c>
      <c r="E1002" s="4" t="s">
        <v>5570</v>
      </c>
      <c r="F1002" s="9" t="s">
        <v>6071</v>
      </c>
    </row>
    <row r="1003">
      <c r="A1003" s="4">
        <v>999.0</v>
      </c>
      <c r="B1003" s="4" t="s">
        <v>136</v>
      </c>
      <c r="C1003" s="7" t="s">
        <v>5572</v>
      </c>
      <c r="D1003" s="4" t="s">
        <v>5553</v>
      </c>
      <c r="E1003" s="4" t="s">
        <v>5573</v>
      </c>
      <c r="F1003" s="9" t="s">
        <v>6073</v>
      </c>
    </row>
    <row r="1004">
      <c r="A1004" s="4">
        <v>1000.0</v>
      </c>
      <c r="B1004" s="4" t="s">
        <v>941</v>
      </c>
      <c r="C1004" s="7" t="s">
        <v>1042</v>
      </c>
      <c r="D1004" s="4" t="s">
        <v>5553</v>
      </c>
      <c r="E1004" s="4" t="s">
        <v>5575</v>
      </c>
      <c r="F1004" s="9" t="s">
        <v>6075</v>
      </c>
    </row>
    <row r="1005">
      <c r="A1005" s="4">
        <v>1001.0</v>
      </c>
      <c r="B1005" s="4" t="s">
        <v>44</v>
      </c>
      <c r="C1005" s="7" t="s">
        <v>1042</v>
      </c>
      <c r="D1005" s="4" t="s">
        <v>5553</v>
      </c>
      <c r="E1005" s="4" t="s">
        <v>5577</v>
      </c>
      <c r="F1005" s="9" t="s">
        <v>6077</v>
      </c>
    </row>
    <row r="1006">
      <c r="A1006" s="4">
        <v>1002.0</v>
      </c>
      <c r="B1006" s="4" t="s">
        <v>941</v>
      </c>
      <c r="C1006" s="7" t="s">
        <v>1042</v>
      </c>
      <c r="D1006" s="4" t="s">
        <v>5553</v>
      </c>
      <c r="E1006" s="4" t="s">
        <v>5579</v>
      </c>
      <c r="F1006" s="9" t="s">
        <v>6079</v>
      </c>
    </row>
    <row r="1007">
      <c r="A1007" s="4">
        <v>1003.0</v>
      </c>
      <c r="B1007" s="4" t="s">
        <v>217</v>
      </c>
      <c r="C1007" s="7" t="s">
        <v>1042</v>
      </c>
      <c r="D1007" s="4" t="s">
        <v>5553</v>
      </c>
      <c r="E1007" s="4" t="s">
        <v>5581</v>
      </c>
      <c r="F1007" s="9" t="s">
        <v>6081</v>
      </c>
    </row>
    <row r="1008">
      <c r="A1008" s="4">
        <v>1004.0</v>
      </c>
      <c r="B1008" s="4" t="s">
        <v>941</v>
      </c>
      <c r="C1008" s="7" t="s">
        <v>5566</v>
      </c>
      <c r="D1008" s="4" t="s">
        <v>5553</v>
      </c>
      <c r="E1008" s="4" t="s">
        <v>5583</v>
      </c>
      <c r="F1008" s="9" t="s">
        <v>6082</v>
      </c>
    </row>
    <row r="1009">
      <c r="A1009" s="4">
        <v>1005.0</v>
      </c>
      <c r="B1009" s="4" t="s">
        <v>127</v>
      </c>
      <c r="C1009" s="7" t="s">
        <v>5585</v>
      </c>
      <c r="D1009" s="4" t="s">
        <v>5553</v>
      </c>
      <c r="E1009" s="4" t="s">
        <v>5586</v>
      </c>
      <c r="F1009" s="9" t="s">
        <v>6083</v>
      </c>
    </row>
    <row r="1010">
      <c r="A1010" s="4">
        <v>1006.0</v>
      </c>
      <c r="B1010" s="4" t="s">
        <v>941</v>
      </c>
      <c r="C1010" s="7" t="s">
        <v>1042</v>
      </c>
      <c r="D1010" s="4" t="s">
        <v>5553</v>
      </c>
      <c r="E1010" s="4" t="s">
        <v>5554</v>
      </c>
      <c r="F1010" s="9" t="s">
        <v>6085</v>
      </c>
    </row>
    <row r="1011">
      <c r="A1011" s="4">
        <v>1007.0</v>
      </c>
      <c r="B1011" s="4" t="s">
        <v>941</v>
      </c>
      <c r="C1011" s="7" t="s">
        <v>5556</v>
      </c>
      <c r="D1011" s="4" t="s">
        <v>5553</v>
      </c>
      <c r="E1011" s="4" t="s">
        <v>5557</v>
      </c>
      <c r="F1011" s="9" t="s">
        <v>6087</v>
      </c>
    </row>
    <row r="1012">
      <c r="A1012" s="4">
        <v>1008.0</v>
      </c>
      <c r="B1012" s="4" t="s">
        <v>941</v>
      </c>
      <c r="C1012" s="7" t="s">
        <v>1042</v>
      </c>
      <c r="D1012" s="4" t="s">
        <v>5553</v>
      </c>
      <c r="E1012" s="4" t="s">
        <v>5559</v>
      </c>
      <c r="F1012" s="9" t="s">
        <v>6088</v>
      </c>
    </row>
    <row r="1013">
      <c r="A1013" s="4">
        <v>1009.0</v>
      </c>
      <c r="B1013" s="4" t="s">
        <v>1098</v>
      </c>
      <c r="C1013" s="7" t="s">
        <v>1042</v>
      </c>
      <c r="D1013" s="4" t="s">
        <v>5553</v>
      </c>
      <c r="E1013" s="4" t="s">
        <v>5561</v>
      </c>
      <c r="F1013" s="9" t="s">
        <v>6089</v>
      </c>
    </row>
    <row r="1014">
      <c r="A1014" s="4">
        <v>1010.0</v>
      </c>
      <c r="B1014" s="4" t="s">
        <v>941</v>
      </c>
      <c r="C1014" s="7" t="s">
        <v>5563</v>
      </c>
      <c r="D1014" s="4" t="s">
        <v>5553</v>
      </c>
      <c r="E1014" s="4" t="s">
        <v>5564</v>
      </c>
      <c r="F1014" s="9" t="s">
        <v>6090</v>
      </c>
    </row>
    <row r="1015">
      <c r="A1015" s="4">
        <v>1011.0</v>
      </c>
      <c r="B1015" s="4" t="s">
        <v>941</v>
      </c>
      <c r="C1015" s="7" t="s">
        <v>5566</v>
      </c>
      <c r="D1015" s="4" t="s">
        <v>5553</v>
      </c>
      <c r="E1015" s="4" t="s">
        <v>5567</v>
      </c>
      <c r="F1015" s="9" t="s">
        <v>6091</v>
      </c>
    </row>
    <row r="1016">
      <c r="A1016" s="4">
        <v>1012.0</v>
      </c>
      <c r="B1016" s="4" t="s">
        <v>155</v>
      </c>
      <c r="C1016" s="7" t="s">
        <v>5569</v>
      </c>
      <c r="D1016" s="4" t="s">
        <v>5553</v>
      </c>
      <c r="E1016" s="4" t="s">
        <v>5570</v>
      </c>
      <c r="F1016" s="9" t="s">
        <v>6092</v>
      </c>
    </row>
    <row r="1017">
      <c r="A1017" s="4">
        <v>1013.0</v>
      </c>
      <c r="B1017" s="4" t="s">
        <v>136</v>
      </c>
      <c r="C1017" s="7" t="s">
        <v>5572</v>
      </c>
      <c r="D1017" s="4" t="s">
        <v>5553</v>
      </c>
      <c r="E1017" s="4" t="s">
        <v>5573</v>
      </c>
      <c r="F1017" s="9" t="s">
        <v>6093</v>
      </c>
    </row>
    <row r="1018">
      <c r="A1018" s="4">
        <v>1014.0</v>
      </c>
      <c r="B1018" s="4" t="s">
        <v>941</v>
      </c>
      <c r="C1018" s="7" t="s">
        <v>1042</v>
      </c>
      <c r="D1018" s="4" t="s">
        <v>5553</v>
      </c>
      <c r="E1018" s="4" t="s">
        <v>5575</v>
      </c>
      <c r="F1018" s="9" t="s">
        <v>6094</v>
      </c>
    </row>
    <row r="1019">
      <c r="A1019" s="4">
        <v>1015.0</v>
      </c>
      <c r="B1019" s="4" t="s">
        <v>44</v>
      </c>
      <c r="C1019" s="7" t="s">
        <v>1042</v>
      </c>
      <c r="D1019" s="4" t="s">
        <v>5553</v>
      </c>
      <c r="E1019" s="4" t="s">
        <v>5577</v>
      </c>
      <c r="F1019" s="9" t="s">
        <v>6095</v>
      </c>
    </row>
    <row r="1020">
      <c r="A1020" s="4">
        <v>1016.0</v>
      </c>
      <c r="B1020" s="4" t="s">
        <v>941</v>
      </c>
      <c r="C1020" s="7" t="s">
        <v>1042</v>
      </c>
      <c r="D1020" s="4" t="s">
        <v>5553</v>
      </c>
      <c r="E1020" s="4" t="s">
        <v>5579</v>
      </c>
      <c r="F1020" s="9" t="s">
        <v>6096</v>
      </c>
    </row>
    <row r="1021">
      <c r="A1021" s="4">
        <v>1017.0</v>
      </c>
      <c r="B1021" s="4" t="s">
        <v>217</v>
      </c>
      <c r="C1021" s="7" t="s">
        <v>1042</v>
      </c>
      <c r="D1021" s="4" t="s">
        <v>5553</v>
      </c>
      <c r="E1021" s="4" t="s">
        <v>5581</v>
      </c>
      <c r="F1021" s="9" t="s">
        <v>6097</v>
      </c>
    </row>
    <row r="1022">
      <c r="A1022" s="4">
        <v>1018.0</v>
      </c>
      <c r="B1022" s="4" t="s">
        <v>941</v>
      </c>
      <c r="C1022" s="7" t="s">
        <v>5566</v>
      </c>
      <c r="D1022" s="4" t="s">
        <v>5553</v>
      </c>
      <c r="E1022" s="4" t="s">
        <v>5583</v>
      </c>
      <c r="F1022" s="9" t="s">
        <v>6098</v>
      </c>
    </row>
    <row r="1023">
      <c r="A1023" s="4">
        <v>1019.0</v>
      </c>
      <c r="B1023" s="4" t="s">
        <v>127</v>
      </c>
      <c r="C1023" s="7" t="s">
        <v>5585</v>
      </c>
      <c r="D1023" s="4" t="s">
        <v>5553</v>
      </c>
      <c r="E1023" s="4" t="s">
        <v>5586</v>
      </c>
      <c r="F1023" s="9" t="s">
        <v>6099</v>
      </c>
    </row>
    <row r="1024">
      <c r="A1024" s="4">
        <v>1020.0</v>
      </c>
      <c r="B1024" s="4" t="s">
        <v>941</v>
      </c>
      <c r="C1024" s="7" t="s">
        <v>1042</v>
      </c>
      <c r="D1024" s="4" t="s">
        <v>5553</v>
      </c>
      <c r="E1024" s="4" t="s">
        <v>5554</v>
      </c>
      <c r="F1024" s="9" t="s">
        <v>6100</v>
      </c>
    </row>
    <row r="1025">
      <c r="A1025" s="4">
        <v>1021.0</v>
      </c>
      <c r="B1025" s="4" t="s">
        <v>941</v>
      </c>
      <c r="C1025" s="7" t="s">
        <v>5556</v>
      </c>
      <c r="D1025" s="4" t="s">
        <v>5553</v>
      </c>
      <c r="E1025" s="4" t="s">
        <v>5557</v>
      </c>
      <c r="F1025" s="9" t="s">
        <v>6101</v>
      </c>
    </row>
    <row r="1026">
      <c r="A1026" s="4">
        <v>1022.0</v>
      </c>
      <c r="B1026" s="4" t="s">
        <v>941</v>
      </c>
      <c r="C1026" s="7" t="s">
        <v>1042</v>
      </c>
      <c r="D1026" s="4" t="s">
        <v>5553</v>
      </c>
      <c r="E1026" s="4" t="s">
        <v>5559</v>
      </c>
      <c r="F1026" s="9" t="s">
        <v>6102</v>
      </c>
    </row>
    <row r="1027">
      <c r="A1027" s="4">
        <v>1023.0</v>
      </c>
      <c r="B1027" s="4" t="s">
        <v>1098</v>
      </c>
      <c r="C1027" s="7" t="s">
        <v>1042</v>
      </c>
      <c r="D1027" s="4" t="s">
        <v>5553</v>
      </c>
      <c r="E1027" s="4" t="s">
        <v>5561</v>
      </c>
      <c r="F1027" s="9" t="s">
        <v>6103</v>
      </c>
    </row>
    <row r="1028">
      <c r="A1028" s="4">
        <v>1024.0</v>
      </c>
      <c r="B1028" s="4" t="s">
        <v>941</v>
      </c>
      <c r="C1028" s="7" t="s">
        <v>5563</v>
      </c>
      <c r="D1028" s="4" t="s">
        <v>5553</v>
      </c>
      <c r="E1028" s="4" t="s">
        <v>5564</v>
      </c>
      <c r="F1028" s="9" t="s">
        <v>6104</v>
      </c>
    </row>
    <row r="1029">
      <c r="A1029" s="4">
        <v>1025.0</v>
      </c>
      <c r="B1029" s="4" t="s">
        <v>941</v>
      </c>
      <c r="C1029" s="7" t="s">
        <v>5566</v>
      </c>
      <c r="D1029" s="4" t="s">
        <v>5553</v>
      </c>
      <c r="E1029" s="4" t="s">
        <v>5567</v>
      </c>
      <c r="F1029" s="9" t="s">
        <v>6105</v>
      </c>
    </row>
    <row r="1030">
      <c r="A1030" s="4">
        <v>1026.0</v>
      </c>
      <c r="B1030" s="4" t="s">
        <v>155</v>
      </c>
      <c r="C1030" s="7" t="s">
        <v>5569</v>
      </c>
      <c r="D1030" s="4" t="s">
        <v>5553</v>
      </c>
      <c r="E1030" s="4" t="s">
        <v>5570</v>
      </c>
      <c r="F1030" s="9" t="s">
        <v>6106</v>
      </c>
    </row>
    <row r="1031">
      <c r="A1031" s="4">
        <v>1027.0</v>
      </c>
      <c r="B1031" s="4" t="s">
        <v>136</v>
      </c>
      <c r="C1031" s="7" t="s">
        <v>5572</v>
      </c>
      <c r="D1031" s="4" t="s">
        <v>5553</v>
      </c>
      <c r="E1031" s="4" t="s">
        <v>5573</v>
      </c>
      <c r="F1031" s="9" t="s">
        <v>6107</v>
      </c>
    </row>
    <row r="1032">
      <c r="A1032" s="4">
        <v>1028.0</v>
      </c>
      <c r="B1032" s="4" t="s">
        <v>941</v>
      </c>
      <c r="C1032" s="7" t="s">
        <v>1042</v>
      </c>
      <c r="D1032" s="4" t="s">
        <v>5553</v>
      </c>
      <c r="E1032" s="4" t="s">
        <v>5575</v>
      </c>
      <c r="F1032" s="9" t="s">
        <v>6108</v>
      </c>
    </row>
    <row r="1033">
      <c r="A1033" s="4">
        <v>1029.0</v>
      </c>
      <c r="B1033" s="4" t="s">
        <v>44</v>
      </c>
      <c r="C1033" s="7" t="s">
        <v>1042</v>
      </c>
      <c r="D1033" s="4" t="s">
        <v>5553</v>
      </c>
      <c r="E1033" s="4" t="s">
        <v>5577</v>
      </c>
      <c r="F1033" s="9" t="s">
        <v>6109</v>
      </c>
    </row>
    <row r="1034">
      <c r="A1034" s="4">
        <v>1030.0</v>
      </c>
      <c r="B1034" s="4" t="s">
        <v>941</v>
      </c>
      <c r="C1034" s="7" t="s">
        <v>1042</v>
      </c>
      <c r="D1034" s="4" t="s">
        <v>5553</v>
      </c>
      <c r="E1034" s="4" t="s">
        <v>5579</v>
      </c>
      <c r="F1034" s="9" t="s">
        <v>6110</v>
      </c>
    </row>
    <row r="1035">
      <c r="A1035" s="4">
        <v>1031.0</v>
      </c>
      <c r="B1035" s="4" t="s">
        <v>217</v>
      </c>
      <c r="C1035" s="7" t="s">
        <v>1042</v>
      </c>
      <c r="D1035" s="4" t="s">
        <v>5553</v>
      </c>
      <c r="E1035" s="4" t="s">
        <v>5581</v>
      </c>
      <c r="F1035" s="9" t="s">
        <v>6111</v>
      </c>
    </row>
    <row r="1036">
      <c r="A1036" s="4">
        <v>1032.0</v>
      </c>
      <c r="B1036" s="4" t="s">
        <v>941</v>
      </c>
      <c r="C1036" s="7" t="s">
        <v>5566</v>
      </c>
      <c r="D1036" s="4" t="s">
        <v>5553</v>
      </c>
      <c r="E1036" s="4" t="s">
        <v>5583</v>
      </c>
      <c r="F1036" s="9" t="s">
        <v>6112</v>
      </c>
    </row>
    <row r="1037">
      <c r="A1037" s="4">
        <v>1033.0</v>
      </c>
      <c r="B1037" s="4" t="s">
        <v>127</v>
      </c>
      <c r="C1037" s="7" t="s">
        <v>5585</v>
      </c>
      <c r="D1037" s="4" t="s">
        <v>5553</v>
      </c>
      <c r="E1037" s="4" t="s">
        <v>5586</v>
      </c>
      <c r="F1037" s="9" t="s">
        <v>6113</v>
      </c>
    </row>
    <row r="1038">
      <c r="A1038" s="24" t="s">
        <v>6114</v>
      </c>
      <c r="B1038" s="11"/>
      <c r="C1038" s="11"/>
      <c r="D1038" s="11"/>
      <c r="E1038" s="11"/>
      <c r="F1038" s="25"/>
      <c r="G1038" s="12"/>
      <c r="H1038" s="12"/>
      <c r="I1038" s="12"/>
      <c r="J1038" s="12"/>
      <c r="K1038" s="12"/>
      <c r="L1038" s="12"/>
      <c r="M1038" s="12"/>
      <c r="N1038" s="12"/>
      <c r="O1038" s="12"/>
      <c r="P1038" s="12"/>
      <c r="Q1038" s="12"/>
      <c r="R1038" s="12"/>
      <c r="S1038" s="12"/>
      <c r="T1038" s="12"/>
      <c r="U1038" s="12"/>
      <c r="V1038" s="12"/>
      <c r="W1038" s="12"/>
      <c r="X1038" s="12"/>
      <c r="Y1038" s="12"/>
      <c r="Z1038" s="12"/>
    </row>
    <row r="1039">
      <c r="A1039" s="4">
        <v>1034.0</v>
      </c>
      <c r="B1039" s="4" t="s">
        <v>44</v>
      </c>
      <c r="C1039" s="7" t="s">
        <v>6117</v>
      </c>
      <c r="D1039" s="4" t="s">
        <v>6118</v>
      </c>
      <c r="E1039" s="4" t="s">
        <v>6119</v>
      </c>
      <c r="F1039" s="9" t="s">
        <v>6120</v>
      </c>
    </row>
    <row r="1040">
      <c r="A1040" s="4">
        <v>1035.0</v>
      </c>
      <c r="B1040" s="4" t="s">
        <v>44</v>
      </c>
      <c r="C1040" s="7" t="s">
        <v>6117</v>
      </c>
      <c r="D1040" s="4" t="s">
        <v>6118</v>
      </c>
      <c r="E1040" s="4" t="s">
        <v>6121</v>
      </c>
      <c r="F1040" s="9" t="s">
        <v>6122</v>
      </c>
    </row>
    <row r="1041">
      <c r="A1041" s="4">
        <v>1036.0</v>
      </c>
      <c r="B1041" s="4" t="s">
        <v>44</v>
      </c>
      <c r="C1041" s="7" t="s">
        <v>6117</v>
      </c>
      <c r="D1041" s="4" t="s">
        <v>6118</v>
      </c>
      <c r="E1041" s="4" t="s">
        <v>6123</v>
      </c>
      <c r="F1041" s="9" t="s">
        <v>6124</v>
      </c>
    </row>
    <row r="1042">
      <c r="A1042" s="4">
        <v>1037.0</v>
      </c>
      <c r="B1042" s="4" t="s">
        <v>44</v>
      </c>
      <c r="C1042" s="7" t="s">
        <v>6117</v>
      </c>
      <c r="D1042" s="4" t="s">
        <v>6125</v>
      </c>
      <c r="E1042" s="4" t="s">
        <v>6126</v>
      </c>
      <c r="F1042" s="9" t="s">
        <v>6127</v>
      </c>
    </row>
    <row r="1043">
      <c r="A1043" s="4">
        <v>1038.0</v>
      </c>
      <c r="B1043" s="4" t="s">
        <v>44</v>
      </c>
      <c r="C1043" s="7" t="s">
        <v>6117</v>
      </c>
      <c r="D1043" s="4" t="s">
        <v>6118</v>
      </c>
      <c r="E1043" s="4" t="s">
        <v>6129</v>
      </c>
      <c r="F1043" s="9" t="s">
        <v>6130</v>
      </c>
    </row>
    <row r="1044">
      <c r="A1044" s="4">
        <v>1039.0</v>
      </c>
      <c r="B1044" s="4" t="s">
        <v>44</v>
      </c>
      <c r="C1044" s="7" t="s">
        <v>6117</v>
      </c>
      <c r="D1044" s="4" t="s">
        <v>6118</v>
      </c>
      <c r="E1044" s="4" t="s">
        <v>6131</v>
      </c>
      <c r="F1044" s="9" t="s">
        <v>6132</v>
      </c>
    </row>
    <row r="1045">
      <c r="A1045" s="4">
        <v>1040.0</v>
      </c>
      <c r="B1045" s="4" t="s">
        <v>44</v>
      </c>
      <c r="C1045" s="7" t="s">
        <v>6117</v>
      </c>
      <c r="D1045" s="4" t="s">
        <v>6118</v>
      </c>
      <c r="E1045" s="4" t="s">
        <v>6133</v>
      </c>
      <c r="F1045" s="9" t="s">
        <v>6134</v>
      </c>
    </row>
    <row r="1046">
      <c r="A1046" s="4">
        <v>1041.0</v>
      </c>
      <c r="B1046" s="4" t="s">
        <v>44</v>
      </c>
      <c r="C1046" s="7" t="s">
        <v>6117</v>
      </c>
      <c r="D1046" s="4" t="s">
        <v>6118</v>
      </c>
      <c r="E1046" s="4" t="s">
        <v>6135</v>
      </c>
      <c r="F1046" s="9" t="s">
        <v>6136</v>
      </c>
    </row>
    <row r="1047">
      <c r="A1047" s="4">
        <v>1042.0</v>
      </c>
      <c r="B1047" s="4" t="s">
        <v>44</v>
      </c>
      <c r="C1047" s="7" t="s">
        <v>6117</v>
      </c>
      <c r="D1047" s="4" t="s">
        <v>6138</v>
      </c>
      <c r="E1047" s="4" t="s">
        <v>6139</v>
      </c>
      <c r="F1047" s="9" t="s">
        <v>6140</v>
      </c>
    </row>
    <row r="1048">
      <c r="A1048" s="4">
        <v>1043.0</v>
      </c>
      <c r="B1048" s="4" t="s">
        <v>44</v>
      </c>
      <c r="C1048" s="7" t="s">
        <v>6117</v>
      </c>
      <c r="D1048" s="4" t="s">
        <v>6141</v>
      </c>
      <c r="E1048" s="4" t="s">
        <v>6142</v>
      </c>
      <c r="F1048" s="9" t="s">
        <v>6143</v>
      </c>
    </row>
    <row r="1049">
      <c r="A1049" s="4">
        <v>1044.0</v>
      </c>
      <c r="B1049" s="4" t="s">
        <v>44</v>
      </c>
      <c r="C1049" s="7" t="s">
        <v>6117</v>
      </c>
      <c r="D1049" s="4" t="s">
        <v>6118</v>
      </c>
      <c r="E1049" s="4" t="s">
        <v>6144</v>
      </c>
      <c r="F1049" s="9" t="s">
        <v>6145</v>
      </c>
    </row>
    <row r="1050">
      <c r="A1050" s="4">
        <v>1045.0</v>
      </c>
      <c r="B1050" s="4" t="s">
        <v>44</v>
      </c>
      <c r="C1050" s="7" t="s">
        <v>6117</v>
      </c>
      <c r="D1050" s="4" t="s">
        <v>6118</v>
      </c>
      <c r="E1050" s="4" t="s">
        <v>6146</v>
      </c>
      <c r="F1050" s="9" t="s">
        <v>6147</v>
      </c>
    </row>
    <row r="1051">
      <c r="A1051" s="4">
        <v>1046.0</v>
      </c>
      <c r="B1051" s="4" t="s">
        <v>44</v>
      </c>
      <c r="C1051" s="7" t="s">
        <v>6117</v>
      </c>
      <c r="D1051" s="4" t="s">
        <v>6148</v>
      </c>
      <c r="E1051" s="4" t="s">
        <v>6149</v>
      </c>
      <c r="F1051" s="9" t="s">
        <v>6150</v>
      </c>
    </row>
    <row r="1052">
      <c r="A1052" s="4">
        <v>1047.0</v>
      </c>
      <c r="B1052" s="4" t="s">
        <v>44</v>
      </c>
      <c r="C1052" s="7" t="s">
        <v>6117</v>
      </c>
      <c r="D1052" s="4" t="s">
        <v>6118</v>
      </c>
      <c r="E1052" s="4" t="s">
        <v>6151</v>
      </c>
      <c r="F1052" s="9" t="s">
        <v>6152</v>
      </c>
    </row>
    <row r="1053">
      <c r="A1053" s="4">
        <v>1048.0</v>
      </c>
      <c r="B1053" s="4" t="s">
        <v>44</v>
      </c>
      <c r="C1053" s="7" t="s">
        <v>6117</v>
      </c>
      <c r="D1053" s="4" t="s">
        <v>6153</v>
      </c>
      <c r="E1053" s="4" t="s">
        <v>6154</v>
      </c>
      <c r="F1053" s="9" t="s">
        <v>6155</v>
      </c>
    </row>
    <row r="1054">
      <c r="A1054" s="4">
        <v>1049.0</v>
      </c>
      <c r="B1054" s="4" t="s">
        <v>44</v>
      </c>
      <c r="C1054" s="7" t="s">
        <v>6156</v>
      </c>
      <c r="D1054" s="4" t="s">
        <v>6157</v>
      </c>
      <c r="E1054" s="4" t="s">
        <v>6158</v>
      </c>
      <c r="F1054" s="9" t="s">
        <v>6159</v>
      </c>
    </row>
    <row r="1055">
      <c r="A1055" s="4">
        <v>1050.0</v>
      </c>
      <c r="B1055" s="4" t="s">
        <v>44</v>
      </c>
      <c r="C1055" s="7" t="s">
        <v>6117</v>
      </c>
      <c r="D1055" s="4" t="s">
        <v>6118</v>
      </c>
      <c r="E1055" s="4" t="s">
        <v>6160</v>
      </c>
      <c r="F1055" s="9" t="s">
        <v>6161</v>
      </c>
    </row>
    <row r="1056">
      <c r="A1056" s="13" t="s">
        <v>6162</v>
      </c>
      <c r="B1056" s="13"/>
      <c r="C1056" s="13"/>
      <c r="D1056" s="13"/>
      <c r="E1056" s="13"/>
      <c r="F1056" s="26"/>
      <c r="G1056" s="14"/>
      <c r="H1056" s="14"/>
      <c r="I1056" s="14"/>
      <c r="J1056" s="14"/>
      <c r="K1056" s="14"/>
      <c r="L1056" s="14"/>
      <c r="M1056" s="14"/>
      <c r="N1056" s="14"/>
      <c r="O1056" s="14"/>
      <c r="P1056" s="14"/>
      <c r="Q1056" s="14"/>
      <c r="R1056" s="14"/>
      <c r="S1056" s="14"/>
      <c r="T1056" s="14"/>
      <c r="U1056" s="14"/>
      <c r="V1056" s="14"/>
      <c r="W1056" s="14"/>
      <c r="X1056" s="14"/>
      <c r="Y1056" s="14"/>
      <c r="Z1056" s="14"/>
    </row>
    <row r="1057">
      <c r="A1057" s="4">
        <v>1051.0</v>
      </c>
      <c r="B1057" s="4" t="s">
        <v>941</v>
      </c>
      <c r="C1057" s="7" t="s">
        <v>6163</v>
      </c>
      <c r="D1057" s="4" t="s">
        <v>6164</v>
      </c>
      <c r="E1057" s="4" t="s">
        <v>6165</v>
      </c>
      <c r="F1057" s="9" t="s">
        <v>6166</v>
      </c>
    </row>
    <row r="1058">
      <c r="A1058" s="4">
        <v>1052.0</v>
      </c>
      <c r="B1058" s="4" t="s">
        <v>1098</v>
      </c>
      <c r="C1058" s="7" t="s">
        <v>6163</v>
      </c>
      <c r="D1058" s="4" t="s">
        <v>6164</v>
      </c>
      <c r="E1058" s="4" t="s">
        <v>6167</v>
      </c>
      <c r="F1058" s="9" t="s">
        <v>6168</v>
      </c>
    </row>
    <row r="1059">
      <c r="A1059" s="4">
        <v>1053.0</v>
      </c>
      <c r="B1059" s="4" t="s">
        <v>136</v>
      </c>
      <c r="C1059" s="7" t="s">
        <v>6169</v>
      </c>
      <c r="D1059" s="4" t="s">
        <v>6164</v>
      </c>
      <c r="E1059" s="4" t="s">
        <v>6170</v>
      </c>
      <c r="F1059" s="9" t="s">
        <v>6171</v>
      </c>
    </row>
    <row r="1060">
      <c r="A1060" s="13" t="s">
        <v>6172</v>
      </c>
      <c r="B1060" s="13"/>
      <c r="C1060" s="13"/>
      <c r="D1060" s="13"/>
      <c r="E1060" s="13"/>
      <c r="F1060" s="26"/>
      <c r="G1060" s="14"/>
      <c r="H1060" s="14"/>
      <c r="I1060" s="14"/>
      <c r="J1060" s="14"/>
      <c r="K1060" s="14"/>
      <c r="L1060" s="14"/>
      <c r="M1060" s="14"/>
      <c r="N1060" s="14"/>
      <c r="O1060" s="14"/>
      <c r="P1060" s="14"/>
      <c r="Q1060" s="14"/>
      <c r="R1060" s="14"/>
      <c r="S1060" s="14"/>
      <c r="T1060" s="14"/>
      <c r="U1060" s="14"/>
      <c r="V1060" s="14"/>
      <c r="W1060" s="14"/>
      <c r="X1060" s="14"/>
      <c r="Y1060" s="14"/>
      <c r="Z1060" s="14"/>
    </row>
    <row r="1061">
      <c r="A1061" s="4">
        <v>1054.0</v>
      </c>
      <c r="B1061" s="4" t="s">
        <v>46</v>
      </c>
      <c r="C1061" s="7" t="s">
        <v>6173</v>
      </c>
      <c r="D1061" s="4" t="s">
        <v>6174</v>
      </c>
      <c r="E1061" s="4" t="s">
        <v>6175</v>
      </c>
      <c r="F1061" s="9" t="s">
        <v>6176</v>
      </c>
    </row>
    <row r="1062">
      <c r="A1062" s="4">
        <v>1055.0</v>
      </c>
      <c r="B1062" s="4" t="s">
        <v>46</v>
      </c>
      <c r="C1062" s="7" t="s">
        <v>6173</v>
      </c>
      <c r="D1062" s="4" t="s">
        <v>6174</v>
      </c>
      <c r="E1062" s="4" t="s">
        <v>6177</v>
      </c>
      <c r="F1062" s="9" t="s">
        <v>6178</v>
      </c>
    </row>
    <row r="1063">
      <c r="A1063" s="4">
        <v>1056.0</v>
      </c>
      <c r="B1063" s="4" t="s">
        <v>46</v>
      </c>
      <c r="C1063" s="7" t="s">
        <v>6179</v>
      </c>
      <c r="D1063" s="4" t="s">
        <v>6174</v>
      </c>
      <c r="E1063" s="4" t="s">
        <v>6180</v>
      </c>
      <c r="F1063" s="9" t="s">
        <v>6181</v>
      </c>
    </row>
    <row r="1064">
      <c r="A1064" s="4">
        <v>1057.0</v>
      </c>
      <c r="B1064" s="4" t="s">
        <v>46</v>
      </c>
      <c r="C1064" s="7" t="s">
        <v>6173</v>
      </c>
      <c r="D1064" s="4" t="s">
        <v>6174</v>
      </c>
      <c r="E1064" s="4" t="s">
        <v>6182</v>
      </c>
      <c r="F1064" s="9" t="s">
        <v>6183</v>
      </c>
    </row>
    <row r="1065">
      <c r="A1065" s="4">
        <v>1058.0</v>
      </c>
      <c r="B1065" s="4" t="s">
        <v>233</v>
      </c>
      <c r="C1065" s="7" t="s">
        <v>6184</v>
      </c>
      <c r="D1065" s="4" t="s">
        <v>6174</v>
      </c>
      <c r="E1065" s="4" t="s">
        <v>6185</v>
      </c>
      <c r="F1065" s="9" t="s">
        <v>6186</v>
      </c>
    </row>
    <row r="1066">
      <c r="A1066" s="4">
        <v>1059.0</v>
      </c>
      <c r="B1066" s="4" t="s">
        <v>46</v>
      </c>
      <c r="C1066" s="7" t="s">
        <v>6173</v>
      </c>
      <c r="D1066" s="4" t="s">
        <v>6174</v>
      </c>
      <c r="E1066" s="4" t="s">
        <v>6187</v>
      </c>
      <c r="F1066" s="9" t="s">
        <v>6188</v>
      </c>
    </row>
    <row r="1067">
      <c r="A1067" s="4">
        <v>1060.0</v>
      </c>
      <c r="B1067" s="4" t="s">
        <v>6189</v>
      </c>
      <c r="C1067" s="7" t="s">
        <v>6190</v>
      </c>
      <c r="D1067" s="4" t="s">
        <v>6174</v>
      </c>
      <c r="E1067" s="4" t="s">
        <v>6191</v>
      </c>
      <c r="F1067" s="9" t="s">
        <v>6192</v>
      </c>
    </row>
    <row r="1068">
      <c r="A1068" s="4">
        <v>1061.0</v>
      </c>
      <c r="B1068" s="4" t="s">
        <v>6189</v>
      </c>
      <c r="C1068" s="7" t="s">
        <v>6193</v>
      </c>
      <c r="D1068" s="4" t="s">
        <v>6174</v>
      </c>
      <c r="E1068" s="4" t="s">
        <v>6194</v>
      </c>
      <c r="F1068" s="9" t="s">
        <v>6195</v>
      </c>
    </row>
    <row r="1069">
      <c r="A1069" s="4">
        <v>1062.0</v>
      </c>
      <c r="B1069" s="4" t="s">
        <v>233</v>
      </c>
      <c r="C1069" s="7" t="s">
        <v>6196</v>
      </c>
      <c r="D1069" s="4" t="s">
        <v>6174</v>
      </c>
      <c r="E1069" s="4" t="s">
        <v>6197</v>
      </c>
      <c r="F1069" s="9" t="s">
        <v>6198</v>
      </c>
    </row>
    <row r="1070">
      <c r="A1070" s="4">
        <v>1063.0</v>
      </c>
      <c r="B1070" s="4" t="s">
        <v>46</v>
      </c>
      <c r="C1070" s="7" t="s">
        <v>6199</v>
      </c>
      <c r="D1070" s="4" t="s">
        <v>6174</v>
      </c>
      <c r="E1070" s="4" t="s">
        <v>6200</v>
      </c>
      <c r="F1070" s="9" t="s">
        <v>6201</v>
      </c>
    </row>
    <row r="1071">
      <c r="A1071" s="4">
        <v>1064.0</v>
      </c>
      <c r="B1071" s="4" t="s">
        <v>46</v>
      </c>
      <c r="C1071" s="7" t="s">
        <v>6173</v>
      </c>
      <c r="D1071" s="4" t="s">
        <v>6174</v>
      </c>
      <c r="E1071" s="4" t="s">
        <v>6202</v>
      </c>
      <c r="F1071" s="9" t="s">
        <v>6203</v>
      </c>
    </row>
    <row r="1072">
      <c r="A1072" s="4">
        <v>1065.0</v>
      </c>
      <c r="B1072" s="4" t="s">
        <v>46</v>
      </c>
      <c r="C1072" s="7" t="s">
        <v>6204</v>
      </c>
      <c r="D1072" s="4" t="s">
        <v>6174</v>
      </c>
      <c r="E1072" s="4" t="s">
        <v>6205</v>
      </c>
      <c r="F1072" s="9" t="s">
        <v>6206</v>
      </c>
    </row>
    <row r="1073">
      <c r="A1073" s="4">
        <v>1066.0</v>
      </c>
      <c r="B1073" s="4" t="s">
        <v>46</v>
      </c>
      <c r="C1073" s="7" t="s">
        <v>6173</v>
      </c>
      <c r="D1073" s="4" t="s">
        <v>6174</v>
      </c>
      <c r="E1073" s="4" t="s">
        <v>6207</v>
      </c>
      <c r="F1073" s="9" t="s">
        <v>6208</v>
      </c>
    </row>
    <row r="1074">
      <c r="A1074" s="4">
        <v>1067.0</v>
      </c>
      <c r="B1074" s="4" t="s">
        <v>46</v>
      </c>
      <c r="C1074" s="7" t="s">
        <v>6173</v>
      </c>
      <c r="D1074" s="4" t="s">
        <v>6174</v>
      </c>
      <c r="E1074" s="4" t="s">
        <v>6209</v>
      </c>
      <c r="F1074" s="9" t="s">
        <v>6210</v>
      </c>
    </row>
    <row r="1075">
      <c r="A1075" s="4">
        <v>1068.0</v>
      </c>
      <c r="B1075" s="4" t="s">
        <v>46</v>
      </c>
      <c r="C1075" s="7" t="s">
        <v>6173</v>
      </c>
      <c r="D1075" s="4" t="s">
        <v>6174</v>
      </c>
      <c r="E1075" s="4" t="s">
        <v>6211</v>
      </c>
      <c r="F1075" s="9" t="s">
        <v>6212</v>
      </c>
    </row>
    <row r="1076">
      <c r="A1076" s="4">
        <v>1069.0</v>
      </c>
      <c r="B1076" s="4" t="s">
        <v>46</v>
      </c>
      <c r="C1076" s="7" t="s">
        <v>6173</v>
      </c>
      <c r="D1076" s="4" t="s">
        <v>6174</v>
      </c>
      <c r="E1076" s="4" t="s">
        <v>6213</v>
      </c>
      <c r="F1076" s="9" t="s">
        <v>6214</v>
      </c>
    </row>
    <row r="1077">
      <c r="A1077" s="4">
        <v>1070.0</v>
      </c>
      <c r="B1077" s="4" t="s">
        <v>46</v>
      </c>
      <c r="C1077" s="7" t="s">
        <v>6173</v>
      </c>
      <c r="D1077" s="4" t="s">
        <v>6174</v>
      </c>
      <c r="E1077" s="4" t="s">
        <v>6215</v>
      </c>
      <c r="F1077" s="9" t="s">
        <v>6216</v>
      </c>
    </row>
    <row r="1078">
      <c r="A1078" s="4">
        <v>1071.0</v>
      </c>
      <c r="B1078" s="4" t="s">
        <v>46</v>
      </c>
      <c r="C1078" s="7" t="s">
        <v>6173</v>
      </c>
      <c r="D1078" s="4" t="s">
        <v>6174</v>
      </c>
      <c r="E1078" s="4" t="s">
        <v>6217</v>
      </c>
      <c r="F1078" s="9" t="s">
        <v>6218</v>
      </c>
    </row>
    <row r="1079">
      <c r="A1079" s="11" t="s">
        <v>1446</v>
      </c>
      <c r="B1079" s="11"/>
      <c r="C1079" s="11"/>
      <c r="D1079" s="11"/>
      <c r="E1079" s="11"/>
      <c r="F1079" s="25"/>
      <c r="G1079" s="12"/>
      <c r="H1079" s="12"/>
      <c r="I1079" s="12"/>
      <c r="J1079" s="12"/>
      <c r="K1079" s="12"/>
      <c r="L1079" s="12"/>
      <c r="M1079" s="12"/>
      <c r="N1079" s="12"/>
      <c r="O1079" s="12"/>
      <c r="P1079" s="12"/>
      <c r="Q1079" s="12"/>
      <c r="R1079" s="12"/>
      <c r="S1079" s="12"/>
      <c r="T1079" s="12"/>
      <c r="U1079" s="12"/>
      <c r="V1079" s="12"/>
      <c r="W1079" s="12"/>
      <c r="X1079" s="12"/>
      <c r="Y1079" s="12"/>
      <c r="Z1079" s="12"/>
    </row>
    <row r="1080">
      <c r="A1080" s="4">
        <v>1072.0</v>
      </c>
      <c r="B1080" s="4" t="s">
        <v>46</v>
      </c>
      <c r="C1080" s="7" t="s">
        <v>6219</v>
      </c>
      <c r="D1080" s="4" t="s">
        <v>6220</v>
      </c>
      <c r="E1080" s="4" t="s">
        <v>6221</v>
      </c>
      <c r="F1080" s="9" t="s">
        <v>6222</v>
      </c>
    </row>
    <row r="1081">
      <c r="A1081" s="4">
        <v>1073.0</v>
      </c>
      <c r="B1081" s="4" t="s">
        <v>1098</v>
      </c>
      <c r="C1081" s="7" t="s">
        <v>6223</v>
      </c>
      <c r="D1081" s="4" t="s">
        <v>6220</v>
      </c>
      <c r="E1081" s="4" t="s">
        <v>6224</v>
      </c>
      <c r="F1081" s="9" t="s">
        <v>6225</v>
      </c>
    </row>
    <row r="1082">
      <c r="A1082" s="4">
        <v>1074.0</v>
      </c>
      <c r="B1082" s="4" t="s">
        <v>46</v>
      </c>
      <c r="C1082" s="7" t="s">
        <v>6226</v>
      </c>
      <c r="D1082" s="4" t="s">
        <v>6220</v>
      </c>
      <c r="E1082" s="4" t="s">
        <v>6228</v>
      </c>
      <c r="F1082" s="9" t="s">
        <v>6229</v>
      </c>
    </row>
    <row r="1083">
      <c r="A1083" s="4">
        <v>1075.0</v>
      </c>
      <c r="B1083" s="4" t="s">
        <v>1098</v>
      </c>
      <c r="C1083" s="7" t="s">
        <v>6230</v>
      </c>
      <c r="D1083" s="4" t="s">
        <v>6220</v>
      </c>
      <c r="E1083" s="4" t="s">
        <v>6231</v>
      </c>
      <c r="F1083" s="9" t="s">
        <v>6232</v>
      </c>
    </row>
    <row r="1084">
      <c r="A1084" s="4">
        <v>1076.0</v>
      </c>
      <c r="B1084" s="4" t="s">
        <v>46</v>
      </c>
      <c r="C1084" s="7" t="s">
        <v>6233</v>
      </c>
      <c r="D1084" s="4" t="s">
        <v>6220</v>
      </c>
      <c r="E1084" s="4" t="s">
        <v>6235</v>
      </c>
      <c r="F1084" s="9" t="s">
        <v>6236</v>
      </c>
    </row>
    <row r="1085">
      <c r="A1085" s="4">
        <v>1077.0</v>
      </c>
      <c r="B1085" s="4" t="s">
        <v>46</v>
      </c>
      <c r="C1085" s="7" t="s">
        <v>6237</v>
      </c>
      <c r="D1085" s="4" t="s">
        <v>6220</v>
      </c>
      <c r="E1085" s="4" t="s">
        <v>6238</v>
      </c>
      <c r="F1085" s="9" t="s">
        <v>6239</v>
      </c>
    </row>
    <row r="1086">
      <c r="A1086" s="4">
        <v>1078.0</v>
      </c>
      <c r="B1086" s="4" t="s">
        <v>46</v>
      </c>
      <c r="C1086" s="7" t="s">
        <v>6219</v>
      </c>
      <c r="D1086" s="4" t="s">
        <v>6220</v>
      </c>
      <c r="E1086" s="4" t="s">
        <v>6240</v>
      </c>
      <c r="F1086" s="9" t="s">
        <v>6241</v>
      </c>
    </row>
    <row r="1087">
      <c r="A1087" s="4">
        <v>1079.0</v>
      </c>
      <c r="B1087" s="4" t="s">
        <v>1098</v>
      </c>
      <c r="C1087" s="7" t="s">
        <v>6243</v>
      </c>
      <c r="D1087" s="4" t="s">
        <v>6220</v>
      </c>
      <c r="E1087" s="4" t="s">
        <v>6244</v>
      </c>
      <c r="F1087" s="9" t="s">
        <v>6245</v>
      </c>
    </row>
    <row r="1088">
      <c r="A1088" s="4">
        <v>1080.0</v>
      </c>
      <c r="B1088" s="4" t="s">
        <v>46</v>
      </c>
      <c r="C1088" s="7" t="s">
        <v>6226</v>
      </c>
      <c r="D1088" s="4" t="s">
        <v>6220</v>
      </c>
      <c r="E1088" s="4" t="s">
        <v>6246</v>
      </c>
      <c r="F1088" s="9" t="s">
        <v>6247</v>
      </c>
    </row>
    <row r="1089">
      <c r="A1089" s="4">
        <v>1081.0</v>
      </c>
      <c r="B1089" s="4" t="s">
        <v>46</v>
      </c>
      <c r="C1089" s="7" t="s">
        <v>6219</v>
      </c>
      <c r="D1089" s="4" t="s">
        <v>6220</v>
      </c>
      <c r="E1089" s="4" t="s">
        <v>6221</v>
      </c>
      <c r="F1089" s="9" t="s">
        <v>6248</v>
      </c>
    </row>
    <row r="1090">
      <c r="A1090" s="4">
        <v>1082.0</v>
      </c>
      <c r="B1090" s="4" t="s">
        <v>1098</v>
      </c>
      <c r="C1090" s="7" t="s">
        <v>6223</v>
      </c>
      <c r="D1090" s="4" t="s">
        <v>6220</v>
      </c>
      <c r="E1090" s="4" t="s">
        <v>6224</v>
      </c>
      <c r="F1090" s="9" t="s">
        <v>6249</v>
      </c>
    </row>
    <row r="1091">
      <c r="A1091" s="4">
        <v>1083.0</v>
      </c>
      <c r="B1091" s="4" t="s">
        <v>46</v>
      </c>
      <c r="C1091" s="7" t="s">
        <v>6226</v>
      </c>
      <c r="D1091" s="4" t="s">
        <v>6220</v>
      </c>
      <c r="E1091" s="4" t="s">
        <v>6228</v>
      </c>
      <c r="F1091" s="9" t="s">
        <v>6250</v>
      </c>
    </row>
    <row r="1092">
      <c r="A1092" s="4">
        <v>1084.0</v>
      </c>
      <c r="B1092" s="4" t="s">
        <v>1098</v>
      </c>
      <c r="C1092" s="7" t="s">
        <v>6230</v>
      </c>
      <c r="D1092" s="4" t="s">
        <v>6220</v>
      </c>
      <c r="E1092" s="4" t="s">
        <v>6231</v>
      </c>
      <c r="F1092" s="9" t="s">
        <v>6252</v>
      </c>
    </row>
    <row r="1093">
      <c r="A1093" s="4">
        <v>1085.0</v>
      </c>
      <c r="B1093" s="4" t="s">
        <v>46</v>
      </c>
      <c r="C1093" s="7" t="s">
        <v>6233</v>
      </c>
      <c r="D1093" s="4" t="s">
        <v>6220</v>
      </c>
      <c r="E1093" s="4" t="s">
        <v>6235</v>
      </c>
      <c r="F1093" s="9" t="s">
        <v>6253</v>
      </c>
    </row>
    <row r="1094">
      <c r="A1094" s="4">
        <v>1086.0</v>
      </c>
      <c r="B1094" s="4" t="s">
        <v>46</v>
      </c>
      <c r="C1094" s="7" t="s">
        <v>6226</v>
      </c>
      <c r="D1094" s="4" t="s">
        <v>6220</v>
      </c>
      <c r="E1094" s="4" t="s">
        <v>6255</v>
      </c>
      <c r="F1094" s="9" t="s">
        <v>6256</v>
      </c>
    </row>
    <row r="1095">
      <c r="A1095" s="4">
        <v>1087.0</v>
      </c>
      <c r="B1095" s="4" t="s">
        <v>46</v>
      </c>
      <c r="C1095" s="7" t="s">
        <v>6226</v>
      </c>
      <c r="D1095" s="4" t="s">
        <v>6220</v>
      </c>
      <c r="E1095" s="4" t="s">
        <v>6255</v>
      </c>
      <c r="F1095" s="9" t="s">
        <v>6257</v>
      </c>
    </row>
    <row r="1096">
      <c r="A1096" s="4">
        <v>1088.0</v>
      </c>
      <c r="B1096" s="4" t="s">
        <v>1098</v>
      </c>
      <c r="C1096" s="7" t="s">
        <v>6243</v>
      </c>
      <c r="D1096" s="4" t="s">
        <v>6220</v>
      </c>
      <c r="E1096" s="4" t="s">
        <v>6244</v>
      </c>
      <c r="F1096" s="9" t="s">
        <v>6258</v>
      </c>
    </row>
    <row r="1097">
      <c r="A1097" s="4">
        <v>1089.0</v>
      </c>
      <c r="B1097" s="4" t="s">
        <v>46</v>
      </c>
      <c r="C1097" s="7" t="s">
        <v>6226</v>
      </c>
      <c r="D1097" s="4" t="s">
        <v>6220</v>
      </c>
      <c r="E1097" s="4" t="s">
        <v>6246</v>
      </c>
      <c r="F1097" s="9" t="s">
        <v>6259</v>
      </c>
    </row>
    <row r="1098">
      <c r="A1098" s="4">
        <v>1090.0</v>
      </c>
      <c r="B1098" s="4" t="s">
        <v>46</v>
      </c>
      <c r="C1098" s="7" t="s">
        <v>6219</v>
      </c>
      <c r="D1098" s="4" t="s">
        <v>6220</v>
      </c>
      <c r="E1098" s="4" t="s">
        <v>6221</v>
      </c>
      <c r="F1098" s="9" t="s">
        <v>6261</v>
      </c>
    </row>
    <row r="1099">
      <c r="A1099" s="4">
        <v>1091.0</v>
      </c>
      <c r="B1099" s="4" t="s">
        <v>1098</v>
      </c>
      <c r="C1099" s="7" t="s">
        <v>6223</v>
      </c>
      <c r="D1099" s="4" t="s">
        <v>6220</v>
      </c>
      <c r="E1099" s="4" t="s">
        <v>6224</v>
      </c>
      <c r="F1099" s="9" t="s">
        <v>6262</v>
      </c>
    </row>
    <row r="1100">
      <c r="A1100" s="4">
        <v>1092.0</v>
      </c>
      <c r="B1100" s="4" t="s">
        <v>46</v>
      </c>
      <c r="C1100" s="7" t="s">
        <v>6226</v>
      </c>
      <c r="D1100" s="4" t="s">
        <v>6220</v>
      </c>
      <c r="E1100" s="4" t="s">
        <v>6228</v>
      </c>
      <c r="F1100" s="9" t="s">
        <v>6263</v>
      </c>
    </row>
    <row r="1101">
      <c r="A1101" s="4">
        <v>1093.0</v>
      </c>
      <c r="B1101" s="4" t="s">
        <v>1098</v>
      </c>
      <c r="C1101" s="7" t="s">
        <v>6230</v>
      </c>
      <c r="D1101" s="4" t="s">
        <v>6220</v>
      </c>
      <c r="E1101" s="4" t="s">
        <v>6231</v>
      </c>
      <c r="F1101" s="9" t="s">
        <v>6264</v>
      </c>
    </row>
    <row r="1102">
      <c r="A1102" s="4">
        <v>1094.0</v>
      </c>
      <c r="B1102" s="4" t="s">
        <v>46</v>
      </c>
      <c r="C1102" s="7" t="s">
        <v>6233</v>
      </c>
      <c r="D1102" s="4" t="s">
        <v>6220</v>
      </c>
      <c r="E1102" s="4" t="s">
        <v>6235</v>
      </c>
      <c r="F1102" s="9" t="s">
        <v>6265</v>
      </c>
    </row>
    <row r="1103">
      <c r="A1103" s="4">
        <v>1095.0</v>
      </c>
      <c r="B1103" s="4" t="s">
        <v>46</v>
      </c>
      <c r="C1103" s="7" t="s">
        <v>6237</v>
      </c>
      <c r="D1103" s="4" t="s">
        <v>6220</v>
      </c>
      <c r="E1103" s="4" t="s">
        <v>6238</v>
      </c>
      <c r="F1103" s="9" t="s">
        <v>6266</v>
      </c>
    </row>
    <row r="1104">
      <c r="A1104" s="4">
        <v>1096.0</v>
      </c>
      <c r="B1104" s="4" t="s">
        <v>46</v>
      </c>
      <c r="C1104" s="7" t="s">
        <v>6219</v>
      </c>
      <c r="D1104" s="4" t="s">
        <v>6220</v>
      </c>
      <c r="E1104" s="4" t="s">
        <v>6240</v>
      </c>
      <c r="F1104" s="9" t="s">
        <v>6269</v>
      </c>
    </row>
    <row r="1105">
      <c r="A1105" s="4">
        <v>1097.0</v>
      </c>
      <c r="B1105" s="4" t="s">
        <v>1098</v>
      </c>
      <c r="C1105" s="7" t="s">
        <v>6243</v>
      </c>
      <c r="D1105" s="4" t="s">
        <v>6220</v>
      </c>
      <c r="E1105" s="4" t="s">
        <v>6244</v>
      </c>
      <c r="F1105" s="9" t="s">
        <v>6271</v>
      </c>
    </row>
    <row r="1106">
      <c r="A1106" s="4">
        <v>1098.0</v>
      </c>
      <c r="B1106" s="4" t="s">
        <v>46</v>
      </c>
      <c r="C1106" s="7" t="s">
        <v>6226</v>
      </c>
      <c r="D1106" s="4" t="s">
        <v>6220</v>
      </c>
      <c r="E1106" s="4" t="s">
        <v>6246</v>
      </c>
      <c r="F1106" s="9" t="s">
        <v>6272</v>
      </c>
    </row>
    <row r="1107">
      <c r="A1107" s="4">
        <v>1099.0</v>
      </c>
      <c r="B1107" s="4" t="s">
        <v>46</v>
      </c>
      <c r="C1107" s="7" t="s">
        <v>6219</v>
      </c>
      <c r="D1107" s="4" t="s">
        <v>6220</v>
      </c>
      <c r="E1107" s="4" t="s">
        <v>6221</v>
      </c>
      <c r="F1107" s="9" t="s">
        <v>6273</v>
      </c>
    </row>
    <row r="1108">
      <c r="A1108" s="4">
        <v>1100.0</v>
      </c>
      <c r="B1108" s="4" t="s">
        <v>1098</v>
      </c>
      <c r="C1108" s="7" t="s">
        <v>6223</v>
      </c>
      <c r="D1108" s="4" t="s">
        <v>6220</v>
      </c>
      <c r="E1108" s="4" t="s">
        <v>6224</v>
      </c>
      <c r="F1108" s="9" t="s">
        <v>6275</v>
      </c>
    </row>
    <row r="1109">
      <c r="A1109" s="4">
        <v>1101.0</v>
      </c>
      <c r="B1109" s="4" t="s">
        <v>46</v>
      </c>
      <c r="C1109" s="7" t="s">
        <v>6226</v>
      </c>
      <c r="D1109" s="4" t="s">
        <v>6220</v>
      </c>
      <c r="E1109" s="4" t="s">
        <v>6228</v>
      </c>
      <c r="F1109" s="9" t="s">
        <v>6276</v>
      </c>
    </row>
    <row r="1110">
      <c r="A1110" s="4">
        <v>1102.0</v>
      </c>
      <c r="B1110" s="4" t="s">
        <v>1098</v>
      </c>
      <c r="C1110" s="7" t="s">
        <v>6230</v>
      </c>
      <c r="D1110" s="4" t="s">
        <v>6220</v>
      </c>
      <c r="E1110" s="4" t="s">
        <v>6231</v>
      </c>
      <c r="F1110" s="9" t="s">
        <v>6277</v>
      </c>
    </row>
    <row r="1111">
      <c r="A1111" s="4">
        <v>1103.0</v>
      </c>
      <c r="B1111" s="4" t="s">
        <v>46</v>
      </c>
      <c r="C1111" s="7" t="s">
        <v>6233</v>
      </c>
      <c r="D1111" s="4" t="s">
        <v>6220</v>
      </c>
      <c r="E1111" s="4" t="s">
        <v>6235</v>
      </c>
      <c r="F1111" s="9" t="s">
        <v>6279</v>
      </c>
    </row>
    <row r="1112">
      <c r="A1112" s="4">
        <v>1104.0</v>
      </c>
      <c r="B1112" s="4" t="s">
        <v>46</v>
      </c>
      <c r="C1112" s="7" t="s">
        <v>6237</v>
      </c>
      <c r="D1112" s="4" t="s">
        <v>6220</v>
      </c>
      <c r="E1112" s="4" t="s">
        <v>6238</v>
      </c>
      <c r="F1112" s="9" t="s">
        <v>6281</v>
      </c>
    </row>
    <row r="1113">
      <c r="A1113" s="4">
        <v>1105.0</v>
      </c>
      <c r="B1113" s="4" t="s">
        <v>46</v>
      </c>
      <c r="C1113" s="7" t="s">
        <v>6219</v>
      </c>
      <c r="D1113" s="4" t="s">
        <v>6220</v>
      </c>
      <c r="E1113" s="4" t="s">
        <v>6240</v>
      </c>
      <c r="F1113" s="9" t="s">
        <v>6283</v>
      </c>
    </row>
    <row r="1114">
      <c r="A1114" s="4">
        <v>1106.0</v>
      </c>
      <c r="B1114" s="4" t="s">
        <v>1098</v>
      </c>
      <c r="C1114" s="7" t="s">
        <v>6243</v>
      </c>
      <c r="D1114" s="4" t="s">
        <v>6220</v>
      </c>
      <c r="E1114" s="4" t="s">
        <v>6244</v>
      </c>
      <c r="F1114" s="9" t="s">
        <v>6285</v>
      </c>
    </row>
    <row r="1115">
      <c r="A1115" s="4">
        <v>1107.0</v>
      </c>
      <c r="B1115" s="4" t="s">
        <v>46</v>
      </c>
      <c r="C1115" s="7" t="s">
        <v>6226</v>
      </c>
      <c r="D1115" s="4" t="s">
        <v>6220</v>
      </c>
      <c r="E1115" s="4" t="s">
        <v>6246</v>
      </c>
      <c r="F1115" s="9" t="s">
        <v>6288</v>
      </c>
    </row>
    <row r="1116">
      <c r="A1116" s="4">
        <v>1108.0</v>
      </c>
      <c r="B1116" s="4" t="s">
        <v>46</v>
      </c>
      <c r="C1116" s="7" t="s">
        <v>6219</v>
      </c>
      <c r="D1116" s="4" t="s">
        <v>6220</v>
      </c>
      <c r="E1116" s="4" t="s">
        <v>6221</v>
      </c>
      <c r="F1116" s="9" t="s">
        <v>6290</v>
      </c>
    </row>
    <row r="1117">
      <c r="A1117" s="4">
        <v>1109.0</v>
      </c>
      <c r="B1117" s="4" t="s">
        <v>1098</v>
      </c>
      <c r="C1117" s="7" t="s">
        <v>6223</v>
      </c>
      <c r="D1117" s="4" t="s">
        <v>6220</v>
      </c>
      <c r="E1117" s="4" t="s">
        <v>6224</v>
      </c>
      <c r="F1117" s="9" t="s">
        <v>6291</v>
      </c>
    </row>
    <row r="1118">
      <c r="A1118" s="4">
        <v>1110.0</v>
      </c>
      <c r="B1118" s="4" t="s">
        <v>46</v>
      </c>
      <c r="C1118" s="7" t="s">
        <v>6226</v>
      </c>
      <c r="D1118" s="4" t="s">
        <v>6220</v>
      </c>
      <c r="E1118" s="4" t="s">
        <v>6228</v>
      </c>
      <c r="F1118" s="9" t="s">
        <v>6293</v>
      </c>
    </row>
    <row r="1119">
      <c r="A1119" s="4">
        <v>1111.0</v>
      </c>
      <c r="B1119" s="4" t="s">
        <v>1098</v>
      </c>
      <c r="C1119" s="7" t="s">
        <v>6230</v>
      </c>
      <c r="D1119" s="4" t="s">
        <v>6220</v>
      </c>
      <c r="E1119" s="4" t="s">
        <v>6231</v>
      </c>
      <c r="F1119" s="9" t="s">
        <v>6294</v>
      </c>
    </row>
    <row r="1120">
      <c r="A1120" s="4">
        <v>1112.0</v>
      </c>
      <c r="B1120" s="4" t="s">
        <v>46</v>
      </c>
      <c r="C1120" s="7" t="s">
        <v>6233</v>
      </c>
      <c r="D1120" s="4" t="s">
        <v>6220</v>
      </c>
      <c r="E1120" s="4" t="s">
        <v>6235</v>
      </c>
      <c r="F1120" s="9" t="s">
        <v>6295</v>
      </c>
    </row>
    <row r="1121">
      <c r="A1121" s="4">
        <v>1113.0</v>
      </c>
      <c r="B1121" s="4" t="s">
        <v>46</v>
      </c>
      <c r="C1121" s="7" t="s">
        <v>6237</v>
      </c>
      <c r="D1121" s="4" t="s">
        <v>6220</v>
      </c>
      <c r="E1121" s="4" t="s">
        <v>6238</v>
      </c>
      <c r="F1121" s="9" t="s">
        <v>6297</v>
      </c>
    </row>
    <row r="1122">
      <c r="A1122" s="4">
        <v>1114.0</v>
      </c>
      <c r="B1122" s="4" t="s">
        <v>46</v>
      </c>
      <c r="C1122" s="7" t="s">
        <v>6219</v>
      </c>
      <c r="D1122" s="4" t="s">
        <v>6220</v>
      </c>
      <c r="E1122" s="4" t="s">
        <v>6240</v>
      </c>
      <c r="F1122" s="9" t="s">
        <v>6298</v>
      </c>
    </row>
    <row r="1123">
      <c r="A1123" s="4">
        <v>1115.0</v>
      </c>
      <c r="B1123" s="4" t="s">
        <v>1098</v>
      </c>
      <c r="C1123" s="7" t="s">
        <v>6243</v>
      </c>
      <c r="D1123" s="4" t="s">
        <v>6220</v>
      </c>
      <c r="E1123" s="4" t="s">
        <v>6244</v>
      </c>
      <c r="F1123" s="9" t="s">
        <v>6300</v>
      </c>
    </row>
    <row r="1124">
      <c r="A1124" s="4">
        <v>1116.0</v>
      </c>
      <c r="B1124" s="4" t="s">
        <v>46</v>
      </c>
      <c r="C1124" s="7" t="s">
        <v>6226</v>
      </c>
      <c r="D1124" s="4" t="s">
        <v>6220</v>
      </c>
      <c r="E1124" s="4" t="s">
        <v>6246</v>
      </c>
      <c r="F1124" s="9" t="s">
        <v>6301</v>
      </c>
    </row>
    <row r="1125">
      <c r="A1125" s="4">
        <v>1117.0</v>
      </c>
      <c r="B1125" s="4" t="s">
        <v>46</v>
      </c>
      <c r="C1125" s="7" t="s">
        <v>6219</v>
      </c>
      <c r="D1125" s="4" t="s">
        <v>6220</v>
      </c>
      <c r="E1125" s="4" t="s">
        <v>6221</v>
      </c>
      <c r="F1125" s="9" t="s">
        <v>6302</v>
      </c>
    </row>
    <row r="1126">
      <c r="A1126" s="4">
        <v>1118.0</v>
      </c>
      <c r="B1126" s="4" t="s">
        <v>1098</v>
      </c>
      <c r="C1126" s="7" t="s">
        <v>6223</v>
      </c>
      <c r="D1126" s="4" t="s">
        <v>6220</v>
      </c>
      <c r="E1126" s="4" t="s">
        <v>6224</v>
      </c>
      <c r="F1126" s="9" t="s">
        <v>6303</v>
      </c>
    </row>
    <row r="1127">
      <c r="A1127" s="13" t="s">
        <v>6304</v>
      </c>
      <c r="B1127" s="13"/>
      <c r="C1127" s="13"/>
      <c r="D1127" s="13"/>
      <c r="E1127" s="13"/>
      <c r="F1127" s="26"/>
      <c r="G1127" s="14"/>
      <c r="H1127" s="14"/>
      <c r="I1127" s="14"/>
      <c r="J1127" s="14"/>
      <c r="K1127" s="14"/>
      <c r="L1127" s="14"/>
      <c r="M1127" s="14"/>
      <c r="N1127" s="14"/>
      <c r="O1127" s="14"/>
      <c r="P1127" s="14"/>
      <c r="Q1127" s="14"/>
      <c r="R1127" s="14"/>
      <c r="S1127" s="14"/>
      <c r="T1127" s="14"/>
      <c r="U1127" s="14"/>
      <c r="V1127" s="14"/>
      <c r="W1127" s="14"/>
      <c r="X1127" s="14"/>
      <c r="Y1127" s="14"/>
      <c r="Z1127" s="14"/>
    </row>
    <row r="1128">
      <c r="A1128" s="4">
        <v>1119.0</v>
      </c>
      <c r="B1128" s="4" t="s">
        <v>46</v>
      </c>
      <c r="C1128" s="7" t="s">
        <v>1478</v>
      </c>
      <c r="D1128" s="4" t="s">
        <v>6305</v>
      </c>
      <c r="E1128" s="4" t="s">
        <v>6306</v>
      </c>
      <c r="F1128" s="9" t="s">
        <v>6307</v>
      </c>
    </row>
    <row r="1129">
      <c r="A1129" s="4">
        <v>1120.0</v>
      </c>
      <c r="B1129" s="4" t="s">
        <v>1098</v>
      </c>
      <c r="C1129" s="7" t="s">
        <v>1478</v>
      </c>
      <c r="D1129" s="4" t="s">
        <v>6305</v>
      </c>
      <c r="E1129" s="4" t="s">
        <v>6308</v>
      </c>
      <c r="F1129" s="9" t="s">
        <v>6309</v>
      </c>
    </row>
    <row r="1130">
      <c r="A1130" s="4">
        <v>1121.0</v>
      </c>
      <c r="B1130" s="4" t="s">
        <v>46</v>
      </c>
      <c r="C1130" s="7" t="s">
        <v>1478</v>
      </c>
      <c r="D1130" s="4" t="s">
        <v>6305</v>
      </c>
      <c r="E1130" s="4" t="s">
        <v>6310</v>
      </c>
      <c r="F1130" s="9" t="s">
        <v>6311</v>
      </c>
    </row>
    <row r="1131">
      <c r="A1131" s="4">
        <v>1122.0</v>
      </c>
      <c r="B1131" s="4" t="s">
        <v>46</v>
      </c>
      <c r="C1131" s="7" t="s">
        <v>1478</v>
      </c>
      <c r="D1131" s="4" t="s">
        <v>6305</v>
      </c>
      <c r="E1131" s="4" t="s">
        <v>6312</v>
      </c>
      <c r="F1131" s="9" t="s">
        <v>6313</v>
      </c>
    </row>
    <row r="1132">
      <c r="A1132" s="4">
        <v>1123.0</v>
      </c>
      <c r="B1132" s="4" t="s">
        <v>1098</v>
      </c>
      <c r="C1132" s="7" t="s">
        <v>1478</v>
      </c>
      <c r="D1132" s="4" t="s">
        <v>6305</v>
      </c>
      <c r="E1132" s="4" t="s">
        <v>6314</v>
      </c>
      <c r="F1132" s="9" t="s">
        <v>6315</v>
      </c>
    </row>
    <row r="1133">
      <c r="A1133" s="4">
        <v>1124.0</v>
      </c>
      <c r="B1133" s="4" t="s">
        <v>1098</v>
      </c>
      <c r="C1133" s="7" t="s">
        <v>1478</v>
      </c>
      <c r="D1133" s="4" t="s">
        <v>6305</v>
      </c>
      <c r="E1133" s="4" t="s">
        <v>6316</v>
      </c>
      <c r="F1133" s="9" t="s">
        <v>6317</v>
      </c>
    </row>
    <row r="1134">
      <c r="A1134" s="4">
        <v>1125.0</v>
      </c>
      <c r="B1134" s="4" t="s">
        <v>46</v>
      </c>
      <c r="C1134" s="7" t="s">
        <v>1478</v>
      </c>
      <c r="D1134" s="4" t="s">
        <v>6305</v>
      </c>
      <c r="E1134" s="4" t="s">
        <v>6312</v>
      </c>
      <c r="F1134" s="9" t="s">
        <v>6318</v>
      </c>
    </row>
    <row r="1135">
      <c r="A1135" s="4">
        <v>1126.0</v>
      </c>
      <c r="B1135" s="4" t="s">
        <v>46</v>
      </c>
      <c r="C1135" s="7" t="s">
        <v>1478</v>
      </c>
      <c r="D1135" s="4" t="s">
        <v>6305</v>
      </c>
      <c r="E1135" s="4" t="s">
        <v>6319</v>
      </c>
      <c r="F1135" s="9" t="s">
        <v>6320</v>
      </c>
    </row>
    <row r="1136">
      <c r="A1136" s="4">
        <v>1127.0</v>
      </c>
      <c r="B1136" s="4" t="s">
        <v>46</v>
      </c>
      <c r="C1136" s="7" t="s">
        <v>1478</v>
      </c>
      <c r="D1136" s="4" t="s">
        <v>6305</v>
      </c>
      <c r="E1136" s="4" t="s">
        <v>6306</v>
      </c>
      <c r="F1136" s="9" t="s">
        <v>6321</v>
      </c>
    </row>
    <row r="1137">
      <c r="A1137" s="4">
        <v>1128.0</v>
      </c>
      <c r="B1137" s="4" t="s">
        <v>46</v>
      </c>
      <c r="C1137" s="7" t="s">
        <v>1478</v>
      </c>
      <c r="D1137" s="4" t="s">
        <v>6305</v>
      </c>
      <c r="E1137" s="4" t="s">
        <v>6312</v>
      </c>
      <c r="F1137" s="9" t="s">
        <v>6323</v>
      </c>
    </row>
    <row r="1138">
      <c r="A1138" s="4">
        <v>1129.0</v>
      </c>
      <c r="B1138" s="4" t="s">
        <v>46</v>
      </c>
      <c r="C1138" s="7" t="s">
        <v>1478</v>
      </c>
      <c r="D1138" s="4" t="s">
        <v>6305</v>
      </c>
      <c r="E1138" s="4" t="s">
        <v>6310</v>
      </c>
      <c r="F1138" s="9" t="s">
        <v>6324</v>
      </c>
    </row>
    <row r="1139">
      <c r="A1139" s="4">
        <v>1130.0</v>
      </c>
      <c r="B1139" s="4" t="s">
        <v>1098</v>
      </c>
      <c r="C1139" s="7" t="s">
        <v>1478</v>
      </c>
      <c r="D1139" s="4" t="s">
        <v>6305</v>
      </c>
      <c r="E1139" s="4" t="s">
        <v>6325</v>
      </c>
      <c r="F1139" s="9" t="s">
        <v>6326</v>
      </c>
    </row>
    <row r="1140">
      <c r="A1140" s="4">
        <v>1131.0</v>
      </c>
      <c r="B1140" s="4" t="s">
        <v>1098</v>
      </c>
      <c r="C1140" s="7" t="s">
        <v>1478</v>
      </c>
      <c r="D1140" s="4" t="s">
        <v>6305</v>
      </c>
      <c r="E1140" s="4" t="s">
        <v>6314</v>
      </c>
      <c r="F1140" s="9" t="s">
        <v>6327</v>
      </c>
    </row>
    <row r="1141">
      <c r="A1141" s="4">
        <v>1132.0</v>
      </c>
      <c r="B1141" s="4" t="s">
        <v>46</v>
      </c>
      <c r="C1141" s="7" t="s">
        <v>1478</v>
      </c>
      <c r="D1141" s="4" t="s">
        <v>6305</v>
      </c>
      <c r="E1141" s="4" t="s">
        <v>6312</v>
      </c>
      <c r="F1141" s="9" t="s">
        <v>6329</v>
      </c>
    </row>
    <row r="1142">
      <c r="A1142" s="4">
        <v>1133.0</v>
      </c>
      <c r="B1142" s="4" t="s">
        <v>46</v>
      </c>
      <c r="C1142" s="7" t="s">
        <v>1478</v>
      </c>
      <c r="D1142" s="4" t="s">
        <v>6305</v>
      </c>
      <c r="E1142" s="4" t="s">
        <v>6331</v>
      </c>
      <c r="F1142" s="9" t="s">
        <v>6332</v>
      </c>
    </row>
    <row r="1143">
      <c r="A1143" s="4">
        <v>1134.0</v>
      </c>
      <c r="B1143" s="4" t="s">
        <v>46</v>
      </c>
      <c r="C1143" s="7" t="s">
        <v>1478</v>
      </c>
      <c r="D1143" s="4" t="s">
        <v>6305</v>
      </c>
      <c r="E1143" s="4" t="s">
        <v>6319</v>
      </c>
      <c r="F1143" s="9" t="s">
        <v>6334</v>
      </c>
    </row>
    <row r="1144">
      <c r="A1144" s="4">
        <v>1135.0</v>
      </c>
      <c r="B1144" s="4" t="s">
        <v>46</v>
      </c>
      <c r="C1144" s="7" t="s">
        <v>1478</v>
      </c>
      <c r="D1144" s="4" t="s">
        <v>6305</v>
      </c>
      <c r="E1144" s="4" t="s">
        <v>6306</v>
      </c>
      <c r="F1144" s="9" t="s">
        <v>6335</v>
      </c>
    </row>
    <row r="1145">
      <c r="A1145" s="4">
        <v>1136.0</v>
      </c>
      <c r="B1145" s="4" t="s">
        <v>1098</v>
      </c>
      <c r="C1145" s="7" t="s">
        <v>1478</v>
      </c>
      <c r="D1145" s="4" t="s">
        <v>6305</v>
      </c>
      <c r="E1145" s="4" t="s">
        <v>6308</v>
      </c>
      <c r="F1145" s="9" t="s">
        <v>6336</v>
      </c>
    </row>
    <row r="1146">
      <c r="A1146" s="4">
        <v>1137.0</v>
      </c>
      <c r="B1146" s="4" t="s">
        <v>46</v>
      </c>
      <c r="C1146" s="7" t="s">
        <v>1478</v>
      </c>
      <c r="D1146" s="4" t="s">
        <v>6305</v>
      </c>
      <c r="E1146" s="4" t="s">
        <v>6310</v>
      </c>
      <c r="F1146" s="9" t="s">
        <v>6337</v>
      </c>
    </row>
    <row r="1147">
      <c r="A1147" s="4">
        <v>1138.0</v>
      </c>
      <c r="B1147" s="4" t="s">
        <v>1098</v>
      </c>
      <c r="C1147" s="7" t="s">
        <v>1478</v>
      </c>
      <c r="D1147" s="4" t="s">
        <v>6305</v>
      </c>
      <c r="E1147" s="4" t="s">
        <v>6325</v>
      </c>
      <c r="F1147" s="9" t="s">
        <v>6338</v>
      </c>
    </row>
    <row r="1148">
      <c r="A1148" s="4">
        <v>1139.0</v>
      </c>
      <c r="B1148" s="4" t="s">
        <v>1098</v>
      </c>
      <c r="C1148" s="7" t="s">
        <v>1478</v>
      </c>
      <c r="D1148" s="4" t="s">
        <v>6305</v>
      </c>
      <c r="E1148" s="4" t="s">
        <v>6314</v>
      </c>
      <c r="F1148" s="9" t="s">
        <v>6339</v>
      </c>
    </row>
    <row r="1149">
      <c r="A1149" s="4">
        <v>1140.0</v>
      </c>
      <c r="B1149" s="4" t="s">
        <v>46</v>
      </c>
      <c r="C1149" s="7" t="s">
        <v>1478</v>
      </c>
      <c r="D1149" s="4" t="s">
        <v>6305</v>
      </c>
      <c r="E1149" s="4" t="s">
        <v>6312</v>
      </c>
      <c r="F1149" s="9" t="s">
        <v>6340</v>
      </c>
    </row>
    <row r="1150">
      <c r="A1150" s="4">
        <v>1141.0</v>
      </c>
      <c r="B1150" s="4" t="s">
        <v>46</v>
      </c>
      <c r="C1150" s="7" t="s">
        <v>1478</v>
      </c>
      <c r="D1150" s="4" t="s">
        <v>6305</v>
      </c>
      <c r="E1150" s="4" t="s">
        <v>6331</v>
      </c>
      <c r="F1150" s="9" t="s">
        <v>6341</v>
      </c>
    </row>
    <row r="1151">
      <c r="A1151" s="4">
        <v>1142.0</v>
      </c>
      <c r="B1151" s="4" t="s">
        <v>46</v>
      </c>
      <c r="C1151" s="7" t="s">
        <v>1478</v>
      </c>
      <c r="D1151" s="4" t="s">
        <v>6305</v>
      </c>
      <c r="E1151" s="4" t="s">
        <v>6319</v>
      </c>
      <c r="F1151" s="9" t="s">
        <v>6342</v>
      </c>
    </row>
    <row r="1152">
      <c r="A1152" s="4">
        <v>1143.0</v>
      </c>
      <c r="B1152" s="4" t="s">
        <v>46</v>
      </c>
      <c r="C1152" s="7" t="s">
        <v>1478</v>
      </c>
      <c r="D1152" s="4" t="s">
        <v>6305</v>
      </c>
      <c r="E1152" s="4" t="s">
        <v>6306</v>
      </c>
      <c r="F1152" s="9" t="s">
        <v>6343</v>
      </c>
    </row>
    <row r="1153">
      <c r="A1153" s="4">
        <v>1144.0</v>
      </c>
      <c r="B1153" s="4" t="s">
        <v>1098</v>
      </c>
      <c r="C1153" s="7" t="s">
        <v>1478</v>
      </c>
      <c r="D1153" s="4" t="s">
        <v>6305</v>
      </c>
      <c r="E1153" s="4" t="s">
        <v>6308</v>
      </c>
      <c r="F1153" s="9" t="s">
        <v>6344</v>
      </c>
    </row>
    <row r="1154">
      <c r="A1154" s="4">
        <v>1145.0</v>
      </c>
      <c r="B1154" s="4" t="s">
        <v>46</v>
      </c>
      <c r="C1154" s="7" t="s">
        <v>1478</v>
      </c>
      <c r="D1154" s="4" t="s">
        <v>6305</v>
      </c>
      <c r="E1154" s="4" t="s">
        <v>6310</v>
      </c>
      <c r="F1154" s="9" t="s">
        <v>6345</v>
      </c>
    </row>
    <row r="1155">
      <c r="A1155" s="4">
        <v>1146.0</v>
      </c>
      <c r="B1155" s="4" t="s">
        <v>1098</v>
      </c>
      <c r="C1155" s="7" t="s">
        <v>1478</v>
      </c>
      <c r="D1155" s="4" t="s">
        <v>6305</v>
      </c>
      <c r="E1155" s="4" t="s">
        <v>6325</v>
      </c>
      <c r="F1155" s="9" t="s">
        <v>6346</v>
      </c>
    </row>
    <row r="1156">
      <c r="A1156" s="4">
        <v>1147.0</v>
      </c>
      <c r="B1156" s="4" t="s">
        <v>1098</v>
      </c>
      <c r="C1156" s="7" t="s">
        <v>1478</v>
      </c>
      <c r="D1156" s="4" t="s">
        <v>6305</v>
      </c>
      <c r="E1156" s="4" t="s">
        <v>6314</v>
      </c>
      <c r="F1156" s="9" t="s">
        <v>6347</v>
      </c>
    </row>
    <row r="1157">
      <c r="A1157" s="4">
        <v>1148.0</v>
      </c>
      <c r="B1157" s="4" t="s">
        <v>1098</v>
      </c>
      <c r="C1157" s="7" t="s">
        <v>1478</v>
      </c>
      <c r="D1157" s="4" t="s">
        <v>6305</v>
      </c>
      <c r="E1157" s="4" t="s">
        <v>6316</v>
      </c>
      <c r="F1157" s="9" t="s">
        <v>6348</v>
      </c>
    </row>
    <row r="1158">
      <c r="A1158" s="4">
        <v>1149.0</v>
      </c>
      <c r="B1158" s="4" t="s">
        <v>46</v>
      </c>
      <c r="C1158" s="7" t="s">
        <v>1478</v>
      </c>
      <c r="D1158" s="4" t="s">
        <v>6305</v>
      </c>
      <c r="E1158" s="4" t="s">
        <v>6331</v>
      </c>
      <c r="F1158" s="9" t="s">
        <v>6349</v>
      </c>
    </row>
    <row r="1159">
      <c r="A1159" s="4">
        <v>1150.0</v>
      </c>
      <c r="B1159" s="4" t="s">
        <v>46</v>
      </c>
      <c r="C1159" s="7" t="s">
        <v>1478</v>
      </c>
      <c r="D1159" s="4" t="s">
        <v>6305</v>
      </c>
      <c r="E1159" s="4" t="s">
        <v>6319</v>
      </c>
      <c r="F1159" s="9" t="s">
        <v>6350</v>
      </c>
    </row>
    <row r="1160">
      <c r="A1160" s="4">
        <v>1151.0</v>
      </c>
      <c r="B1160" s="4" t="s">
        <v>46</v>
      </c>
      <c r="C1160" s="7" t="s">
        <v>1478</v>
      </c>
      <c r="D1160" s="4" t="s">
        <v>6305</v>
      </c>
      <c r="E1160" s="4" t="s">
        <v>6312</v>
      </c>
      <c r="F1160" s="9" t="s">
        <v>6351</v>
      </c>
    </row>
    <row r="1161">
      <c r="A1161" s="4">
        <v>1152.0</v>
      </c>
      <c r="B1161" s="4" t="s">
        <v>1098</v>
      </c>
      <c r="C1161" s="7" t="s">
        <v>1478</v>
      </c>
      <c r="D1161" s="4" t="s">
        <v>6305</v>
      </c>
      <c r="E1161" s="4" t="s">
        <v>6308</v>
      </c>
      <c r="F1161" s="9" t="s">
        <v>6352</v>
      </c>
    </row>
    <row r="1162">
      <c r="A1162" s="4">
        <v>1153.0</v>
      </c>
      <c r="B1162" s="4" t="s">
        <v>46</v>
      </c>
      <c r="C1162" s="7" t="s">
        <v>1478</v>
      </c>
      <c r="D1162" s="4" t="s">
        <v>6305</v>
      </c>
      <c r="E1162" s="4" t="s">
        <v>6312</v>
      </c>
      <c r="F1162" s="9" t="s">
        <v>6353</v>
      </c>
    </row>
    <row r="1163">
      <c r="A1163" s="4">
        <v>1154.0</v>
      </c>
      <c r="B1163" s="4" t="s">
        <v>46</v>
      </c>
      <c r="C1163" s="7" t="s">
        <v>1478</v>
      </c>
      <c r="D1163" s="4" t="s">
        <v>6305</v>
      </c>
      <c r="E1163" s="4" t="s">
        <v>6312</v>
      </c>
      <c r="F1163" s="9" t="s">
        <v>6354</v>
      </c>
    </row>
    <row r="1164">
      <c r="A1164" s="4">
        <v>1155.0</v>
      </c>
      <c r="B1164" s="4" t="s">
        <v>1098</v>
      </c>
      <c r="C1164" s="7" t="s">
        <v>1478</v>
      </c>
      <c r="D1164" s="4" t="s">
        <v>6305</v>
      </c>
      <c r="E1164" s="4" t="s">
        <v>6314</v>
      </c>
      <c r="F1164" s="9" t="s">
        <v>6355</v>
      </c>
    </row>
    <row r="1165">
      <c r="A1165" s="4">
        <v>1156.0</v>
      </c>
      <c r="B1165" s="4" t="s">
        <v>1098</v>
      </c>
      <c r="C1165" s="7" t="s">
        <v>1478</v>
      </c>
      <c r="D1165" s="4" t="s">
        <v>6305</v>
      </c>
      <c r="E1165" s="4" t="s">
        <v>6316</v>
      </c>
      <c r="F1165" s="9" t="s">
        <v>6356</v>
      </c>
    </row>
    <row r="1166">
      <c r="A1166" s="4">
        <v>1157.0</v>
      </c>
      <c r="B1166" s="4" t="s">
        <v>46</v>
      </c>
      <c r="C1166" s="7" t="s">
        <v>1478</v>
      </c>
      <c r="D1166" s="4" t="s">
        <v>6305</v>
      </c>
      <c r="E1166" s="4" t="s">
        <v>6312</v>
      </c>
      <c r="F1166" s="9" t="s">
        <v>6357</v>
      </c>
    </row>
    <row r="1167">
      <c r="A1167" s="4">
        <v>1158.0</v>
      </c>
      <c r="B1167" s="4" t="s">
        <v>46</v>
      </c>
      <c r="C1167" s="7" t="s">
        <v>1478</v>
      </c>
      <c r="D1167" s="4" t="s">
        <v>6305</v>
      </c>
      <c r="E1167" s="4" t="s">
        <v>6319</v>
      </c>
      <c r="F1167" s="9" t="s">
        <v>6358</v>
      </c>
    </row>
    <row r="1168">
      <c r="A1168" s="4">
        <v>1159.0</v>
      </c>
      <c r="B1168" s="4" t="s">
        <v>46</v>
      </c>
      <c r="C1168" s="7" t="s">
        <v>1478</v>
      </c>
      <c r="D1168" s="4" t="s">
        <v>6305</v>
      </c>
      <c r="E1168" s="4" t="s">
        <v>6312</v>
      </c>
      <c r="F1168" s="9" t="s">
        <v>6359</v>
      </c>
    </row>
    <row r="1169">
      <c r="A1169" s="4">
        <v>1160.0</v>
      </c>
      <c r="B1169" s="4" t="s">
        <v>1098</v>
      </c>
      <c r="C1169" s="7" t="s">
        <v>1478</v>
      </c>
      <c r="D1169" s="4" t="s">
        <v>6305</v>
      </c>
      <c r="E1169" s="4" t="s">
        <v>6308</v>
      </c>
      <c r="F1169" s="9" t="s">
        <v>6360</v>
      </c>
    </row>
    <row r="1170">
      <c r="A1170" s="4">
        <v>1161.0</v>
      </c>
      <c r="B1170" s="4" t="s">
        <v>46</v>
      </c>
      <c r="C1170" s="7" t="s">
        <v>1478</v>
      </c>
      <c r="D1170" s="4" t="s">
        <v>6361</v>
      </c>
      <c r="E1170" s="4" t="s">
        <v>6310</v>
      </c>
      <c r="F1170" s="9" t="s">
        <v>6362</v>
      </c>
    </row>
    <row r="1171">
      <c r="A1171" s="4">
        <v>1162.0</v>
      </c>
      <c r="B1171" s="4" t="s">
        <v>1098</v>
      </c>
      <c r="C1171" s="7" t="s">
        <v>1478</v>
      </c>
      <c r="D1171" s="4" t="s">
        <v>6363</v>
      </c>
      <c r="E1171" s="4" t="s">
        <v>6325</v>
      </c>
      <c r="F1171" s="9" t="s">
        <v>6364</v>
      </c>
    </row>
    <row r="1172">
      <c r="A1172" s="4">
        <v>1163.0</v>
      </c>
      <c r="B1172" s="4" t="s">
        <v>1098</v>
      </c>
      <c r="C1172" s="7" t="s">
        <v>1478</v>
      </c>
      <c r="D1172" s="4" t="s">
        <v>6125</v>
      </c>
      <c r="E1172" s="4" t="s">
        <v>6314</v>
      </c>
      <c r="F1172" s="9" t="s">
        <v>6365</v>
      </c>
    </row>
    <row r="1173">
      <c r="A1173" s="4">
        <v>1164.0</v>
      </c>
      <c r="B1173" s="4" t="s">
        <v>1098</v>
      </c>
      <c r="C1173" s="7" t="s">
        <v>1478</v>
      </c>
      <c r="D1173" s="4" t="s">
        <v>6361</v>
      </c>
      <c r="E1173" s="4" t="s">
        <v>6316</v>
      </c>
      <c r="F1173" s="9" t="s">
        <v>6366</v>
      </c>
    </row>
    <row r="1174">
      <c r="A1174" s="4">
        <v>1165.0</v>
      </c>
      <c r="B1174" s="4" t="s">
        <v>46</v>
      </c>
      <c r="C1174" s="7" t="s">
        <v>1478</v>
      </c>
      <c r="D1174" s="4" t="s">
        <v>6305</v>
      </c>
      <c r="E1174" s="4" t="s">
        <v>6331</v>
      </c>
      <c r="F1174" s="9" t="s">
        <v>6367</v>
      </c>
    </row>
    <row r="1175">
      <c r="A1175" s="4">
        <v>1166.0</v>
      </c>
      <c r="B1175" s="4" t="s">
        <v>46</v>
      </c>
      <c r="C1175" s="7" t="s">
        <v>1478</v>
      </c>
      <c r="D1175" s="4" t="s">
        <v>6305</v>
      </c>
      <c r="E1175" s="4" t="s">
        <v>6319</v>
      </c>
      <c r="F1175" s="9" t="s">
        <v>6368</v>
      </c>
    </row>
    <row r="1176">
      <c r="A1176" s="4">
        <v>1167.0</v>
      </c>
      <c r="B1176" s="4" t="s">
        <v>46</v>
      </c>
      <c r="C1176" s="7" t="s">
        <v>1478</v>
      </c>
      <c r="D1176" s="4" t="s">
        <v>6305</v>
      </c>
      <c r="E1176" s="4" t="s">
        <v>6312</v>
      </c>
      <c r="F1176" s="9" t="s">
        <v>6370</v>
      </c>
    </row>
    <row r="1177">
      <c r="A1177" s="4">
        <v>1168.0</v>
      </c>
      <c r="B1177" s="4" t="s">
        <v>46</v>
      </c>
      <c r="C1177" s="7" t="s">
        <v>1478</v>
      </c>
      <c r="D1177" s="4" t="s">
        <v>6305</v>
      </c>
      <c r="E1177" s="4" t="s">
        <v>6312</v>
      </c>
      <c r="F1177" s="9" t="s">
        <v>6371</v>
      </c>
    </row>
    <row r="1178">
      <c r="A1178" s="4">
        <v>1169.0</v>
      </c>
      <c r="B1178" s="4" t="s">
        <v>46</v>
      </c>
      <c r="C1178" s="7" t="s">
        <v>1478</v>
      </c>
      <c r="D1178" s="4" t="s">
        <v>6305</v>
      </c>
      <c r="E1178" s="4" t="s">
        <v>6310</v>
      </c>
      <c r="F1178" s="9" t="s">
        <v>6372</v>
      </c>
    </row>
    <row r="1179">
      <c r="A1179" s="4">
        <v>1170.0</v>
      </c>
      <c r="B1179" s="4" t="s">
        <v>1098</v>
      </c>
      <c r="C1179" s="7" t="s">
        <v>1478</v>
      </c>
      <c r="D1179" s="4" t="s">
        <v>6305</v>
      </c>
      <c r="E1179" s="4" t="s">
        <v>6325</v>
      </c>
      <c r="F1179" s="9" t="s">
        <v>6373</v>
      </c>
    </row>
    <row r="1180">
      <c r="A1180" s="4">
        <v>1171.0</v>
      </c>
      <c r="B1180" s="4" t="s">
        <v>1098</v>
      </c>
      <c r="C1180" s="7" t="s">
        <v>1478</v>
      </c>
      <c r="D1180" s="4" t="s">
        <v>6305</v>
      </c>
      <c r="E1180" s="4" t="s">
        <v>6314</v>
      </c>
      <c r="F1180" s="9" t="s">
        <v>6374</v>
      </c>
    </row>
    <row r="1181">
      <c r="A1181" s="4">
        <v>1172.0</v>
      </c>
      <c r="B1181" s="4" t="s">
        <v>1098</v>
      </c>
      <c r="C1181" s="7" t="s">
        <v>1478</v>
      </c>
      <c r="D1181" s="4" t="s">
        <v>6305</v>
      </c>
      <c r="E1181" s="4" t="s">
        <v>6316</v>
      </c>
      <c r="F1181" s="9" t="s">
        <v>6376</v>
      </c>
    </row>
    <row r="1182">
      <c r="A1182" s="4">
        <v>1173.0</v>
      </c>
      <c r="B1182" s="4" t="s">
        <v>46</v>
      </c>
      <c r="C1182" s="7" t="s">
        <v>1478</v>
      </c>
      <c r="D1182" s="4" t="s">
        <v>6305</v>
      </c>
      <c r="E1182" s="4" t="s">
        <v>6331</v>
      </c>
      <c r="F1182" s="9" t="s">
        <v>6377</v>
      </c>
    </row>
    <row r="1183">
      <c r="A1183" s="4">
        <v>1174.0</v>
      </c>
      <c r="B1183" s="4" t="s">
        <v>46</v>
      </c>
      <c r="C1183" s="7" t="s">
        <v>1478</v>
      </c>
      <c r="D1183" s="4" t="s">
        <v>6305</v>
      </c>
      <c r="E1183" s="4" t="s">
        <v>6319</v>
      </c>
      <c r="F1183" s="9" t="s">
        <v>6379</v>
      </c>
    </row>
    <row r="1184">
      <c r="A1184" s="4"/>
      <c r="B1184" s="4"/>
      <c r="C1184" s="4"/>
      <c r="D1184" s="4"/>
      <c r="E1184" s="4"/>
      <c r="F1184" s="27"/>
    </row>
    <row r="1185">
      <c r="A1185" s="4"/>
      <c r="B1185" s="4"/>
      <c r="C1185" s="4"/>
      <c r="D1185" s="4"/>
      <c r="E1185" s="4"/>
      <c r="F1185" s="27"/>
    </row>
    <row r="1186">
      <c r="A1186" s="4"/>
      <c r="B1186" s="4"/>
      <c r="C1186" s="4"/>
      <c r="D1186" s="4"/>
      <c r="E1186" s="4"/>
      <c r="F1186" s="27"/>
    </row>
    <row r="1187">
      <c r="A1187" s="4"/>
      <c r="B1187" s="4"/>
      <c r="C1187" s="4"/>
      <c r="D1187" s="4"/>
      <c r="E1187" s="4"/>
      <c r="F1187" s="27"/>
    </row>
    <row r="1188">
      <c r="A1188" s="4"/>
      <c r="B1188" s="4"/>
      <c r="C1188" s="4"/>
      <c r="D1188" s="4"/>
      <c r="E1188" s="4"/>
      <c r="F1188" s="27"/>
    </row>
    <row r="1189">
      <c r="A1189" s="4"/>
      <c r="B1189" s="4"/>
      <c r="C1189" s="4"/>
      <c r="D1189" s="4"/>
      <c r="E1189" s="4"/>
      <c r="F1189" s="27"/>
    </row>
    <row r="1190">
      <c r="A1190" s="4"/>
      <c r="B1190" s="4"/>
      <c r="C1190" s="4"/>
      <c r="D1190" s="4"/>
      <c r="E1190" s="4"/>
      <c r="F1190" s="27"/>
    </row>
    <row r="1191">
      <c r="A1191" s="4"/>
      <c r="B1191" s="4"/>
      <c r="C1191" s="4"/>
      <c r="D1191" s="4"/>
      <c r="E1191" s="4"/>
      <c r="F1191" s="27"/>
    </row>
    <row r="1192">
      <c r="A1192" s="4"/>
      <c r="B1192" s="4"/>
      <c r="C1192" s="4"/>
      <c r="D1192" s="4"/>
      <c r="E1192" s="4"/>
      <c r="F1192" s="27"/>
    </row>
    <row r="1193">
      <c r="A1193" s="4"/>
      <c r="B1193" s="4"/>
      <c r="C1193" s="4"/>
      <c r="D1193" s="4"/>
      <c r="E1193" s="4"/>
      <c r="F1193" s="27"/>
    </row>
    <row r="1194">
      <c r="A1194" s="4"/>
      <c r="B1194" s="4"/>
      <c r="C1194" s="4"/>
      <c r="D1194" s="4"/>
      <c r="E1194" s="4"/>
      <c r="F1194" s="27"/>
    </row>
    <row r="1195">
      <c r="A1195" s="4"/>
      <c r="B1195" s="4"/>
      <c r="C1195" s="4"/>
      <c r="D1195" s="4"/>
      <c r="E1195" s="4"/>
      <c r="F1195" s="27"/>
    </row>
    <row r="1196">
      <c r="A1196" s="4"/>
      <c r="B1196" s="4"/>
      <c r="C1196" s="4"/>
      <c r="D1196" s="4"/>
      <c r="E1196" s="4"/>
      <c r="F1196" s="27"/>
    </row>
    <row r="1197">
      <c r="A1197" s="4"/>
      <c r="B1197" s="4"/>
      <c r="C1197" s="4"/>
      <c r="D1197" s="4"/>
      <c r="E1197" s="4"/>
      <c r="F1197" s="27"/>
    </row>
    <row r="1198">
      <c r="A1198" s="4"/>
      <c r="B1198" s="4"/>
      <c r="C1198" s="4"/>
      <c r="D1198" s="4"/>
      <c r="E1198" s="4"/>
      <c r="F1198" s="27"/>
    </row>
    <row r="1199">
      <c r="A1199" s="4"/>
      <c r="B1199" s="4"/>
      <c r="C1199" s="4"/>
      <c r="D1199" s="4"/>
      <c r="E1199" s="4"/>
      <c r="F1199" s="27"/>
    </row>
    <row r="1200">
      <c r="A1200" s="4"/>
      <c r="B1200" s="4"/>
      <c r="C1200" s="4"/>
      <c r="D1200" s="4"/>
      <c r="E1200" s="4"/>
      <c r="F1200" s="27"/>
    </row>
    <row r="1201">
      <c r="A1201" s="4"/>
      <c r="B1201" s="4"/>
      <c r="C1201" s="4"/>
      <c r="D1201" s="4"/>
      <c r="E1201" s="4"/>
      <c r="F1201" s="27"/>
    </row>
    <row r="1202">
      <c r="A1202" s="4"/>
      <c r="B1202" s="4"/>
      <c r="C1202" s="4"/>
      <c r="D1202" s="4"/>
      <c r="E1202" s="4"/>
      <c r="F1202" s="27"/>
    </row>
    <row r="1203">
      <c r="A1203" s="4"/>
      <c r="B1203" s="4"/>
      <c r="C1203" s="4"/>
      <c r="D1203" s="4"/>
      <c r="E1203" s="4"/>
      <c r="F1203" s="27"/>
    </row>
    <row r="1204">
      <c r="A1204" s="4"/>
      <c r="B1204" s="4"/>
      <c r="C1204" s="4"/>
      <c r="D1204" s="4"/>
      <c r="E1204" s="4"/>
      <c r="F1204" s="27"/>
    </row>
    <row r="1205">
      <c r="A1205" s="4"/>
      <c r="B1205" s="4"/>
      <c r="C1205" s="4"/>
      <c r="D1205" s="4"/>
      <c r="E1205" s="4"/>
      <c r="F1205" s="27"/>
    </row>
    <row r="1206">
      <c r="A1206" s="4"/>
      <c r="B1206" s="4"/>
      <c r="C1206" s="4"/>
      <c r="D1206" s="4"/>
      <c r="E1206" s="4"/>
      <c r="F1206" s="27"/>
    </row>
    <row r="1207">
      <c r="A1207" s="4"/>
      <c r="B1207" s="4"/>
      <c r="C1207" s="4"/>
      <c r="D1207" s="4"/>
      <c r="E1207" s="4"/>
      <c r="F1207" s="27"/>
    </row>
    <row r="1208">
      <c r="A1208" s="4"/>
      <c r="B1208" s="4"/>
      <c r="C1208" s="4"/>
      <c r="D1208" s="4"/>
      <c r="E1208" s="4"/>
      <c r="F1208" s="27"/>
    </row>
    <row r="1209">
      <c r="A1209" s="4"/>
      <c r="B1209" s="4"/>
      <c r="C1209" s="4"/>
      <c r="D1209" s="4"/>
      <c r="E1209" s="4"/>
      <c r="F1209" s="27"/>
    </row>
    <row r="1210">
      <c r="A1210" s="4"/>
      <c r="B1210" s="4"/>
      <c r="C1210" s="4"/>
      <c r="D1210" s="4"/>
      <c r="E1210" s="4"/>
      <c r="F1210" s="27"/>
    </row>
    <row r="1211">
      <c r="A1211" s="4"/>
      <c r="B1211" s="4"/>
      <c r="C1211" s="4"/>
      <c r="D1211" s="4"/>
      <c r="E1211" s="4"/>
      <c r="F1211" s="27"/>
    </row>
    <row r="1212">
      <c r="A1212" s="4"/>
      <c r="B1212" s="4"/>
      <c r="C1212" s="4"/>
      <c r="D1212" s="4"/>
      <c r="E1212" s="4"/>
      <c r="F1212" s="27"/>
    </row>
    <row r="1213">
      <c r="A1213" s="4"/>
      <c r="B1213" s="4"/>
      <c r="C1213" s="4"/>
      <c r="D1213" s="4"/>
      <c r="E1213" s="4"/>
      <c r="F1213" s="27"/>
    </row>
    <row r="1214">
      <c r="A1214" s="4"/>
      <c r="B1214" s="4"/>
      <c r="C1214" s="4"/>
      <c r="D1214" s="4"/>
      <c r="E1214" s="4"/>
      <c r="F1214" s="27"/>
    </row>
    <row r="1215">
      <c r="A1215" s="4"/>
      <c r="B1215" s="4"/>
      <c r="C1215" s="4"/>
      <c r="D1215" s="4"/>
      <c r="E1215" s="4"/>
      <c r="F1215" s="27"/>
    </row>
    <row r="1216">
      <c r="A1216" s="4"/>
      <c r="B1216" s="4"/>
      <c r="C1216" s="4"/>
      <c r="D1216" s="4"/>
      <c r="E1216" s="4"/>
      <c r="F1216" s="27"/>
    </row>
    <row r="1217">
      <c r="A1217" s="4"/>
      <c r="B1217" s="4"/>
      <c r="C1217" s="4"/>
      <c r="D1217" s="4"/>
      <c r="E1217" s="4"/>
      <c r="F1217" s="27"/>
    </row>
    <row r="1218">
      <c r="A1218" s="4"/>
      <c r="B1218" s="4"/>
      <c r="C1218" s="4"/>
      <c r="D1218" s="4"/>
      <c r="E1218" s="4"/>
      <c r="F1218" s="27"/>
    </row>
    <row r="1219">
      <c r="A1219" s="4"/>
      <c r="B1219" s="4"/>
      <c r="C1219" s="4"/>
      <c r="D1219" s="4"/>
      <c r="E1219" s="4"/>
      <c r="F1219" s="27"/>
    </row>
    <row r="1220">
      <c r="A1220" s="4"/>
      <c r="B1220" s="4"/>
      <c r="C1220" s="4"/>
      <c r="D1220" s="4"/>
      <c r="E1220" s="4"/>
      <c r="F1220" s="27"/>
    </row>
    <row r="1221">
      <c r="A1221" s="4"/>
      <c r="B1221" s="4"/>
      <c r="C1221" s="4"/>
      <c r="D1221" s="4"/>
      <c r="E1221" s="4"/>
      <c r="F1221" s="27"/>
    </row>
    <row r="1222">
      <c r="A1222" s="4"/>
      <c r="B1222" s="4"/>
      <c r="C1222" s="4"/>
      <c r="D1222" s="4"/>
      <c r="E1222" s="4"/>
      <c r="F1222" s="27"/>
    </row>
    <row r="1223">
      <c r="A1223" s="4"/>
      <c r="B1223" s="4"/>
      <c r="C1223" s="4"/>
      <c r="D1223" s="4"/>
      <c r="E1223" s="4"/>
      <c r="F1223" s="27"/>
    </row>
    <row r="1224">
      <c r="A1224" s="4"/>
      <c r="B1224" s="4"/>
      <c r="C1224" s="4"/>
      <c r="D1224" s="4"/>
      <c r="E1224" s="4"/>
      <c r="F1224" s="27"/>
    </row>
    <row r="1225">
      <c r="A1225" s="4"/>
      <c r="B1225" s="4"/>
      <c r="C1225" s="4"/>
      <c r="D1225" s="4"/>
      <c r="E1225" s="4"/>
      <c r="F1225" s="27"/>
    </row>
    <row r="1226">
      <c r="A1226" s="4"/>
      <c r="B1226" s="4"/>
      <c r="C1226" s="4"/>
      <c r="D1226" s="4"/>
      <c r="E1226" s="4"/>
      <c r="F1226" s="27"/>
    </row>
    <row r="1227">
      <c r="A1227" s="4"/>
      <c r="B1227" s="4"/>
      <c r="C1227" s="4"/>
      <c r="D1227" s="4"/>
      <c r="E1227" s="4"/>
      <c r="F1227" s="27"/>
    </row>
    <row r="1228">
      <c r="A1228" s="4"/>
      <c r="B1228" s="4"/>
      <c r="C1228" s="4"/>
      <c r="D1228" s="4"/>
      <c r="E1228" s="4"/>
      <c r="F1228" s="27"/>
    </row>
    <row r="1229">
      <c r="A1229" s="4"/>
      <c r="B1229" s="4"/>
      <c r="C1229" s="4"/>
      <c r="D1229" s="4"/>
      <c r="E1229" s="4"/>
      <c r="F1229" s="27"/>
    </row>
    <row r="1230">
      <c r="A1230" s="4"/>
      <c r="B1230" s="4"/>
      <c r="C1230" s="4"/>
      <c r="D1230" s="4"/>
      <c r="E1230" s="4"/>
      <c r="F1230" s="27"/>
    </row>
    <row r="1231">
      <c r="A1231" s="4"/>
      <c r="B1231" s="4"/>
      <c r="C1231" s="4"/>
      <c r="D1231" s="4"/>
      <c r="E1231" s="4"/>
      <c r="F1231" s="27"/>
    </row>
    <row r="1232">
      <c r="A1232" s="4"/>
      <c r="B1232" s="4"/>
      <c r="C1232" s="4"/>
      <c r="D1232" s="4"/>
      <c r="E1232" s="4"/>
      <c r="F1232" s="27"/>
    </row>
    <row r="1233">
      <c r="A1233" s="4"/>
      <c r="B1233" s="4"/>
      <c r="C1233" s="4"/>
      <c r="D1233" s="4"/>
      <c r="E1233" s="4"/>
      <c r="F1233" s="27"/>
    </row>
    <row r="1234">
      <c r="A1234" s="4"/>
      <c r="B1234" s="4"/>
      <c r="C1234" s="4"/>
      <c r="D1234" s="4"/>
      <c r="E1234" s="4"/>
      <c r="F1234" s="27"/>
    </row>
    <row r="1235">
      <c r="A1235" s="4"/>
      <c r="B1235" s="4"/>
      <c r="C1235" s="4"/>
      <c r="D1235" s="4"/>
      <c r="E1235" s="4"/>
      <c r="F1235" s="27"/>
    </row>
    <row r="1236">
      <c r="A1236" s="4"/>
      <c r="B1236" s="4"/>
      <c r="C1236" s="4"/>
      <c r="D1236" s="4"/>
      <c r="E1236" s="4"/>
      <c r="F1236" s="27"/>
    </row>
    <row r="1237">
      <c r="A1237" s="4"/>
      <c r="B1237" s="4"/>
      <c r="C1237" s="4"/>
      <c r="D1237" s="4"/>
      <c r="E1237" s="4"/>
      <c r="F1237" s="27"/>
    </row>
    <row r="1238">
      <c r="A1238" s="4"/>
      <c r="B1238" s="4"/>
      <c r="C1238" s="4"/>
      <c r="D1238" s="4"/>
      <c r="E1238" s="4"/>
      <c r="F1238" s="27"/>
    </row>
    <row r="1239">
      <c r="A1239" s="4"/>
      <c r="B1239" s="4"/>
      <c r="C1239" s="4"/>
      <c r="D1239" s="4"/>
      <c r="E1239" s="4"/>
      <c r="F1239" s="27"/>
    </row>
    <row r="1240">
      <c r="A1240" s="4"/>
      <c r="B1240" s="4"/>
      <c r="C1240" s="4"/>
      <c r="D1240" s="4"/>
      <c r="E1240" s="4"/>
      <c r="F1240" s="27"/>
    </row>
    <row r="1241">
      <c r="A1241" s="4"/>
      <c r="B1241" s="4"/>
      <c r="C1241" s="4"/>
      <c r="D1241" s="4"/>
      <c r="E1241" s="4"/>
      <c r="F1241" s="27"/>
    </row>
    <row r="1242">
      <c r="A1242" s="4"/>
      <c r="B1242" s="4"/>
      <c r="C1242" s="4"/>
      <c r="D1242" s="4"/>
      <c r="E1242" s="4"/>
      <c r="F1242" s="27"/>
    </row>
    <row r="1243">
      <c r="A1243" s="4"/>
      <c r="B1243" s="4"/>
      <c r="C1243" s="4"/>
      <c r="D1243" s="4"/>
      <c r="E1243" s="4"/>
      <c r="F1243" s="27"/>
    </row>
    <row r="1244">
      <c r="A1244" s="4"/>
      <c r="B1244" s="4"/>
      <c r="C1244" s="4"/>
      <c r="D1244" s="4"/>
      <c r="E1244" s="4"/>
      <c r="F1244" s="27"/>
    </row>
    <row r="1245">
      <c r="A1245" s="4"/>
      <c r="B1245" s="4"/>
      <c r="C1245" s="4"/>
      <c r="D1245" s="4"/>
      <c r="E1245" s="4"/>
      <c r="F1245" s="27"/>
    </row>
    <row r="1246">
      <c r="A1246" s="4"/>
      <c r="B1246" s="4"/>
      <c r="C1246" s="4"/>
      <c r="D1246" s="4"/>
      <c r="E1246" s="4"/>
      <c r="F1246" s="27"/>
    </row>
    <row r="1247">
      <c r="A1247" s="4"/>
      <c r="B1247" s="4"/>
      <c r="C1247" s="4"/>
      <c r="D1247" s="4"/>
      <c r="E1247" s="4"/>
      <c r="F1247" s="27"/>
    </row>
    <row r="1248">
      <c r="A1248" s="4"/>
      <c r="B1248" s="4"/>
      <c r="C1248" s="4"/>
      <c r="D1248" s="4"/>
      <c r="E1248" s="4"/>
      <c r="F1248" s="27"/>
    </row>
    <row r="1249">
      <c r="A1249" s="4"/>
      <c r="B1249" s="4"/>
      <c r="C1249" s="4"/>
      <c r="D1249" s="4"/>
      <c r="E1249" s="4"/>
      <c r="F1249" s="27"/>
    </row>
    <row r="1250">
      <c r="A1250" s="4"/>
      <c r="B1250" s="4"/>
      <c r="C1250" s="4"/>
      <c r="D1250" s="4"/>
      <c r="E1250" s="4"/>
      <c r="F1250" s="27"/>
    </row>
    <row r="1251">
      <c r="A1251" s="4"/>
      <c r="B1251" s="4"/>
      <c r="C1251" s="4"/>
      <c r="D1251" s="4"/>
      <c r="E1251" s="4"/>
      <c r="F1251" s="27"/>
    </row>
    <row r="1252">
      <c r="A1252" s="4"/>
      <c r="B1252" s="4"/>
      <c r="C1252" s="4"/>
      <c r="D1252" s="4"/>
      <c r="E1252" s="4"/>
      <c r="F1252" s="27"/>
    </row>
    <row r="1253">
      <c r="A1253" s="4"/>
      <c r="B1253" s="4"/>
      <c r="C1253" s="4"/>
      <c r="D1253" s="4"/>
      <c r="E1253" s="4"/>
      <c r="F1253" s="27"/>
    </row>
    <row r="1254">
      <c r="A1254" s="4"/>
      <c r="B1254" s="4"/>
      <c r="C1254" s="4"/>
      <c r="D1254" s="4"/>
      <c r="E1254" s="4"/>
      <c r="F1254" s="27"/>
    </row>
    <row r="1255">
      <c r="A1255" s="4"/>
      <c r="B1255" s="4"/>
      <c r="C1255" s="4"/>
      <c r="D1255" s="4"/>
      <c r="E1255" s="4"/>
      <c r="F1255" s="27"/>
    </row>
    <row r="1256">
      <c r="A1256" s="4"/>
      <c r="B1256" s="4"/>
      <c r="C1256" s="4"/>
      <c r="D1256" s="4"/>
      <c r="E1256" s="4"/>
      <c r="F1256" s="27"/>
    </row>
    <row r="1257">
      <c r="A1257" s="4"/>
      <c r="B1257" s="4"/>
      <c r="C1257" s="4"/>
      <c r="D1257" s="4"/>
      <c r="E1257" s="4"/>
      <c r="F1257" s="27"/>
    </row>
    <row r="1258">
      <c r="A1258" s="4"/>
      <c r="B1258" s="4"/>
      <c r="C1258" s="4"/>
      <c r="D1258" s="4"/>
      <c r="E1258" s="4"/>
      <c r="F1258" s="27"/>
    </row>
    <row r="1259">
      <c r="A1259" s="4"/>
      <c r="B1259" s="4"/>
      <c r="C1259" s="4"/>
      <c r="D1259" s="4"/>
      <c r="E1259" s="4"/>
      <c r="F1259" s="27"/>
    </row>
    <row r="1260">
      <c r="A1260" s="4"/>
      <c r="B1260" s="4"/>
      <c r="C1260" s="4"/>
      <c r="D1260" s="4"/>
      <c r="E1260" s="4"/>
      <c r="F1260" s="27"/>
    </row>
    <row r="1261">
      <c r="A1261" s="4"/>
      <c r="B1261" s="4"/>
      <c r="C1261" s="4"/>
      <c r="D1261" s="4"/>
      <c r="E1261" s="4"/>
      <c r="F1261" s="27"/>
    </row>
    <row r="1262">
      <c r="A1262" s="4"/>
      <c r="B1262" s="4"/>
      <c r="C1262" s="4"/>
      <c r="D1262" s="4"/>
      <c r="E1262" s="4"/>
      <c r="F1262" s="27"/>
    </row>
    <row r="1263">
      <c r="A1263" s="4"/>
      <c r="B1263" s="4"/>
      <c r="C1263" s="4"/>
      <c r="D1263" s="4"/>
      <c r="E1263" s="4"/>
      <c r="F1263" s="27"/>
    </row>
    <row r="1264">
      <c r="A1264" s="4"/>
      <c r="B1264" s="4"/>
      <c r="C1264" s="4"/>
      <c r="D1264" s="4"/>
      <c r="E1264" s="4"/>
      <c r="F1264" s="27"/>
    </row>
    <row r="1265">
      <c r="A1265" s="4"/>
      <c r="B1265" s="4"/>
      <c r="C1265" s="4"/>
      <c r="D1265" s="4"/>
      <c r="E1265" s="4"/>
      <c r="F1265" s="27"/>
    </row>
    <row r="1266">
      <c r="A1266" s="4"/>
      <c r="B1266" s="4"/>
      <c r="C1266" s="4"/>
      <c r="D1266" s="4"/>
      <c r="E1266" s="4"/>
      <c r="F1266" s="27"/>
    </row>
    <row r="1267">
      <c r="A1267" s="4"/>
      <c r="B1267" s="4"/>
      <c r="C1267" s="4"/>
      <c r="D1267" s="4"/>
      <c r="E1267" s="4"/>
      <c r="F1267" s="27"/>
    </row>
    <row r="1268">
      <c r="A1268" s="4"/>
      <c r="B1268" s="4"/>
      <c r="C1268" s="4"/>
      <c r="D1268" s="4"/>
      <c r="E1268" s="4"/>
      <c r="F1268" s="27"/>
    </row>
    <row r="1269">
      <c r="A1269" s="4"/>
      <c r="B1269" s="4"/>
      <c r="C1269" s="4"/>
      <c r="D1269" s="4"/>
      <c r="E1269" s="4"/>
      <c r="F1269" s="27"/>
    </row>
    <row r="1270">
      <c r="A1270" s="4"/>
      <c r="B1270" s="4"/>
      <c r="C1270" s="4"/>
      <c r="D1270" s="4"/>
      <c r="E1270" s="4"/>
      <c r="F1270" s="27"/>
    </row>
    <row r="1271">
      <c r="A1271" s="4"/>
      <c r="B1271" s="4"/>
      <c r="C1271" s="4"/>
      <c r="D1271" s="4"/>
      <c r="E1271" s="4"/>
      <c r="F1271" s="27"/>
    </row>
    <row r="1272">
      <c r="A1272" s="4"/>
      <c r="B1272" s="4"/>
      <c r="C1272" s="4"/>
      <c r="D1272" s="4"/>
      <c r="E1272" s="4"/>
      <c r="F1272" s="27"/>
    </row>
    <row r="1273">
      <c r="A1273" s="4"/>
      <c r="B1273" s="4"/>
      <c r="C1273" s="4"/>
      <c r="D1273" s="4"/>
      <c r="E1273" s="4"/>
      <c r="F1273" s="27"/>
    </row>
    <row r="1274">
      <c r="A1274" s="4"/>
      <c r="B1274" s="4"/>
      <c r="C1274" s="4"/>
      <c r="D1274" s="4"/>
      <c r="E1274" s="4"/>
      <c r="F1274" s="27"/>
    </row>
    <row r="1275">
      <c r="A1275" s="4"/>
      <c r="B1275" s="4"/>
      <c r="C1275" s="4"/>
      <c r="D1275" s="4"/>
      <c r="E1275" s="4"/>
      <c r="F1275" s="27"/>
    </row>
    <row r="1276">
      <c r="A1276" s="4"/>
      <c r="B1276" s="4"/>
      <c r="C1276" s="4"/>
      <c r="D1276" s="4"/>
      <c r="E1276" s="4"/>
      <c r="F1276" s="27"/>
    </row>
    <row r="1277">
      <c r="A1277" s="4"/>
      <c r="B1277" s="4"/>
      <c r="C1277" s="4"/>
      <c r="D1277" s="4"/>
      <c r="E1277" s="4"/>
      <c r="F1277" s="27"/>
    </row>
    <row r="1278">
      <c r="A1278" s="4"/>
      <c r="B1278" s="4"/>
      <c r="C1278" s="4"/>
      <c r="D1278" s="4"/>
      <c r="E1278" s="4"/>
      <c r="F1278" s="27"/>
    </row>
    <row r="1279">
      <c r="A1279" s="4"/>
      <c r="B1279" s="4"/>
      <c r="C1279" s="4"/>
      <c r="D1279" s="4"/>
      <c r="E1279" s="4"/>
      <c r="F1279" s="27"/>
    </row>
    <row r="1280">
      <c r="A1280" s="4"/>
      <c r="B1280" s="4"/>
      <c r="C1280" s="4"/>
      <c r="D1280" s="4"/>
      <c r="E1280" s="4"/>
      <c r="F1280" s="27"/>
    </row>
    <row r="1281">
      <c r="A1281" s="4"/>
      <c r="B1281" s="4"/>
      <c r="C1281" s="4"/>
      <c r="D1281" s="4"/>
      <c r="E1281" s="4"/>
      <c r="F1281" s="27"/>
    </row>
    <row r="1282">
      <c r="A1282" s="4"/>
      <c r="B1282" s="4"/>
      <c r="C1282" s="4"/>
      <c r="D1282" s="4"/>
      <c r="E1282" s="4"/>
      <c r="F1282" s="27"/>
    </row>
    <row r="1283">
      <c r="A1283" s="4"/>
      <c r="B1283" s="4"/>
      <c r="C1283" s="4"/>
      <c r="D1283" s="4"/>
      <c r="E1283" s="4"/>
      <c r="F1283" s="27"/>
    </row>
    <row r="1284">
      <c r="A1284" s="4"/>
      <c r="B1284" s="4"/>
      <c r="C1284" s="4"/>
      <c r="D1284" s="4"/>
      <c r="E1284" s="4"/>
      <c r="F1284" s="27"/>
    </row>
    <row r="1285">
      <c r="A1285" s="4"/>
      <c r="B1285" s="4"/>
      <c r="C1285" s="4"/>
      <c r="D1285" s="4"/>
      <c r="E1285" s="4"/>
      <c r="F1285" s="27"/>
    </row>
    <row r="1286">
      <c r="A1286" s="4"/>
      <c r="B1286" s="4"/>
      <c r="C1286" s="4"/>
      <c r="D1286" s="4"/>
      <c r="E1286" s="4"/>
      <c r="F1286" s="27"/>
    </row>
    <row r="1287">
      <c r="A1287" s="4"/>
      <c r="B1287" s="4"/>
      <c r="C1287" s="4"/>
      <c r="D1287" s="4"/>
      <c r="E1287" s="4"/>
      <c r="F1287" s="27"/>
    </row>
    <row r="1288">
      <c r="A1288" s="4"/>
      <c r="B1288" s="4"/>
      <c r="C1288" s="4"/>
      <c r="D1288" s="4"/>
      <c r="E1288" s="4"/>
      <c r="F1288" s="27"/>
    </row>
    <row r="1289">
      <c r="A1289" s="4"/>
      <c r="B1289" s="4"/>
      <c r="C1289" s="4"/>
      <c r="D1289" s="4"/>
      <c r="E1289" s="4"/>
      <c r="F1289" s="27"/>
    </row>
    <row r="1290">
      <c r="A1290" s="4"/>
      <c r="B1290" s="4"/>
      <c r="C1290" s="4"/>
      <c r="D1290" s="4"/>
      <c r="E1290" s="4"/>
      <c r="F1290" s="27"/>
    </row>
    <row r="1291">
      <c r="A1291" s="4"/>
      <c r="B1291" s="4"/>
      <c r="C1291" s="4"/>
      <c r="D1291" s="4"/>
      <c r="E1291" s="4"/>
      <c r="F1291" s="27"/>
    </row>
    <row r="1292">
      <c r="A1292" s="4"/>
      <c r="B1292" s="4"/>
      <c r="C1292" s="4"/>
      <c r="D1292" s="4"/>
      <c r="E1292" s="4"/>
      <c r="F1292" s="27"/>
    </row>
    <row r="1293">
      <c r="A1293" s="4"/>
      <c r="B1293" s="4"/>
      <c r="C1293" s="4"/>
      <c r="D1293" s="4"/>
      <c r="E1293" s="4"/>
      <c r="F1293" s="27"/>
    </row>
    <row r="1294">
      <c r="A1294" s="4"/>
      <c r="B1294" s="4"/>
      <c r="C1294" s="4"/>
      <c r="D1294" s="4"/>
      <c r="E1294" s="4"/>
      <c r="F1294" s="27"/>
    </row>
    <row r="1295">
      <c r="A1295" s="4"/>
      <c r="B1295" s="4"/>
      <c r="C1295" s="4"/>
      <c r="D1295" s="4"/>
      <c r="E1295" s="4"/>
      <c r="F1295" s="27"/>
    </row>
    <row r="1296">
      <c r="A1296" s="4"/>
      <c r="B1296" s="4"/>
      <c r="C1296" s="4"/>
      <c r="D1296" s="4"/>
      <c r="E1296" s="4"/>
      <c r="F1296" s="27"/>
    </row>
    <row r="1297">
      <c r="A1297" s="4"/>
      <c r="B1297" s="4"/>
      <c r="C1297" s="4"/>
      <c r="D1297" s="4"/>
      <c r="E1297" s="4"/>
      <c r="F1297" s="27"/>
    </row>
    <row r="1298">
      <c r="A1298" s="4"/>
      <c r="B1298" s="4"/>
      <c r="C1298" s="4"/>
      <c r="D1298" s="4"/>
      <c r="E1298" s="4"/>
      <c r="F1298" s="27"/>
    </row>
    <row r="1299">
      <c r="A1299" s="4"/>
      <c r="B1299" s="4"/>
      <c r="C1299" s="4"/>
      <c r="D1299" s="4"/>
      <c r="E1299" s="4"/>
      <c r="F1299" s="27"/>
    </row>
    <row r="1300">
      <c r="A1300" s="4"/>
      <c r="B1300" s="4"/>
      <c r="C1300" s="4"/>
      <c r="D1300" s="4"/>
      <c r="E1300" s="4"/>
      <c r="F1300" s="27"/>
    </row>
    <row r="1301">
      <c r="A1301" s="4"/>
      <c r="B1301" s="4"/>
      <c r="C1301" s="4"/>
      <c r="D1301" s="4"/>
      <c r="E1301" s="4"/>
      <c r="F1301" s="27"/>
    </row>
    <row r="1302">
      <c r="A1302" s="4"/>
      <c r="B1302" s="4"/>
      <c r="C1302" s="4"/>
      <c r="D1302" s="4"/>
      <c r="E1302" s="4"/>
      <c r="F1302" s="27"/>
    </row>
    <row r="1303">
      <c r="A1303" s="4"/>
      <c r="B1303" s="4"/>
      <c r="C1303" s="4"/>
      <c r="D1303" s="4"/>
      <c r="E1303" s="4"/>
      <c r="F1303" s="27"/>
    </row>
    <row r="1304">
      <c r="A1304" s="4"/>
      <c r="B1304" s="4"/>
      <c r="C1304" s="4"/>
      <c r="D1304" s="4"/>
      <c r="E1304" s="4"/>
      <c r="F1304" s="27"/>
    </row>
    <row r="1305">
      <c r="A1305" s="4"/>
      <c r="B1305" s="4"/>
      <c r="C1305" s="4"/>
      <c r="D1305" s="4"/>
      <c r="E1305" s="4"/>
      <c r="F1305" s="27"/>
    </row>
    <row r="1306">
      <c r="A1306" s="4"/>
      <c r="B1306" s="4"/>
      <c r="C1306" s="4"/>
      <c r="D1306" s="4"/>
      <c r="E1306" s="4"/>
      <c r="F1306" s="27"/>
    </row>
    <row r="1307">
      <c r="A1307" s="4"/>
      <c r="B1307" s="4"/>
      <c r="C1307" s="4"/>
      <c r="D1307" s="4"/>
      <c r="E1307" s="4"/>
      <c r="F1307" s="27"/>
    </row>
    <row r="1308">
      <c r="A1308" s="4"/>
      <c r="B1308" s="4"/>
      <c r="C1308" s="4"/>
      <c r="D1308" s="4"/>
      <c r="E1308" s="4"/>
      <c r="F1308" s="27"/>
    </row>
    <row r="1309">
      <c r="A1309" s="4"/>
      <c r="B1309" s="4"/>
      <c r="C1309" s="4"/>
      <c r="D1309" s="4"/>
      <c r="E1309" s="4"/>
      <c r="F1309" s="27"/>
    </row>
    <row r="1310">
      <c r="A1310" s="4"/>
      <c r="B1310" s="4"/>
      <c r="C1310" s="4"/>
      <c r="D1310" s="4"/>
      <c r="E1310" s="4"/>
      <c r="F1310" s="27"/>
    </row>
    <row r="1311">
      <c r="A1311" s="4"/>
      <c r="B1311" s="4"/>
      <c r="C1311" s="4"/>
      <c r="D1311" s="4"/>
      <c r="E1311" s="4"/>
      <c r="F1311" s="27"/>
    </row>
    <row r="1312">
      <c r="A1312" s="4"/>
      <c r="B1312" s="4"/>
      <c r="C1312" s="4"/>
      <c r="D1312" s="4"/>
      <c r="E1312" s="4"/>
      <c r="F1312" s="27"/>
    </row>
    <row r="1313">
      <c r="A1313" s="4"/>
      <c r="B1313" s="4"/>
      <c r="C1313" s="4"/>
      <c r="D1313" s="4"/>
      <c r="E1313" s="4"/>
      <c r="F1313" s="27"/>
    </row>
    <row r="1314">
      <c r="A1314" s="4"/>
      <c r="B1314" s="4"/>
      <c r="C1314" s="4"/>
      <c r="D1314" s="4"/>
      <c r="E1314" s="4"/>
      <c r="F1314" s="27"/>
    </row>
    <row r="1315">
      <c r="A1315" s="4"/>
      <c r="B1315" s="4"/>
      <c r="C1315" s="4"/>
      <c r="D1315" s="4"/>
      <c r="E1315" s="4"/>
      <c r="F1315" s="27"/>
    </row>
    <row r="1316">
      <c r="A1316" s="4"/>
      <c r="B1316" s="4"/>
      <c r="C1316" s="4"/>
      <c r="D1316" s="4"/>
      <c r="E1316" s="4"/>
      <c r="F1316" s="27"/>
    </row>
    <row r="1317">
      <c r="A1317" s="4"/>
      <c r="B1317" s="4"/>
      <c r="C1317" s="4"/>
      <c r="D1317" s="4"/>
      <c r="E1317" s="4"/>
      <c r="F1317" s="27"/>
    </row>
    <row r="1318">
      <c r="A1318" s="4"/>
      <c r="B1318" s="4"/>
      <c r="C1318" s="4"/>
      <c r="D1318" s="4"/>
      <c r="E1318" s="4"/>
      <c r="F1318" s="27"/>
    </row>
    <row r="1319">
      <c r="A1319" s="4"/>
      <c r="B1319" s="4"/>
      <c r="C1319" s="4"/>
      <c r="D1319" s="4"/>
      <c r="E1319" s="4"/>
      <c r="F1319" s="27"/>
    </row>
    <row r="1320">
      <c r="A1320" s="4"/>
      <c r="B1320" s="4"/>
      <c r="C1320" s="4"/>
      <c r="D1320" s="4"/>
      <c r="E1320" s="4"/>
      <c r="F1320" s="27"/>
    </row>
    <row r="1321">
      <c r="A1321" s="4"/>
      <c r="B1321" s="4"/>
      <c r="C1321" s="4"/>
      <c r="D1321" s="4"/>
      <c r="E1321" s="4"/>
      <c r="F1321" s="27"/>
    </row>
    <row r="1322">
      <c r="A1322" s="4"/>
      <c r="B1322" s="4"/>
      <c r="C1322" s="4"/>
      <c r="D1322" s="4"/>
      <c r="E1322" s="4"/>
      <c r="F1322" s="27"/>
    </row>
    <row r="1323">
      <c r="A1323" s="4"/>
      <c r="B1323" s="4"/>
      <c r="C1323" s="4"/>
      <c r="D1323" s="4"/>
      <c r="E1323" s="4"/>
      <c r="F1323" s="27"/>
    </row>
    <row r="1324">
      <c r="A1324" s="4"/>
      <c r="B1324" s="4"/>
      <c r="C1324" s="4"/>
      <c r="D1324" s="4"/>
      <c r="E1324" s="4"/>
      <c r="F1324" s="27"/>
    </row>
    <row r="1325">
      <c r="A1325" s="4"/>
      <c r="B1325" s="4"/>
      <c r="C1325" s="4"/>
      <c r="D1325" s="4"/>
      <c r="E1325" s="4"/>
      <c r="F1325" s="27"/>
    </row>
    <row r="1326">
      <c r="A1326" s="4"/>
      <c r="B1326" s="4"/>
      <c r="C1326" s="4"/>
      <c r="D1326" s="4"/>
      <c r="E1326" s="4"/>
      <c r="F1326" s="27"/>
    </row>
    <row r="1327">
      <c r="A1327" s="4"/>
      <c r="B1327" s="4"/>
      <c r="C1327" s="4"/>
      <c r="D1327" s="4"/>
      <c r="E1327" s="4"/>
      <c r="F1327" s="27"/>
    </row>
    <row r="1328">
      <c r="A1328" s="4"/>
      <c r="B1328" s="4"/>
      <c r="C1328" s="4"/>
      <c r="D1328" s="4"/>
      <c r="E1328" s="4"/>
      <c r="F1328" s="27"/>
    </row>
    <row r="1329">
      <c r="A1329" s="4"/>
      <c r="B1329" s="4"/>
      <c r="C1329" s="4"/>
      <c r="D1329" s="4"/>
      <c r="E1329" s="4"/>
      <c r="F1329" s="27"/>
    </row>
    <row r="1330">
      <c r="A1330" s="4"/>
      <c r="B1330" s="4"/>
      <c r="C1330" s="4"/>
      <c r="D1330" s="4"/>
      <c r="E1330" s="4"/>
      <c r="F1330" s="27"/>
    </row>
    <row r="1331">
      <c r="A1331" s="4"/>
      <c r="B1331" s="4"/>
      <c r="C1331" s="4"/>
      <c r="D1331" s="4"/>
      <c r="E1331" s="4"/>
      <c r="F1331" s="27"/>
    </row>
    <row r="1332">
      <c r="A1332" s="4"/>
      <c r="B1332" s="4"/>
      <c r="C1332" s="4"/>
      <c r="D1332" s="4"/>
      <c r="E1332" s="4"/>
      <c r="F1332" s="27"/>
    </row>
    <row r="1333">
      <c r="A1333" s="4"/>
      <c r="B1333" s="4"/>
      <c r="C1333" s="4"/>
      <c r="D1333" s="4"/>
      <c r="E1333" s="4"/>
      <c r="F1333" s="27"/>
    </row>
    <row r="1334">
      <c r="A1334" s="4"/>
      <c r="B1334" s="4"/>
      <c r="C1334" s="4"/>
      <c r="D1334" s="4"/>
      <c r="E1334" s="4"/>
      <c r="F1334" s="27"/>
    </row>
    <row r="1335">
      <c r="A1335" s="4"/>
      <c r="B1335" s="4"/>
      <c r="C1335" s="4"/>
      <c r="D1335" s="4"/>
      <c r="E1335" s="4"/>
      <c r="F1335" s="27"/>
    </row>
    <row r="1336">
      <c r="A1336" s="4"/>
      <c r="B1336" s="4"/>
      <c r="C1336" s="4"/>
      <c r="D1336" s="4"/>
      <c r="E1336" s="4"/>
      <c r="F1336" s="27"/>
    </row>
    <row r="1337">
      <c r="A1337" s="4"/>
      <c r="B1337" s="4"/>
      <c r="C1337" s="4"/>
      <c r="D1337" s="4"/>
      <c r="E1337" s="4"/>
      <c r="F1337" s="27"/>
    </row>
    <row r="1338">
      <c r="A1338" s="4"/>
      <c r="B1338" s="4"/>
      <c r="C1338" s="4"/>
      <c r="D1338" s="4"/>
      <c r="E1338" s="4"/>
      <c r="F1338" s="27"/>
    </row>
    <row r="1339">
      <c r="A1339" s="4"/>
      <c r="B1339" s="4"/>
      <c r="C1339" s="4"/>
      <c r="D1339" s="4"/>
      <c r="E1339" s="4"/>
      <c r="F1339" s="27"/>
    </row>
    <row r="1340">
      <c r="A1340" s="4"/>
      <c r="B1340" s="4"/>
      <c r="C1340" s="4"/>
      <c r="D1340" s="4"/>
      <c r="E1340" s="4"/>
      <c r="F1340" s="27"/>
    </row>
    <row r="1341">
      <c r="A1341" s="4"/>
      <c r="B1341" s="4"/>
      <c r="C1341" s="4"/>
      <c r="D1341" s="4"/>
      <c r="E1341" s="4"/>
      <c r="F1341" s="27"/>
    </row>
    <row r="1342">
      <c r="A1342" s="4"/>
      <c r="B1342" s="4"/>
      <c r="C1342" s="4"/>
      <c r="D1342" s="4"/>
      <c r="E1342" s="4"/>
      <c r="F1342" s="27"/>
    </row>
    <row r="1343">
      <c r="A1343" s="4"/>
      <c r="B1343" s="4"/>
      <c r="C1343" s="4"/>
      <c r="D1343" s="4"/>
      <c r="E1343" s="4"/>
      <c r="F1343" s="27"/>
    </row>
    <row r="1344">
      <c r="A1344" s="4"/>
      <c r="B1344" s="4"/>
      <c r="C1344" s="4"/>
      <c r="D1344" s="4"/>
      <c r="E1344" s="4"/>
      <c r="F1344" s="27"/>
    </row>
    <row r="1345">
      <c r="A1345" s="4"/>
      <c r="B1345" s="4"/>
      <c r="C1345" s="4"/>
      <c r="D1345" s="4"/>
      <c r="E1345" s="4"/>
      <c r="F1345" s="27"/>
    </row>
    <row r="1346">
      <c r="A1346" s="4"/>
      <c r="B1346" s="4"/>
      <c r="C1346" s="4"/>
      <c r="D1346" s="4"/>
      <c r="E1346" s="4"/>
      <c r="F1346" s="27"/>
    </row>
    <row r="1347">
      <c r="A1347" s="4"/>
      <c r="B1347" s="4"/>
      <c r="C1347" s="4"/>
      <c r="D1347" s="4"/>
      <c r="E1347" s="4"/>
      <c r="F1347" s="27"/>
    </row>
    <row r="1348">
      <c r="A1348" s="4"/>
      <c r="B1348" s="4"/>
      <c r="C1348" s="4"/>
      <c r="D1348" s="4"/>
      <c r="E1348" s="4"/>
      <c r="F1348" s="27"/>
    </row>
    <row r="1349">
      <c r="A1349" s="4"/>
      <c r="B1349" s="4"/>
      <c r="C1349" s="4"/>
      <c r="D1349" s="4"/>
      <c r="E1349" s="4"/>
      <c r="F1349" s="27"/>
    </row>
    <row r="1350">
      <c r="A1350" s="4"/>
      <c r="B1350" s="4"/>
      <c r="C1350" s="4"/>
      <c r="D1350" s="4"/>
      <c r="E1350" s="4"/>
      <c r="F1350" s="27"/>
    </row>
    <row r="1351">
      <c r="A1351" s="4"/>
      <c r="B1351" s="4"/>
      <c r="C1351" s="4"/>
      <c r="D1351" s="4"/>
      <c r="E1351" s="4"/>
      <c r="F1351" s="27"/>
    </row>
    <row r="1352">
      <c r="A1352" s="4"/>
      <c r="B1352" s="4"/>
      <c r="C1352" s="4"/>
      <c r="D1352" s="4"/>
      <c r="E1352" s="4"/>
      <c r="F1352" s="27"/>
    </row>
    <row r="1353">
      <c r="A1353" s="4"/>
      <c r="B1353" s="4"/>
      <c r="C1353" s="4"/>
      <c r="D1353" s="4"/>
      <c r="E1353" s="4"/>
      <c r="F1353" s="27"/>
    </row>
    <row r="1354">
      <c r="A1354" s="4"/>
      <c r="B1354" s="4"/>
      <c r="C1354" s="4"/>
      <c r="D1354" s="4"/>
      <c r="E1354" s="4"/>
      <c r="F1354" s="27"/>
    </row>
    <row r="1355">
      <c r="A1355" s="4"/>
      <c r="B1355" s="4"/>
      <c r="C1355" s="4"/>
      <c r="D1355" s="4"/>
      <c r="E1355" s="4"/>
      <c r="F1355" s="27"/>
    </row>
    <row r="1356">
      <c r="A1356" s="4"/>
      <c r="B1356" s="4"/>
      <c r="C1356" s="4"/>
      <c r="D1356" s="4"/>
      <c r="E1356" s="4"/>
      <c r="F1356" s="27"/>
    </row>
    <row r="1357">
      <c r="A1357" s="4"/>
      <c r="B1357" s="4"/>
      <c r="C1357" s="4"/>
      <c r="D1357" s="4"/>
      <c r="E1357" s="4"/>
      <c r="F1357" s="27"/>
    </row>
    <row r="1358">
      <c r="A1358" s="4"/>
      <c r="B1358" s="4"/>
      <c r="C1358" s="4"/>
      <c r="D1358" s="4"/>
      <c r="E1358" s="4"/>
      <c r="F1358" s="27"/>
    </row>
    <row r="1359">
      <c r="A1359" s="4"/>
      <c r="B1359" s="4"/>
      <c r="C1359" s="4"/>
      <c r="D1359" s="4"/>
      <c r="E1359" s="4"/>
      <c r="F1359" s="27"/>
    </row>
    <row r="1360">
      <c r="A1360" s="4"/>
      <c r="B1360" s="4"/>
      <c r="C1360" s="4"/>
      <c r="D1360" s="4"/>
      <c r="E1360" s="4"/>
      <c r="F1360" s="27"/>
    </row>
    <row r="1361">
      <c r="A1361" s="4"/>
      <c r="B1361" s="4"/>
      <c r="C1361" s="4"/>
      <c r="D1361" s="4"/>
      <c r="E1361" s="4"/>
      <c r="F1361" s="27"/>
    </row>
    <row r="1362">
      <c r="A1362" s="4"/>
      <c r="B1362" s="4"/>
      <c r="C1362" s="4"/>
      <c r="D1362" s="4"/>
      <c r="E1362" s="4"/>
      <c r="F1362" s="27"/>
    </row>
    <row r="1363">
      <c r="A1363" s="4"/>
      <c r="B1363" s="4"/>
      <c r="C1363" s="4"/>
      <c r="D1363" s="4"/>
      <c r="E1363" s="4"/>
      <c r="F1363" s="27"/>
    </row>
    <row r="1364">
      <c r="A1364" s="4"/>
      <c r="B1364" s="4"/>
      <c r="C1364" s="4"/>
      <c r="D1364" s="4"/>
      <c r="E1364" s="4"/>
      <c r="F1364" s="27"/>
    </row>
    <row r="1365">
      <c r="A1365" s="4"/>
      <c r="B1365" s="4"/>
      <c r="C1365" s="4"/>
      <c r="D1365" s="4"/>
      <c r="E1365" s="4"/>
      <c r="F1365" s="27"/>
    </row>
    <row r="1366">
      <c r="A1366" s="4"/>
      <c r="B1366" s="4"/>
      <c r="C1366" s="4"/>
      <c r="D1366" s="4"/>
      <c r="E1366" s="4"/>
      <c r="F1366" s="27"/>
    </row>
    <row r="1367">
      <c r="A1367" s="4"/>
      <c r="B1367" s="4"/>
      <c r="C1367" s="4"/>
      <c r="D1367" s="4"/>
      <c r="E1367" s="4"/>
      <c r="F1367" s="27"/>
    </row>
    <row r="1368">
      <c r="A1368" s="4"/>
      <c r="B1368" s="4"/>
      <c r="C1368" s="4"/>
      <c r="D1368" s="4"/>
      <c r="E1368" s="4"/>
      <c r="F1368" s="27"/>
    </row>
    <row r="1369">
      <c r="A1369" s="4"/>
      <c r="B1369" s="4"/>
      <c r="C1369" s="4"/>
      <c r="D1369" s="4"/>
      <c r="E1369" s="4"/>
      <c r="F1369" s="27"/>
    </row>
    <row r="1370">
      <c r="A1370" s="4"/>
      <c r="B1370" s="4"/>
      <c r="C1370" s="4"/>
      <c r="D1370" s="4"/>
      <c r="E1370" s="4"/>
      <c r="F1370" s="27"/>
    </row>
    <row r="1371">
      <c r="A1371" s="4"/>
      <c r="B1371" s="4"/>
      <c r="C1371" s="4"/>
      <c r="D1371" s="4"/>
      <c r="E1371" s="4"/>
      <c r="F1371" s="27"/>
    </row>
    <row r="1372">
      <c r="A1372" s="4"/>
      <c r="B1372" s="4"/>
      <c r="C1372" s="4"/>
      <c r="D1372" s="4"/>
      <c r="E1372" s="4"/>
      <c r="F1372" s="27"/>
    </row>
    <row r="1373">
      <c r="A1373" s="4"/>
      <c r="B1373" s="4"/>
      <c r="C1373" s="4"/>
      <c r="D1373" s="4"/>
      <c r="E1373" s="4"/>
      <c r="F1373" s="27"/>
    </row>
    <row r="1374">
      <c r="A1374" s="4"/>
      <c r="B1374" s="4"/>
      <c r="C1374" s="4"/>
      <c r="D1374" s="4"/>
      <c r="E1374" s="4"/>
      <c r="F1374" s="27"/>
    </row>
    <row r="1375">
      <c r="A1375" s="4"/>
      <c r="B1375" s="4"/>
      <c r="C1375" s="4"/>
      <c r="D1375" s="4"/>
      <c r="E1375" s="4"/>
      <c r="F1375" s="27"/>
    </row>
    <row r="1376">
      <c r="A1376" s="4"/>
      <c r="B1376" s="4"/>
      <c r="C1376" s="4"/>
      <c r="D1376" s="4"/>
      <c r="E1376" s="4"/>
      <c r="F1376" s="27"/>
    </row>
    <row r="1377">
      <c r="A1377" s="4"/>
      <c r="B1377" s="4"/>
      <c r="C1377" s="4"/>
      <c r="D1377" s="4"/>
      <c r="E1377" s="4"/>
      <c r="F1377" s="27"/>
    </row>
    <row r="1378">
      <c r="A1378" s="4"/>
      <c r="B1378" s="4"/>
      <c r="C1378" s="4"/>
      <c r="D1378" s="4"/>
      <c r="E1378" s="4"/>
      <c r="F1378" s="27"/>
    </row>
    <row r="1379">
      <c r="A1379" s="4"/>
      <c r="B1379" s="4"/>
      <c r="C1379" s="4"/>
      <c r="D1379" s="4"/>
      <c r="E1379" s="4"/>
      <c r="F1379" s="27"/>
    </row>
    <row r="1380">
      <c r="A1380" s="4"/>
      <c r="B1380" s="4"/>
      <c r="C1380" s="4"/>
      <c r="D1380" s="4"/>
      <c r="E1380" s="4"/>
      <c r="F1380" s="27"/>
    </row>
    <row r="1381">
      <c r="A1381" s="4"/>
      <c r="B1381" s="4"/>
      <c r="C1381" s="4"/>
      <c r="D1381" s="4"/>
      <c r="E1381" s="4"/>
      <c r="F1381" s="27"/>
    </row>
    <row r="1382">
      <c r="A1382" s="4"/>
      <c r="B1382" s="4"/>
      <c r="C1382" s="4"/>
      <c r="D1382" s="4"/>
      <c r="E1382" s="4"/>
      <c r="F1382" s="27"/>
    </row>
    <row r="1383">
      <c r="A1383" s="4"/>
      <c r="B1383" s="4"/>
      <c r="C1383" s="4"/>
      <c r="D1383" s="4"/>
      <c r="E1383" s="4"/>
      <c r="F1383" s="27"/>
    </row>
    <row r="1384">
      <c r="A1384" s="4"/>
      <c r="B1384" s="4"/>
      <c r="C1384" s="4"/>
      <c r="D1384" s="4"/>
      <c r="E1384" s="4"/>
      <c r="F1384" s="27"/>
    </row>
    <row r="1385">
      <c r="A1385" s="4"/>
      <c r="B1385" s="4"/>
      <c r="C1385" s="4"/>
      <c r="D1385" s="4"/>
      <c r="E1385" s="4"/>
      <c r="F1385" s="27"/>
    </row>
    <row r="1386">
      <c r="A1386" s="4"/>
      <c r="B1386" s="4"/>
      <c r="C1386" s="4"/>
      <c r="D1386" s="4"/>
      <c r="E1386" s="4"/>
      <c r="F1386" s="27"/>
    </row>
    <row r="1387">
      <c r="A1387" s="4"/>
      <c r="B1387" s="4"/>
      <c r="C1387" s="4"/>
      <c r="D1387" s="4"/>
      <c r="E1387" s="4"/>
      <c r="F1387" s="27"/>
    </row>
    <row r="1388">
      <c r="A1388" s="4"/>
      <c r="B1388" s="4"/>
      <c r="C1388" s="4"/>
      <c r="D1388" s="4"/>
      <c r="E1388" s="4"/>
      <c r="F1388" s="27"/>
    </row>
    <row r="1389">
      <c r="A1389" s="4"/>
      <c r="B1389" s="4"/>
      <c r="C1389" s="4"/>
      <c r="D1389" s="4"/>
      <c r="E1389" s="4"/>
      <c r="F1389" s="27"/>
    </row>
    <row r="1390">
      <c r="A1390" s="4"/>
      <c r="B1390" s="4"/>
      <c r="C1390" s="4"/>
      <c r="D1390" s="4"/>
      <c r="E1390" s="4"/>
      <c r="F1390" s="27"/>
    </row>
    <row r="1391">
      <c r="A1391" s="4"/>
      <c r="B1391" s="4"/>
      <c r="C1391" s="4"/>
      <c r="D1391" s="4"/>
      <c r="E1391" s="4"/>
      <c r="F1391" s="27"/>
    </row>
    <row r="1392">
      <c r="A1392" s="4"/>
      <c r="B1392" s="4"/>
      <c r="C1392" s="4"/>
      <c r="D1392" s="4"/>
      <c r="E1392" s="4"/>
      <c r="F1392" s="27"/>
    </row>
    <row r="1393">
      <c r="A1393" s="4"/>
      <c r="B1393" s="4"/>
      <c r="C1393" s="4"/>
      <c r="D1393" s="4"/>
      <c r="E1393" s="4"/>
      <c r="F1393" s="27"/>
    </row>
    <row r="1394">
      <c r="A1394" s="4"/>
      <c r="B1394" s="4"/>
      <c r="C1394" s="4"/>
      <c r="D1394" s="4"/>
      <c r="E1394" s="4"/>
      <c r="F1394" s="27"/>
    </row>
    <row r="1395">
      <c r="A1395" s="4"/>
      <c r="B1395" s="4"/>
      <c r="C1395" s="4"/>
      <c r="D1395" s="4"/>
      <c r="E1395" s="4"/>
      <c r="F1395" s="27"/>
    </row>
    <row r="1396">
      <c r="A1396" s="4"/>
      <c r="B1396" s="4"/>
      <c r="C1396" s="4"/>
      <c r="D1396" s="4"/>
      <c r="E1396" s="4"/>
      <c r="F1396" s="27"/>
    </row>
    <row r="1397">
      <c r="A1397" s="4"/>
      <c r="B1397" s="4"/>
      <c r="C1397" s="4"/>
      <c r="D1397" s="4"/>
      <c r="E1397" s="4"/>
      <c r="F1397" s="27"/>
    </row>
    <row r="1398">
      <c r="A1398" s="4"/>
      <c r="B1398" s="4"/>
      <c r="C1398" s="4"/>
      <c r="D1398" s="4"/>
      <c r="E1398" s="4"/>
      <c r="F1398" s="27"/>
    </row>
    <row r="1399">
      <c r="A1399" s="4"/>
      <c r="B1399" s="4"/>
      <c r="C1399" s="4"/>
      <c r="D1399" s="4"/>
      <c r="E1399" s="4"/>
      <c r="F1399" s="27"/>
    </row>
    <row r="1400">
      <c r="A1400" s="4"/>
      <c r="B1400" s="4"/>
      <c r="C1400" s="4"/>
      <c r="D1400" s="4"/>
      <c r="E1400" s="4"/>
      <c r="F1400" s="27"/>
    </row>
    <row r="1401">
      <c r="A1401" s="4"/>
      <c r="B1401" s="4"/>
      <c r="C1401" s="4"/>
      <c r="D1401" s="4"/>
      <c r="E1401" s="4"/>
      <c r="F1401" s="27"/>
    </row>
    <row r="1402">
      <c r="A1402" s="4"/>
      <c r="B1402" s="4"/>
      <c r="C1402" s="4"/>
      <c r="D1402" s="4"/>
      <c r="E1402" s="4"/>
      <c r="F1402" s="27"/>
    </row>
    <row r="1403">
      <c r="A1403" s="4"/>
      <c r="B1403" s="4"/>
      <c r="C1403" s="4"/>
      <c r="D1403" s="4"/>
      <c r="E1403" s="4"/>
      <c r="F1403" s="27"/>
    </row>
    <row r="1404">
      <c r="A1404" s="4"/>
      <c r="B1404" s="4"/>
      <c r="C1404" s="4"/>
      <c r="D1404" s="4"/>
      <c r="E1404" s="4"/>
      <c r="F1404" s="27"/>
    </row>
    <row r="1405">
      <c r="A1405" s="4"/>
      <c r="B1405" s="4"/>
      <c r="C1405" s="4"/>
      <c r="D1405" s="4"/>
      <c r="E1405" s="4"/>
      <c r="F1405" s="27"/>
    </row>
    <row r="1406">
      <c r="A1406" s="4"/>
      <c r="B1406" s="4"/>
      <c r="C1406" s="4"/>
      <c r="D1406" s="4"/>
      <c r="E1406" s="4"/>
      <c r="F1406" s="27"/>
    </row>
    <row r="1407">
      <c r="A1407" s="4"/>
      <c r="B1407" s="4"/>
      <c r="C1407" s="4"/>
      <c r="D1407" s="4"/>
      <c r="E1407" s="4"/>
      <c r="F1407" s="27"/>
    </row>
    <row r="1408">
      <c r="A1408" s="4"/>
      <c r="B1408" s="4"/>
      <c r="C1408" s="4"/>
      <c r="D1408" s="4"/>
      <c r="E1408" s="4"/>
      <c r="F1408" s="27"/>
    </row>
    <row r="1409">
      <c r="A1409" s="4"/>
      <c r="B1409" s="4"/>
      <c r="C1409" s="4"/>
      <c r="D1409" s="4"/>
      <c r="E1409" s="4"/>
      <c r="F1409" s="27"/>
    </row>
    <row r="1410">
      <c r="A1410" s="4"/>
      <c r="B1410" s="4"/>
      <c r="C1410" s="4"/>
      <c r="D1410" s="4"/>
      <c r="E1410" s="4"/>
      <c r="F1410" s="27"/>
    </row>
    <row r="1411">
      <c r="A1411" s="4"/>
      <c r="B1411" s="4"/>
      <c r="C1411" s="4"/>
      <c r="D1411" s="4"/>
      <c r="E1411" s="4"/>
      <c r="F1411" s="27"/>
    </row>
    <row r="1412">
      <c r="A1412" s="4"/>
      <c r="B1412" s="4"/>
      <c r="C1412" s="4"/>
      <c r="D1412" s="4"/>
      <c r="E1412" s="4"/>
      <c r="F1412" s="27"/>
    </row>
    <row r="1413">
      <c r="A1413" s="4"/>
      <c r="B1413" s="4"/>
      <c r="C1413" s="4"/>
      <c r="D1413" s="4"/>
      <c r="E1413" s="4"/>
      <c r="F1413" s="27"/>
    </row>
    <row r="1414">
      <c r="A1414" s="4"/>
      <c r="B1414" s="4"/>
      <c r="C1414" s="4"/>
      <c r="D1414" s="4"/>
      <c r="E1414" s="4"/>
      <c r="F1414" s="27"/>
    </row>
    <row r="1415">
      <c r="A1415" s="4"/>
      <c r="B1415" s="4"/>
      <c r="C1415" s="4"/>
      <c r="D1415" s="4"/>
      <c r="E1415" s="4"/>
      <c r="F1415" s="27"/>
    </row>
    <row r="1416">
      <c r="A1416" s="4"/>
      <c r="B1416" s="4"/>
      <c r="C1416" s="4"/>
      <c r="D1416" s="4"/>
      <c r="E1416" s="4"/>
      <c r="F1416" s="27"/>
    </row>
    <row r="1417">
      <c r="A1417" s="4"/>
      <c r="B1417" s="4"/>
      <c r="C1417" s="4"/>
      <c r="D1417" s="4"/>
      <c r="E1417" s="4"/>
      <c r="F1417" s="27"/>
    </row>
    <row r="1418">
      <c r="A1418" s="4"/>
      <c r="B1418" s="4"/>
      <c r="C1418" s="4"/>
      <c r="D1418" s="4"/>
      <c r="E1418" s="4"/>
      <c r="F1418" s="27"/>
    </row>
    <row r="1419">
      <c r="A1419" s="4"/>
      <c r="B1419" s="4"/>
      <c r="C1419" s="4"/>
      <c r="D1419" s="4"/>
      <c r="E1419" s="4"/>
      <c r="F1419" s="27"/>
    </row>
    <row r="1420">
      <c r="A1420" s="4"/>
      <c r="B1420" s="4"/>
      <c r="C1420" s="4"/>
      <c r="D1420" s="4"/>
      <c r="E1420" s="4"/>
      <c r="F1420" s="27"/>
    </row>
    <row r="1421">
      <c r="A1421" s="4"/>
      <c r="B1421" s="4"/>
      <c r="C1421" s="4"/>
      <c r="D1421" s="4"/>
      <c r="E1421" s="4"/>
      <c r="F1421" s="27"/>
    </row>
    <row r="1422">
      <c r="A1422" s="4"/>
      <c r="B1422" s="4"/>
      <c r="C1422" s="4"/>
      <c r="D1422" s="4"/>
      <c r="E1422" s="4"/>
      <c r="F1422" s="27"/>
    </row>
    <row r="1423">
      <c r="A1423" s="4"/>
      <c r="B1423" s="4"/>
      <c r="C1423" s="4"/>
      <c r="D1423" s="4"/>
      <c r="E1423" s="4"/>
      <c r="F1423" s="27"/>
    </row>
    <row r="1424">
      <c r="A1424" s="4"/>
      <c r="B1424" s="4"/>
      <c r="C1424" s="4"/>
      <c r="D1424" s="4"/>
      <c r="E1424" s="4"/>
      <c r="F1424" s="27"/>
    </row>
    <row r="1425">
      <c r="A1425" s="4"/>
      <c r="B1425" s="4"/>
      <c r="C1425" s="4"/>
      <c r="D1425" s="4"/>
      <c r="E1425" s="4"/>
      <c r="F1425" s="27"/>
    </row>
    <row r="1426">
      <c r="A1426" s="4"/>
      <c r="B1426" s="4"/>
      <c r="C1426" s="4"/>
      <c r="D1426" s="4"/>
      <c r="E1426" s="4"/>
      <c r="F1426" s="27"/>
    </row>
    <row r="1427">
      <c r="A1427" s="4"/>
      <c r="B1427" s="4"/>
      <c r="C1427" s="4"/>
      <c r="D1427" s="4"/>
      <c r="E1427" s="4"/>
      <c r="F1427" s="27"/>
    </row>
    <row r="1428">
      <c r="A1428" s="4"/>
      <c r="B1428" s="4"/>
      <c r="C1428" s="4"/>
      <c r="D1428" s="4"/>
      <c r="E1428" s="4"/>
      <c r="F1428" s="27"/>
    </row>
    <row r="1429">
      <c r="A1429" s="4"/>
      <c r="B1429" s="4"/>
      <c r="C1429" s="4"/>
      <c r="D1429" s="4"/>
      <c r="E1429" s="4"/>
      <c r="F1429" s="27"/>
    </row>
    <row r="1430">
      <c r="A1430" s="4"/>
      <c r="B1430" s="4"/>
      <c r="C1430" s="4"/>
      <c r="D1430" s="4"/>
      <c r="E1430" s="4"/>
      <c r="F1430" s="27"/>
    </row>
    <row r="1431">
      <c r="A1431" s="4"/>
      <c r="B1431" s="4"/>
      <c r="C1431" s="4"/>
      <c r="D1431" s="4"/>
      <c r="E1431" s="4"/>
      <c r="F1431" s="27"/>
    </row>
    <row r="1432">
      <c r="A1432" s="4"/>
      <c r="B1432" s="4"/>
      <c r="C1432" s="4"/>
      <c r="D1432" s="4"/>
      <c r="E1432" s="4"/>
      <c r="F1432" s="27"/>
    </row>
    <row r="1433">
      <c r="A1433" s="4"/>
      <c r="B1433" s="4"/>
      <c r="C1433" s="4"/>
      <c r="D1433" s="4"/>
      <c r="E1433" s="4"/>
      <c r="F1433" s="27"/>
    </row>
    <row r="1434">
      <c r="A1434" s="4"/>
      <c r="B1434" s="4"/>
      <c r="C1434" s="4"/>
      <c r="D1434" s="4"/>
      <c r="E1434" s="4"/>
      <c r="F1434" s="27"/>
    </row>
    <row r="1435">
      <c r="A1435" s="4"/>
      <c r="B1435" s="4"/>
      <c r="C1435" s="4"/>
      <c r="D1435" s="4"/>
      <c r="E1435" s="4"/>
      <c r="F1435" s="27"/>
    </row>
    <row r="1436">
      <c r="A1436" s="4"/>
      <c r="B1436" s="4"/>
      <c r="C1436" s="4"/>
      <c r="D1436" s="4"/>
      <c r="E1436" s="4"/>
      <c r="F1436" s="27"/>
    </row>
    <row r="1437">
      <c r="A1437" s="4"/>
      <c r="B1437" s="4"/>
      <c r="C1437" s="4"/>
      <c r="D1437" s="4"/>
      <c r="E1437" s="4"/>
      <c r="F1437" s="27"/>
    </row>
    <row r="1438">
      <c r="A1438" s="4"/>
      <c r="B1438" s="4"/>
      <c r="C1438" s="4"/>
      <c r="D1438" s="4"/>
      <c r="E1438" s="4"/>
      <c r="F1438" s="27"/>
    </row>
    <row r="1439">
      <c r="A1439" s="4"/>
      <c r="B1439" s="4"/>
      <c r="C1439" s="4"/>
      <c r="D1439" s="4"/>
      <c r="E1439" s="4"/>
      <c r="F1439" s="27"/>
    </row>
    <row r="1440">
      <c r="A1440" s="4"/>
      <c r="B1440" s="4"/>
      <c r="C1440" s="4"/>
      <c r="D1440" s="4"/>
      <c r="E1440" s="4"/>
      <c r="F1440" s="27"/>
    </row>
    <row r="1441">
      <c r="A1441" s="4"/>
      <c r="B1441" s="4"/>
      <c r="C1441" s="4"/>
      <c r="D1441" s="4"/>
      <c r="E1441" s="4"/>
      <c r="F1441" s="27"/>
    </row>
    <row r="1442">
      <c r="A1442" s="4"/>
      <c r="B1442" s="4"/>
      <c r="C1442" s="4"/>
      <c r="D1442" s="4"/>
      <c r="E1442" s="4"/>
      <c r="F1442" s="27"/>
    </row>
    <row r="1443">
      <c r="A1443" s="4"/>
      <c r="B1443" s="4"/>
      <c r="C1443" s="4"/>
      <c r="D1443" s="4"/>
      <c r="E1443" s="4"/>
      <c r="F1443" s="27"/>
    </row>
    <row r="1444">
      <c r="A1444" s="4"/>
      <c r="B1444" s="4"/>
      <c r="C1444" s="4"/>
      <c r="D1444" s="4"/>
      <c r="E1444" s="4"/>
      <c r="F1444" s="27"/>
    </row>
    <row r="1445">
      <c r="A1445" s="4"/>
      <c r="B1445" s="4"/>
      <c r="C1445" s="4"/>
      <c r="D1445" s="4"/>
      <c r="E1445" s="4"/>
      <c r="F1445" s="27"/>
    </row>
    <row r="1446">
      <c r="A1446" s="4"/>
      <c r="B1446" s="4"/>
      <c r="C1446" s="4"/>
      <c r="D1446" s="4"/>
      <c r="E1446" s="4"/>
      <c r="F1446" s="27"/>
    </row>
    <row r="1447">
      <c r="A1447" s="4"/>
      <c r="B1447" s="4"/>
      <c r="C1447" s="4"/>
      <c r="D1447" s="4"/>
      <c r="E1447" s="4"/>
      <c r="F1447" s="27"/>
    </row>
    <row r="1448">
      <c r="A1448" s="4"/>
      <c r="B1448" s="4"/>
      <c r="C1448" s="4"/>
      <c r="D1448" s="4"/>
      <c r="E1448" s="4"/>
      <c r="F1448" s="27"/>
    </row>
    <row r="1449">
      <c r="A1449" s="4"/>
      <c r="B1449" s="4"/>
      <c r="C1449" s="4"/>
      <c r="D1449" s="4"/>
      <c r="E1449" s="4"/>
      <c r="F1449" s="27"/>
    </row>
    <row r="1450">
      <c r="A1450" s="4"/>
      <c r="B1450" s="4"/>
      <c r="C1450" s="4"/>
      <c r="D1450" s="4"/>
      <c r="E1450" s="4"/>
      <c r="F1450" s="27"/>
    </row>
    <row r="1451">
      <c r="A1451" s="4"/>
      <c r="B1451" s="4"/>
      <c r="C1451" s="4"/>
      <c r="D1451" s="4"/>
      <c r="E1451" s="4"/>
      <c r="F1451" s="27"/>
    </row>
    <row r="1452">
      <c r="A1452" s="4"/>
      <c r="B1452" s="4"/>
      <c r="C1452" s="4"/>
      <c r="D1452" s="4"/>
      <c r="E1452" s="4"/>
      <c r="F1452" s="27"/>
    </row>
    <row r="1453">
      <c r="A1453" s="4"/>
      <c r="B1453" s="4"/>
      <c r="C1453" s="4"/>
      <c r="D1453" s="4"/>
      <c r="E1453" s="4"/>
      <c r="F1453" s="27"/>
    </row>
    <row r="1454">
      <c r="A1454" s="4"/>
      <c r="B1454" s="4"/>
      <c r="C1454" s="4"/>
      <c r="D1454" s="4"/>
      <c r="E1454" s="4"/>
      <c r="F1454" s="27"/>
    </row>
    <row r="1455">
      <c r="A1455" s="4"/>
      <c r="B1455" s="4"/>
      <c r="C1455" s="4"/>
      <c r="D1455" s="4"/>
      <c r="E1455" s="4"/>
      <c r="F1455" s="27"/>
    </row>
    <row r="1456">
      <c r="A1456" s="4"/>
      <c r="B1456" s="4"/>
      <c r="C1456" s="4"/>
      <c r="D1456" s="4"/>
      <c r="E1456" s="4"/>
      <c r="F1456" s="27"/>
    </row>
    <row r="1457">
      <c r="A1457" s="4"/>
      <c r="B1457" s="4"/>
      <c r="C1457" s="4"/>
      <c r="D1457" s="4"/>
      <c r="E1457" s="4"/>
      <c r="F1457" s="27"/>
    </row>
    <row r="1458">
      <c r="A1458" s="4"/>
      <c r="B1458" s="4"/>
      <c r="C1458" s="4"/>
      <c r="D1458" s="4"/>
      <c r="E1458" s="4"/>
      <c r="F1458" s="27"/>
    </row>
    <row r="1459">
      <c r="A1459" s="4"/>
      <c r="B1459" s="4"/>
      <c r="C1459" s="4"/>
      <c r="D1459" s="4"/>
      <c r="E1459" s="4"/>
      <c r="F1459" s="27"/>
    </row>
    <row r="1460">
      <c r="A1460" s="4"/>
      <c r="B1460" s="4"/>
      <c r="C1460" s="4"/>
      <c r="D1460" s="4"/>
      <c r="E1460" s="4"/>
      <c r="F1460" s="27"/>
    </row>
    <row r="1461">
      <c r="A1461" s="4"/>
      <c r="B1461" s="4"/>
      <c r="C1461" s="4"/>
      <c r="D1461" s="4"/>
      <c r="E1461" s="4"/>
      <c r="F1461" s="27"/>
    </row>
    <row r="1462">
      <c r="A1462" s="4"/>
      <c r="B1462" s="4"/>
      <c r="C1462" s="4"/>
      <c r="D1462" s="4"/>
      <c r="E1462" s="4"/>
      <c r="F1462" s="27"/>
    </row>
    <row r="1463">
      <c r="A1463" s="4"/>
      <c r="B1463" s="4"/>
      <c r="C1463" s="4"/>
      <c r="D1463" s="4"/>
      <c r="E1463" s="4"/>
      <c r="F1463" s="27"/>
    </row>
    <row r="1464">
      <c r="A1464" s="4"/>
      <c r="B1464" s="4"/>
      <c r="C1464" s="4"/>
      <c r="D1464" s="4"/>
      <c r="E1464" s="4"/>
      <c r="F1464" s="27"/>
    </row>
    <row r="1465">
      <c r="A1465" s="4"/>
      <c r="B1465" s="4"/>
      <c r="C1465" s="4"/>
      <c r="D1465" s="4"/>
      <c r="E1465" s="4"/>
      <c r="F1465" s="27"/>
    </row>
    <row r="1466">
      <c r="A1466" s="4"/>
      <c r="B1466" s="4"/>
      <c r="C1466" s="4"/>
      <c r="D1466" s="4"/>
      <c r="E1466" s="4"/>
      <c r="F1466" s="27"/>
    </row>
    <row r="1467">
      <c r="A1467" s="4"/>
      <c r="B1467" s="4"/>
      <c r="C1467" s="4"/>
      <c r="D1467" s="4"/>
      <c r="E1467" s="4"/>
      <c r="F1467" s="27"/>
    </row>
    <row r="1468">
      <c r="A1468" s="4"/>
      <c r="B1468" s="4"/>
      <c r="C1468" s="4"/>
      <c r="D1468" s="4"/>
      <c r="E1468" s="4"/>
      <c r="F1468" s="27"/>
    </row>
    <row r="1469">
      <c r="A1469" s="4"/>
      <c r="B1469" s="4"/>
      <c r="C1469" s="4"/>
      <c r="D1469" s="4"/>
      <c r="E1469" s="4"/>
      <c r="F1469" s="27"/>
    </row>
    <row r="1470">
      <c r="A1470" s="4"/>
      <c r="B1470" s="4"/>
      <c r="C1470" s="4"/>
      <c r="D1470" s="4"/>
      <c r="E1470" s="4"/>
      <c r="F1470" s="27"/>
    </row>
    <row r="1471">
      <c r="A1471" s="4"/>
      <c r="B1471" s="4"/>
      <c r="C1471" s="4"/>
      <c r="D1471" s="4"/>
      <c r="E1471" s="4"/>
      <c r="F1471" s="27"/>
    </row>
    <row r="1472">
      <c r="A1472" s="4"/>
      <c r="B1472" s="4"/>
      <c r="C1472" s="4"/>
      <c r="D1472" s="4"/>
      <c r="E1472" s="4"/>
      <c r="F1472" s="27"/>
    </row>
    <row r="1473">
      <c r="A1473" s="4"/>
      <c r="B1473" s="4"/>
      <c r="C1473" s="4"/>
      <c r="D1473" s="4"/>
      <c r="E1473" s="4"/>
      <c r="F1473" s="27"/>
    </row>
    <row r="1474">
      <c r="A1474" s="4"/>
      <c r="B1474" s="4"/>
      <c r="C1474" s="4"/>
      <c r="D1474" s="4"/>
      <c r="E1474" s="4"/>
      <c r="F1474" s="27"/>
    </row>
    <row r="1475">
      <c r="A1475" s="4"/>
      <c r="B1475" s="4"/>
      <c r="C1475" s="4"/>
      <c r="D1475" s="4"/>
      <c r="E1475" s="4"/>
      <c r="F1475" s="27"/>
    </row>
    <row r="1476">
      <c r="A1476" s="4"/>
      <c r="B1476" s="4"/>
      <c r="C1476" s="4"/>
      <c r="D1476" s="4"/>
      <c r="E1476" s="4"/>
      <c r="F1476" s="27"/>
    </row>
    <row r="1477">
      <c r="A1477" s="4"/>
      <c r="B1477" s="4"/>
      <c r="C1477" s="4"/>
      <c r="D1477" s="4"/>
      <c r="E1477" s="4"/>
      <c r="F1477" s="27"/>
    </row>
    <row r="1478">
      <c r="A1478" s="4"/>
      <c r="B1478" s="4"/>
      <c r="C1478" s="4"/>
      <c r="D1478" s="4"/>
      <c r="E1478" s="4"/>
      <c r="F1478" s="27"/>
    </row>
    <row r="1479">
      <c r="A1479" s="4"/>
      <c r="B1479" s="4"/>
      <c r="C1479" s="4"/>
      <c r="D1479" s="4"/>
      <c r="E1479" s="4"/>
      <c r="F1479" s="27"/>
    </row>
    <row r="1480">
      <c r="A1480" s="4"/>
      <c r="B1480" s="4"/>
      <c r="C1480" s="4"/>
      <c r="D1480" s="4"/>
      <c r="E1480" s="4"/>
      <c r="F1480" s="27"/>
    </row>
    <row r="1481">
      <c r="A1481" s="4"/>
      <c r="B1481" s="4"/>
      <c r="C1481" s="4"/>
      <c r="D1481" s="4"/>
      <c r="E1481" s="4"/>
      <c r="F1481" s="27"/>
    </row>
    <row r="1482">
      <c r="A1482" s="4"/>
      <c r="B1482" s="4"/>
      <c r="C1482" s="4"/>
      <c r="D1482" s="4"/>
      <c r="E1482" s="4"/>
      <c r="F1482" s="27"/>
    </row>
    <row r="1483">
      <c r="A1483" s="4"/>
      <c r="B1483" s="4"/>
      <c r="C1483" s="4"/>
      <c r="D1483" s="4"/>
      <c r="E1483" s="4"/>
      <c r="F1483" s="27"/>
    </row>
    <row r="1484">
      <c r="A1484" s="4"/>
      <c r="B1484" s="4"/>
      <c r="C1484" s="4"/>
      <c r="D1484" s="4"/>
      <c r="E1484" s="4"/>
      <c r="F1484" s="27"/>
    </row>
    <row r="1485">
      <c r="A1485" s="4"/>
      <c r="B1485" s="4"/>
      <c r="C1485" s="4"/>
      <c r="D1485" s="4"/>
      <c r="E1485" s="4"/>
      <c r="F1485" s="27"/>
    </row>
    <row r="1486">
      <c r="A1486" s="4"/>
      <c r="B1486" s="4"/>
      <c r="C1486" s="4"/>
      <c r="D1486" s="4"/>
      <c r="E1486" s="4"/>
      <c r="F1486" s="27"/>
    </row>
    <row r="1487">
      <c r="A1487" s="4"/>
      <c r="B1487" s="4"/>
      <c r="C1487" s="4"/>
      <c r="D1487" s="4"/>
      <c r="E1487" s="4"/>
      <c r="F1487" s="27"/>
    </row>
    <row r="1488">
      <c r="A1488" s="4"/>
      <c r="B1488" s="4"/>
      <c r="C1488" s="4"/>
      <c r="D1488" s="4"/>
      <c r="E1488" s="4"/>
      <c r="F1488" s="27"/>
    </row>
    <row r="1489">
      <c r="A1489" s="4"/>
      <c r="B1489" s="4"/>
      <c r="C1489" s="4"/>
      <c r="D1489" s="4"/>
      <c r="E1489" s="4"/>
      <c r="F1489" s="27"/>
    </row>
    <row r="1490">
      <c r="A1490" s="4"/>
      <c r="B1490" s="4"/>
      <c r="C1490" s="4"/>
      <c r="D1490" s="4"/>
      <c r="E1490" s="4"/>
      <c r="F1490" s="27"/>
    </row>
    <row r="1491">
      <c r="A1491" s="4"/>
      <c r="B1491" s="4"/>
      <c r="C1491" s="4"/>
      <c r="D1491" s="4"/>
      <c r="E1491" s="4"/>
      <c r="F1491" s="27"/>
    </row>
    <row r="1492">
      <c r="A1492" s="4"/>
      <c r="B1492" s="4"/>
      <c r="C1492" s="4"/>
      <c r="D1492" s="4"/>
      <c r="E1492" s="4"/>
      <c r="F1492" s="27"/>
    </row>
    <row r="1493">
      <c r="A1493" s="4"/>
      <c r="B1493" s="4"/>
      <c r="C1493" s="4"/>
      <c r="D1493" s="4"/>
      <c r="E1493" s="4"/>
      <c r="F1493" s="27"/>
    </row>
    <row r="1494">
      <c r="A1494" s="4"/>
      <c r="B1494" s="4"/>
      <c r="C1494" s="4"/>
      <c r="D1494" s="4"/>
      <c r="E1494" s="4"/>
      <c r="F1494" s="27"/>
    </row>
    <row r="1495">
      <c r="A1495" s="4"/>
      <c r="B1495" s="4"/>
      <c r="C1495" s="4"/>
      <c r="D1495" s="4"/>
      <c r="E1495" s="4"/>
      <c r="F1495" s="27"/>
    </row>
    <row r="1496">
      <c r="A1496" s="4"/>
      <c r="B1496" s="4"/>
      <c r="C1496" s="4"/>
      <c r="D1496" s="4"/>
      <c r="E1496" s="4"/>
      <c r="F1496" s="27"/>
    </row>
    <row r="1497">
      <c r="A1497" s="4"/>
      <c r="B1497" s="4"/>
      <c r="C1497" s="4"/>
      <c r="D1497" s="4"/>
      <c r="E1497" s="4"/>
      <c r="F1497" s="27"/>
    </row>
    <row r="1498">
      <c r="A1498" s="4"/>
      <c r="B1498" s="4"/>
      <c r="C1498" s="4"/>
      <c r="D1498" s="4"/>
      <c r="E1498" s="4"/>
      <c r="F1498" s="27"/>
    </row>
    <row r="1499">
      <c r="A1499" s="4"/>
      <c r="B1499" s="4"/>
      <c r="C1499" s="4"/>
      <c r="D1499" s="4"/>
      <c r="E1499" s="4"/>
      <c r="F1499" s="27"/>
    </row>
    <row r="1500">
      <c r="A1500" s="4"/>
      <c r="B1500" s="4"/>
      <c r="C1500" s="4"/>
      <c r="D1500" s="4"/>
      <c r="E1500" s="4"/>
      <c r="F1500" s="27"/>
    </row>
    <row r="1501">
      <c r="A1501" s="4"/>
      <c r="B1501" s="4"/>
      <c r="C1501" s="4"/>
      <c r="D1501" s="4"/>
      <c r="E1501" s="4"/>
      <c r="F1501" s="27"/>
    </row>
    <row r="1502">
      <c r="A1502" s="4"/>
      <c r="B1502" s="4"/>
      <c r="C1502" s="4"/>
      <c r="D1502" s="4"/>
      <c r="E1502" s="4"/>
      <c r="F1502" s="27"/>
    </row>
    <row r="1503">
      <c r="A1503" s="4"/>
      <c r="B1503" s="4"/>
      <c r="C1503" s="4"/>
      <c r="D1503" s="4"/>
      <c r="E1503" s="4"/>
      <c r="F1503" s="27"/>
    </row>
    <row r="1504">
      <c r="A1504" s="4"/>
      <c r="B1504" s="4"/>
      <c r="C1504" s="4"/>
      <c r="D1504" s="4"/>
      <c r="E1504" s="4"/>
      <c r="F1504" s="27"/>
    </row>
    <row r="1505">
      <c r="A1505" s="4"/>
      <c r="B1505" s="4"/>
      <c r="C1505" s="4"/>
      <c r="D1505" s="4"/>
      <c r="E1505" s="4"/>
      <c r="F1505" s="27"/>
    </row>
    <row r="1506">
      <c r="A1506" s="4"/>
      <c r="B1506" s="4"/>
      <c r="C1506" s="4"/>
      <c r="D1506" s="4"/>
      <c r="E1506" s="4"/>
      <c r="F1506" s="27"/>
    </row>
    <row r="1507">
      <c r="A1507" s="4"/>
      <c r="B1507" s="4"/>
      <c r="C1507" s="4"/>
      <c r="D1507" s="4"/>
      <c r="E1507" s="4"/>
      <c r="F1507" s="27"/>
    </row>
    <row r="1508">
      <c r="A1508" s="4"/>
      <c r="B1508" s="4"/>
      <c r="C1508" s="4"/>
      <c r="D1508" s="4"/>
      <c r="E1508" s="4"/>
      <c r="F1508" s="27"/>
    </row>
    <row r="1509">
      <c r="A1509" s="4"/>
      <c r="B1509" s="4"/>
      <c r="C1509" s="4"/>
      <c r="D1509" s="4"/>
      <c r="E1509" s="4"/>
      <c r="F1509" s="27"/>
    </row>
    <row r="1510">
      <c r="A1510" s="4"/>
      <c r="B1510" s="4"/>
      <c r="C1510" s="4"/>
      <c r="D1510" s="4"/>
      <c r="E1510" s="4"/>
      <c r="F1510" s="27"/>
    </row>
    <row r="1511">
      <c r="A1511" s="4"/>
      <c r="B1511" s="4"/>
      <c r="C1511" s="4"/>
      <c r="D1511" s="4"/>
      <c r="E1511" s="4"/>
      <c r="F1511" s="27"/>
    </row>
    <row r="1512">
      <c r="A1512" s="4"/>
      <c r="B1512" s="4"/>
      <c r="C1512" s="4"/>
      <c r="D1512" s="4"/>
      <c r="E1512" s="4"/>
      <c r="F1512" s="27"/>
    </row>
    <row r="1513">
      <c r="A1513" s="4"/>
      <c r="B1513" s="4"/>
      <c r="C1513" s="4"/>
      <c r="D1513" s="4"/>
      <c r="E1513" s="4"/>
      <c r="F1513" s="27"/>
    </row>
    <row r="1514">
      <c r="A1514" s="4"/>
      <c r="B1514" s="4"/>
      <c r="C1514" s="4"/>
      <c r="D1514" s="4"/>
      <c r="E1514" s="4"/>
      <c r="F1514" s="27"/>
    </row>
    <row r="1515">
      <c r="A1515" s="4"/>
      <c r="B1515" s="4"/>
      <c r="C1515" s="4"/>
      <c r="D1515" s="4"/>
      <c r="E1515" s="4"/>
      <c r="F1515" s="27"/>
    </row>
    <row r="1516">
      <c r="A1516" s="4"/>
      <c r="B1516" s="4"/>
      <c r="C1516" s="4"/>
      <c r="D1516" s="4"/>
      <c r="E1516" s="4"/>
      <c r="F1516" s="27"/>
    </row>
    <row r="1517">
      <c r="A1517" s="4"/>
      <c r="B1517" s="4"/>
      <c r="C1517" s="4"/>
      <c r="D1517" s="4"/>
      <c r="E1517" s="4"/>
      <c r="F1517" s="27"/>
    </row>
    <row r="1518">
      <c r="A1518" s="4"/>
      <c r="B1518" s="4"/>
      <c r="C1518" s="4"/>
      <c r="D1518" s="4"/>
      <c r="E1518" s="4"/>
      <c r="F1518" s="27"/>
    </row>
    <row r="1519">
      <c r="A1519" s="4"/>
      <c r="B1519" s="4"/>
      <c r="C1519" s="4"/>
      <c r="D1519" s="4"/>
      <c r="E1519" s="4"/>
      <c r="F1519" s="27"/>
    </row>
    <row r="1520">
      <c r="A1520" s="4"/>
      <c r="B1520" s="4"/>
      <c r="C1520" s="4"/>
      <c r="D1520" s="4"/>
      <c r="E1520" s="4"/>
      <c r="F1520" s="27"/>
    </row>
    <row r="1521">
      <c r="A1521" s="4"/>
      <c r="B1521" s="4"/>
      <c r="C1521" s="4"/>
      <c r="D1521" s="4"/>
      <c r="E1521" s="4"/>
      <c r="F1521" s="27"/>
    </row>
    <row r="1522">
      <c r="A1522" s="4"/>
      <c r="B1522" s="4"/>
      <c r="C1522" s="4"/>
      <c r="D1522" s="4"/>
      <c r="E1522" s="4"/>
      <c r="F1522" s="27"/>
    </row>
    <row r="1523">
      <c r="A1523" s="4"/>
      <c r="B1523" s="4"/>
      <c r="C1523" s="4"/>
      <c r="D1523" s="4"/>
      <c r="E1523" s="4"/>
      <c r="F1523" s="27"/>
    </row>
    <row r="1524">
      <c r="A1524" s="4"/>
      <c r="B1524" s="4"/>
      <c r="C1524" s="4"/>
      <c r="D1524" s="4"/>
      <c r="E1524" s="4"/>
      <c r="F1524" s="27"/>
    </row>
    <row r="1525">
      <c r="A1525" s="4"/>
      <c r="B1525" s="4"/>
      <c r="C1525" s="4"/>
      <c r="D1525" s="4"/>
      <c r="E1525" s="4"/>
      <c r="F1525" s="27"/>
    </row>
    <row r="1526">
      <c r="A1526" s="4"/>
      <c r="B1526" s="4"/>
      <c r="C1526" s="4"/>
      <c r="D1526" s="4"/>
      <c r="E1526" s="4"/>
      <c r="F1526" s="27"/>
    </row>
    <row r="1527">
      <c r="A1527" s="4"/>
      <c r="B1527" s="4"/>
      <c r="C1527" s="4"/>
      <c r="D1527" s="4"/>
      <c r="E1527" s="4"/>
      <c r="F1527" s="27"/>
    </row>
    <row r="1528">
      <c r="A1528" s="4"/>
      <c r="B1528" s="4"/>
      <c r="C1528" s="4"/>
      <c r="D1528" s="4"/>
      <c r="E1528" s="4"/>
      <c r="F1528" s="27"/>
    </row>
    <row r="1529">
      <c r="A1529" s="4"/>
      <c r="B1529" s="4"/>
      <c r="C1529" s="4"/>
      <c r="D1529" s="4"/>
      <c r="E1529" s="4"/>
      <c r="F1529" s="27"/>
    </row>
    <row r="1530">
      <c r="A1530" s="4"/>
      <c r="B1530" s="4"/>
      <c r="C1530" s="4"/>
      <c r="D1530" s="4"/>
      <c r="E1530" s="4"/>
      <c r="F1530" s="27"/>
    </row>
    <row r="1531">
      <c r="A1531" s="4"/>
      <c r="B1531" s="4"/>
      <c r="C1531" s="4"/>
      <c r="D1531" s="4"/>
      <c r="E1531" s="4"/>
      <c r="F1531" s="27"/>
    </row>
    <row r="1532">
      <c r="A1532" s="4"/>
      <c r="B1532" s="4"/>
      <c r="C1532" s="4"/>
      <c r="D1532" s="4"/>
      <c r="E1532" s="4"/>
      <c r="F1532" s="27"/>
    </row>
    <row r="1533">
      <c r="A1533" s="4"/>
      <c r="B1533" s="4"/>
      <c r="C1533" s="4"/>
      <c r="D1533" s="4"/>
      <c r="E1533" s="4"/>
      <c r="F1533" s="27"/>
    </row>
    <row r="1534">
      <c r="A1534" s="4"/>
      <c r="B1534" s="4"/>
      <c r="C1534" s="4"/>
      <c r="D1534" s="4"/>
      <c r="E1534" s="4"/>
      <c r="F1534" s="27"/>
    </row>
    <row r="1535">
      <c r="A1535" s="4"/>
      <c r="B1535" s="4"/>
      <c r="C1535" s="4"/>
      <c r="D1535" s="4"/>
      <c r="E1535" s="4"/>
      <c r="F1535" s="27"/>
    </row>
    <row r="1536">
      <c r="A1536" s="4"/>
      <c r="B1536" s="4"/>
      <c r="C1536" s="4"/>
      <c r="D1536" s="4"/>
      <c r="E1536" s="4"/>
      <c r="F1536" s="27"/>
    </row>
    <row r="1537">
      <c r="A1537" s="4"/>
      <c r="B1537" s="4"/>
      <c r="C1537" s="4"/>
      <c r="D1537" s="4"/>
      <c r="E1537" s="4"/>
      <c r="F1537" s="27"/>
    </row>
    <row r="1538">
      <c r="A1538" s="4"/>
      <c r="B1538" s="4"/>
      <c r="C1538" s="4"/>
      <c r="D1538" s="4"/>
      <c r="E1538" s="4"/>
      <c r="F1538" s="27"/>
    </row>
    <row r="1539">
      <c r="A1539" s="4"/>
      <c r="B1539" s="4"/>
      <c r="C1539" s="4"/>
      <c r="D1539" s="4"/>
      <c r="E1539" s="4"/>
      <c r="F1539" s="27"/>
    </row>
    <row r="1540">
      <c r="A1540" s="4"/>
      <c r="B1540" s="4"/>
      <c r="C1540" s="4"/>
      <c r="D1540" s="4"/>
      <c r="E1540" s="4"/>
      <c r="F1540" s="27"/>
    </row>
    <row r="1541">
      <c r="A1541" s="4"/>
      <c r="B1541" s="4"/>
      <c r="C1541" s="4"/>
      <c r="D1541" s="4"/>
      <c r="E1541" s="4"/>
      <c r="F1541" s="27"/>
    </row>
    <row r="1542">
      <c r="A1542" s="4"/>
      <c r="B1542" s="4"/>
      <c r="C1542" s="4"/>
      <c r="D1542" s="4"/>
      <c r="E1542" s="4"/>
      <c r="F1542" s="27"/>
    </row>
    <row r="1543">
      <c r="A1543" s="4"/>
      <c r="B1543" s="4"/>
      <c r="C1543" s="4"/>
      <c r="D1543" s="4"/>
      <c r="E1543" s="4"/>
      <c r="F1543" s="27"/>
    </row>
    <row r="1544">
      <c r="A1544" s="4"/>
      <c r="B1544" s="4"/>
      <c r="C1544" s="4"/>
      <c r="D1544" s="4"/>
      <c r="E1544" s="4"/>
      <c r="F1544" s="27"/>
    </row>
    <row r="1545">
      <c r="A1545" s="4"/>
      <c r="B1545" s="4"/>
      <c r="C1545" s="4"/>
      <c r="D1545" s="4"/>
      <c r="E1545" s="4"/>
      <c r="F1545" s="27"/>
    </row>
    <row r="1546">
      <c r="A1546" s="4"/>
      <c r="B1546" s="4"/>
      <c r="C1546" s="4"/>
      <c r="D1546" s="4"/>
      <c r="E1546" s="4"/>
      <c r="F1546" s="27"/>
    </row>
    <row r="1547">
      <c r="A1547" s="4"/>
      <c r="B1547" s="4"/>
      <c r="C1547" s="4"/>
      <c r="D1547" s="4"/>
      <c r="E1547" s="4"/>
      <c r="F1547" s="27"/>
    </row>
    <row r="1548">
      <c r="A1548" s="4"/>
      <c r="B1548" s="4"/>
      <c r="C1548" s="4"/>
      <c r="D1548" s="4"/>
      <c r="E1548" s="4"/>
      <c r="F1548" s="27"/>
    </row>
    <row r="1549">
      <c r="A1549" s="4"/>
      <c r="B1549" s="4"/>
      <c r="C1549" s="4"/>
      <c r="D1549" s="4"/>
      <c r="E1549" s="4"/>
      <c r="F1549" s="27"/>
    </row>
    <row r="1550">
      <c r="A1550" s="4"/>
      <c r="B1550" s="4"/>
      <c r="C1550" s="4"/>
      <c r="D1550" s="4"/>
      <c r="E1550" s="4"/>
      <c r="F1550" s="27"/>
    </row>
    <row r="1551">
      <c r="A1551" s="4"/>
      <c r="B1551" s="4"/>
      <c r="C1551" s="4"/>
      <c r="D1551" s="4"/>
      <c r="E1551" s="4"/>
      <c r="F1551" s="27"/>
    </row>
    <row r="1552">
      <c r="A1552" s="4"/>
      <c r="B1552" s="4"/>
      <c r="C1552" s="4"/>
      <c r="D1552" s="4"/>
      <c r="E1552" s="4"/>
      <c r="F1552" s="27"/>
    </row>
    <row r="1553">
      <c r="A1553" s="4"/>
      <c r="B1553" s="4"/>
      <c r="C1553" s="4"/>
      <c r="D1553" s="4"/>
      <c r="E1553" s="4"/>
      <c r="F1553" s="27"/>
    </row>
    <row r="1554">
      <c r="A1554" s="4"/>
      <c r="B1554" s="4"/>
      <c r="C1554" s="4"/>
      <c r="D1554" s="4"/>
      <c r="E1554" s="4"/>
      <c r="F1554" s="27"/>
    </row>
    <row r="1555">
      <c r="A1555" s="4"/>
      <c r="B1555" s="4"/>
      <c r="C1555" s="4"/>
      <c r="D1555" s="4"/>
      <c r="E1555" s="4"/>
      <c r="F1555" s="27"/>
    </row>
    <row r="1556">
      <c r="A1556" s="4"/>
      <c r="B1556" s="4"/>
      <c r="C1556" s="4"/>
      <c r="D1556" s="4"/>
      <c r="E1556" s="4"/>
      <c r="F1556" s="27"/>
    </row>
    <row r="1557">
      <c r="A1557" s="4"/>
      <c r="B1557" s="4"/>
      <c r="C1557" s="4"/>
      <c r="D1557" s="4"/>
      <c r="E1557" s="4"/>
      <c r="F1557" s="27"/>
    </row>
    <row r="1558">
      <c r="A1558" s="4"/>
      <c r="B1558" s="4"/>
      <c r="C1558" s="4"/>
      <c r="D1558" s="4"/>
      <c r="E1558" s="4"/>
      <c r="F1558" s="27"/>
    </row>
    <row r="1559">
      <c r="A1559" s="4"/>
      <c r="B1559" s="4"/>
      <c r="C1559" s="4"/>
      <c r="D1559" s="4"/>
      <c r="E1559" s="4"/>
      <c r="F1559" s="27"/>
    </row>
    <row r="1560">
      <c r="A1560" s="4"/>
      <c r="B1560" s="4"/>
      <c r="C1560" s="4"/>
      <c r="D1560" s="4"/>
      <c r="E1560" s="4"/>
      <c r="F1560" s="27"/>
    </row>
    <row r="1561">
      <c r="A1561" s="4"/>
      <c r="B1561" s="4"/>
      <c r="C1561" s="4"/>
      <c r="D1561" s="4"/>
      <c r="E1561" s="4"/>
      <c r="F1561" s="27"/>
    </row>
    <row r="1562">
      <c r="A1562" s="4"/>
      <c r="B1562" s="4"/>
      <c r="C1562" s="4"/>
      <c r="D1562" s="4"/>
      <c r="E1562" s="4"/>
      <c r="F1562" s="27"/>
    </row>
    <row r="1563">
      <c r="A1563" s="4"/>
      <c r="B1563" s="4"/>
      <c r="C1563" s="4"/>
      <c r="D1563" s="4"/>
      <c r="E1563" s="4"/>
      <c r="F1563" s="27"/>
    </row>
    <row r="1564">
      <c r="A1564" s="4"/>
      <c r="B1564" s="4"/>
      <c r="C1564" s="4"/>
      <c r="D1564" s="4"/>
      <c r="E1564" s="4"/>
      <c r="F1564" s="27"/>
    </row>
    <row r="1565">
      <c r="A1565" s="4"/>
      <c r="B1565" s="4"/>
      <c r="C1565" s="4"/>
      <c r="D1565" s="4"/>
      <c r="E1565" s="4"/>
      <c r="F1565" s="27"/>
    </row>
    <row r="1566">
      <c r="A1566" s="4"/>
      <c r="B1566" s="4"/>
      <c r="C1566" s="4"/>
      <c r="D1566" s="4"/>
      <c r="E1566" s="4"/>
      <c r="F1566" s="27"/>
    </row>
    <row r="1567">
      <c r="A1567" s="4"/>
      <c r="B1567" s="4"/>
      <c r="C1567" s="4"/>
      <c r="D1567" s="4"/>
      <c r="E1567" s="4"/>
      <c r="F1567" s="27"/>
    </row>
    <row r="1568">
      <c r="A1568" s="4"/>
      <c r="B1568" s="4"/>
      <c r="C1568" s="4"/>
      <c r="D1568" s="4"/>
      <c r="E1568" s="4"/>
      <c r="F1568" s="27"/>
    </row>
    <row r="1569">
      <c r="A1569" s="4"/>
      <c r="B1569" s="4"/>
      <c r="C1569" s="4"/>
      <c r="D1569" s="4"/>
      <c r="E1569" s="4"/>
      <c r="F1569" s="27"/>
    </row>
    <row r="1570">
      <c r="A1570" s="4"/>
      <c r="B1570" s="4"/>
      <c r="C1570" s="4"/>
      <c r="D1570" s="4"/>
      <c r="E1570" s="4"/>
      <c r="F1570" s="27"/>
    </row>
    <row r="1571">
      <c r="A1571" s="4"/>
      <c r="B1571" s="4"/>
      <c r="C1571" s="4"/>
      <c r="D1571" s="4"/>
      <c r="E1571" s="4"/>
      <c r="F1571" s="27"/>
    </row>
    <row r="1572">
      <c r="A1572" s="4"/>
      <c r="B1572" s="4"/>
      <c r="C1572" s="4"/>
      <c r="D1572" s="4"/>
      <c r="E1572" s="4"/>
      <c r="F1572" s="27"/>
    </row>
    <row r="1573">
      <c r="A1573" s="4"/>
      <c r="B1573" s="4"/>
      <c r="C1573" s="4"/>
      <c r="D1573" s="4"/>
      <c r="E1573" s="4"/>
      <c r="F1573" s="27"/>
    </row>
    <row r="1574">
      <c r="A1574" s="4"/>
      <c r="B1574" s="4"/>
      <c r="C1574" s="4"/>
      <c r="D1574" s="4"/>
      <c r="E1574" s="4"/>
      <c r="F1574" s="27"/>
    </row>
    <row r="1575">
      <c r="A1575" s="4"/>
      <c r="B1575" s="4"/>
      <c r="C1575" s="4"/>
      <c r="D1575" s="4"/>
      <c r="E1575" s="4"/>
      <c r="F1575" s="27"/>
    </row>
    <row r="1576">
      <c r="A1576" s="4"/>
      <c r="B1576" s="4"/>
      <c r="C1576" s="4"/>
      <c r="D1576" s="4"/>
      <c r="E1576" s="4"/>
      <c r="F1576" s="27"/>
    </row>
    <row r="1577">
      <c r="A1577" s="4"/>
      <c r="B1577" s="4"/>
      <c r="C1577" s="4"/>
      <c r="D1577" s="4"/>
      <c r="E1577" s="4"/>
      <c r="F1577" s="27"/>
    </row>
    <row r="1578">
      <c r="A1578" s="4"/>
      <c r="B1578" s="4"/>
      <c r="C1578" s="4"/>
      <c r="D1578" s="4"/>
      <c r="E1578" s="4"/>
      <c r="F1578" s="27"/>
    </row>
    <row r="1579">
      <c r="A1579" s="4"/>
      <c r="B1579" s="4"/>
      <c r="C1579" s="4"/>
      <c r="D1579" s="4"/>
      <c r="E1579" s="4"/>
      <c r="F1579" s="27"/>
    </row>
    <row r="1580">
      <c r="A1580" s="4"/>
      <c r="B1580" s="4"/>
      <c r="C1580" s="4"/>
      <c r="D1580" s="4"/>
      <c r="E1580" s="4"/>
      <c r="F1580" s="27"/>
    </row>
    <row r="1581">
      <c r="A1581" s="4"/>
      <c r="B1581" s="4"/>
      <c r="C1581" s="4"/>
      <c r="D1581" s="4"/>
      <c r="E1581" s="4"/>
      <c r="F1581" s="27"/>
    </row>
    <row r="1582">
      <c r="A1582" s="4"/>
      <c r="B1582" s="4"/>
      <c r="C1582" s="4"/>
      <c r="D1582" s="4"/>
      <c r="E1582" s="4"/>
      <c r="F1582" s="27"/>
    </row>
    <row r="1583">
      <c r="A1583" s="4"/>
      <c r="B1583" s="4"/>
      <c r="C1583" s="4"/>
      <c r="D1583" s="4"/>
      <c r="E1583" s="4"/>
      <c r="F1583" s="27"/>
    </row>
    <row r="1584">
      <c r="A1584" s="4"/>
      <c r="B1584" s="4"/>
      <c r="C1584" s="4"/>
      <c r="D1584" s="4"/>
      <c r="E1584" s="4"/>
      <c r="F1584" s="27"/>
    </row>
    <row r="1585">
      <c r="A1585" s="4"/>
      <c r="B1585" s="4"/>
      <c r="C1585" s="4"/>
      <c r="D1585" s="4"/>
      <c r="E1585" s="4"/>
      <c r="F1585" s="27"/>
    </row>
    <row r="1586">
      <c r="A1586" s="4"/>
      <c r="B1586" s="4"/>
      <c r="C1586" s="4"/>
      <c r="D1586" s="4"/>
      <c r="E1586" s="4"/>
      <c r="F1586" s="27"/>
    </row>
    <row r="1587">
      <c r="A1587" s="4"/>
      <c r="B1587" s="4"/>
      <c r="C1587" s="4"/>
      <c r="D1587" s="4"/>
      <c r="E1587" s="4"/>
      <c r="F1587" s="27"/>
    </row>
    <row r="1588">
      <c r="A1588" s="4"/>
      <c r="B1588" s="4"/>
      <c r="C1588" s="4"/>
      <c r="D1588" s="4"/>
      <c r="E1588" s="4"/>
      <c r="F1588" s="27"/>
    </row>
    <row r="1589">
      <c r="A1589" s="4"/>
      <c r="B1589" s="4"/>
      <c r="C1589" s="4"/>
      <c r="D1589" s="4"/>
      <c r="E1589" s="4"/>
      <c r="F1589" s="27"/>
    </row>
    <row r="1590">
      <c r="A1590" s="4"/>
      <c r="B1590" s="4"/>
      <c r="C1590" s="4"/>
      <c r="D1590" s="4"/>
      <c r="E1590" s="4"/>
      <c r="F1590" s="27"/>
    </row>
    <row r="1591">
      <c r="A1591" s="4"/>
      <c r="B1591" s="4"/>
      <c r="C1591" s="4"/>
      <c r="D1591" s="4"/>
      <c r="E1591" s="4"/>
      <c r="F1591" s="27"/>
    </row>
    <row r="1592">
      <c r="A1592" s="4"/>
      <c r="B1592" s="4"/>
      <c r="C1592" s="4"/>
      <c r="D1592" s="4"/>
      <c r="E1592" s="4"/>
      <c r="F1592" s="27"/>
    </row>
    <row r="1593">
      <c r="A1593" s="4"/>
      <c r="B1593" s="4"/>
      <c r="C1593" s="4"/>
      <c r="D1593" s="4"/>
      <c r="E1593" s="4"/>
      <c r="F1593" s="27"/>
    </row>
    <row r="1594">
      <c r="A1594" s="4"/>
      <c r="B1594" s="4"/>
      <c r="C1594" s="4"/>
      <c r="D1594" s="4"/>
      <c r="E1594" s="4"/>
      <c r="F1594" s="27"/>
    </row>
    <row r="1595">
      <c r="A1595" s="4"/>
      <c r="B1595" s="4"/>
      <c r="C1595" s="4"/>
      <c r="D1595" s="4"/>
      <c r="E1595" s="4"/>
      <c r="F1595" s="27"/>
    </row>
    <row r="1596">
      <c r="A1596" s="4"/>
      <c r="B1596" s="4"/>
      <c r="C1596" s="4"/>
      <c r="D1596" s="4"/>
      <c r="E1596" s="4"/>
      <c r="F1596" s="27"/>
    </row>
    <row r="1597">
      <c r="A1597" s="4"/>
      <c r="B1597" s="4"/>
      <c r="C1597" s="4"/>
      <c r="D1597" s="4"/>
      <c r="E1597" s="4"/>
      <c r="F1597" s="27"/>
    </row>
    <row r="1598">
      <c r="A1598" s="4"/>
      <c r="B1598" s="4"/>
      <c r="C1598" s="4"/>
      <c r="D1598" s="4"/>
      <c r="E1598" s="4"/>
      <c r="F1598" s="27"/>
    </row>
    <row r="1599">
      <c r="A1599" s="4"/>
      <c r="B1599" s="4"/>
      <c r="C1599" s="4"/>
      <c r="D1599" s="4"/>
      <c r="E1599" s="4"/>
      <c r="F1599" s="27"/>
    </row>
    <row r="1600">
      <c r="A1600" s="4"/>
      <c r="B1600" s="4"/>
      <c r="C1600" s="4"/>
      <c r="D1600" s="4"/>
      <c r="E1600" s="4"/>
      <c r="F1600" s="27"/>
    </row>
    <row r="1601">
      <c r="A1601" s="4"/>
      <c r="B1601" s="4"/>
      <c r="C1601" s="4"/>
      <c r="D1601" s="4"/>
      <c r="E1601" s="4"/>
      <c r="F1601" s="27"/>
    </row>
    <row r="1602">
      <c r="A1602" s="4"/>
      <c r="B1602" s="4"/>
      <c r="C1602" s="4"/>
      <c r="D1602" s="4"/>
      <c r="E1602" s="4"/>
      <c r="F1602" s="27"/>
    </row>
    <row r="1603">
      <c r="A1603" s="4"/>
      <c r="B1603" s="4"/>
      <c r="C1603" s="4"/>
      <c r="D1603" s="4"/>
      <c r="E1603" s="4"/>
      <c r="F1603" s="27"/>
    </row>
    <row r="1604">
      <c r="A1604" s="4"/>
      <c r="B1604" s="4"/>
      <c r="C1604" s="4"/>
      <c r="D1604" s="4"/>
      <c r="E1604" s="4"/>
      <c r="F1604" s="27"/>
    </row>
    <row r="1605">
      <c r="A1605" s="4"/>
      <c r="B1605" s="4"/>
      <c r="C1605" s="4"/>
      <c r="D1605" s="4"/>
      <c r="E1605" s="4"/>
      <c r="F1605" s="27"/>
    </row>
    <row r="1606">
      <c r="A1606" s="4"/>
      <c r="B1606" s="4"/>
      <c r="C1606" s="4"/>
      <c r="D1606" s="4"/>
      <c r="E1606" s="4"/>
      <c r="F1606" s="27"/>
    </row>
    <row r="1607">
      <c r="A1607" s="4"/>
      <c r="B1607" s="4"/>
      <c r="C1607" s="4"/>
      <c r="D1607" s="4"/>
      <c r="E1607" s="4"/>
      <c r="F1607" s="27"/>
    </row>
    <row r="1608">
      <c r="A1608" s="4"/>
      <c r="B1608" s="4"/>
      <c r="C1608" s="4"/>
      <c r="D1608" s="4"/>
      <c r="E1608" s="4"/>
      <c r="F1608" s="27"/>
    </row>
    <row r="1609">
      <c r="A1609" s="4"/>
      <c r="B1609" s="4"/>
      <c r="C1609" s="4"/>
      <c r="D1609" s="4"/>
      <c r="E1609" s="4"/>
      <c r="F1609" s="27"/>
    </row>
    <row r="1610">
      <c r="A1610" s="4"/>
      <c r="B1610" s="4"/>
      <c r="C1610" s="4"/>
      <c r="D1610" s="4"/>
      <c r="E1610" s="4"/>
      <c r="F1610" s="27"/>
    </row>
    <row r="1611">
      <c r="A1611" s="4"/>
      <c r="B1611" s="4"/>
      <c r="C1611" s="4"/>
      <c r="D1611" s="4"/>
      <c r="E1611" s="4"/>
      <c r="F1611" s="27"/>
    </row>
    <row r="1612">
      <c r="A1612" s="4"/>
      <c r="B1612" s="4"/>
      <c r="C1612" s="4"/>
      <c r="D1612" s="4"/>
      <c r="E1612" s="4"/>
      <c r="F1612" s="27"/>
    </row>
    <row r="1613">
      <c r="A1613" s="4"/>
      <c r="B1613" s="4"/>
      <c r="C1613" s="4"/>
      <c r="D1613" s="4"/>
      <c r="E1613" s="4"/>
      <c r="F1613" s="27"/>
    </row>
    <row r="1614">
      <c r="A1614" s="4"/>
      <c r="B1614" s="4"/>
      <c r="C1614" s="4"/>
      <c r="D1614" s="4"/>
      <c r="E1614" s="4"/>
      <c r="F1614" s="27"/>
    </row>
    <row r="1615">
      <c r="A1615" s="4"/>
      <c r="B1615" s="4"/>
      <c r="C1615" s="4"/>
      <c r="D1615" s="4"/>
      <c r="E1615" s="4"/>
      <c r="F1615" s="27"/>
    </row>
    <row r="1616">
      <c r="A1616" s="4"/>
      <c r="B1616" s="4"/>
      <c r="C1616" s="4"/>
      <c r="D1616" s="4"/>
      <c r="E1616" s="4"/>
      <c r="F1616" s="27"/>
    </row>
    <row r="1617">
      <c r="A1617" s="4"/>
      <c r="B1617" s="4"/>
      <c r="C1617" s="4"/>
      <c r="D1617" s="4"/>
      <c r="E1617" s="4"/>
      <c r="F1617" s="27"/>
    </row>
    <row r="1618">
      <c r="A1618" s="4"/>
      <c r="B1618" s="4"/>
      <c r="C1618" s="4"/>
      <c r="D1618" s="4"/>
      <c r="E1618" s="4"/>
      <c r="F1618" s="27"/>
    </row>
    <row r="1619">
      <c r="A1619" s="4"/>
      <c r="B1619" s="4"/>
      <c r="C1619" s="4"/>
      <c r="D1619" s="4"/>
      <c r="E1619" s="4"/>
      <c r="F1619" s="27"/>
    </row>
    <row r="1620">
      <c r="A1620" s="4"/>
      <c r="B1620" s="4"/>
      <c r="C1620" s="4"/>
      <c r="D1620" s="4"/>
      <c r="E1620" s="4"/>
      <c r="F1620" s="27"/>
    </row>
    <row r="1621">
      <c r="A1621" s="4"/>
      <c r="B1621" s="4"/>
      <c r="C1621" s="4"/>
      <c r="D1621" s="4"/>
      <c r="E1621" s="4"/>
      <c r="F1621" s="27"/>
    </row>
    <row r="1622">
      <c r="A1622" s="4"/>
      <c r="B1622" s="4"/>
      <c r="C1622" s="4"/>
      <c r="D1622" s="4"/>
      <c r="E1622" s="4"/>
      <c r="F1622" s="27"/>
    </row>
    <row r="1623">
      <c r="A1623" s="4"/>
      <c r="B1623" s="4"/>
      <c r="C1623" s="4"/>
      <c r="D1623" s="4"/>
      <c r="E1623" s="4"/>
      <c r="F1623" s="27"/>
    </row>
    <row r="1624">
      <c r="A1624" s="4"/>
      <c r="B1624" s="4"/>
      <c r="C1624" s="4"/>
      <c r="D1624" s="4"/>
      <c r="E1624" s="4"/>
      <c r="F1624" s="27"/>
    </row>
    <row r="1625">
      <c r="A1625" s="4"/>
      <c r="B1625" s="4"/>
      <c r="C1625" s="4"/>
      <c r="D1625" s="4"/>
      <c r="E1625" s="4"/>
      <c r="F1625" s="27"/>
    </row>
    <row r="1626">
      <c r="A1626" s="4"/>
      <c r="B1626" s="4"/>
      <c r="C1626" s="4"/>
      <c r="D1626" s="4"/>
      <c r="E1626" s="4"/>
      <c r="F1626" s="27"/>
    </row>
    <row r="1627">
      <c r="A1627" s="4"/>
      <c r="B1627" s="4"/>
      <c r="C1627" s="4"/>
      <c r="D1627" s="4"/>
      <c r="E1627" s="4"/>
      <c r="F1627" s="27"/>
    </row>
    <row r="1628">
      <c r="A1628" s="4"/>
      <c r="B1628" s="4"/>
      <c r="C1628" s="4"/>
      <c r="D1628" s="4"/>
      <c r="E1628" s="4"/>
      <c r="F1628" s="27"/>
    </row>
    <row r="1629">
      <c r="A1629" s="4"/>
      <c r="B1629" s="4"/>
      <c r="C1629" s="4"/>
      <c r="D1629" s="4"/>
      <c r="E1629" s="4"/>
      <c r="F1629" s="27"/>
    </row>
    <row r="1630">
      <c r="A1630" s="4"/>
      <c r="B1630" s="4"/>
      <c r="C1630" s="4"/>
      <c r="D1630" s="4"/>
      <c r="E1630" s="4"/>
      <c r="F1630" s="27"/>
    </row>
    <row r="1631">
      <c r="A1631" s="4"/>
      <c r="B1631" s="4"/>
      <c r="C1631" s="4"/>
      <c r="D1631" s="4"/>
      <c r="E1631" s="4"/>
      <c r="F1631" s="27"/>
    </row>
    <row r="1632">
      <c r="A1632" s="4"/>
      <c r="B1632" s="4"/>
      <c r="C1632" s="4"/>
      <c r="D1632" s="4"/>
      <c r="E1632" s="4"/>
      <c r="F1632" s="27"/>
    </row>
    <row r="1633">
      <c r="A1633" s="4"/>
      <c r="B1633" s="4"/>
      <c r="C1633" s="4"/>
      <c r="D1633" s="4"/>
      <c r="E1633" s="4"/>
      <c r="F1633" s="27"/>
    </row>
    <row r="1634">
      <c r="A1634" s="4"/>
      <c r="B1634" s="4"/>
      <c r="C1634" s="4"/>
      <c r="D1634" s="4"/>
      <c r="E1634" s="4"/>
      <c r="F1634" s="27"/>
    </row>
    <row r="1635">
      <c r="A1635" s="4"/>
      <c r="B1635" s="4"/>
      <c r="C1635" s="4"/>
      <c r="D1635" s="4"/>
      <c r="E1635" s="4"/>
      <c r="F1635" s="27"/>
    </row>
    <row r="1636">
      <c r="A1636" s="4"/>
      <c r="B1636" s="4"/>
      <c r="C1636" s="4"/>
      <c r="D1636" s="4"/>
      <c r="E1636" s="4"/>
      <c r="F1636" s="27"/>
    </row>
    <row r="1637">
      <c r="A1637" s="4"/>
      <c r="B1637" s="4"/>
      <c r="C1637" s="4"/>
      <c r="D1637" s="4"/>
      <c r="E1637" s="4"/>
      <c r="F1637" s="27"/>
    </row>
    <row r="1638">
      <c r="A1638" s="4"/>
      <c r="B1638" s="4"/>
      <c r="C1638" s="4"/>
      <c r="D1638" s="4"/>
      <c r="E1638" s="4"/>
      <c r="F1638" s="27"/>
    </row>
    <row r="1639">
      <c r="A1639" s="4"/>
      <c r="B1639" s="4"/>
      <c r="C1639" s="4"/>
      <c r="D1639" s="4"/>
      <c r="E1639" s="4"/>
      <c r="F1639" s="27"/>
    </row>
    <row r="1640">
      <c r="A1640" s="4"/>
      <c r="B1640" s="4"/>
      <c r="C1640" s="4"/>
      <c r="D1640" s="4"/>
      <c r="E1640" s="4"/>
      <c r="F1640" s="27"/>
    </row>
    <row r="1641">
      <c r="A1641" s="4"/>
      <c r="B1641" s="4"/>
      <c r="C1641" s="4"/>
      <c r="D1641" s="4"/>
      <c r="E1641" s="4"/>
      <c r="F1641" s="27"/>
    </row>
    <row r="1642">
      <c r="A1642" s="4"/>
      <c r="B1642" s="4"/>
      <c r="C1642" s="4"/>
      <c r="D1642" s="4"/>
      <c r="E1642" s="4"/>
      <c r="F1642" s="27"/>
    </row>
    <row r="1643">
      <c r="A1643" s="4"/>
      <c r="B1643" s="4"/>
      <c r="C1643" s="4"/>
      <c r="D1643" s="4"/>
      <c r="E1643" s="4"/>
      <c r="F1643" s="27"/>
    </row>
    <row r="1644">
      <c r="A1644" s="4"/>
      <c r="B1644" s="4"/>
      <c r="C1644" s="4"/>
      <c r="D1644" s="4"/>
      <c r="E1644" s="4"/>
      <c r="F1644" s="27"/>
    </row>
    <row r="1645">
      <c r="A1645" s="4"/>
      <c r="B1645" s="4"/>
      <c r="C1645" s="4"/>
      <c r="D1645" s="4"/>
      <c r="E1645" s="4"/>
      <c r="F1645" s="27"/>
    </row>
    <row r="1646">
      <c r="A1646" s="4"/>
      <c r="B1646" s="4"/>
      <c r="C1646" s="4"/>
      <c r="D1646" s="4"/>
      <c r="E1646" s="4"/>
      <c r="F1646" s="27"/>
    </row>
    <row r="1647">
      <c r="A1647" s="4"/>
      <c r="B1647" s="4"/>
      <c r="C1647" s="4"/>
      <c r="D1647" s="4"/>
      <c r="E1647" s="4"/>
      <c r="F1647" s="27"/>
    </row>
    <row r="1648">
      <c r="A1648" s="4"/>
      <c r="B1648" s="4"/>
      <c r="C1648" s="4"/>
      <c r="D1648" s="4"/>
      <c r="E1648" s="4"/>
      <c r="F1648" s="27"/>
    </row>
    <row r="1649">
      <c r="A1649" s="4"/>
      <c r="B1649" s="4"/>
      <c r="C1649" s="4"/>
      <c r="D1649" s="4"/>
      <c r="E1649" s="4"/>
      <c r="F1649" s="27"/>
    </row>
    <row r="1650">
      <c r="A1650" s="4"/>
      <c r="B1650" s="4"/>
      <c r="C1650" s="4"/>
      <c r="D1650" s="4"/>
      <c r="E1650" s="4"/>
      <c r="F1650" s="27"/>
    </row>
    <row r="1651">
      <c r="A1651" s="4"/>
      <c r="B1651" s="4"/>
      <c r="C1651" s="4"/>
      <c r="D1651" s="4"/>
      <c r="E1651" s="4"/>
      <c r="F1651" s="27"/>
    </row>
    <row r="1652">
      <c r="A1652" s="4"/>
      <c r="B1652" s="4"/>
      <c r="C1652" s="4"/>
      <c r="D1652" s="4"/>
      <c r="E1652" s="4"/>
      <c r="F1652" s="27"/>
    </row>
    <row r="1653">
      <c r="A1653" s="4"/>
      <c r="B1653" s="4"/>
      <c r="C1653" s="4"/>
      <c r="D1653" s="4"/>
      <c r="E1653" s="4"/>
      <c r="F1653" s="27"/>
    </row>
    <row r="1654">
      <c r="A1654" s="4"/>
      <c r="B1654" s="4"/>
      <c r="C1654" s="4"/>
      <c r="D1654" s="4"/>
      <c r="E1654" s="4"/>
      <c r="F1654" s="27"/>
    </row>
    <row r="1655">
      <c r="A1655" s="4"/>
      <c r="B1655" s="4"/>
      <c r="C1655" s="4"/>
      <c r="D1655" s="4"/>
      <c r="E1655" s="4"/>
      <c r="F1655" s="27"/>
    </row>
    <row r="1656">
      <c r="A1656" s="4"/>
      <c r="B1656" s="4"/>
      <c r="C1656" s="4"/>
      <c r="D1656" s="4"/>
      <c r="E1656" s="4"/>
      <c r="F1656" s="27"/>
    </row>
    <row r="1657">
      <c r="A1657" s="4"/>
      <c r="B1657" s="4"/>
      <c r="C1657" s="4"/>
      <c r="D1657" s="4"/>
      <c r="E1657" s="4"/>
      <c r="F1657" s="27"/>
    </row>
    <row r="1658">
      <c r="A1658" s="4"/>
      <c r="B1658" s="4"/>
      <c r="C1658" s="4"/>
      <c r="D1658" s="4"/>
      <c r="E1658" s="4"/>
      <c r="F1658" s="27"/>
    </row>
    <row r="1659">
      <c r="A1659" s="4"/>
      <c r="B1659" s="4"/>
      <c r="C1659" s="4"/>
      <c r="D1659" s="4"/>
      <c r="E1659" s="4"/>
      <c r="F1659" s="27"/>
    </row>
    <row r="1660">
      <c r="A1660" s="4"/>
      <c r="B1660" s="4"/>
      <c r="C1660" s="4"/>
      <c r="D1660" s="4"/>
      <c r="E1660" s="4"/>
      <c r="F1660" s="27"/>
    </row>
    <row r="1661">
      <c r="A1661" s="4"/>
      <c r="B1661" s="4"/>
      <c r="C1661" s="4"/>
      <c r="D1661" s="4"/>
      <c r="E1661" s="4"/>
      <c r="F1661" s="27"/>
    </row>
    <row r="1662">
      <c r="A1662" s="4"/>
      <c r="B1662" s="4"/>
      <c r="C1662" s="4"/>
      <c r="D1662" s="4"/>
      <c r="E1662" s="4"/>
      <c r="F1662" s="27"/>
    </row>
    <row r="1663">
      <c r="A1663" s="4"/>
      <c r="B1663" s="4"/>
      <c r="C1663" s="4"/>
      <c r="D1663" s="4"/>
      <c r="E1663" s="4"/>
      <c r="F1663" s="27"/>
    </row>
    <row r="1664">
      <c r="A1664" s="4"/>
      <c r="B1664" s="4"/>
      <c r="C1664" s="4"/>
      <c r="D1664" s="4"/>
      <c r="E1664" s="4"/>
      <c r="F1664" s="27"/>
    </row>
    <row r="1665">
      <c r="A1665" s="4"/>
      <c r="B1665" s="4"/>
      <c r="C1665" s="4"/>
      <c r="D1665" s="4"/>
      <c r="E1665" s="4"/>
      <c r="F1665" s="27"/>
    </row>
    <row r="1666">
      <c r="A1666" s="4"/>
      <c r="B1666" s="4"/>
      <c r="C1666" s="4"/>
      <c r="D1666" s="4"/>
      <c r="E1666" s="4"/>
      <c r="F1666" s="27"/>
    </row>
    <row r="1667">
      <c r="A1667" s="4"/>
      <c r="B1667" s="4"/>
      <c r="C1667" s="4"/>
      <c r="D1667" s="4"/>
      <c r="E1667" s="4"/>
      <c r="F1667" s="27"/>
    </row>
    <row r="1668">
      <c r="A1668" s="4"/>
      <c r="B1668" s="4"/>
      <c r="C1668" s="4"/>
      <c r="D1668" s="4"/>
      <c r="E1668" s="4"/>
      <c r="F1668" s="27"/>
    </row>
    <row r="1669">
      <c r="A1669" s="4"/>
      <c r="B1669" s="4"/>
      <c r="C1669" s="4"/>
      <c r="D1669" s="4"/>
      <c r="E1669" s="4"/>
      <c r="F1669" s="27"/>
    </row>
    <row r="1670">
      <c r="A1670" s="4"/>
      <c r="B1670" s="4"/>
      <c r="C1670" s="4"/>
      <c r="D1670" s="4"/>
      <c r="E1670" s="4"/>
      <c r="F1670" s="27"/>
    </row>
    <row r="1671">
      <c r="A1671" s="4"/>
      <c r="B1671" s="4"/>
      <c r="C1671" s="4"/>
      <c r="D1671" s="4"/>
      <c r="E1671" s="4"/>
      <c r="F1671" s="27"/>
    </row>
    <row r="1672">
      <c r="A1672" s="4"/>
      <c r="B1672" s="4"/>
      <c r="C1672" s="4"/>
      <c r="D1672" s="4"/>
      <c r="E1672" s="4"/>
      <c r="F1672" s="27"/>
    </row>
    <row r="1673">
      <c r="A1673" s="4"/>
      <c r="B1673" s="4"/>
      <c r="C1673" s="4"/>
      <c r="D1673" s="4"/>
      <c r="E1673" s="4"/>
      <c r="F1673" s="27"/>
    </row>
    <row r="1674">
      <c r="A1674" s="4"/>
      <c r="B1674" s="4"/>
      <c r="C1674" s="4"/>
      <c r="D1674" s="4"/>
      <c r="E1674" s="4"/>
      <c r="F1674" s="27"/>
    </row>
    <row r="1675">
      <c r="A1675" s="4"/>
      <c r="B1675" s="4"/>
      <c r="C1675" s="4"/>
      <c r="D1675" s="4"/>
      <c r="E1675" s="4"/>
      <c r="F1675" s="27"/>
    </row>
    <row r="1676">
      <c r="A1676" s="4"/>
      <c r="B1676" s="4"/>
      <c r="C1676" s="4"/>
      <c r="D1676" s="4"/>
      <c r="E1676" s="4"/>
      <c r="F1676" s="27"/>
    </row>
    <row r="1677">
      <c r="A1677" s="4"/>
      <c r="B1677" s="4"/>
      <c r="C1677" s="4"/>
      <c r="D1677" s="4"/>
      <c r="E1677" s="4"/>
      <c r="F1677" s="27"/>
    </row>
    <row r="1678">
      <c r="A1678" s="4"/>
      <c r="B1678" s="4"/>
      <c r="C1678" s="4"/>
      <c r="D1678" s="4"/>
      <c r="E1678" s="4"/>
      <c r="F1678" s="27"/>
    </row>
    <row r="1679">
      <c r="A1679" s="4"/>
      <c r="B1679" s="4"/>
      <c r="C1679" s="4"/>
      <c r="D1679" s="4"/>
      <c r="E1679" s="4"/>
      <c r="F1679" s="27"/>
    </row>
    <row r="1680">
      <c r="A1680" s="4"/>
      <c r="B1680" s="4"/>
      <c r="C1680" s="4"/>
      <c r="D1680" s="4"/>
      <c r="E1680" s="4"/>
      <c r="F1680" s="27"/>
    </row>
    <row r="1681">
      <c r="A1681" s="4"/>
      <c r="B1681" s="4"/>
      <c r="C1681" s="4"/>
      <c r="D1681" s="4"/>
      <c r="E1681" s="4"/>
      <c r="F1681" s="27"/>
    </row>
    <row r="1682">
      <c r="A1682" s="4"/>
      <c r="B1682" s="4"/>
      <c r="C1682" s="4"/>
      <c r="D1682" s="4"/>
      <c r="E1682" s="4"/>
      <c r="F1682" s="27"/>
    </row>
    <row r="1683">
      <c r="A1683" s="4"/>
      <c r="B1683" s="4"/>
      <c r="C1683" s="4"/>
      <c r="D1683" s="4"/>
      <c r="E1683" s="4"/>
      <c r="F1683" s="27"/>
    </row>
    <row r="1684">
      <c r="A1684" s="4"/>
      <c r="B1684" s="4"/>
      <c r="C1684" s="4"/>
      <c r="D1684" s="4"/>
      <c r="E1684" s="4"/>
      <c r="F1684" s="27"/>
    </row>
    <row r="1685">
      <c r="A1685" s="4"/>
      <c r="B1685" s="4"/>
      <c r="C1685" s="4"/>
      <c r="D1685" s="4"/>
      <c r="E1685" s="4"/>
      <c r="F1685" s="27"/>
    </row>
    <row r="1686">
      <c r="A1686" s="4"/>
      <c r="B1686" s="4"/>
      <c r="C1686" s="4"/>
      <c r="D1686" s="4"/>
      <c r="E1686" s="4"/>
      <c r="F1686" s="27"/>
    </row>
    <row r="1687">
      <c r="A1687" s="4"/>
      <c r="B1687" s="4"/>
      <c r="C1687" s="4"/>
      <c r="D1687" s="4"/>
      <c r="E1687" s="4"/>
      <c r="F1687" s="27"/>
    </row>
    <row r="1688">
      <c r="A1688" s="4"/>
      <c r="B1688" s="4"/>
      <c r="C1688" s="4"/>
      <c r="D1688" s="4"/>
      <c r="E1688" s="4"/>
      <c r="F1688" s="27"/>
    </row>
    <row r="1689">
      <c r="A1689" s="4"/>
      <c r="B1689" s="4"/>
      <c r="C1689" s="4"/>
      <c r="D1689" s="4"/>
      <c r="E1689" s="4"/>
      <c r="F1689" s="27"/>
    </row>
    <row r="1690">
      <c r="A1690" s="4"/>
      <c r="B1690" s="4"/>
      <c r="C1690" s="4"/>
      <c r="D1690" s="4"/>
      <c r="E1690" s="4"/>
      <c r="F1690" s="27"/>
    </row>
    <row r="1691">
      <c r="A1691" s="4"/>
      <c r="B1691" s="4"/>
      <c r="C1691" s="4"/>
      <c r="D1691" s="4"/>
      <c r="E1691" s="4"/>
      <c r="F1691" s="27"/>
    </row>
    <row r="1692">
      <c r="A1692" s="4"/>
      <c r="B1692" s="4"/>
      <c r="C1692" s="4"/>
      <c r="D1692" s="4"/>
      <c r="E1692" s="4"/>
      <c r="F1692" s="27"/>
    </row>
    <row r="1693">
      <c r="A1693" s="4"/>
      <c r="B1693" s="4"/>
      <c r="C1693" s="4"/>
      <c r="D1693" s="4"/>
      <c r="E1693" s="4"/>
      <c r="F1693" s="27"/>
    </row>
    <row r="1694">
      <c r="A1694" s="4"/>
      <c r="B1694" s="4"/>
      <c r="C1694" s="4"/>
      <c r="D1694" s="4"/>
      <c r="E1694" s="4"/>
      <c r="F1694" s="27"/>
    </row>
    <row r="1695">
      <c r="A1695" s="4"/>
      <c r="B1695" s="4"/>
      <c r="C1695" s="4"/>
      <c r="D1695" s="4"/>
      <c r="E1695" s="4"/>
      <c r="F1695" s="27"/>
    </row>
    <row r="1696">
      <c r="A1696" s="4"/>
      <c r="B1696" s="4"/>
      <c r="C1696" s="4"/>
      <c r="D1696" s="4"/>
      <c r="E1696" s="4"/>
      <c r="F1696" s="27"/>
    </row>
    <row r="1697">
      <c r="A1697" s="4"/>
      <c r="B1697" s="4"/>
      <c r="C1697" s="4"/>
      <c r="D1697" s="4"/>
      <c r="E1697" s="4"/>
      <c r="F1697" s="27"/>
    </row>
    <row r="1698">
      <c r="A1698" s="4"/>
      <c r="B1698" s="4"/>
      <c r="C1698" s="4"/>
      <c r="D1698" s="4"/>
      <c r="E1698" s="4"/>
      <c r="F1698" s="27"/>
    </row>
    <row r="1699">
      <c r="A1699" s="4"/>
      <c r="B1699" s="4"/>
      <c r="C1699" s="4"/>
      <c r="D1699" s="4"/>
      <c r="E1699" s="4"/>
      <c r="F1699" s="27"/>
    </row>
    <row r="1700">
      <c r="A1700" s="4"/>
      <c r="B1700" s="4"/>
      <c r="C1700" s="4"/>
      <c r="D1700" s="4"/>
      <c r="E1700" s="4"/>
      <c r="F1700" s="27"/>
    </row>
    <row r="1701">
      <c r="A1701" s="4"/>
      <c r="B1701" s="4"/>
      <c r="C1701" s="4"/>
      <c r="D1701" s="4"/>
      <c r="E1701" s="4"/>
      <c r="F1701" s="27"/>
    </row>
    <row r="1702">
      <c r="A1702" s="4"/>
      <c r="B1702" s="4"/>
      <c r="C1702" s="4"/>
      <c r="D1702" s="4"/>
      <c r="E1702" s="4"/>
      <c r="F1702" s="27"/>
    </row>
    <row r="1703">
      <c r="A1703" s="4"/>
      <c r="B1703" s="4"/>
      <c r="C1703" s="4"/>
      <c r="D1703" s="4"/>
      <c r="E1703" s="4"/>
      <c r="F1703" s="27"/>
    </row>
    <row r="1704">
      <c r="A1704" s="4"/>
      <c r="B1704" s="4"/>
      <c r="C1704" s="4"/>
      <c r="D1704" s="4"/>
      <c r="E1704" s="4"/>
      <c r="F1704" s="27"/>
    </row>
    <row r="1705">
      <c r="A1705" s="4"/>
      <c r="B1705" s="4"/>
      <c r="C1705" s="4"/>
      <c r="D1705" s="4"/>
      <c r="E1705" s="4"/>
      <c r="F1705" s="27"/>
    </row>
    <row r="1706">
      <c r="A1706" s="4"/>
      <c r="B1706" s="4"/>
      <c r="C1706" s="4"/>
      <c r="D1706" s="4"/>
      <c r="E1706" s="4"/>
      <c r="F1706" s="27"/>
    </row>
    <row r="1707">
      <c r="A1707" s="4"/>
      <c r="B1707" s="4"/>
      <c r="C1707" s="4"/>
      <c r="D1707" s="4"/>
      <c r="E1707" s="4"/>
      <c r="F1707" s="27"/>
    </row>
    <row r="1708">
      <c r="A1708" s="4"/>
      <c r="B1708" s="4"/>
      <c r="C1708" s="4"/>
      <c r="D1708" s="4"/>
      <c r="E1708" s="4"/>
      <c r="F1708" s="27"/>
    </row>
    <row r="1709">
      <c r="A1709" s="4"/>
      <c r="B1709" s="4"/>
      <c r="C1709" s="4"/>
      <c r="D1709" s="4"/>
      <c r="E1709" s="4"/>
      <c r="F1709" s="27"/>
    </row>
    <row r="1710">
      <c r="A1710" s="4"/>
      <c r="B1710" s="4"/>
      <c r="C1710" s="4"/>
      <c r="D1710" s="4"/>
      <c r="E1710" s="4"/>
      <c r="F1710" s="27"/>
    </row>
    <row r="1711">
      <c r="A1711" s="4"/>
      <c r="B1711" s="4"/>
      <c r="C1711" s="4"/>
      <c r="D1711" s="4"/>
      <c r="E1711" s="4"/>
      <c r="F1711" s="27"/>
    </row>
    <row r="1712">
      <c r="A1712" s="4"/>
      <c r="B1712" s="4"/>
      <c r="C1712" s="4"/>
      <c r="D1712" s="4"/>
      <c r="E1712" s="4"/>
      <c r="F1712" s="27"/>
    </row>
    <row r="1713">
      <c r="A1713" s="4"/>
      <c r="B1713" s="4"/>
      <c r="C1713" s="4"/>
      <c r="D1713" s="4"/>
      <c r="E1713" s="4"/>
      <c r="F1713" s="27"/>
    </row>
    <row r="1714">
      <c r="A1714" s="4"/>
      <c r="B1714" s="4"/>
      <c r="C1714" s="4"/>
      <c r="D1714" s="4"/>
      <c r="E1714" s="4"/>
      <c r="F1714" s="27"/>
    </row>
    <row r="1715">
      <c r="A1715" s="4"/>
      <c r="B1715" s="4"/>
      <c r="C1715" s="4"/>
      <c r="D1715" s="4"/>
      <c r="E1715" s="4"/>
      <c r="F1715" s="27"/>
    </row>
    <row r="1716">
      <c r="A1716" s="4"/>
      <c r="B1716" s="4"/>
      <c r="C1716" s="4"/>
      <c r="D1716" s="4"/>
      <c r="E1716" s="4"/>
      <c r="F1716" s="27"/>
    </row>
    <row r="1717">
      <c r="A1717" s="4"/>
      <c r="B1717" s="4"/>
      <c r="C1717" s="4"/>
      <c r="D1717" s="4"/>
      <c r="E1717" s="4"/>
      <c r="F1717" s="27"/>
    </row>
    <row r="1718">
      <c r="A1718" s="4"/>
      <c r="B1718" s="4"/>
      <c r="C1718" s="4"/>
      <c r="D1718" s="4"/>
      <c r="E1718" s="4"/>
      <c r="F1718" s="27"/>
    </row>
    <row r="1719">
      <c r="A1719" s="4"/>
      <c r="B1719" s="4"/>
      <c r="C1719" s="4"/>
      <c r="D1719" s="4"/>
      <c r="E1719" s="4"/>
      <c r="F1719" s="27"/>
    </row>
    <row r="1720">
      <c r="A1720" s="4"/>
      <c r="B1720" s="4"/>
      <c r="C1720" s="4"/>
      <c r="D1720" s="4"/>
      <c r="E1720" s="4"/>
      <c r="F1720" s="27"/>
    </row>
    <row r="1721">
      <c r="A1721" s="4"/>
      <c r="B1721" s="4"/>
      <c r="C1721" s="4"/>
      <c r="D1721" s="4"/>
      <c r="E1721" s="4"/>
      <c r="F1721" s="27"/>
    </row>
    <row r="1722">
      <c r="A1722" s="4"/>
      <c r="B1722" s="4"/>
      <c r="C1722" s="4"/>
      <c r="D1722" s="4"/>
      <c r="E1722" s="4"/>
      <c r="F1722" s="27"/>
    </row>
    <row r="1723">
      <c r="A1723" s="4"/>
      <c r="B1723" s="4"/>
      <c r="C1723" s="4"/>
      <c r="D1723" s="4"/>
      <c r="E1723" s="4"/>
      <c r="F1723" s="27"/>
    </row>
    <row r="1724">
      <c r="A1724" s="4"/>
      <c r="B1724" s="4"/>
      <c r="C1724" s="4"/>
      <c r="D1724" s="4"/>
      <c r="E1724" s="4"/>
      <c r="F1724" s="27"/>
    </row>
    <row r="1725">
      <c r="A1725" s="4"/>
      <c r="B1725" s="4"/>
      <c r="C1725" s="4"/>
      <c r="D1725" s="4"/>
      <c r="E1725" s="4"/>
      <c r="F1725" s="27"/>
    </row>
    <row r="1726">
      <c r="A1726" s="4"/>
      <c r="B1726" s="4"/>
      <c r="C1726" s="4"/>
      <c r="D1726" s="4"/>
      <c r="E1726" s="4"/>
      <c r="F1726" s="27"/>
    </row>
    <row r="1727">
      <c r="A1727" s="4"/>
      <c r="B1727" s="4"/>
      <c r="C1727" s="4"/>
      <c r="D1727" s="4"/>
      <c r="E1727" s="4"/>
      <c r="F1727" s="27"/>
    </row>
    <row r="1728">
      <c r="A1728" s="4"/>
      <c r="B1728" s="4"/>
      <c r="C1728" s="4"/>
      <c r="D1728" s="4"/>
      <c r="E1728" s="4"/>
      <c r="F1728" s="27"/>
    </row>
    <row r="1729">
      <c r="A1729" s="4"/>
      <c r="B1729" s="4"/>
      <c r="C1729" s="4"/>
      <c r="D1729" s="4"/>
      <c r="E1729" s="4"/>
      <c r="F1729" s="27"/>
    </row>
    <row r="1730">
      <c r="A1730" s="4"/>
      <c r="B1730" s="4"/>
      <c r="C1730" s="4"/>
      <c r="D1730" s="4"/>
      <c r="E1730" s="4"/>
      <c r="F1730" s="27"/>
    </row>
    <row r="1731">
      <c r="A1731" s="4"/>
      <c r="B1731" s="4"/>
      <c r="C1731" s="4"/>
      <c r="D1731" s="4"/>
      <c r="E1731" s="4"/>
      <c r="F1731" s="27"/>
    </row>
    <row r="1732">
      <c r="A1732" s="4"/>
      <c r="B1732" s="4"/>
      <c r="C1732" s="4"/>
      <c r="D1732" s="4"/>
      <c r="E1732" s="4"/>
      <c r="F1732" s="27"/>
    </row>
    <row r="1733">
      <c r="A1733" s="4"/>
      <c r="B1733" s="4"/>
      <c r="C1733" s="4"/>
      <c r="D1733" s="4"/>
      <c r="E1733" s="4"/>
      <c r="F1733" s="27"/>
    </row>
    <row r="1734">
      <c r="A1734" s="4"/>
      <c r="B1734" s="4"/>
      <c r="C1734" s="4"/>
      <c r="D1734" s="4"/>
      <c r="E1734" s="4"/>
      <c r="F1734" s="27"/>
    </row>
    <row r="1735">
      <c r="A1735" s="4"/>
      <c r="B1735" s="4"/>
      <c r="C1735" s="4"/>
      <c r="D1735" s="4"/>
      <c r="E1735" s="4"/>
      <c r="F1735" s="27"/>
    </row>
    <row r="1736">
      <c r="A1736" s="4"/>
      <c r="B1736" s="4"/>
      <c r="C1736" s="4"/>
      <c r="D1736" s="4"/>
      <c r="E1736" s="4"/>
      <c r="F1736" s="27"/>
    </row>
    <row r="1737">
      <c r="A1737" s="4"/>
      <c r="B1737" s="4"/>
      <c r="C1737" s="4"/>
      <c r="D1737" s="4"/>
      <c r="E1737" s="4"/>
      <c r="F1737" s="27"/>
    </row>
    <row r="1738">
      <c r="A1738" s="4"/>
      <c r="B1738" s="4"/>
      <c r="C1738" s="4"/>
      <c r="D1738" s="4"/>
      <c r="E1738" s="4"/>
      <c r="F1738" s="27"/>
    </row>
    <row r="1739">
      <c r="A1739" s="4"/>
      <c r="B1739" s="4"/>
      <c r="C1739" s="4"/>
      <c r="D1739" s="4"/>
      <c r="E1739" s="4"/>
      <c r="F1739" s="27"/>
    </row>
    <row r="1740">
      <c r="A1740" s="4"/>
      <c r="B1740" s="4"/>
      <c r="C1740" s="4"/>
      <c r="D1740" s="4"/>
      <c r="E1740" s="4"/>
      <c r="F1740" s="27"/>
    </row>
    <row r="1741">
      <c r="A1741" s="4"/>
      <c r="B1741" s="4"/>
      <c r="C1741" s="4"/>
      <c r="D1741" s="4"/>
      <c r="E1741" s="4"/>
      <c r="F1741" s="27"/>
    </row>
    <row r="1742">
      <c r="A1742" s="4"/>
      <c r="B1742" s="4"/>
      <c r="C1742" s="4"/>
      <c r="D1742" s="4"/>
      <c r="E1742" s="4"/>
      <c r="F1742" s="27"/>
    </row>
    <row r="1743">
      <c r="A1743" s="4"/>
      <c r="B1743" s="4"/>
      <c r="C1743" s="4"/>
      <c r="D1743" s="4"/>
      <c r="E1743" s="4"/>
      <c r="F1743" s="27"/>
    </row>
    <row r="1744">
      <c r="A1744" s="4"/>
      <c r="B1744" s="4"/>
      <c r="C1744" s="4"/>
      <c r="D1744" s="4"/>
      <c r="E1744" s="4"/>
      <c r="F1744" s="27"/>
    </row>
    <row r="1745">
      <c r="A1745" s="4"/>
      <c r="B1745" s="4"/>
      <c r="C1745" s="4"/>
      <c r="D1745" s="4"/>
      <c r="E1745" s="4"/>
      <c r="F1745" s="27"/>
    </row>
    <row r="1746">
      <c r="A1746" s="4"/>
      <c r="B1746" s="4"/>
      <c r="C1746" s="4"/>
      <c r="D1746" s="4"/>
      <c r="E1746" s="4"/>
      <c r="F1746" s="27"/>
    </row>
    <row r="1747">
      <c r="A1747" s="4"/>
      <c r="B1747" s="4"/>
      <c r="C1747" s="4"/>
      <c r="D1747" s="4"/>
      <c r="E1747" s="4"/>
      <c r="F1747" s="27"/>
    </row>
    <row r="1748">
      <c r="A1748" s="4"/>
      <c r="B1748" s="4"/>
      <c r="C1748" s="4"/>
      <c r="D1748" s="4"/>
      <c r="E1748" s="4"/>
      <c r="F1748" s="27"/>
    </row>
    <row r="1749">
      <c r="A1749" s="4"/>
      <c r="B1749" s="4"/>
      <c r="C1749" s="4"/>
      <c r="D1749" s="4"/>
      <c r="E1749" s="4"/>
      <c r="F1749" s="27"/>
    </row>
    <row r="1750">
      <c r="A1750" s="4"/>
      <c r="B1750" s="4"/>
      <c r="C1750" s="4"/>
      <c r="D1750" s="4"/>
      <c r="E1750" s="4"/>
      <c r="F1750" s="27"/>
    </row>
    <row r="1751">
      <c r="A1751" s="4"/>
      <c r="B1751" s="4"/>
      <c r="C1751" s="4"/>
      <c r="D1751" s="4"/>
      <c r="E1751" s="4"/>
      <c r="F1751" s="27"/>
    </row>
    <row r="1752">
      <c r="A1752" s="4"/>
      <c r="B1752" s="4"/>
      <c r="C1752" s="4"/>
      <c r="D1752" s="4"/>
      <c r="E1752" s="4"/>
      <c r="F1752" s="27"/>
    </row>
    <row r="1753">
      <c r="A1753" s="4"/>
      <c r="B1753" s="4"/>
      <c r="C1753" s="4"/>
      <c r="D1753" s="4"/>
      <c r="E1753" s="4"/>
      <c r="F1753" s="27"/>
    </row>
    <row r="1754">
      <c r="A1754" s="4"/>
      <c r="B1754" s="4"/>
      <c r="C1754" s="4"/>
      <c r="D1754" s="4"/>
      <c r="E1754" s="4"/>
      <c r="F1754" s="27"/>
    </row>
    <row r="1755">
      <c r="A1755" s="4"/>
      <c r="B1755" s="4"/>
      <c r="C1755" s="4"/>
      <c r="D1755" s="4"/>
      <c r="E1755" s="4"/>
      <c r="F1755" s="27"/>
    </row>
    <row r="1756">
      <c r="A1756" s="4"/>
      <c r="B1756" s="4"/>
      <c r="C1756" s="4"/>
      <c r="D1756" s="4"/>
      <c r="E1756" s="4"/>
      <c r="F1756" s="27"/>
    </row>
    <row r="1757">
      <c r="A1757" s="4"/>
      <c r="B1757" s="4"/>
      <c r="C1757" s="4"/>
      <c r="D1757" s="4"/>
      <c r="E1757" s="4"/>
      <c r="F1757" s="27"/>
    </row>
    <row r="1758">
      <c r="A1758" s="4"/>
      <c r="B1758" s="4"/>
      <c r="C1758" s="4"/>
      <c r="D1758" s="4"/>
      <c r="E1758" s="4"/>
      <c r="F1758" s="27"/>
    </row>
    <row r="1759">
      <c r="A1759" s="4"/>
      <c r="B1759" s="4"/>
      <c r="C1759" s="4"/>
      <c r="D1759" s="4"/>
      <c r="E1759" s="4"/>
      <c r="F1759" s="27"/>
    </row>
    <row r="1760">
      <c r="A1760" s="4"/>
      <c r="B1760" s="4"/>
      <c r="C1760" s="4"/>
      <c r="D1760" s="4"/>
      <c r="E1760" s="4"/>
      <c r="F1760" s="27"/>
    </row>
    <row r="1761">
      <c r="A1761" s="4"/>
      <c r="B1761" s="4"/>
      <c r="C1761" s="4"/>
      <c r="D1761" s="4"/>
      <c r="E1761" s="4"/>
      <c r="F1761" s="27"/>
    </row>
    <row r="1762">
      <c r="A1762" s="4"/>
      <c r="B1762" s="4"/>
      <c r="C1762" s="4"/>
      <c r="D1762" s="4"/>
      <c r="E1762" s="4"/>
      <c r="F1762" s="27"/>
    </row>
    <row r="1763">
      <c r="A1763" s="4"/>
      <c r="B1763" s="4"/>
      <c r="C1763" s="4"/>
      <c r="D1763" s="4"/>
      <c r="E1763" s="4"/>
      <c r="F1763" s="27"/>
    </row>
    <row r="1764">
      <c r="A1764" s="4"/>
      <c r="B1764" s="4"/>
      <c r="C1764" s="4"/>
      <c r="D1764" s="4"/>
      <c r="E1764" s="4"/>
      <c r="F1764" s="27"/>
    </row>
    <row r="1765">
      <c r="A1765" s="4"/>
      <c r="B1765" s="4"/>
      <c r="C1765" s="4"/>
      <c r="D1765" s="4"/>
      <c r="E1765" s="4"/>
      <c r="F1765" s="27"/>
    </row>
    <row r="1766">
      <c r="A1766" s="4"/>
      <c r="B1766" s="4"/>
      <c r="C1766" s="4"/>
      <c r="D1766" s="4"/>
      <c r="E1766" s="4"/>
      <c r="F1766" s="27"/>
    </row>
    <row r="1767">
      <c r="A1767" s="4"/>
      <c r="B1767" s="4"/>
      <c r="C1767" s="4"/>
      <c r="D1767" s="4"/>
      <c r="E1767" s="4"/>
      <c r="F1767" s="27"/>
    </row>
    <row r="1768">
      <c r="A1768" s="4"/>
      <c r="B1768" s="4"/>
      <c r="C1768" s="4"/>
      <c r="D1768" s="4"/>
      <c r="E1768" s="4"/>
      <c r="F1768" s="27"/>
    </row>
    <row r="1769">
      <c r="A1769" s="4"/>
      <c r="B1769" s="4"/>
      <c r="C1769" s="4"/>
      <c r="D1769" s="4"/>
      <c r="E1769" s="4"/>
      <c r="F1769" s="27"/>
    </row>
    <row r="1770">
      <c r="A1770" s="4"/>
      <c r="B1770" s="4"/>
      <c r="C1770" s="4"/>
      <c r="D1770" s="4"/>
      <c r="E1770" s="4"/>
      <c r="F1770" s="27"/>
    </row>
    <row r="1771">
      <c r="A1771" s="4"/>
      <c r="B1771" s="4"/>
      <c r="C1771" s="4"/>
      <c r="D1771" s="4"/>
      <c r="E1771" s="4"/>
      <c r="F1771" s="27"/>
    </row>
    <row r="1772">
      <c r="A1772" s="4"/>
      <c r="B1772" s="4"/>
      <c r="C1772" s="4"/>
      <c r="D1772" s="4"/>
      <c r="E1772" s="4"/>
      <c r="F1772" s="27"/>
    </row>
    <row r="1773">
      <c r="A1773" s="4"/>
      <c r="B1773" s="4"/>
      <c r="C1773" s="4"/>
      <c r="D1773" s="4"/>
      <c r="E1773" s="4"/>
      <c r="F1773" s="27"/>
    </row>
    <row r="1774">
      <c r="A1774" s="4"/>
      <c r="B1774" s="4"/>
      <c r="C1774" s="4"/>
      <c r="D1774" s="4"/>
      <c r="E1774" s="4"/>
      <c r="F1774" s="27"/>
    </row>
    <row r="1775">
      <c r="A1775" s="4"/>
      <c r="B1775" s="4"/>
      <c r="C1775" s="4"/>
      <c r="D1775" s="4"/>
      <c r="E1775" s="4"/>
      <c r="F1775" s="27"/>
    </row>
    <row r="1776">
      <c r="A1776" s="4"/>
      <c r="B1776" s="4"/>
      <c r="C1776" s="4"/>
      <c r="D1776" s="4"/>
      <c r="E1776" s="4"/>
      <c r="F1776" s="27"/>
    </row>
    <row r="1777">
      <c r="A1777" s="4"/>
      <c r="B1777" s="4"/>
      <c r="C1777" s="4"/>
      <c r="D1777" s="4"/>
      <c r="E1777" s="4"/>
      <c r="F1777" s="27"/>
    </row>
    <row r="1778">
      <c r="A1778" s="4"/>
      <c r="B1778" s="4"/>
      <c r="C1778" s="4"/>
      <c r="D1778" s="4"/>
      <c r="E1778" s="4"/>
      <c r="F1778" s="27"/>
    </row>
    <row r="1779">
      <c r="A1779" s="4"/>
      <c r="B1779" s="4"/>
      <c r="C1779" s="4"/>
      <c r="D1779" s="4"/>
      <c r="E1779" s="4"/>
      <c r="F1779" s="27"/>
    </row>
    <row r="1780">
      <c r="A1780" s="4"/>
      <c r="B1780" s="4"/>
      <c r="C1780" s="4"/>
      <c r="D1780" s="4"/>
      <c r="E1780" s="4"/>
      <c r="F1780" s="27"/>
    </row>
    <row r="1781">
      <c r="A1781" s="4"/>
      <c r="B1781" s="4"/>
      <c r="C1781" s="4"/>
      <c r="D1781" s="4"/>
      <c r="E1781" s="4"/>
      <c r="F1781" s="27"/>
    </row>
    <row r="1782">
      <c r="A1782" s="4"/>
      <c r="B1782" s="4"/>
      <c r="C1782" s="4"/>
      <c r="D1782" s="4"/>
      <c r="E1782" s="4"/>
      <c r="F1782" s="27"/>
    </row>
    <row r="1783">
      <c r="A1783" s="4"/>
      <c r="B1783" s="4"/>
      <c r="C1783" s="4"/>
      <c r="D1783" s="4"/>
      <c r="E1783" s="4"/>
      <c r="F1783" s="27"/>
    </row>
    <row r="1784">
      <c r="A1784" s="4"/>
      <c r="B1784" s="4"/>
      <c r="C1784" s="4"/>
      <c r="D1784" s="4"/>
      <c r="E1784" s="4"/>
      <c r="F1784" s="27"/>
    </row>
    <row r="1785">
      <c r="A1785" s="4"/>
      <c r="B1785" s="4"/>
      <c r="C1785" s="4"/>
      <c r="D1785" s="4"/>
      <c r="E1785" s="4"/>
      <c r="F1785" s="27"/>
    </row>
    <row r="1786">
      <c r="A1786" s="4"/>
      <c r="B1786" s="4"/>
      <c r="C1786" s="4"/>
      <c r="D1786" s="4"/>
      <c r="E1786" s="4"/>
      <c r="F1786" s="27"/>
    </row>
    <row r="1787">
      <c r="A1787" s="4"/>
      <c r="B1787" s="4"/>
      <c r="C1787" s="4"/>
      <c r="D1787" s="4"/>
      <c r="E1787" s="4"/>
      <c r="F1787" s="27"/>
    </row>
    <row r="1788">
      <c r="A1788" s="4"/>
      <c r="B1788" s="4"/>
      <c r="C1788" s="4"/>
      <c r="D1788" s="4"/>
      <c r="E1788" s="4"/>
      <c r="F1788" s="27"/>
    </row>
    <row r="1789">
      <c r="A1789" s="4"/>
      <c r="B1789" s="4"/>
      <c r="C1789" s="4"/>
      <c r="D1789" s="4"/>
      <c r="E1789" s="4"/>
      <c r="F1789" s="27"/>
    </row>
    <row r="1790">
      <c r="A1790" s="4"/>
      <c r="B1790" s="4"/>
      <c r="C1790" s="4"/>
      <c r="D1790" s="4"/>
      <c r="E1790" s="4"/>
      <c r="F1790" s="27"/>
    </row>
    <row r="1791">
      <c r="A1791" s="4"/>
      <c r="B1791" s="4"/>
      <c r="C1791" s="4"/>
      <c r="D1791" s="4"/>
      <c r="E1791" s="4"/>
      <c r="F1791" s="27"/>
    </row>
    <row r="1792">
      <c r="A1792" s="4"/>
      <c r="B1792" s="4"/>
      <c r="C1792" s="4"/>
      <c r="D1792" s="4"/>
      <c r="E1792" s="4"/>
      <c r="F1792" s="27"/>
    </row>
    <row r="1793">
      <c r="A1793" s="4"/>
      <c r="B1793" s="4"/>
      <c r="C1793" s="4"/>
      <c r="D1793" s="4"/>
      <c r="E1793" s="4"/>
      <c r="F1793" s="27"/>
    </row>
    <row r="1794">
      <c r="A1794" s="4"/>
      <c r="B1794" s="4"/>
      <c r="C1794" s="4"/>
      <c r="D1794" s="4"/>
      <c r="E1794" s="4"/>
      <c r="F1794" s="27"/>
    </row>
    <row r="1795">
      <c r="A1795" s="4"/>
      <c r="B1795" s="4"/>
      <c r="C1795" s="4"/>
      <c r="D1795" s="4"/>
      <c r="E1795" s="4"/>
      <c r="F1795" s="27"/>
    </row>
    <row r="1796">
      <c r="A1796" s="4"/>
      <c r="B1796" s="4"/>
      <c r="C1796" s="4"/>
      <c r="D1796" s="4"/>
      <c r="E1796" s="4"/>
      <c r="F1796" s="27"/>
    </row>
    <row r="1797">
      <c r="A1797" s="4"/>
      <c r="B1797" s="4"/>
      <c r="C1797" s="4"/>
      <c r="D1797" s="4"/>
      <c r="E1797" s="4"/>
      <c r="F1797" s="27"/>
    </row>
    <row r="1798">
      <c r="A1798" s="4"/>
      <c r="B1798" s="4"/>
      <c r="C1798" s="4"/>
      <c r="D1798" s="4"/>
      <c r="E1798" s="4"/>
      <c r="F1798" s="27"/>
    </row>
    <row r="1799">
      <c r="A1799" s="4"/>
      <c r="B1799" s="4"/>
      <c r="C1799" s="4"/>
      <c r="D1799" s="4"/>
      <c r="E1799" s="4"/>
      <c r="F1799" s="27"/>
    </row>
    <row r="1800">
      <c r="A1800" s="4"/>
      <c r="B1800" s="4"/>
      <c r="C1800" s="4"/>
      <c r="D1800" s="4"/>
      <c r="E1800" s="4"/>
      <c r="F1800" s="27"/>
    </row>
    <row r="1801">
      <c r="A1801" s="4"/>
      <c r="B1801" s="4"/>
      <c r="C1801" s="4"/>
      <c r="D1801" s="4"/>
      <c r="E1801" s="4"/>
      <c r="F1801" s="27"/>
    </row>
    <row r="1802">
      <c r="A1802" s="4"/>
      <c r="B1802" s="4"/>
      <c r="C1802" s="4"/>
      <c r="D1802" s="4"/>
      <c r="E1802" s="4"/>
      <c r="F1802" s="27"/>
    </row>
    <row r="1803">
      <c r="A1803" s="4"/>
      <c r="B1803" s="4"/>
      <c r="C1803" s="4"/>
      <c r="D1803" s="4"/>
      <c r="E1803" s="4"/>
      <c r="F1803" s="27"/>
    </row>
    <row r="1804">
      <c r="A1804" s="4"/>
      <c r="B1804" s="4"/>
      <c r="C1804" s="4"/>
      <c r="D1804" s="4"/>
      <c r="E1804" s="4"/>
      <c r="F1804" s="27"/>
    </row>
    <row r="1805">
      <c r="A1805" s="4"/>
      <c r="B1805" s="4"/>
      <c r="C1805" s="4"/>
      <c r="D1805" s="4"/>
      <c r="E1805" s="4"/>
      <c r="F1805" s="27"/>
    </row>
    <row r="1806">
      <c r="A1806" s="4"/>
      <c r="B1806" s="4"/>
      <c r="C1806" s="4"/>
      <c r="D1806" s="4"/>
      <c r="E1806" s="4"/>
      <c r="F1806" s="27"/>
    </row>
    <row r="1807">
      <c r="A1807" s="4"/>
      <c r="B1807" s="4"/>
      <c r="C1807" s="4"/>
      <c r="D1807" s="4"/>
      <c r="E1807" s="4"/>
      <c r="F1807" s="27"/>
    </row>
    <row r="1808">
      <c r="A1808" s="4"/>
      <c r="B1808" s="4"/>
      <c r="C1808" s="4"/>
      <c r="D1808" s="4"/>
      <c r="E1808" s="4"/>
      <c r="F1808" s="27"/>
    </row>
    <row r="1809">
      <c r="A1809" s="4"/>
      <c r="B1809" s="4"/>
      <c r="C1809" s="4"/>
      <c r="D1809" s="4"/>
      <c r="E1809" s="4"/>
      <c r="F1809" s="27"/>
    </row>
    <row r="1810">
      <c r="A1810" s="4"/>
      <c r="B1810" s="4"/>
      <c r="C1810" s="4"/>
      <c r="D1810" s="4"/>
      <c r="E1810" s="4"/>
      <c r="F1810" s="27"/>
    </row>
    <row r="1811">
      <c r="A1811" s="4"/>
      <c r="B1811" s="4"/>
      <c r="C1811" s="4"/>
      <c r="D1811" s="4"/>
      <c r="E1811" s="4"/>
      <c r="F1811" s="27"/>
    </row>
    <row r="1812">
      <c r="A1812" s="4"/>
      <c r="B1812" s="4"/>
      <c r="C1812" s="4"/>
      <c r="D1812" s="4"/>
      <c r="E1812" s="4"/>
      <c r="F1812" s="27"/>
    </row>
    <row r="1813">
      <c r="A1813" s="4"/>
      <c r="B1813" s="4"/>
      <c r="C1813" s="4"/>
      <c r="D1813" s="4"/>
      <c r="E1813" s="4"/>
      <c r="F1813" s="27"/>
    </row>
    <row r="1814">
      <c r="A1814" s="4"/>
      <c r="B1814" s="4"/>
      <c r="C1814" s="4"/>
      <c r="D1814" s="4"/>
      <c r="E1814" s="4"/>
      <c r="F1814" s="27"/>
    </row>
    <row r="1815">
      <c r="A1815" s="4"/>
      <c r="B1815" s="4"/>
      <c r="C1815" s="4"/>
      <c r="D1815" s="4"/>
      <c r="E1815" s="4"/>
      <c r="F1815" s="27"/>
    </row>
    <row r="1816">
      <c r="A1816" s="4"/>
      <c r="B1816" s="4"/>
      <c r="C1816" s="4"/>
      <c r="D1816" s="4"/>
      <c r="E1816" s="4"/>
      <c r="F1816" s="27"/>
    </row>
    <row r="1817">
      <c r="A1817" s="4"/>
      <c r="B1817" s="4"/>
      <c r="C1817" s="4"/>
      <c r="D1817" s="4"/>
      <c r="E1817" s="4"/>
      <c r="F1817" s="27"/>
    </row>
    <row r="1818">
      <c r="A1818" s="4"/>
      <c r="B1818" s="4"/>
      <c r="C1818" s="4"/>
      <c r="D1818" s="4"/>
      <c r="E1818" s="4"/>
      <c r="F1818" s="27"/>
    </row>
    <row r="1819">
      <c r="A1819" s="4"/>
      <c r="B1819" s="4"/>
      <c r="C1819" s="4"/>
      <c r="D1819" s="4"/>
      <c r="E1819" s="4"/>
      <c r="F1819" s="27"/>
    </row>
    <row r="1820">
      <c r="A1820" s="4"/>
      <c r="B1820" s="4"/>
      <c r="C1820" s="4"/>
      <c r="D1820" s="4"/>
      <c r="E1820" s="4"/>
      <c r="F1820" s="27"/>
    </row>
    <row r="1821">
      <c r="A1821" s="4"/>
      <c r="B1821" s="4"/>
      <c r="C1821" s="4"/>
      <c r="D1821" s="4"/>
      <c r="E1821" s="4"/>
      <c r="F1821" s="27"/>
    </row>
    <row r="1822">
      <c r="A1822" s="4"/>
      <c r="B1822" s="4"/>
      <c r="C1822" s="4"/>
      <c r="D1822" s="4"/>
      <c r="E1822" s="4"/>
      <c r="F1822" s="27"/>
    </row>
    <row r="1823">
      <c r="A1823" s="4"/>
      <c r="B1823" s="4"/>
      <c r="C1823" s="4"/>
      <c r="D1823" s="4"/>
      <c r="E1823" s="4"/>
      <c r="F1823" s="27"/>
    </row>
    <row r="1824">
      <c r="A1824" s="4"/>
      <c r="B1824" s="4"/>
      <c r="C1824" s="4"/>
      <c r="D1824" s="4"/>
      <c r="E1824" s="4"/>
      <c r="F1824" s="27"/>
    </row>
    <row r="1825">
      <c r="A1825" s="4"/>
      <c r="B1825" s="4"/>
      <c r="C1825" s="4"/>
      <c r="D1825" s="4"/>
      <c r="E1825" s="4"/>
      <c r="F1825" s="27"/>
    </row>
    <row r="1826">
      <c r="A1826" s="4"/>
      <c r="B1826" s="4"/>
      <c r="C1826" s="4"/>
      <c r="D1826" s="4"/>
      <c r="E1826" s="4"/>
      <c r="F1826" s="27"/>
    </row>
    <row r="1827">
      <c r="A1827" s="4"/>
      <c r="B1827" s="4"/>
      <c r="C1827" s="4"/>
      <c r="D1827" s="4"/>
      <c r="E1827" s="4"/>
      <c r="F1827" s="27"/>
    </row>
    <row r="1828">
      <c r="A1828" s="4"/>
      <c r="B1828" s="4"/>
      <c r="C1828" s="4"/>
      <c r="D1828" s="4"/>
      <c r="E1828" s="4"/>
      <c r="F1828" s="27"/>
    </row>
    <row r="1829">
      <c r="A1829" s="4"/>
      <c r="B1829" s="4"/>
      <c r="C1829" s="4"/>
      <c r="D1829" s="4"/>
      <c r="E1829" s="4"/>
      <c r="F1829" s="27"/>
    </row>
    <row r="1830">
      <c r="A1830" s="4"/>
      <c r="B1830" s="4"/>
      <c r="C1830" s="4"/>
      <c r="D1830" s="4"/>
      <c r="E1830" s="4"/>
      <c r="F1830" s="27"/>
    </row>
    <row r="1831">
      <c r="A1831" s="4"/>
      <c r="B1831" s="4"/>
      <c r="C1831" s="4"/>
      <c r="D1831" s="4"/>
      <c r="E1831" s="4"/>
      <c r="F1831" s="27"/>
    </row>
    <row r="1832">
      <c r="A1832" s="4"/>
      <c r="B1832" s="4"/>
      <c r="C1832" s="4"/>
      <c r="D1832" s="4"/>
      <c r="E1832" s="4"/>
      <c r="F1832" s="27"/>
    </row>
    <row r="1833">
      <c r="A1833" s="4"/>
      <c r="B1833" s="4"/>
      <c r="C1833" s="4"/>
      <c r="D1833" s="4"/>
      <c r="E1833" s="4"/>
      <c r="F1833" s="27"/>
    </row>
    <row r="1834">
      <c r="A1834" s="4"/>
      <c r="B1834" s="4"/>
      <c r="C1834" s="4"/>
      <c r="D1834" s="4"/>
      <c r="E1834" s="4"/>
      <c r="F1834" s="27"/>
    </row>
    <row r="1835">
      <c r="A1835" s="4"/>
      <c r="B1835" s="4"/>
      <c r="C1835" s="4"/>
      <c r="D1835" s="4"/>
      <c r="E1835" s="4"/>
      <c r="F1835" s="27"/>
    </row>
    <row r="1836">
      <c r="A1836" s="4"/>
      <c r="B1836" s="4"/>
      <c r="C1836" s="4"/>
      <c r="D1836" s="4"/>
      <c r="E1836" s="4"/>
      <c r="F1836" s="27"/>
    </row>
    <row r="1837">
      <c r="A1837" s="4"/>
      <c r="B1837" s="4"/>
      <c r="C1837" s="4"/>
      <c r="D1837" s="4"/>
      <c r="E1837" s="4"/>
      <c r="F1837" s="27"/>
    </row>
    <row r="1838">
      <c r="A1838" s="4"/>
      <c r="B1838" s="4"/>
      <c r="C1838" s="4"/>
      <c r="D1838" s="4"/>
      <c r="E1838" s="4"/>
      <c r="F1838" s="27"/>
    </row>
    <row r="1839">
      <c r="A1839" s="4"/>
      <c r="B1839" s="4"/>
      <c r="C1839" s="4"/>
      <c r="D1839" s="4"/>
      <c r="E1839" s="4"/>
      <c r="F1839" s="27"/>
    </row>
    <row r="1840">
      <c r="A1840" s="4"/>
      <c r="B1840" s="4"/>
      <c r="C1840" s="4"/>
      <c r="D1840" s="4"/>
      <c r="E1840" s="4"/>
      <c r="F1840" s="27"/>
    </row>
    <row r="1841">
      <c r="A1841" s="4"/>
      <c r="B1841" s="4"/>
      <c r="C1841" s="4"/>
      <c r="D1841" s="4"/>
      <c r="E1841" s="4"/>
      <c r="F1841" s="27"/>
    </row>
    <row r="1842">
      <c r="A1842" s="4"/>
      <c r="B1842" s="4"/>
      <c r="C1842" s="4"/>
      <c r="D1842" s="4"/>
      <c r="E1842" s="4"/>
      <c r="F1842" s="27"/>
    </row>
    <row r="1843">
      <c r="A1843" s="4"/>
      <c r="B1843" s="4"/>
      <c r="C1843" s="4"/>
      <c r="D1843" s="4"/>
      <c r="E1843" s="4"/>
      <c r="F1843" s="27"/>
    </row>
    <row r="1844">
      <c r="A1844" s="4"/>
      <c r="B1844" s="4"/>
      <c r="C1844" s="4"/>
      <c r="D1844" s="4"/>
      <c r="E1844" s="4"/>
      <c r="F1844" s="27"/>
    </row>
    <row r="1845">
      <c r="A1845" s="4"/>
      <c r="B1845" s="4"/>
      <c r="C1845" s="4"/>
      <c r="D1845" s="4"/>
      <c r="E1845" s="4"/>
      <c r="F1845" s="27"/>
    </row>
    <row r="1846">
      <c r="A1846" s="4"/>
      <c r="B1846" s="4"/>
      <c r="C1846" s="4"/>
      <c r="D1846" s="4"/>
      <c r="E1846" s="4"/>
      <c r="F1846" s="27"/>
    </row>
    <row r="1847">
      <c r="A1847" s="4"/>
      <c r="B1847" s="4"/>
      <c r="C1847" s="4"/>
      <c r="D1847" s="4"/>
      <c r="E1847" s="4"/>
      <c r="F1847" s="27"/>
    </row>
    <row r="1848">
      <c r="A1848" s="4"/>
      <c r="B1848" s="4"/>
      <c r="C1848" s="4"/>
      <c r="D1848" s="4"/>
      <c r="E1848" s="4"/>
      <c r="F1848" s="27"/>
    </row>
    <row r="1849">
      <c r="A1849" s="4"/>
      <c r="B1849" s="4"/>
      <c r="C1849" s="4"/>
      <c r="D1849" s="4"/>
      <c r="E1849" s="4"/>
      <c r="F1849" s="27"/>
    </row>
    <row r="1850">
      <c r="A1850" s="4"/>
      <c r="B1850" s="4"/>
      <c r="C1850" s="4"/>
      <c r="D1850" s="4"/>
      <c r="E1850" s="4"/>
      <c r="F1850" s="27"/>
    </row>
    <row r="1851">
      <c r="A1851" s="4"/>
      <c r="B1851" s="4"/>
      <c r="C1851" s="4"/>
      <c r="D1851" s="4"/>
      <c r="E1851" s="4"/>
      <c r="F1851" s="27"/>
    </row>
    <row r="1852">
      <c r="A1852" s="4"/>
      <c r="B1852" s="4"/>
      <c r="C1852" s="4"/>
      <c r="D1852" s="4"/>
      <c r="E1852" s="4"/>
      <c r="F1852" s="27"/>
    </row>
    <row r="1853">
      <c r="A1853" s="4"/>
      <c r="B1853" s="4"/>
      <c r="C1853" s="4"/>
      <c r="D1853" s="4"/>
      <c r="E1853" s="4"/>
      <c r="F1853" s="27"/>
    </row>
    <row r="1854">
      <c r="A1854" s="4"/>
      <c r="B1854" s="4"/>
      <c r="C1854" s="4"/>
      <c r="D1854" s="4"/>
      <c r="E1854" s="4"/>
      <c r="F1854" s="27"/>
    </row>
    <row r="1855">
      <c r="A1855" s="4"/>
      <c r="B1855" s="4"/>
      <c r="C1855" s="4"/>
      <c r="D1855" s="4"/>
      <c r="E1855" s="4"/>
      <c r="F1855" s="27"/>
    </row>
    <row r="1856">
      <c r="A1856" s="4"/>
      <c r="B1856" s="4"/>
      <c r="C1856" s="4"/>
      <c r="D1856" s="4"/>
      <c r="E1856" s="4"/>
      <c r="F1856" s="27"/>
    </row>
    <row r="1857">
      <c r="A1857" s="4"/>
      <c r="B1857" s="4"/>
      <c r="C1857" s="4"/>
      <c r="D1857" s="4"/>
      <c r="E1857" s="4"/>
      <c r="F1857" s="27"/>
    </row>
    <row r="1858">
      <c r="A1858" s="4"/>
      <c r="B1858" s="4"/>
      <c r="C1858" s="4"/>
      <c r="D1858" s="4"/>
      <c r="E1858" s="4"/>
      <c r="F1858" s="27"/>
    </row>
    <row r="1859">
      <c r="A1859" s="4"/>
      <c r="B1859" s="4"/>
      <c r="C1859" s="4"/>
      <c r="D1859" s="4"/>
      <c r="E1859" s="4"/>
      <c r="F1859" s="27"/>
    </row>
    <row r="1860">
      <c r="A1860" s="4"/>
      <c r="B1860" s="4"/>
      <c r="C1860" s="4"/>
      <c r="D1860" s="4"/>
      <c r="E1860" s="4"/>
      <c r="F1860" s="27"/>
    </row>
    <row r="1861">
      <c r="A1861" s="4"/>
      <c r="B1861" s="4"/>
      <c r="C1861" s="4"/>
      <c r="D1861" s="4"/>
      <c r="E1861" s="4"/>
      <c r="F1861" s="27"/>
    </row>
    <row r="1862">
      <c r="A1862" s="4"/>
      <c r="B1862" s="4"/>
      <c r="C1862" s="4"/>
      <c r="D1862" s="4"/>
      <c r="E1862" s="4"/>
      <c r="F1862" s="27"/>
    </row>
    <row r="1863">
      <c r="A1863" s="4"/>
      <c r="B1863" s="4"/>
      <c r="C1863" s="4"/>
      <c r="D1863" s="4"/>
      <c r="E1863" s="4"/>
      <c r="F1863" s="27"/>
    </row>
    <row r="1864">
      <c r="A1864" s="4"/>
      <c r="B1864" s="4"/>
      <c r="C1864" s="4"/>
      <c r="D1864" s="4"/>
      <c r="E1864" s="4"/>
      <c r="F1864" s="27"/>
    </row>
    <row r="1865">
      <c r="A1865" s="4"/>
      <c r="B1865" s="4"/>
      <c r="C1865" s="4"/>
      <c r="D1865" s="4"/>
      <c r="E1865" s="4"/>
      <c r="F1865" s="27"/>
    </row>
    <row r="1866">
      <c r="A1866" s="4"/>
      <c r="B1866" s="4"/>
      <c r="C1866" s="4"/>
      <c r="D1866" s="4"/>
      <c r="E1866" s="4"/>
      <c r="F1866" s="27"/>
    </row>
    <row r="1867">
      <c r="A1867" s="4"/>
      <c r="B1867" s="4"/>
      <c r="C1867" s="4"/>
      <c r="D1867" s="4"/>
      <c r="E1867" s="4"/>
      <c r="F1867" s="27"/>
    </row>
    <row r="1868">
      <c r="A1868" s="4"/>
      <c r="B1868" s="4"/>
      <c r="C1868" s="4"/>
      <c r="D1868" s="4"/>
      <c r="E1868" s="4"/>
      <c r="F1868" s="27"/>
    </row>
    <row r="1869">
      <c r="A1869" s="4"/>
      <c r="B1869" s="4"/>
      <c r="C1869" s="4"/>
      <c r="D1869" s="4"/>
      <c r="E1869" s="4"/>
      <c r="F1869" s="27"/>
    </row>
    <row r="1870">
      <c r="A1870" s="4"/>
      <c r="B1870" s="4"/>
      <c r="C1870" s="4"/>
      <c r="D1870" s="4"/>
      <c r="E1870" s="4"/>
      <c r="F1870" s="27"/>
    </row>
    <row r="1871">
      <c r="A1871" s="4"/>
      <c r="B1871" s="4"/>
      <c r="C1871" s="4"/>
      <c r="D1871" s="4"/>
      <c r="E1871" s="4"/>
      <c r="F1871" s="27"/>
    </row>
    <row r="1872">
      <c r="A1872" s="4"/>
      <c r="B1872" s="4"/>
      <c r="C1872" s="4"/>
      <c r="D1872" s="4"/>
      <c r="E1872" s="4"/>
      <c r="F1872" s="27"/>
    </row>
    <row r="1873">
      <c r="A1873" s="4"/>
      <c r="B1873" s="4"/>
      <c r="C1873" s="4"/>
      <c r="D1873" s="4"/>
      <c r="E1873" s="4"/>
      <c r="F1873" s="27"/>
    </row>
    <row r="1874">
      <c r="A1874" s="4"/>
      <c r="B1874" s="4"/>
      <c r="C1874" s="4"/>
      <c r="D1874" s="4"/>
      <c r="E1874" s="4"/>
      <c r="F1874" s="27"/>
    </row>
    <row r="1875">
      <c r="A1875" s="4"/>
      <c r="B1875" s="4"/>
      <c r="C1875" s="4"/>
      <c r="D1875" s="4"/>
      <c r="E1875" s="4"/>
      <c r="F1875" s="27"/>
    </row>
    <row r="1876">
      <c r="A1876" s="4"/>
      <c r="B1876" s="4"/>
      <c r="C1876" s="4"/>
      <c r="D1876" s="4"/>
      <c r="E1876" s="4"/>
      <c r="F1876" s="27"/>
    </row>
    <row r="1877">
      <c r="A1877" s="4"/>
      <c r="B1877" s="4"/>
      <c r="C1877" s="4"/>
      <c r="D1877" s="4"/>
      <c r="E1877" s="4"/>
      <c r="F1877" s="27"/>
    </row>
    <row r="1878">
      <c r="A1878" s="4"/>
      <c r="B1878" s="4"/>
      <c r="C1878" s="4"/>
      <c r="D1878" s="4"/>
      <c r="E1878" s="4"/>
      <c r="F1878" s="27"/>
    </row>
    <row r="1879">
      <c r="A1879" s="4"/>
      <c r="B1879" s="4"/>
      <c r="C1879" s="4"/>
      <c r="D1879" s="4"/>
      <c r="E1879" s="4"/>
      <c r="F1879" s="27"/>
    </row>
    <row r="1880">
      <c r="A1880" s="4"/>
      <c r="B1880" s="4"/>
      <c r="C1880" s="4"/>
      <c r="D1880" s="4"/>
      <c r="E1880" s="4"/>
      <c r="F1880" s="27"/>
    </row>
    <row r="1881">
      <c r="A1881" s="4"/>
      <c r="B1881" s="4"/>
      <c r="C1881" s="4"/>
      <c r="D1881" s="4"/>
      <c r="E1881" s="4"/>
      <c r="F1881" s="27"/>
    </row>
    <row r="1882">
      <c r="A1882" s="4"/>
      <c r="B1882" s="4"/>
      <c r="C1882" s="4"/>
      <c r="D1882" s="4"/>
      <c r="E1882" s="4"/>
      <c r="F1882" s="27"/>
    </row>
    <row r="1883">
      <c r="A1883" s="4"/>
      <c r="B1883" s="4"/>
      <c r="C1883" s="4"/>
      <c r="D1883" s="4"/>
      <c r="E1883" s="4"/>
      <c r="F1883" s="27"/>
    </row>
    <row r="1884">
      <c r="A1884" s="4"/>
      <c r="B1884" s="4"/>
      <c r="C1884" s="4"/>
      <c r="D1884" s="4"/>
      <c r="E1884" s="4"/>
      <c r="F1884" s="27"/>
    </row>
    <row r="1885">
      <c r="A1885" s="4"/>
      <c r="B1885" s="4"/>
      <c r="C1885" s="4"/>
      <c r="D1885" s="4"/>
      <c r="E1885" s="4"/>
      <c r="F1885" s="27"/>
    </row>
    <row r="1886">
      <c r="A1886" s="4"/>
      <c r="B1886" s="4"/>
      <c r="C1886" s="4"/>
      <c r="D1886" s="4"/>
      <c r="E1886" s="4"/>
      <c r="F1886" s="27"/>
    </row>
    <row r="1887">
      <c r="A1887" s="4"/>
      <c r="B1887" s="4"/>
      <c r="C1887" s="4"/>
      <c r="D1887" s="4"/>
      <c r="E1887" s="4"/>
      <c r="F1887" s="27"/>
    </row>
    <row r="1888">
      <c r="A1888" s="4"/>
      <c r="B1888" s="4"/>
      <c r="C1888" s="4"/>
      <c r="D1888" s="4"/>
      <c r="E1888" s="4"/>
      <c r="F1888" s="27"/>
    </row>
    <row r="1889">
      <c r="A1889" s="4"/>
      <c r="B1889" s="4"/>
      <c r="C1889" s="4"/>
      <c r="D1889" s="4"/>
      <c r="E1889" s="4"/>
      <c r="F1889" s="27"/>
    </row>
    <row r="1890">
      <c r="A1890" s="4"/>
      <c r="B1890" s="4"/>
      <c r="C1890" s="4"/>
      <c r="D1890" s="4"/>
      <c r="E1890" s="4"/>
      <c r="F1890" s="27"/>
    </row>
    <row r="1891">
      <c r="A1891" s="4"/>
      <c r="B1891" s="4"/>
      <c r="C1891" s="4"/>
      <c r="D1891" s="4"/>
      <c r="E1891" s="4"/>
      <c r="F1891" s="27"/>
    </row>
    <row r="1892">
      <c r="A1892" s="4"/>
      <c r="B1892" s="4"/>
      <c r="C1892" s="4"/>
      <c r="D1892" s="4"/>
      <c r="E1892" s="4"/>
      <c r="F1892" s="27"/>
    </row>
    <row r="1893">
      <c r="A1893" s="4"/>
      <c r="B1893" s="4"/>
      <c r="C1893" s="4"/>
      <c r="D1893" s="4"/>
      <c r="E1893" s="4"/>
      <c r="F1893" s="27"/>
    </row>
    <row r="1894">
      <c r="A1894" s="4"/>
      <c r="B1894" s="4"/>
      <c r="C1894" s="4"/>
      <c r="D1894" s="4"/>
      <c r="E1894" s="4"/>
      <c r="F1894" s="27"/>
    </row>
    <row r="1895">
      <c r="A1895" s="4"/>
      <c r="B1895" s="4"/>
      <c r="C1895" s="4"/>
      <c r="D1895" s="4"/>
      <c r="E1895" s="4"/>
      <c r="F1895" s="27"/>
    </row>
    <row r="1896">
      <c r="A1896" s="4"/>
      <c r="B1896" s="4"/>
      <c r="C1896" s="4"/>
      <c r="D1896" s="4"/>
      <c r="E1896" s="4"/>
      <c r="F1896" s="27"/>
    </row>
    <row r="1897">
      <c r="A1897" s="4"/>
      <c r="B1897" s="4"/>
      <c r="C1897" s="4"/>
      <c r="D1897" s="4"/>
      <c r="E1897" s="4"/>
      <c r="F1897" s="27"/>
    </row>
    <row r="1898">
      <c r="A1898" s="4"/>
      <c r="B1898" s="4"/>
      <c r="C1898" s="4"/>
      <c r="D1898" s="4"/>
      <c r="E1898" s="4"/>
      <c r="F1898" s="27"/>
    </row>
    <row r="1899">
      <c r="A1899" s="4"/>
      <c r="B1899" s="4"/>
      <c r="C1899" s="4"/>
      <c r="D1899" s="4"/>
      <c r="E1899" s="4"/>
      <c r="F1899" s="27"/>
    </row>
    <row r="1900">
      <c r="A1900" s="4"/>
      <c r="B1900" s="4"/>
      <c r="C1900" s="4"/>
      <c r="D1900" s="4"/>
      <c r="E1900" s="4"/>
      <c r="F1900" s="27"/>
    </row>
    <row r="1901">
      <c r="A1901" s="4"/>
      <c r="B1901" s="4"/>
      <c r="C1901" s="4"/>
      <c r="D1901" s="4"/>
      <c r="E1901" s="4"/>
      <c r="F1901" s="27"/>
    </row>
    <row r="1902">
      <c r="A1902" s="4"/>
      <c r="B1902" s="4"/>
      <c r="C1902" s="4"/>
      <c r="D1902" s="4"/>
      <c r="E1902" s="4"/>
      <c r="F1902" s="27"/>
    </row>
    <row r="1903">
      <c r="A1903" s="4"/>
      <c r="B1903" s="4"/>
      <c r="C1903" s="4"/>
      <c r="D1903" s="4"/>
      <c r="E1903" s="4"/>
      <c r="F1903" s="27"/>
    </row>
    <row r="1904">
      <c r="A1904" s="4"/>
      <c r="B1904" s="4"/>
      <c r="C1904" s="4"/>
      <c r="D1904" s="4"/>
      <c r="E1904" s="4"/>
      <c r="F1904" s="27"/>
    </row>
    <row r="1905">
      <c r="A1905" s="4"/>
      <c r="B1905" s="4"/>
      <c r="C1905" s="4"/>
      <c r="D1905" s="4"/>
      <c r="E1905" s="4"/>
      <c r="F1905" s="27"/>
    </row>
    <row r="1906">
      <c r="A1906" s="4"/>
      <c r="B1906" s="4"/>
      <c r="C1906" s="4"/>
      <c r="D1906" s="4"/>
      <c r="E1906" s="4"/>
      <c r="F1906" s="27"/>
    </row>
    <row r="1907">
      <c r="A1907" s="4"/>
      <c r="B1907" s="4"/>
      <c r="C1907" s="4"/>
      <c r="D1907" s="4"/>
      <c r="E1907" s="4"/>
      <c r="F1907" s="27"/>
    </row>
    <row r="1908">
      <c r="A1908" s="4"/>
      <c r="B1908" s="4"/>
      <c r="C1908" s="4"/>
      <c r="D1908" s="4"/>
      <c r="E1908" s="4"/>
      <c r="F1908" s="27"/>
    </row>
    <row r="1909">
      <c r="A1909" s="4"/>
      <c r="B1909" s="4"/>
      <c r="C1909" s="4"/>
      <c r="D1909" s="4"/>
      <c r="E1909" s="4"/>
      <c r="F1909" s="27"/>
    </row>
    <row r="1910">
      <c r="A1910" s="4"/>
      <c r="B1910" s="4"/>
      <c r="C1910" s="4"/>
      <c r="D1910" s="4"/>
      <c r="E1910" s="4"/>
      <c r="F1910" s="27"/>
    </row>
    <row r="1911">
      <c r="A1911" s="4"/>
      <c r="B1911" s="4"/>
      <c r="C1911" s="4"/>
      <c r="D1911" s="4"/>
      <c r="E1911" s="4"/>
      <c r="F1911" s="27"/>
    </row>
    <row r="1912">
      <c r="A1912" s="4"/>
      <c r="B1912" s="4"/>
      <c r="C1912" s="4"/>
      <c r="D1912" s="4"/>
      <c r="E1912" s="4"/>
      <c r="F1912" s="27"/>
    </row>
    <row r="1913">
      <c r="A1913" s="4"/>
      <c r="B1913" s="4"/>
      <c r="C1913" s="4"/>
      <c r="D1913" s="4"/>
      <c r="E1913" s="4"/>
      <c r="F1913" s="27"/>
    </row>
    <row r="1914">
      <c r="A1914" s="4"/>
      <c r="B1914" s="4"/>
      <c r="C1914" s="4"/>
      <c r="D1914" s="4"/>
      <c r="E1914" s="4"/>
      <c r="F1914" s="27"/>
    </row>
    <row r="1915">
      <c r="A1915" s="4"/>
      <c r="B1915" s="4"/>
      <c r="C1915" s="4"/>
      <c r="D1915" s="4"/>
      <c r="E1915" s="4"/>
      <c r="F1915" s="27"/>
    </row>
    <row r="1916">
      <c r="A1916" s="4"/>
      <c r="B1916" s="4"/>
      <c r="C1916" s="4"/>
      <c r="D1916" s="4"/>
      <c r="E1916" s="4"/>
      <c r="F1916" s="27"/>
    </row>
    <row r="1917">
      <c r="A1917" s="4"/>
      <c r="B1917" s="4"/>
      <c r="C1917" s="4"/>
      <c r="D1917" s="4"/>
      <c r="E1917" s="4"/>
      <c r="F1917" s="27"/>
    </row>
    <row r="1918">
      <c r="A1918" s="4"/>
      <c r="B1918" s="4"/>
      <c r="C1918" s="4"/>
      <c r="D1918" s="4"/>
      <c r="E1918" s="4"/>
      <c r="F1918" s="27"/>
    </row>
    <row r="1919">
      <c r="A1919" s="4"/>
      <c r="B1919" s="4"/>
      <c r="C1919" s="4"/>
      <c r="D1919" s="4"/>
      <c r="E1919" s="4"/>
      <c r="F1919" s="27"/>
    </row>
    <row r="1920">
      <c r="A1920" s="4"/>
      <c r="B1920" s="4"/>
      <c r="C1920" s="4"/>
      <c r="D1920" s="4"/>
      <c r="E1920" s="4"/>
      <c r="F1920" s="27"/>
    </row>
    <row r="1921">
      <c r="A1921" s="4"/>
      <c r="B1921" s="4"/>
      <c r="C1921" s="4"/>
      <c r="D1921" s="4"/>
      <c r="E1921" s="4"/>
      <c r="F1921" s="27"/>
    </row>
    <row r="1922">
      <c r="A1922" s="4"/>
      <c r="B1922" s="4"/>
      <c r="C1922" s="4"/>
      <c r="D1922" s="4"/>
      <c r="E1922" s="4"/>
      <c r="F1922" s="27"/>
    </row>
    <row r="1923">
      <c r="A1923" s="4"/>
      <c r="B1923" s="4"/>
      <c r="C1923" s="4"/>
      <c r="D1923" s="4"/>
      <c r="E1923" s="4"/>
      <c r="F1923" s="27"/>
    </row>
    <row r="1924">
      <c r="A1924" s="4"/>
      <c r="B1924" s="4"/>
      <c r="C1924" s="4"/>
      <c r="D1924" s="4"/>
      <c r="E1924" s="4"/>
      <c r="F1924" s="27"/>
    </row>
    <row r="1925">
      <c r="A1925" s="4"/>
      <c r="B1925" s="4"/>
      <c r="C1925" s="4"/>
      <c r="D1925" s="4"/>
      <c r="E1925" s="4"/>
      <c r="F1925" s="27"/>
    </row>
    <row r="1926">
      <c r="A1926" s="4"/>
      <c r="B1926" s="4"/>
      <c r="C1926" s="4"/>
      <c r="D1926" s="4"/>
      <c r="E1926" s="4"/>
      <c r="F1926" s="27"/>
    </row>
    <row r="1927">
      <c r="A1927" s="4"/>
      <c r="B1927" s="4"/>
      <c r="C1927" s="4"/>
      <c r="D1927" s="4"/>
      <c r="E1927" s="4"/>
      <c r="F1927" s="27"/>
    </row>
    <row r="1928">
      <c r="A1928" s="4"/>
      <c r="B1928" s="4"/>
      <c r="C1928" s="4"/>
      <c r="D1928" s="4"/>
      <c r="E1928" s="4"/>
      <c r="F1928" s="27"/>
    </row>
    <row r="1929">
      <c r="A1929" s="4"/>
      <c r="B1929" s="4"/>
      <c r="C1929" s="4"/>
      <c r="D1929" s="4"/>
      <c r="E1929" s="4"/>
      <c r="F1929" s="27"/>
    </row>
    <row r="1930">
      <c r="A1930" s="4"/>
      <c r="B1930" s="4"/>
      <c r="C1930" s="4"/>
      <c r="D1930" s="4"/>
      <c r="E1930" s="4"/>
      <c r="F1930" s="27"/>
    </row>
    <row r="1931">
      <c r="A1931" s="4"/>
      <c r="B1931" s="4"/>
      <c r="C1931" s="4"/>
      <c r="D1931" s="4"/>
      <c r="E1931" s="4"/>
      <c r="F1931" s="27"/>
    </row>
    <row r="1932">
      <c r="A1932" s="4"/>
      <c r="B1932" s="4"/>
      <c r="C1932" s="4"/>
      <c r="D1932" s="4"/>
      <c r="E1932" s="4"/>
      <c r="F1932" s="27"/>
    </row>
    <row r="1933">
      <c r="A1933" s="4"/>
      <c r="B1933" s="4"/>
      <c r="C1933" s="4"/>
      <c r="D1933" s="4"/>
      <c r="E1933" s="4"/>
      <c r="F1933" s="27"/>
    </row>
    <row r="1934">
      <c r="A1934" s="4"/>
      <c r="B1934" s="4"/>
      <c r="C1934" s="4"/>
      <c r="D1934" s="4"/>
      <c r="E1934" s="4"/>
      <c r="F1934" s="27"/>
    </row>
    <row r="1935">
      <c r="A1935" s="4"/>
      <c r="B1935" s="4"/>
      <c r="C1935" s="4"/>
      <c r="D1935" s="4"/>
      <c r="E1935" s="4"/>
      <c r="F1935" s="27"/>
    </row>
    <row r="1936">
      <c r="A1936" s="4"/>
      <c r="B1936" s="4"/>
      <c r="C1936" s="4"/>
      <c r="D1936" s="4"/>
      <c r="E1936" s="4"/>
      <c r="F1936" s="27"/>
    </row>
    <row r="1937">
      <c r="A1937" s="4"/>
      <c r="B1937" s="4"/>
      <c r="C1937" s="4"/>
      <c r="D1937" s="4"/>
      <c r="E1937" s="4"/>
      <c r="F1937" s="27"/>
    </row>
    <row r="1938">
      <c r="A1938" s="4"/>
      <c r="B1938" s="4"/>
      <c r="C1938" s="4"/>
      <c r="D1938" s="4"/>
      <c r="E1938" s="4"/>
      <c r="F1938" s="27"/>
    </row>
    <row r="1939">
      <c r="A1939" s="4"/>
      <c r="B1939" s="4"/>
      <c r="C1939" s="4"/>
      <c r="D1939" s="4"/>
      <c r="E1939" s="4"/>
      <c r="F1939" s="27"/>
    </row>
    <row r="1940">
      <c r="A1940" s="4"/>
      <c r="B1940" s="4"/>
      <c r="C1940" s="4"/>
      <c r="D1940" s="4"/>
      <c r="E1940" s="4"/>
      <c r="F1940" s="27"/>
    </row>
    <row r="1941">
      <c r="A1941" s="4"/>
      <c r="B1941" s="4"/>
      <c r="C1941" s="4"/>
      <c r="D1941" s="4"/>
      <c r="E1941" s="4"/>
      <c r="F1941" s="27"/>
    </row>
    <row r="1942">
      <c r="A1942" s="4"/>
      <c r="B1942" s="4"/>
      <c r="C1942" s="4"/>
      <c r="D1942" s="4"/>
      <c r="E1942" s="4"/>
      <c r="F1942" s="27"/>
    </row>
    <row r="1943">
      <c r="A1943" s="4"/>
      <c r="B1943" s="4"/>
      <c r="C1943" s="4"/>
      <c r="D1943" s="4"/>
      <c r="E1943" s="4"/>
      <c r="F1943" s="27"/>
    </row>
    <row r="1944">
      <c r="A1944" s="4"/>
      <c r="B1944" s="4"/>
      <c r="C1944" s="4"/>
      <c r="D1944" s="4"/>
      <c r="E1944" s="4"/>
      <c r="F1944" s="27"/>
    </row>
    <row r="1945">
      <c r="A1945" s="4"/>
      <c r="B1945" s="4"/>
      <c r="C1945" s="4"/>
      <c r="D1945" s="4"/>
      <c r="E1945" s="4"/>
      <c r="F1945" s="27"/>
    </row>
    <row r="1946">
      <c r="A1946" s="4"/>
      <c r="B1946" s="4"/>
      <c r="C1946" s="4"/>
      <c r="D1946" s="4"/>
      <c r="E1946" s="4"/>
      <c r="F1946" s="27"/>
    </row>
    <row r="1947">
      <c r="A1947" s="4"/>
      <c r="B1947" s="4"/>
      <c r="C1947" s="4"/>
      <c r="D1947" s="4"/>
      <c r="E1947" s="4"/>
      <c r="F1947" s="27"/>
    </row>
    <row r="1948">
      <c r="A1948" s="4"/>
      <c r="B1948" s="4"/>
      <c r="C1948" s="4"/>
      <c r="D1948" s="4"/>
      <c r="E1948" s="4"/>
      <c r="F1948" s="27"/>
    </row>
    <row r="1949">
      <c r="A1949" s="4"/>
      <c r="B1949" s="4"/>
      <c r="C1949" s="4"/>
      <c r="D1949" s="4"/>
      <c r="E1949" s="4"/>
      <c r="F1949" s="27"/>
    </row>
    <row r="1950">
      <c r="A1950" s="4"/>
      <c r="B1950" s="4"/>
      <c r="C1950" s="4"/>
      <c r="D1950" s="4"/>
      <c r="E1950" s="4"/>
      <c r="F1950" s="27"/>
    </row>
    <row r="1951">
      <c r="A1951" s="4"/>
      <c r="B1951" s="4"/>
      <c r="C1951" s="4"/>
      <c r="D1951" s="4"/>
      <c r="E1951" s="4"/>
      <c r="F1951" s="27"/>
    </row>
    <row r="1952">
      <c r="A1952" s="4"/>
      <c r="B1952" s="4"/>
      <c r="C1952" s="4"/>
      <c r="D1952" s="4"/>
      <c r="E1952" s="4"/>
      <c r="F1952" s="27"/>
    </row>
    <row r="1953">
      <c r="A1953" s="4"/>
      <c r="B1953" s="4"/>
      <c r="C1953" s="4"/>
      <c r="D1953" s="4"/>
      <c r="E1953" s="4"/>
      <c r="F1953" s="27"/>
    </row>
    <row r="1954">
      <c r="A1954" s="4"/>
      <c r="B1954" s="4"/>
      <c r="C1954" s="4"/>
      <c r="D1954" s="4"/>
      <c r="E1954" s="4"/>
      <c r="F1954" s="27"/>
    </row>
    <row r="1955">
      <c r="A1955" s="4"/>
      <c r="B1955" s="4"/>
      <c r="C1955" s="4"/>
      <c r="D1955" s="4"/>
      <c r="E1955" s="4"/>
      <c r="F1955" s="27"/>
    </row>
    <row r="1956">
      <c r="A1956" s="4"/>
      <c r="B1956" s="4"/>
      <c r="C1956" s="4"/>
      <c r="D1956" s="4"/>
      <c r="E1956" s="4"/>
      <c r="F1956" s="27"/>
    </row>
    <row r="1957">
      <c r="A1957" s="4"/>
      <c r="B1957" s="4"/>
      <c r="C1957" s="4"/>
      <c r="D1957" s="4"/>
      <c r="E1957" s="4"/>
      <c r="F1957" s="27"/>
    </row>
    <row r="1958">
      <c r="A1958" s="4"/>
      <c r="B1958" s="4"/>
      <c r="C1958" s="4"/>
      <c r="D1958" s="4"/>
      <c r="E1958" s="4"/>
      <c r="F1958" s="27"/>
    </row>
    <row r="1959">
      <c r="A1959" s="4"/>
      <c r="B1959" s="4"/>
      <c r="C1959" s="4"/>
      <c r="D1959" s="4"/>
      <c r="E1959" s="4"/>
      <c r="F1959" s="27"/>
    </row>
    <row r="1960">
      <c r="A1960" s="4"/>
      <c r="B1960" s="4"/>
      <c r="C1960" s="4"/>
      <c r="D1960" s="4"/>
      <c r="E1960" s="4"/>
      <c r="F1960" s="27"/>
    </row>
    <row r="1961">
      <c r="A1961" s="4"/>
      <c r="B1961" s="4"/>
      <c r="C1961" s="4"/>
      <c r="D1961" s="4"/>
      <c r="E1961" s="4"/>
      <c r="F1961" s="27"/>
    </row>
    <row r="1962">
      <c r="A1962" s="4"/>
      <c r="B1962" s="4"/>
      <c r="C1962" s="4"/>
      <c r="D1962" s="4"/>
      <c r="E1962" s="4"/>
      <c r="F1962" s="27"/>
    </row>
    <row r="1963">
      <c r="A1963" s="4"/>
      <c r="B1963" s="4"/>
      <c r="C1963" s="4"/>
      <c r="D1963" s="4"/>
      <c r="E1963" s="4"/>
      <c r="F1963" s="27"/>
    </row>
    <row r="1964">
      <c r="A1964" s="4"/>
      <c r="B1964" s="4"/>
      <c r="C1964" s="4"/>
      <c r="D1964" s="4"/>
      <c r="E1964" s="4"/>
      <c r="F1964" s="27"/>
    </row>
    <row r="1965">
      <c r="A1965" s="4"/>
      <c r="B1965" s="4"/>
      <c r="C1965" s="4"/>
      <c r="D1965" s="4"/>
      <c r="E1965" s="4"/>
      <c r="F1965" s="27"/>
    </row>
    <row r="1966">
      <c r="A1966" s="4"/>
      <c r="B1966" s="4"/>
      <c r="C1966" s="4"/>
      <c r="D1966" s="4"/>
      <c r="E1966" s="4"/>
      <c r="F1966" s="27"/>
    </row>
    <row r="1967">
      <c r="A1967" s="4"/>
      <c r="B1967" s="4"/>
      <c r="C1967" s="4"/>
      <c r="D1967" s="4"/>
      <c r="E1967" s="4"/>
      <c r="F1967" s="27"/>
    </row>
    <row r="1968">
      <c r="A1968" s="4"/>
      <c r="B1968" s="4"/>
      <c r="C1968" s="4"/>
      <c r="D1968" s="4"/>
      <c r="E1968" s="4"/>
      <c r="F1968" s="27"/>
    </row>
    <row r="1969">
      <c r="A1969" s="4"/>
      <c r="B1969" s="4"/>
      <c r="C1969" s="4"/>
      <c r="D1969" s="4"/>
      <c r="E1969" s="4"/>
      <c r="F1969" s="27"/>
    </row>
    <row r="1970">
      <c r="A1970" s="4"/>
      <c r="B1970" s="4"/>
      <c r="C1970" s="4"/>
      <c r="D1970" s="4"/>
      <c r="E1970" s="4"/>
      <c r="F1970" s="27"/>
    </row>
    <row r="1971">
      <c r="A1971" s="4"/>
      <c r="B1971" s="4"/>
      <c r="C1971" s="4"/>
      <c r="D1971" s="4"/>
      <c r="E1971" s="4"/>
      <c r="F1971" s="27"/>
    </row>
    <row r="1972">
      <c r="A1972" s="4"/>
      <c r="B1972" s="4"/>
      <c r="C1972" s="4"/>
      <c r="D1972" s="4"/>
      <c r="E1972" s="4"/>
      <c r="F1972" s="27"/>
    </row>
    <row r="1973">
      <c r="A1973" s="4"/>
      <c r="B1973" s="4"/>
      <c r="C1973" s="4"/>
      <c r="D1973" s="4"/>
      <c r="E1973" s="4"/>
      <c r="F1973" s="27"/>
    </row>
    <row r="1974">
      <c r="A1974" s="4"/>
      <c r="B1974" s="4"/>
      <c r="C1974" s="4"/>
      <c r="D1974" s="4"/>
      <c r="E1974" s="4"/>
      <c r="F1974" s="27"/>
    </row>
    <row r="1975">
      <c r="A1975" s="4"/>
      <c r="B1975" s="4"/>
      <c r="C1975" s="4"/>
      <c r="D1975" s="4"/>
      <c r="E1975" s="4"/>
      <c r="F1975" s="27"/>
    </row>
    <row r="1976">
      <c r="A1976" s="4"/>
      <c r="B1976" s="4"/>
      <c r="C1976" s="4"/>
      <c r="D1976" s="4"/>
      <c r="E1976" s="4"/>
      <c r="F1976" s="27"/>
    </row>
    <row r="1977">
      <c r="A1977" s="4"/>
      <c r="B1977" s="4"/>
      <c r="C1977" s="4"/>
      <c r="D1977" s="4"/>
      <c r="E1977" s="4"/>
      <c r="F1977" s="27"/>
    </row>
    <row r="1978">
      <c r="A1978" s="4"/>
      <c r="B1978" s="4"/>
      <c r="C1978" s="4"/>
      <c r="D1978" s="4"/>
      <c r="E1978" s="4"/>
      <c r="F1978" s="27"/>
    </row>
    <row r="1979">
      <c r="A1979" s="4"/>
      <c r="B1979" s="4"/>
      <c r="C1979" s="4"/>
      <c r="D1979" s="4"/>
      <c r="E1979" s="4"/>
      <c r="F1979" s="27"/>
    </row>
    <row r="1980">
      <c r="A1980" s="4"/>
      <c r="B1980" s="4"/>
      <c r="C1980" s="4"/>
      <c r="D1980" s="4"/>
      <c r="E1980" s="4"/>
      <c r="F1980" s="27"/>
    </row>
    <row r="1981">
      <c r="A1981" s="4"/>
      <c r="B1981" s="4"/>
      <c r="C1981" s="4"/>
      <c r="D1981" s="4"/>
      <c r="E1981" s="4"/>
      <c r="F1981" s="27"/>
    </row>
    <row r="1982">
      <c r="A1982" s="4"/>
      <c r="B1982" s="4"/>
      <c r="C1982" s="4"/>
      <c r="D1982" s="4"/>
      <c r="E1982" s="4"/>
      <c r="F1982" s="27"/>
    </row>
    <row r="1983">
      <c r="A1983" s="4"/>
      <c r="B1983" s="4"/>
      <c r="C1983" s="4"/>
      <c r="D1983" s="4"/>
      <c r="E1983" s="4"/>
      <c r="F1983" s="27"/>
    </row>
    <row r="1984">
      <c r="A1984" s="4"/>
      <c r="B1984" s="4"/>
      <c r="C1984" s="4"/>
      <c r="D1984" s="4"/>
      <c r="E1984" s="4"/>
      <c r="F1984" s="27"/>
    </row>
    <row r="1985">
      <c r="A1985" s="4"/>
      <c r="B1985" s="4"/>
      <c r="C1985" s="4"/>
      <c r="D1985" s="4"/>
      <c r="E1985" s="4"/>
      <c r="F1985" s="27"/>
    </row>
    <row r="1986">
      <c r="A1986" s="4"/>
      <c r="B1986" s="4"/>
      <c r="C1986" s="4"/>
      <c r="D1986" s="4"/>
      <c r="E1986" s="4"/>
      <c r="F1986" s="27"/>
    </row>
    <row r="1987">
      <c r="A1987" s="4"/>
      <c r="B1987" s="4"/>
      <c r="C1987" s="4"/>
      <c r="D1987" s="4"/>
      <c r="E1987" s="4"/>
      <c r="F1987" s="27"/>
    </row>
    <row r="1988">
      <c r="A1988" s="4"/>
      <c r="B1988" s="4"/>
      <c r="C1988" s="4"/>
      <c r="D1988" s="4"/>
      <c r="E1988" s="4"/>
      <c r="F1988" s="27"/>
    </row>
    <row r="1989">
      <c r="A1989" s="4"/>
      <c r="B1989" s="4"/>
      <c r="C1989" s="4"/>
      <c r="D1989" s="4"/>
      <c r="E1989" s="4"/>
      <c r="F1989" s="27"/>
    </row>
    <row r="1990">
      <c r="A1990" s="4"/>
      <c r="B1990" s="4"/>
      <c r="C1990" s="4"/>
      <c r="D1990" s="4"/>
      <c r="E1990" s="4"/>
      <c r="F1990" s="27"/>
    </row>
    <row r="1991">
      <c r="A1991" s="4"/>
      <c r="B1991" s="4"/>
      <c r="C1991" s="4"/>
      <c r="D1991" s="4"/>
      <c r="E1991" s="4"/>
      <c r="F1991" s="27"/>
    </row>
    <row r="1992">
      <c r="A1992" s="4"/>
      <c r="B1992" s="4"/>
      <c r="C1992" s="4"/>
      <c r="D1992" s="4"/>
      <c r="E1992" s="4"/>
      <c r="F1992" s="27"/>
    </row>
    <row r="1993">
      <c r="A1993" s="4"/>
      <c r="B1993" s="4"/>
      <c r="C1993" s="4"/>
      <c r="D1993" s="4"/>
      <c r="E1993" s="4"/>
      <c r="F1993" s="27"/>
    </row>
    <row r="1994">
      <c r="A1994" s="4"/>
      <c r="B1994" s="4"/>
      <c r="C1994" s="4"/>
      <c r="D1994" s="4"/>
      <c r="E1994" s="4"/>
      <c r="F1994" s="27"/>
    </row>
    <row r="1995">
      <c r="A1995" s="4"/>
      <c r="B1995" s="4"/>
      <c r="C1995" s="4"/>
      <c r="D1995" s="4"/>
      <c r="E1995" s="4"/>
      <c r="F1995" s="27"/>
    </row>
    <row r="1996">
      <c r="A1996" s="4"/>
      <c r="B1996" s="4"/>
      <c r="C1996" s="4"/>
      <c r="D1996" s="4"/>
      <c r="E1996" s="4"/>
      <c r="F1996" s="27"/>
    </row>
    <row r="1997">
      <c r="A1997" s="4"/>
      <c r="B1997" s="4"/>
      <c r="C1997" s="4"/>
      <c r="D1997" s="4"/>
      <c r="E1997" s="4"/>
      <c r="F1997" s="27"/>
    </row>
    <row r="1998">
      <c r="A1998" s="4"/>
      <c r="B1998" s="4"/>
      <c r="C1998" s="4"/>
      <c r="D1998" s="4"/>
      <c r="E1998" s="4"/>
      <c r="F1998" s="27"/>
    </row>
    <row r="1999">
      <c r="A1999" s="4"/>
      <c r="B1999" s="4"/>
      <c r="C1999" s="4"/>
      <c r="D1999" s="4"/>
      <c r="E1999" s="4"/>
      <c r="F1999" s="27"/>
    </row>
    <row r="2000">
      <c r="A2000" s="4"/>
      <c r="B2000" s="4"/>
      <c r="C2000" s="4"/>
      <c r="D2000" s="4"/>
      <c r="E2000" s="4"/>
      <c r="F2000" s="27"/>
    </row>
    <row r="2001">
      <c r="A2001" s="4"/>
      <c r="B2001" s="4"/>
      <c r="C2001" s="4"/>
      <c r="D2001" s="4"/>
      <c r="E2001" s="4"/>
      <c r="F2001" s="27"/>
    </row>
    <row r="2002">
      <c r="A2002" s="4"/>
      <c r="B2002" s="4"/>
      <c r="C2002" s="4"/>
      <c r="D2002" s="4"/>
      <c r="E2002" s="4"/>
      <c r="F2002" s="27"/>
    </row>
    <row r="2003">
      <c r="A2003" s="4"/>
      <c r="B2003" s="4"/>
      <c r="C2003" s="4"/>
      <c r="D2003" s="4"/>
      <c r="E2003" s="4"/>
      <c r="F2003" s="27"/>
    </row>
    <row r="2004">
      <c r="A2004" s="4"/>
      <c r="B2004" s="4"/>
      <c r="C2004" s="4"/>
      <c r="D2004" s="4"/>
      <c r="E2004" s="4"/>
      <c r="F2004" s="27"/>
    </row>
    <row r="2005">
      <c r="A2005" s="4"/>
      <c r="B2005" s="4"/>
      <c r="C2005" s="4"/>
      <c r="D2005" s="4"/>
      <c r="E2005" s="4"/>
      <c r="F2005" s="27"/>
    </row>
    <row r="2006">
      <c r="A2006" s="4"/>
      <c r="B2006" s="4"/>
      <c r="C2006" s="4"/>
      <c r="D2006" s="4"/>
      <c r="E2006" s="4"/>
      <c r="F2006" s="27"/>
    </row>
    <row r="2007">
      <c r="A2007" s="4"/>
      <c r="B2007" s="4"/>
      <c r="C2007" s="4"/>
      <c r="D2007" s="4"/>
      <c r="E2007" s="4"/>
      <c r="F2007" s="27"/>
    </row>
    <row r="2008">
      <c r="A2008" s="4"/>
      <c r="B2008" s="4"/>
      <c r="C2008" s="4"/>
      <c r="D2008" s="4"/>
      <c r="E2008" s="4"/>
      <c r="F2008" s="27"/>
    </row>
    <row r="2009">
      <c r="A2009" s="4"/>
      <c r="B2009" s="4"/>
      <c r="C2009" s="4"/>
      <c r="D2009" s="4"/>
      <c r="E2009" s="4"/>
      <c r="F2009" s="27"/>
    </row>
    <row r="2010">
      <c r="A2010" s="4"/>
      <c r="B2010" s="4"/>
      <c r="C2010" s="4"/>
      <c r="D2010" s="4"/>
      <c r="E2010" s="4"/>
      <c r="F2010" s="27"/>
    </row>
    <row r="2011">
      <c r="A2011" s="4"/>
      <c r="B2011" s="4"/>
      <c r="C2011" s="4"/>
      <c r="D2011" s="4"/>
      <c r="E2011" s="4"/>
      <c r="F2011" s="27"/>
    </row>
    <row r="2012">
      <c r="A2012" s="4"/>
      <c r="B2012" s="4"/>
      <c r="C2012" s="4"/>
      <c r="D2012" s="4"/>
      <c r="E2012" s="4"/>
      <c r="F2012" s="27"/>
    </row>
    <row r="2013">
      <c r="A2013" s="4"/>
      <c r="B2013" s="4"/>
      <c r="C2013" s="4"/>
      <c r="D2013" s="4"/>
      <c r="E2013" s="4"/>
      <c r="F2013" s="27"/>
    </row>
    <row r="2014">
      <c r="A2014" s="4"/>
      <c r="B2014" s="4"/>
      <c r="C2014" s="4"/>
      <c r="D2014" s="4"/>
      <c r="E2014" s="4"/>
      <c r="F2014" s="27"/>
    </row>
    <row r="2015">
      <c r="A2015" s="4"/>
      <c r="B2015" s="4"/>
      <c r="C2015" s="4"/>
      <c r="D2015" s="4"/>
      <c r="E2015" s="4"/>
      <c r="F2015" s="27"/>
    </row>
    <row r="2016">
      <c r="A2016" s="4"/>
      <c r="B2016" s="4"/>
      <c r="C2016" s="4"/>
      <c r="D2016" s="4"/>
      <c r="E2016" s="4"/>
      <c r="F2016" s="27"/>
    </row>
    <row r="2017">
      <c r="A2017" s="4"/>
      <c r="B2017" s="4"/>
      <c r="C2017" s="4"/>
      <c r="D2017" s="4"/>
      <c r="E2017" s="4"/>
      <c r="F2017" s="27"/>
    </row>
    <row r="2018">
      <c r="A2018" s="4"/>
      <c r="B2018" s="4"/>
      <c r="C2018" s="4"/>
      <c r="D2018" s="4"/>
      <c r="E2018" s="4"/>
      <c r="F2018" s="27"/>
    </row>
    <row r="2019">
      <c r="A2019" s="4"/>
      <c r="B2019" s="4"/>
      <c r="C2019" s="4"/>
      <c r="D2019" s="4"/>
      <c r="E2019" s="4"/>
      <c r="F2019" s="27"/>
    </row>
    <row r="2020">
      <c r="A2020" s="4"/>
      <c r="B2020" s="4"/>
      <c r="C2020" s="4"/>
      <c r="D2020" s="4"/>
      <c r="E2020" s="4"/>
      <c r="F2020" s="27"/>
    </row>
    <row r="2021">
      <c r="A2021" s="4"/>
      <c r="B2021" s="4"/>
      <c r="C2021" s="4"/>
      <c r="D2021" s="4"/>
      <c r="E2021" s="4"/>
      <c r="F2021" s="27"/>
    </row>
    <row r="2022">
      <c r="A2022" s="4"/>
      <c r="B2022" s="4"/>
      <c r="C2022" s="4"/>
      <c r="D2022" s="4"/>
      <c r="E2022" s="4"/>
      <c r="F2022" s="27"/>
    </row>
    <row r="2023">
      <c r="A2023" s="4"/>
      <c r="B2023" s="4"/>
      <c r="C2023" s="4"/>
      <c r="D2023" s="4"/>
      <c r="E2023" s="4"/>
      <c r="F2023" s="27"/>
    </row>
    <row r="2024">
      <c r="A2024" s="4"/>
      <c r="B2024" s="4"/>
      <c r="C2024" s="4"/>
      <c r="D2024" s="4"/>
      <c r="E2024" s="4"/>
      <c r="F2024" s="27"/>
    </row>
    <row r="2025">
      <c r="A2025" s="4"/>
      <c r="B2025" s="4"/>
      <c r="C2025" s="4"/>
      <c r="D2025" s="4"/>
      <c r="E2025" s="4"/>
      <c r="F2025" s="27"/>
    </row>
    <row r="2026">
      <c r="A2026" s="4"/>
      <c r="B2026" s="4"/>
      <c r="C2026" s="4"/>
      <c r="D2026" s="4"/>
      <c r="E2026" s="4"/>
      <c r="F2026" s="27"/>
    </row>
    <row r="2027">
      <c r="A2027" s="4"/>
      <c r="B2027" s="4"/>
      <c r="C2027" s="4"/>
      <c r="D2027" s="4"/>
      <c r="E2027" s="4"/>
      <c r="F2027" s="27"/>
    </row>
    <row r="2028">
      <c r="A2028" s="4"/>
      <c r="B2028" s="4"/>
      <c r="C2028" s="4"/>
      <c r="D2028" s="4"/>
      <c r="E2028" s="4"/>
      <c r="F2028" s="27"/>
    </row>
    <row r="2029">
      <c r="A2029" s="4"/>
      <c r="B2029" s="4"/>
      <c r="C2029" s="4"/>
      <c r="D2029" s="4"/>
      <c r="E2029" s="4"/>
      <c r="F2029" s="27"/>
    </row>
    <row r="2030">
      <c r="A2030" s="4"/>
      <c r="B2030" s="4"/>
      <c r="C2030" s="4"/>
      <c r="D2030" s="4"/>
      <c r="E2030" s="4"/>
      <c r="F2030" s="27"/>
    </row>
    <row r="2031">
      <c r="A2031" s="4"/>
      <c r="B2031" s="4"/>
      <c r="C2031" s="4"/>
      <c r="D2031" s="4"/>
      <c r="E2031" s="4"/>
      <c r="F2031" s="27"/>
    </row>
    <row r="2032">
      <c r="A2032" s="4"/>
      <c r="B2032" s="4"/>
      <c r="C2032" s="4"/>
      <c r="D2032" s="4"/>
      <c r="E2032" s="4"/>
      <c r="F2032" s="27"/>
    </row>
    <row r="2033">
      <c r="A2033" s="4"/>
      <c r="B2033" s="4"/>
      <c r="C2033" s="4"/>
      <c r="D2033" s="4"/>
      <c r="E2033" s="4"/>
      <c r="F2033" s="27"/>
    </row>
    <row r="2034">
      <c r="A2034" s="4"/>
      <c r="B2034" s="4"/>
      <c r="C2034" s="4"/>
      <c r="D2034" s="4"/>
      <c r="E2034" s="4"/>
      <c r="F2034" s="27"/>
    </row>
    <row r="2035">
      <c r="A2035" s="4"/>
      <c r="B2035" s="4"/>
      <c r="C2035" s="4"/>
      <c r="D2035" s="4"/>
      <c r="E2035" s="4"/>
      <c r="F2035" s="27"/>
    </row>
    <row r="2036">
      <c r="A2036" s="4"/>
      <c r="B2036" s="4"/>
      <c r="C2036" s="4"/>
      <c r="D2036" s="4"/>
      <c r="E2036" s="4"/>
      <c r="F2036" s="27"/>
    </row>
    <row r="2037">
      <c r="A2037" s="4"/>
      <c r="B2037" s="4"/>
      <c r="C2037" s="4"/>
      <c r="D2037" s="4"/>
      <c r="E2037" s="4"/>
      <c r="F2037" s="27"/>
    </row>
  </sheetData>
  <hyperlinks>
    <hyperlink r:id="rId1" ref="C2"/>
    <hyperlink r:id="rId2" ref="F2"/>
    <hyperlink r:id="rId3" ref="C3"/>
    <hyperlink r:id="rId4" ref="F3"/>
    <hyperlink r:id="rId5" ref="C4"/>
    <hyperlink r:id="rId6" ref="F4"/>
    <hyperlink r:id="rId7" ref="C5"/>
    <hyperlink r:id="rId8" ref="F5"/>
    <hyperlink r:id="rId9" ref="C6"/>
    <hyperlink r:id="rId10" ref="F6"/>
    <hyperlink r:id="rId11" ref="C7"/>
    <hyperlink r:id="rId12" ref="F7"/>
    <hyperlink r:id="rId13" ref="C8"/>
    <hyperlink r:id="rId14" ref="F8"/>
    <hyperlink r:id="rId15" ref="C9"/>
    <hyperlink r:id="rId16" ref="F9"/>
    <hyperlink r:id="rId17" ref="C10"/>
    <hyperlink r:id="rId18" ref="F10"/>
    <hyperlink r:id="rId19" ref="C11"/>
    <hyperlink r:id="rId20" ref="F11"/>
    <hyperlink r:id="rId21" ref="C12"/>
    <hyperlink r:id="rId22" ref="F12"/>
    <hyperlink r:id="rId23" ref="C13"/>
    <hyperlink r:id="rId24" ref="F13"/>
    <hyperlink r:id="rId25" ref="C14"/>
    <hyperlink r:id="rId26" ref="F14"/>
    <hyperlink r:id="rId27" ref="C15"/>
    <hyperlink r:id="rId28" ref="F15"/>
    <hyperlink r:id="rId29" ref="C16"/>
    <hyperlink r:id="rId30" ref="F16"/>
    <hyperlink r:id="rId31" ref="C17"/>
    <hyperlink r:id="rId32" ref="F17"/>
    <hyperlink r:id="rId33" ref="C18"/>
    <hyperlink r:id="rId34" ref="F18"/>
    <hyperlink r:id="rId35" ref="C19"/>
    <hyperlink r:id="rId36" ref="F19"/>
    <hyperlink r:id="rId37" ref="C20"/>
    <hyperlink r:id="rId38" ref="F20"/>
    <hyperlink r:id="rId39" ref="C21"/>
    <hyperlink r:id="rId40" ref="F21"/>
    <hyperlink r:id="rId41" ref="C22"/>
    <hyperlink r:id="rId42" ref="F22"/>
    <hyperlink r:id="rId43" ref="C23"/>
    <hyperlink r:id="rId44" ref="F23"/>
    <hyperlink r:id="rId45" ref="C24"/>
    <hyperlink r:id="rId46" ref="F24"/>
    <hyperlink r:id="rId47" ref="C25"/>
    <hyperlink r:id="rId48" ref="F25"/>
    <hyperlink r:id="rId49" ref="C26"/>
    <hyperlink r:id="rId50" ref="F26"/>
    <hyperlink r:id="rId51" ref="C27"/>
    <hyperlink r:id="rId52" ref="F27"/>
    <hyperlink r:id="rId53" ref="C28"/>
    <hyperlink r:id="rId54" ref="F28"/>
    <hyperlink r:id="rId55" ref="C29"/>
    <hyperlink r:id="rId56" ref="F29"/>
    <hyperlink r:id="rId57" ref="C30"/>
    <hyperlink r:id="rId58" ref="F30"/>
    <hyperlink r:id="rId59" ref="C31"/>
    <hyperlink r:id="rId60" ref="F31"/>
    <hyperlink r:id="rId61" ref="C32"/>
    <hyperlink r:id="rId62" ref="F32"/>
    <hyperlink r:id="rId63" ref="C33"/>
    <hyperlink r:id="rId64" ref="F33"/>
    <hyperlink r:id="rId65" ref="C34"/>
    <hyperlink r:id="rId66" ref="F34"/>
    <hyperlink r:id="rId67" ref="C35"/>
    <hyperlink r:id="rId68" ref="F35"/>
    <hyperlink r:id="rId69" ref="C36"/>
    <hyperlink r:id="rId70" ref="F36"/>
    <hyperlink r:id="rId71" ref="C37"/>
    <hyperlink r:id="rId72" ref="F37"/>
    <hyperlink r:id="rId73" ref="C38"/>
    <hyperlink r:id="rId74" ref="F38"/>
    <hyperlink r:id="rId75" ref="C39"/>
    <hyperlink r:id="rId76" ref="F39"/>
    <hyperlink r:id="rId77" ref="C40"/>
    <hyperlink r:id="rId78" ref="F40"/>
    <hyperlink r:id="rId79" ref="C41"/>
    <hyperlink r:id="rId80" ref="F41"/>
    <hyperlink r:id="rId81" ref="C42"/>
    <hyperlink r:id="rId82" ref="F42"/>
    <hyperlink r:id="rId83" ref="C43"/>
    <hyperlink r:id="rId84" ref="F43"/>
    <hyperlink r:id="rId85" ref="C44"/>
    <hyperlink r:id="rId86" ref="F44"/>
    <hyperlink r:id="rId87" ref="C45"/>
    <hyperlink r:id="rId88" ref="F45"/>
    <hyperlink r:id="rId89" ref="C46"/>
    <hyperlink r:id="rId90" ref="F46"/>
    <hyperlink r:id="rId91" ref="C47"/>
    <hyperlink r:id="rId92" ref="F47"/>
    <hyperlink r:id="rId93" ref="C48"/>
    <hyperlink r:id="rId94" ref="F48"/>
    <hyperlink r:id="rId95" ref="C49"/>
    <hyperlink r:id="rId96" ref="F49"/>
    <hyperlink r:id="rId97" ref="C50"/>
    <hyperlink r:id="rId98" ref="F50"/>
    <hyperlink r:id="rId99" ref="C51"/>
    <hyperlink r:id="rId100" ref="F51"/>
    <hyperlink r:id="rId101" ref="C52"/>
    <hyperlink r:id="rId102" ref="F52"/>
    <hyperlink r:id="rId103" ref="C53"/>
    <hyperlink r:id="rId104" ref="F53"/>
    <hyperlink r:id="rId105" ref="C54"/>
    <hyperlink r:id="rId106" ref="F54"/>
    <hyperlink r:id="rId107" ref="C55"/>
    <hyperlink r:id="rId108" ref="F55"/>
    <hyperlink r:id="rId109" ref="C56"/>
    <hyperlink r:id="rId110" ref="F56"/>
    <hyperlink r:id="rId111" ref="C57"/>
    <hyperlink r:id="rId112" ref="F57"/>
    <hyperlink r:id="rId113" ref="C58"/>
    <hyperlink r:id="rId114" ref="F58"/>
    <hyperlink r:id="rId115" ref="C59"/>
    <hyperlink r:id="rId116" ref="F59"/>
    <hyperlink r:id="rId117" ref="C60"/>
    <hyperlink r:id="rId118" ref="F60"/>
    <hyperlink r:id="rId119" ref="C61"/>
    <hyperlink r:id="rId120" ref="F61"/>
    <hyperlink r:id="rId121" ref="C62"/>
    <hyperlink r:id="rId122" ref="F62"/>
    <hyperlink r:id="rId123" ref="C63"/>
    <hyperlink r:id="rId124" ref="F63"/>
    <hyperlink r:id="rId125" ref="C64"/>
    <hyperlink r:id="rId126" ref="F64"/>
    <hyperlink r:id="rId127" ref="C65"/>
    <hyperlink r:id="rId128" ref="F65"/>
    <hyperlink r:id="rId129" ref="C66"/>
    <hyperlink r:id="rId130" ref="F66"/>
    <hyperlink r:id="rId131" ref="C67"/>
    <hyperlink r:id="rId132" ref="F67"/>
    <hyperlink r:id="rId133" ref="C68"/>
    <hyperlink r:id="rId134" ref="F68"/>
    <hyperlink r:id="rId135" ref="C69"/>
    <hyperlink r:id="rId136" ref="F69"/>
    <hyperlink r:id="rId137" ref="C70"/>
    <hyperlink r:id="rId138" ref="F70"/>
    <hyperlink r:id="rId139" ref="C71"/>
    <hyperlink r:id="rId140" ref="F71"/>
    <hyperlink r:id="rId141" ref="C72"/>
    <hyperlink r:id="rId142" ref="F72"/>
    <hyperlink r:id="rId143" ref="C73"/>
    <hyperlink r:id="rId144" ref="F73"/>
    <hyperlink r:id="rId145" ref="C74"/>
    <hyperlink r:id="rId146" ref="F74"/>
    <hyperlink r:id="rId147" ref="C75"/>
    <hyperlink r:id="rId148" ref="F75"/>
    <hyperlink r:id="rId149" ref="C76"/>
    <hyperlink r:id="rId150" ref="F76"/>
    <hyperlink r:id="rId151" ref="C77"/>
    <hyperlink r:id="rId152" ref="F77"/>
    <hyperlink r:id="rId153" ref="C78"/>
    <hyperlink r:id="rId154" ref="F78"/>
    <hyperlink r:id="rId155" ref="C79"/>
    <hyperlink r:id="rId156" ref="F79"/>
    <hyperlink r:id="rId157" ref="C80"/>
    <hyperlink r:id="rId158" ref="F80"/>
    <hyperlink r:id="rId159" ref="C81"/>
    <hyperlink r:id="rId160" ref="F81"/>
    <hyperlink r:id="rId161" ref="C82"/>
    <hyperlink r:id="rId162" ref="F82"/>
    <hyperlink r:id="rId163" ref="C83"/>
    <hyperlink r:id="rId164" ref="F83"/>
    <hyperlink r:id="rId165" ref="C84"/>
    <hyperlink r:id="rId166" ref="F84"/>
    <hyperlink r:id="rId167" ref="C85"/>
    <hyperlink r:id="rId168" ref="F85"/>
    <hyperlink r:id="rId169" ref="C86"/>
    <hyperlink r:id="rId170" ref="F86"/>
    <hyperlink r:id="rId171" ref="C87"/>
    <hyperlink r:id="rId172" ref="F87"/>
    <hyperlink r:id="rId173" ref="C88"/>
    <hyperlink r:id="rId174" ref="F88"/>
    <hyperlink r:id="rId175" ref="C89"/>
    <hyperlink r:id="rId176" ref="F89"/>
    <hyperlink r:id="rId177" ref="C90"/>
    <hyperlink r:id="rId178" ref="F90"/>
    <hyperlink r:id="rId179" ref="C91"/>
    <hyperlink r:id="rId180" ref="F91"/>
    <hyperlink r:id="rId181" ref="C92"/>
    <hyperlink r:id="rId182" ref="F92"/>
    <hyperlink r:id="rId183" ref="C93"/>
    <hyperlink r:id="rId184" ref="F93"/>
    <hyperlink r:id="rId185" ref="C94"/>
    <hyperlink r:id="rId186" ref="F94"/>
    <hyperlink r:id="rId187" ref="C95"/>
    <hyperlink r:id="rId188" ref="F95"/>
    <hyperlink r:id="rId189" ref="C96"/>
    <hyperlink r:id="rId190" ref="F96"/>
    <hyperlink r:id="rId191" ref="C97"/>
    <hyperlink r:id="rId192" ref="F97"/>
    <hyperlink r:id="rId193" ref="C98"/>
    <hyperlink r:id="rId194" ref="F98"/>
    <hyperlink r:id="rId195" ref="C99"/>
    <hyperlink r:id="rId196" ref="F99"/>
    <hyperlink r:id="rId197" ref="C100"/>
    <hyperlink r:id="rId198" ref="F100"/>
    <hyperlink r:id="rId199" ref="C101"/>
    <hyperlink r:id="rId200" ref="F101"/>
    <hyperlink r:id="rId201" ref="C102"/>
    <hyperlink r:id="rId202" ref="F102"/>
    <hyperlink r:id="rId203" ref="C103"/>
    <hyperlink r:id="rId204" ref="F103"/>
    <hyperlink r:id="rId205" ref="C104"/>
    <hyperlink r:id="rId206" ref="F104"/>
    <hyperlink r:id="rId207" ref="C105"/>
    <hyperlink r:id="rId208" ref="F105"/>
    <hyperlink r:id="rId209" ref="C106"/>
    <hyperlink r:id="rId210" ref="F106"/>
    <hyperlink r:id="rId211" ref="C107"/>
    <hyperlink r:id="rId212" ref="F107"/>
    <hyperlink r:id="rId213" ref="C108"/>
    <hyperlink r:id="rId214" ref="F108"/>
    <hyperlink r:id="rId215" ref="C109"/>
    <hyperlink r:id="rId216" ref="F109"/>
    <hyperlink r:id="rId217" ref="C110"/>
    <hyperlink r:id="rId218" ref="F110"/>
    <hyperlink r:id="rId219" ref="C111"/>
    <hyperlink r:id="rId220" ref="F111"/>
    <hyperlink r:id="rId221" ref="C112"/>
    <hyperlink r:id="rId222" ref="F112"/>
    <hyperlink r:id="rId223" ref="C113"/>
    <hyperlink r:id="rId224" ref="F113"/>
    <hyperlink r:id="rId225" ref="C114"/>
    <hyperlink r:id="rId226" ref="F114"/>
    <hyperlink r:id="rId227" ref="C115"/>
    <hyperlink r:id="rId228" ref="F115"/>
    <hyperlink r:id="rId229" ref="C116"/>
    <hyperlink r:id="rId230" ref="F116"/>
    <hyperlink r:id="rId231" ref="C117"/>
    <hyperlink r:id="rId232" ref="F117"/>
    <hyperlink r:id="rId233" ref="C118"/>
    <hyperlink r:id="rId234" ref="F118"/>
    <hyperlink r:id="rId235" ref="C119"/>
    <hyperlink r:id="rId236" ref="F119"/>
    <hyperlink r:id="rId237" ref="C120"/>
    <hyperlink r:id="rId238" ref="F120"/>
    <hyperlink r:id="rId239" ref="C121"/>
    <hyperlink r:id="rId240" ref="F121"/>
    <hyperlink r:id="rId241" ref="C122"/>
    <hyperlink r:id="rId242" ref="F122"/>
    <hyperlink r:id="rId243" ref="C123"/>
    <hyperlink r:id="rId244" ref="F123"/>
    <hyperlink r:id="rId245" ref="C124"/>
    <hyperlink r:id="rId246" ref="F124"/>
    <hyperlink r:id="rId247" ref="C125"/>
    <hyperlink r:id="rId248" ref="F125"/>
    <hyperlink r:id="rId249" ref="C126"/>
    <hyperlink r:id="rId250" ref="F126"/>
    <hyperlink r:id="rId251" ref="C127"/>
    <hyperlink r:id="rId252" ref="F127"/>
    <hyperlink r:id="rId253" ref="C128"/>
    <hyperlink r:id="rId254" ref="F128"/>
    <hyperlink r:id="rId255" ref="C129"/>
    <hyperlink r:id="rId256" ref="F129"/>
    <hyperlink r:id="rId257" ref="C130"/>
    <hyperlink r:id="rId258" ref="F130"/>
    <hyperlink r:id="rId259" ref="C131"/>
    <hyperlink r:id="rId260" ref="F131"/>
    <hyperlink r:id="rId261" ref="C132"/>
    <hyperlink r:id="rId262" ref="F132"/>
    <hyperlink r:id="rId263" ref="C133"/>
    <hyperlink r:id="rId264" ref="F133"/>
    <hyperlink r:id="rId265" ref="C134"/>
    <hyperlink r:id="rId266" ref="F134"/>
    <hyperlink r:id="rId267" ref="C135"/>
    <hyperlink r:id="rId268" ref="F135"/>
    <hyperlink r:id="rId269" ref="C136"/>
    <hyperlink r:id="rId270" ref="F136"/>
    <hyperlink r:id="rId271" ref="C137"/>
    <hyperlink r:id="rId272" ref="F137"/>
    <hyperlink r:id="rId273" ref="C138"/>
    <hyperlink r:id="rId274" ref="F138"/>
    <hyperlink r:id="rId275" ref="C139"/>
    <hyperlink r:id="rId276" ref="F139"/>
    <hyperlink r:id="rId277" ref="C140"/>
    <hyperlink r:id="rId278" ref="F140"/>
    <hyperlink r:id="rId279" ref="C141"/>
    <hyperlink r:id="rId280" ref="F141"/>
    <hyperlink r:id="rId281" ref="C142"/>
    <hyperlink r:id="rId282" ref="F142"/>
    <hyperlink r:id="rId283" ref="C143"/>
    <hyperlink r:id="rId284" ref="F143"/>
    <hyperlink r:id="rId285" ref="C144"/>
    <hyperlink r:id="rId286" ref="F144"/>
    <hyperlink r:id="rId287" ref="C145"/>
    <hyperlink r:id="rId288" ref="F145"/>
    <hyperlink r:id="rId289" ref="C146"/>
    <hyperlink r:id="rId290" ref="F146"/>
    <hyperlink r:id="rId291" ref="C147"/>
    <hyperlink r:id="rId292" ref="F147"/>
    <hyperlink r:id="rId293" ref="C148"/>
    <hyperlink r:id="rId294" ref="F148"/>
    <hyperlink r:id="rId295" ref="C149"/>
    <hyperlink r:id="rId296" ref="F149"/>
    <hyperlink r:id="rId297" ref="C150"/>
    <hyperlink r:id="rId298" ref="F150"/>
    <hyperlink r:id="rId299" ref="C151"/>
    <hyperlink r:id="rId300" ref="F151"/>
    <hyperlink r:id="rId301" ref="C152"/>
    <hyperlink r:id="rId302" ref="F152"/>
    <hyperlink r:id="rId303" ref="C153"/>
    <hyperlink r:id="rId304" ref="F153"/>
    <hyperlink r:id="rId305" ref="C154"/>
    <hyperlink r:id="rId306" ref="F154"/>
    <hyperlink r:id="rId307" ref="C155"/>
    <hyperlink r:id="rId308" ref="F155"/>
    <hyperlink r:id="rId309" ref="C156"/>
    <hyperlink r:id="rId310" ref="F156"/>
    <hyperlink r:id="rId311" ref="C157"/>
    <hyperlink r:id="rId312" ref="F157"/>
    <hyperlink r:id="rId313" ref="C158"/>
    <hyperlink r:id="rId314" ref="F158"/>
    <hyperlink r:id="rId315" ref="C159"/>
    <hyperlink r:id="rId316" ref="F159"/>
    <hyperlink r:id="rId317" ref="C160"/>
    <hyperlink r:id="rId318" ref="F160"/>
    <hyperlink r:id="rId319" ref="C161"/>
    <hyperlink r:id="rId320" ref="F161"/>
    <hyperlink r:id="rId321" ref="C162"/>
    <hyperlink r:id="rId322" ref="F162"/>
    <hyperlink r:id="rId323" ref="C163"/>
    <hyperlink r:id="rId324" ref="F163"/>
    <hyperlink r:id="rId325" ref="C164"/>
    <hyperlink r:id="rId326" ref="F164"/>
    <hyperlink r:id="rId327" ref="C165"/>
    <hyperlink r:id="rId328" ref="F165"/>
    <hyperlink r:id="rId329" ref="C166"/>
    <hyperlink r:id="rId330" ref="F166"/>
    <hyperlink r:id="rId331" ref="C167"/>
    <hyperlink r:id="rId332" ref="F167"/>
    <hyperlink r:id="rId333" ref="C168"/>
    <hyperlink r:id="rId334" ref="F168"/>
    <hyperlink r:id="rId335" ref="C169"/>
    <hyperlink r:id="rId336" ref="F169"/>
    <hyperlink r:id="rId337" ref="C170"/>
    <hyperlink r:id="rId338" ref="F170"/>
    <hyperlink r:id="rId339" ref="C171"/>
    <hyperlink r:id="rId340" ref="F171"/>
    <hyperlink r:id="rId341" ref="C172"/>
    <hyperlink r:id="rId342" ref="F172"/>
    <hyperlink r:id="rId343" ref="C173"/>
    <hyperlink r:id="rId344" ref="F173"/>
    <hyperlink r:id="rId345" ref="C174"/>
    <hyperlink r:id="rId346" ref="F174"/>
    <hyperlink r:id="rId347" ref="C175"/>
    <hyperlink r:id="rId348" ref="F175"/>
    <hyperlink r:id="rId349" ref="C176"/>
    <hyperlink r:id="rId350" ref="F176"/>
    <hyperlink r:id="rId351" ref="C177"/>
    <hyperlink r:id="rId352" ref="F177"/>
    <hyperlink r:id="rId353" ref="C178"/>
    <hyperlink r:id="rId354" ref="F178"/>
    <hyperlink r:id="rId355" ref="C179"/>
    <hyperlink r:id="rId356" ref="F179"/>
    <hyperlink r:id="rId357" ref="C180"/>
    <hyperlink r:id="rId358" ref="F180"/>
    <hyperlink r:id="rId359" ref="C181"/>
    <hyperlink r:id="rId360" ref="F181"/>
    <hyperlink r:id="rId361" ref="C182"/>
    <hyperlink r:id="rId362" ref="F182"/>
    <hyperlink r:id="rId363" ref="C183"/>
    <hyperlink r:id="rId364" ref="F183"/>
    <hyperlink r:id="rId365" ref="C184"/>
    <hyperlink r:id="rId366" ref="F184"/>
    <hyperlink r:id="rId367" ref="C185"/>
    <hyperlink r:id="rId368" ref="F185"/>
    <hyperlink r:id="rId369" ref="C186"/>
    <hyperlink r:id="rId370" ref="F186"/>
    <hyperlink r:id="rId371" ref="C187"/>
    <hyperlink r:id="rId372" ref="F187"/>
    <hyperlink r:id="rId373" ref="C188"/>
    <hyperlink r:id="rId374" ref="F188"/>
    <hyperlink r:id="rId375" ref="C189"/>
    <hyperlink r:id="rId376" ref="F189"/>
    <hyperlink r:id="rId377" ref="C190"/>
    <hyperlink r:id="rId378" ref="F190"/>
    <hyperlink r:id="rId379" ref="C191"/>
    <hyperlink r:id="rId380" ref="F191"/>
    <hyperlink r:id="rId381" ref="C192"/>
    <hyperlink r:id="rId382" ref="F192"/>
    <hyperlink r:id="rId383" ref="C193"/>
    <hyperlink r:id="rId384" ref="F193"/>
    <hyperlink r:id="rId385" ref="C194"/>
    <hyperlink r:id="rId386" ref="F194"/>
    <hyperlink r:id="rId387" ref="C195"/>
    <hyperlink r:id="rId388" ref="F195"/>
    <hyperlink r:id="rId389" ref="C196"/>
    <hyperlink r:id="rId390" ref="F196"/>
    <hyperlink r:id="rId391" ref="C197"/>
    <hyperlink r:id="rId392" ref="F197"/>
    <hyperlink r:id="rId393" ref="C198"/>
    <hyperlink r:id="rId394" ref="F198"/>
    <hyperlink r:id="rId395" ref="C199"/>
    <hyperlink r:id="rId396" ref="F199"/>
    <hyperlink r:id="rId397" ref="C200"/>
    <hyperlink r:id="rId398" ref="F200"/>
    <hyperlink r:id="rId399" ref="C202"/>
    <hyperlink r:id="rId400" ref="F202"/>
    <hyperlink r:id="rId401" ref="C203"/>
    <hyperlink r:id="rId402" ref="F203"/>
    <hyperlink r:id="rId403" ref="C204"/>
    <hyperlink r:id="rId404" ref="F204"/>
    <hyperlink r:id="rId405" ref="C205"/>
    <hyperlink r:id="rId406" ref="F205"/>
    <hyperlink r:id="rId407" ref="C206"/>
    <hyperlink r:id="rId408" ref="F206"/>
    <hyperlink r:id="rId409" ref="C207"/>
    <hyperlink r:id="rId410" ref="F207"/>
    <hyperlink r:id="rId411" ref="C208"/>
    <hyperlink r:id="rId412" ref="F208"/>
    <hyperlink r:id="rId413" ref="C209"/>
    <hyperlink r:id="rId414" ref="F209"/>
    <hyperlink r:id="rId415" ref="C210"/>
    <hyperlink r:id="rId416" ref="F210"/>
    <hyperlink r:id="rId417" ref="C211"/>
    <hyperlink r:id="rId418" ref="F211"/>
    <hyperlink r:id="rId419" ref="C212"/>
    <hyperlink r:id="rId420" ref="F212"/>
    <hyperlink r:id="rId421" ref="C213"/>
    <hyperlink r:id="rId422" ref="F213"/>
    <hyperlink r:id="rId423" ref="C214"/>
    <hyperlink r:id="rId424" ref="F214"/>
    <hyperlink r:id="rId425" ref="C215"/>
    <hyperlink r:id="rId426" ref="F215"/>
    <hyperlink r:id="rId427" ref="C216"/>
    <hyperlink r:id="rId428" ref="F216"/>
    <hyperlink r:id="rId429" ref="C217"/>
    <hyperlink r:id="rId430" ref="F217"/>
    <hyperlink r:id="rId431" ref="C218"/>
    <hyperlink r:id="rId432" ref="F218"/>
    <hyperlink r:id="rId433" ref="C219"/>
    <hyperlink r:id="rId434" ref="F219"/>
    <hyperlink r:id="rId435" ref="C220"/>
    <hyperlink r:id="rId436" ref="F220"/>
    <hyperlink r:id="rId437" ref="C221"/>
    <hyperlink r:id="rId438" ref="F221"/>
    <hyperlink r:id="rId439" ref="C222"/>
    <hyperlink r:id="rId440" ref="F222"/>
    <hyperlink r:id="rId441" ref="C223"/>
    <hyperlink r:id="rId442" ref="F223"/>
    <hyperlink r:id="rId443" ref="C224"/>
    <hyperlink r:id="rId444" ref="F224"/>
    <hyperlink r:id="rId445" ref="C225"/>
    <hyperlink r:id="rId446" ref="F225"/>
    <hyperlink r:id="rId447" ref="C226"/>
    <hyperlink r:id="rId448" ref="F226"/>
    <hyperlink r:id="rId449" ref="C227"/>
    <hyperlink r:id="rId450" ref="F227"/>
    <hyperlink r:id="rId451" ref="C228"/>
    <hyperlink r:id="rId452" ref="F228"/>
    <hyperlink r:id="rId453" ref="C229"/>
    <hyperlink r:id="rId454" ref="F229"/>
    <hyperlink r:id="rId455" ref="C230"/>
    <hyperlink r:id="rId456" ref="F230"/>
    <hyperlink r:id="rId457" ref="C231"/>
    <hyperlink r:id="rId458" ref="F231"/>
    <hyperlink r:id="rId459" ref="C232"/>
    <hyperlink r:id="rId460" ref="F232"/>
    <hyperlink r:id="rId461" ref="C233"/>
    <hyperlink r:id="rId462" ref="F233"/>
    <hyperlink r:id="rId463" ref="C234"/>
    <hyperlink r:id="rId464" ref="F234"/>
    <hyperlink r:id="rId465" ref="C235"/>
    <hyperlink r:id="rId466" ref="F235"/>
    <hyperlink r:id="rId467" ref="C236"/>
    <hyperlink r:id="rId468" ref="F236"/>
    <hyperlink r:id="rId469" ref="C237"/>
    <hyperlink r:id="rId470" ref="F237"/>
    <hyperlink r:id="rId471" ref="C238"/>
    <hyperlink r:id="rId472" ref="F238"/>
    <hyperlink r:id="rId473" ref="C239"/>
    <hyperlink r:id="rId474" ref="F239"/>
    <hyperlink r:id="rId475" ref="C240"/>
    <hyperlink r:id="rId476" ref="F240"/>
    <hyperlink r:id="rId477" ref="C241"/>
    <hyperlink r:id="rId478" ref="F241"/>
    <hyperlink r:id="rId479" ref="C242"/>
    <hyperlink r:id="rId480" ref="F242"/>
    <hyperlink r:id="rId481" ref="C243"/>
    <hyperlink r:id="rId482" ref="F243"/>
    <hyperlink r:id="rId483" ref="C244"/>
    <hyperlink r:id="rId484" ref="F244"/>
    <hyperlink r:id="rId485" ref="C245"/>
    <hyperlink r:id="rId486" ref="F245"/>
    <hyperlink r:id="rId487" ref="C246"/>
    <hyperlink r:id="rId488" ref="F246"/>
    <hyperlink r:id="rId489" ref="C247"/>
    <hyperlink r:id="rId490" ref="F247"/>
    <hyperlink r:id="rId491" ref="C248"/>
    <hyperlink r:id="rId492" ref="F248"/>
    <hyperlink r:id="rId493" ref="C249"/>
    <hyperlink r:id="rId494" ref="F249"/>
    <hyperlink r:id="rId495" ref="C250"/>
    <hyperlink r:id="rId496" ref="F250"/>
    <hyperlink r:id="rId497" ref="C251"/>
    <hyperlink r:id="rId498" ref="F251"/>
    <hyperlink r:id="rId499" ref="C252"/>
    <hyperlink r:id="rId500" ref="F252"/>
    <hyperlink r:id="rId501" ref="C253"/>
    <hyperlink r:id="rId502" ref="F253"/>
    <hyperlink r:id="rId503" ref="C254"/>
    <hyperlink r:id="rId504" ref="F254"/>
    <hyperlink r:id="rId505" ref="C255"/>
    <hyperlink r:id="rId506" ref="F255"/>
    <hyperlink r:id="rId507" ref="C256"/>
    <hyperlink r:id="rId508" ref="F256"/>
    <hyperlink r:id="rId509" ref="C257"/>
    <hyperlink r:id="rId510" ref="F257"/>
    <hyperlink r:id="rId511" ref="C258"/>
    <hyperlink r:id="rId512" ref="F258"/>
    <hyperlink r:id="rId513" ref="C259"/>
    <hyperlink r:id="rId514" ref="F259"/>
    <hyperlink r:id="rId515" ref="C260"/>
    <hyperlink r:id="rId516" ref="F260"/>
    <hyperlink r:id="rId517" ref="C261"/>
    <hyperlink r:id="rId518" ref="F261"/>
    <hyperlink r:id="rId519" ref="C262"/>
    <hyperlink r:id="rId520" ref="F262"/>
    <hyperlink r:id="rId521" ref="C263"/>
    <hyperlink r:id="rId522" ref="F263"/>
    <hyperlink r:id="rId523" ref="C264"/>
    <hyperlink r:id="rId524" ref="F264"/>
    <hyperlink r:id="rId525" ref="C265"/>
    <hyperlink r:id="rId526" ref="F265"/>
    <hyperlink r:id="rId527" ref="C266"/>
    <hyperlink r:id="rId528" ref="F266"/>
    <hyperlink r:id="rId529" ref="C267"/>
    <hyperlink r:id="rId530" ref="F267"/>
    <hyperlink r:id="rId531" ref="C268"/>
    <hyperlink r:id="rId532" ref="F268"/>
    <hyperlink r:id="rId533" ref="C269"/>
    <hyperlink r:id="rId534" ref="F269"/>
    <hyperlink r:id="rId535" ref="C270"/>
    <hyperlink r:id="rId536" ref="F270"/>
    <hyperlink r:id="rId537" ref="C271"/>
    <hyperlink r:id="rId538" ref="F271"/>
    <hyperlink r:id="rId539" ref="C272"/>
    <hyperlink r:id="rId540" ref="F272"/>
    <hyperlink r:id="rId541" ref="C273"/>
    <hyperlink r:id="rId542" ref="F273"/>
    <hyperlink r:id="rId543" ref="C274"/>
    <hyperlink r:id="rId544" ref="F274"/>
    <hyperlink r:id="rId545" ref="C275"/>
    <hyperlink r:id="rId546" ref="F275"/>
    <hyperlink r:id="rId547" ref="C276"/>
    <hyperlink r:id="rId548" ref="F276"/>
    <hyperlink r:id="rId549" ref="C277"/>
    <hyperlink r:id="rId550" ref="F277"/>
    <hyperlink r:id="rId551" ref="C278"/>
    <hyperlink r:id="rId552" ref="F278"/>
    <hyperlink r:id="rId553" ref="C279"/>
    <hyperlink r:id="rId554" ref="F279"/>
    <hyperlink r:id="rId555" ref="C280"/>
    <hyperlink r:id="rId556" ref="F280"/>
    <hyperlink r:id="rId557" ref="C281"/>
    <hyperlink r:id="rId558" ref="F281"/>
    <hyperlink r:id="rId559" ref="C282"/>
    <hyperlink r:id="rId560" ref="F282"/>
    <hyperlink r:id="rId561" ref="C283"/>
    <hyperlink r:id="rId562" ref="F283"/>
    <hyperlink r:id="rId563" ref="C284"/>
    <hyperlink r:id="rId564" ref="F284"/>
    <hyperlink r:id="rId565" ref="C285"/>
    <hyperlink r:id="rId566" ref="F285"/>
    <hyperlink r:id="rId567" ref="C286"/>
    <hyperlink r:id="rId568" ref="F286"/>
    <hyperlink r:id="rId569" ref="C287"/>
    <hyperlink r:id="rId570" ref="F287"/>
    <hyperlink r:id="rId571" ref="C288"/>
    <hyperlink r:id="rId572" ref="F288"/>
    <hyperlink r:id="rId573" ref="C289"/>
    <hyperlink r:id="rId574" ref="F289"/>
    <hyperlink r:id="rId575" ref="C290"/>
    <hyperlink r:id="rId576" ref="F290"/>
    <hyperlink r:id="rId577" ref="C291"/>
    <hyperlink r:id="rId578" ref="F291"/>
    <hyperlink r:id="rId579" ref="C292"/>
    <hyperlink r:id="rId580" ref="F292"/>
    <hyperlink r:id="rId581" ref="C293"/>
    <hyperlink r:id="rId582" ref="F293"/>
    <hyperlink r:id="rId583" ref="C294"/>
    <hyperlink r:id="rId584" ref="F294"/>
    <hyperlink r:id="rId585" ref="C295"/>
    <hyperlink r:id="rId586" ref="F295"/>
    <hyperlink r:id="rId587" ref="C296"/>
    <hyperlink r:id="rId588" ref="F296"/>
    <hyperlink r:id="rId589" ref="C297"/>
    <hyperlink r:id="rId590" ref="F297"/>
    <hyperlink r:id="rId591" ref="C298"/>
    <hyperlink r:id="rId592" ref="F298"/>
    <hyperlink r:id="rId593" ref="C299"/>
    <hyperlink r:id="rId594" ref="F299"/>
    <hyperlink r:id="rId595" ref="C300"/>
    <hyperlink r:id="rId596" ref="F300"/>
    <hyperlink r:id="rId597" ref="C301"/>
    <hyperlink r:id="rId598" ref="F301"/>
    <hyperlink r:id="rId599" ref="C302"/>
    <hyperlink r:id="rId600" ref="F302"/>
    <hyperlink r:id="rId601" ref="C303"/>
    <hyperlink r:id="rId602" ref="F303"/>
    <hyperlink r:id="rId603" ref="C304"/>
    <hyperlink r:id="rId604" ref="F304"/>
    <hyperlink r:id="rId605" ref="C305"/>
    <hyperlink r:id="rId606" ref="F305"/>
    <hyperlink r:id="rId607" ref="C306"/>
    <hyperlink r:id="rId608" ref="F306"/>
    <hyperlink r:id="rId609" ref="C307"/>
    <hyperlink r:id="rId610" ref="F307"/>
    <hyperlink r:id="rId611" ref="C308"/>
    <hyperlink r:id="rId612" ref="F308"/>
    <hyperlink r:id="rId613" ref="C309"/>
    <hyperlink r:id="rId614" ref="F309"/>
    <hyperlink r:id="rId615" ref="C310"/>
    <hyperlink r:id="rId616" ref="F310"/>
    <hyperlink r:id="rId617" ref="C311"/>
    <hyperlink r:id="rId618" ref="F311"/>
    <hyperlink r:id="rId619" ref="C312"/>
    <hyperlink r:id="rId620" ref="F312"/>
    <hyperlink r:id="rId621" ref="C313"/>
    <hyperlink r:id="rId622" ref="F313"/>
    <hyperlink r:id="rId623" ref="C314"/>
    <hyperlink r:id="rId624" ref="F314"/>
    <hyperlink r:id="rId625" ref="C315"/>
    <hyperlink r:id="rId626" ref="F315"/>
    <hyperlink r:id="rId627" ref="C316"/>
    <hyperlink r:id="rId628" ref="F316"/>
    <hyperlink r:id="rId629" ref="C317"/>
    <hyperlink r:id="rId630" ref="F317"/>
    <hyperlink r:id="rId631" ref="C318"/>
    <hyperlink r:id="rId632" ref="F318"/>
    <hyperlink r:id="rId633" ref="C319"/>
    <hyperlink r:id="rId634" ref="F319"/>
    <hyperlink r:id="rId635" ref="C320"/>
    <hyperlink r:id="rId636" ref="F320"/>
    <hyperlink r:id="rId637" ref="C321"/>
    <hyperlink r:id="rId638" ref="F321"/>
    <hyperlink r:id="rId639" ref="C322"/>
    <hyperlink r:id="rId640" ref="F322"/>
    <hyperlink r:id="rId641" ref="C323"/>
    <hyperlink r:id="rId642" ref="F323"/>
    <hyperlink r:id="rId643" ref="C324"/>
    <hyperlink r:id="rId644" ref="F324"/>
    <hyperlink r:id="rId645" ref="C325"/>
    <hyperlink r:id="rId646" ref="F325"/>
    <hyperlink r:id="rId647" ref="C326"/>
    <hyperlink r:id="rId648" ref="F326"/>
    <hyperlink r:id="rId649" ref="C327"/>
    <hyperlink r:id="rId650" ref="F327"/>
    <hyperlink r:id="rId651" ref="C328"/>
    <hyperlink r:id="rId652" ref="F328"/>
    <hyperlink r:id="rId653" ref="C329"/>
    <hyperlink r:id="rId654" ref="F329"/>
    <hyperlink r:id="rId655" ref="C330"/>
    <hyperlink r:id="rId656" ref="F330"/>
    <hyperlink r:id="rId657" ref="C331"/>
    <hyperlink r:id="rId658" ref="F331"/>
    <hyperlink r:id="rId659" ref="C332"/>
    <hyperlink r:id="rId660" ref="F332"/>
    <hyperlink r:id="rId661" ref="C333"/>
    <hyperlink r:id="rId662" ref="F333"/>
    <hyperlink r:id="rId663" ref="C334"/>
    <hyperlink r:id="rId664" ref="F334"/>
    <hyperlink r:id="rId665" ref="C335"/>
    <hyperlink r:id="rId666" ref="F335"/>
    <hyperlink r:id="rId667" ref="C336"/>
    <hyperlink r:id="rId668" ref="F336"/>
    <hyperlink r:id="rId669" ref="C337"/>
    <hyperlink r:id="rId670" ref="F337"/>
    <hyperlink r:id="rId671" ref="C338"/>
    <hyperlink r:id="rId672" ref="F338"/>
    <hyperlink r:id="rId673" ref="C339"/>
    <hyperlink r:id="rId674" ref="F339"/>
    <hyperlink r:id="rId675" ref="C340"/>
    <hyperlink r:id="rId676" ref="F340"/>
    <hyperlink r:id="rId677" ref="C341"/>
    <hyperlink r:id="rId678" ref="F341"/>
    <hyperlink r:id="rId679" ref="C342"/>
    <hyperlink r:id="rId680" ref="F342"/>
    <hyperlink r:id="rId681" ref="C343"/>
    <hyperlink r:id="rId682" ref="F343"/>
    <hyperlink r:id="rId683" ref="C344"/>
    <hyperlink r:id="rId684" ref="F344"/>
    <hyperlink r:id="rId685" ref="C345"/>
    <hyperlink r:id="rId686" ref="F345"/>
    <hyperlink r:id="rId687" ref="C346"/>
    <hyperlink r:id="rId688" ref="F346"/>
    <hyperlink r:id="rId689" ref="C347"/>
    <hyperlink r:id="rId690" ref="F347"/>
    <hyperlink r:id="rId691" ref="C348"/>
    <hyperlink r:id="rId692" ref="F348"/>
    <hyperlink r:id="rId693" ref="C349"/>
    <hyperlink r:id="rId694" ref="F349"/>
    <hyperlink r:id="rId695" ref="C350"/>
    <hyperlink r:id="rId696" ref="F350"/>
    <hyperlink r:id="rId697" ref="C351"/>
    <hyperlink r:id="rId698" ref="F351"/>
    <hyperlink r:id="rId699" ref="C352"/>
    <hyperlink r:id="rId700" ref="F352"/>
    <hyperlink r:id="rId701" ref="C353"/>
    <hyperlink r:id="rId702" ref="F353"/>
    <hyperlink r:id="rId703" ref="C354"/>
    <hyperlink r:id="rId704" ref="F354"/>
    <hyperlink r:id="rId705" ref="C355"/>
    <hyperlink r:id="rId706" ref="F355"/>
    <hyperlink r:id="rId707" ref="C356"/>
    <hyperlink r:id="rId708" ref="F356"/>
    <hyperlink r:id="rId709" ref="C357"/>
    <hyperlink r:id="rId710" ref="F357"/>
    <hyperlink r:id="rId711" ref="C358"/>
    <hyperlink r:id="rId712" ref="F358"/>
    <hyperlink r:id="rId713" ref="C359"/>
    <hyperlink r:id="rId714" ref="F359"/>
    <hyperlink r:id="rId715" ref="C360"/>
    <hyperlink r:id="rId716" ref="F360"/>
    <hyperlink r:id="rId717" ref="C361"/>
    <hyperlink r:id="rId718" ref="F361"/>
    <hyperlink r:id="rId719" ref="C362"/>
    <hyperlink r:id="rId720" ref="F362"/>
    <hyperlink r:id="rId721" ref="C363"/>
    <hyperlink r:id="rId722" ref="F363"/>
    <hyperlink r:id="rId723" ref="C364"/>
    <hyperlink r:id="rId724" ref="F364"/>
    <hyperlink r:id="rId725" ref="C365"/>
    <hyperlink r:id="rId726" ref="F365"/>
    <hyperlink r:id="rId727" ref="C366"/>
    <hyperlink r:id="rId728" ref="F366"/>
    <hyperlink r:id="rId729" ref="C367"/>
    <hyperlink r:id="rId730" ref="F367"/>
    <hyperlink r:id="rId731" ref="C368"/>
    <hyperlink r:id="rId732" ref="F368"/>
    <hyperlink r:id="rId733" ref="C369"/>
    <hyperlink r:id="rId734" ref="F369"/>
    <hyperlink r:id="rId735" ref="C370"/>
    <hyperlink r:id="rId736" ref="F370"/>
    <hyperlink r:id="rId737" ref="C371"/>
    <hyperlink r:id="rId738" ref="F371"/>
    <hyperlink r:id="rId739" ref="C372"/>
    <hyperlink r:id="rId740" ref="F372"/>
    <hyperlink r:id="rId741" ref="C373"/>
    <hyperlink r:id="rId742" ref="F373"/>
    <hyperlink r:id="rId743" ref="C374"/>
    <hyperlink r:id="rId744" ref="F374"/>
    <hyperlink r:id="rId745" ref="C375"/>
    <hyperlink r:id="rId746" ref="F375"/>
    <hyperlink r:id="rId747" ref="C376"/>
    <hyperlink r:id="rId748" ref="F376"/>
    <hyperlink r:id="rId749" ref="C377"/>
    <hyperlink r:id="rId750" ref="F377"/>
    <hyperlink r:id="rId751" ref="C378"/>
    <hyperlink r:id="rId752" ref="F378"/>
    <hyperlink r:id="rId753" ref="C379"/>
    <hyperlink r:id="rId754" ref="F379"/>
    <hyperlink r:id="rId755" ref="C380"/>
    <hyperlink r:id="rId756" ref="F380"/>
    <hyperlink r:id="rId757" ref="C381"/>
    <hyperlink r:id="rId758" ref="F381"/>
    <hyperlink r:id="rId759" ref="C382"/>
    <hyperlink r:id="rId760" ref="F382"/>
    <hyperlink r:id="rId761" ref="C383"/>
    <hyperlink r:id="rId762" ref="F383"/>
    <hyperlink r:id="rId763" ref="C384"/>
    <hyperlink r:id="rId764" ref="F384"/>
    <hyperlink r:id="rId765" ref="C385"/>
    <hyperlink r:id="rId766" ref="F385"/>
    <hyperlink r:id="rId767" ref="C386"/>
    <hyperlink r:id="rId768" ref="F386"/>
    <hyperlink r:id="rId769" ref="C387"/>
    <hyperlink r:id="rId770" ref="F387"/>
    <hyperlink r:id="rId771" ref="C388"/>
    <hyperlink r:id="rId772" ref="F388"/>
    <hyperlink r:id="rId773" ref="C389"/>
    <hyperlink r:id="rId774" ref="F389"/>
    <hyperlink r:id="rId775" ref="C390"/>
    <hyperlink r:id="rId776" ref="F390"/>
    <hyperlink r:id="rId777" ref="C391"/>
    <hyperlink r:id="rId778" ref="F391"/>
    <hyperlink r:id="rId779" ref="C392"/>
    <hyperlink r:id="rId780" ref="F392"/>
    <hyperlink r:id="rId781" ref="C393"/>
    <hyperlink r:id="rId782" ref="F393"/>
    <hyperlink r:id="rId783" ref="C394"/>
    <hyperlink r:id="rId784" ref="F394"/>
    <hyperlink r:id="rId785" ref="C395"/>
    <hyperlink r:id="rId786" ref="F395"/>
    <hyperlink r:id="rId787" ref="C396"/>
    <hyperlink r:id="rId788" ref="F396"/>
    <hyperlink r:id="rId789" ref="C397"/>
    <hyperlink r:id="rId790" ref="F397"/>
    <hyperlink r:id="rId791" ref="C398"/>
    <hyperlink r:id="rId792" ref="F398"/>
    <hyperlink r:id="rId793" ref="C399"/>
    <hyperlink r:id="rId794" ref="F399"/>
    <hyperlink r:id="rId795" ref="C400"/>
    <hyperlink r:id="rId796" ref="F400"/>
    <hyperlink r:id="rId797" ref="C401"/>
    <hyperlink r:id="rId798" ref="F401"/>
    <hyperlink r:id="rId799" ref="C402"/>
    <hyperlink r:id="rId800" ref="F402"/>
    <hyperlink r:id="rId801" ref="C403"/>
    <hyperlink r:id="rId802" ref="F403"/>
    <hyperlink r:id="rId803" ref="C404"/>
    <hyperlink r:id="rId804" ref="F404"/>
    <hyperlink r:id="rId805" ref="C405"/>
    <hyperlink r:id="rId806" ref="F405"/>
    <hyperlink r:id="rId807" ref="C406"/>
    <hyperlink r:id="rId808" ref="F406"/>
    <hyperlink r:id="rId809" ref="C407"/>
    <hyperlink r:id="rId810" ref="F407"/>
    <hyperlink r:id="rId811" ref="C408"/>
    <hyperlink r:id="rId812" ref="F408"/>
    <hyperlink r:id="rId813" ref="C409"/>
    <hyperlink r:id="rId814" ref="F409"/>
    <hyperlink r:id="rId815" ref="C410"/>
    <hyperlink r:id="rId816" ref="F410"/>
    <hyperlink r:id="rId817" ref="C411"/>
    <hyperlink r:id="rId818" ref="F411"/>
    <hyperlink r:id="rId819" ref="C412"/>
    <hyperlink r:id="rId820" ref="F412"/>
    <hyperlink r:id="rId821" ref="C413"/>
    <hyperlink r:id="rId822" ref="F413"/>
    <hyperlink r:id="rId823" ref="C414"/>
    <hyperlink r:id="rId824" ref="F414"/>
    <hyperlink r:id="rId825" ref="C415"/>
    <hyperlink r:id="rId826" ref="F415"/>
    <hyperlink r:id="rId827" ref="C416"/>
    <hyperlink r:id="rId828" ref="F416"/>
    <hyperlink r:id="rId829" ref="C417"/>
    <hyperlink r:id="rId830" ref="F417"/>
    <hyperlink r:id="rId831" ref="C418"/>
    <hyperlink r:id="rId832" ref="F418"/>
    <hyperlink r:id="rId833" ref="C419"/>
    <hyperlink r:id="rId834" ref="F419"/>
    <hyperlink r:id="rId835" ref="C420"/>
    <hyperlink r:id="rId836" ref="F420"/>
    <hyperlink r:id="rId837" ref="C421"/>
    <hyperlink r:id="rId838" ref="F421"/>
    <hyperlink r:id="rId839" ref="C422"/>
    <hyperlink r:id="rId840" ref="F422"/>
    <hyperlink r:id="rId841" ref="C423"/>
    <hyperlink r:id="rId842" ref="F423"/>
    <hyperlink r:id="rId843" ref="C424"/>
    <hyperlink r:id="rId844" ref="F424"/>
    <hyperlink r:id="rId845" ref="C425"/>
    <hyperlink r:id="rId846" ref="F425"/>
    <hyperlink r:id="rId847" ref="C426"/>
    <hyperlink r:id="rId848" ref="F426"/>
    <hyperlink r:id="rId849" ref="C427"/>
    <hyperlink r:id="rId850" ref="F427"/>
    <hyperlink r:id="rId851" ref="C428"/>
    <hyperlink r:id="rId852" ref="F428"/>
    <hyperlink r:id="rId853" ref="C429"/>
    <hyperlink r:id="rId854" ref="F429"/>
    <hyperlink r:id="rId855" ref="C430"/>
    <hyperlink r:id="rId856" ref="F430"/>
    <hyperlink r:id="rId857" ref="C431"/>
    <hyperlink r:id="rId858" ref="F431"/>
    <hyperlink r:id="rId859" ref="C432"/>
    <hyperlink r:id="rId860" ref="F432"/>
    <hyperlink r:id="rId861" ref="C433"/>
    <hyperlink r:id="rId862" ref="F433"/>
    <hyperlink r:id="rId863" ref="C434"/>
    <hyperlink r:id="rId864" ref="F434"/>
    <hyperlink r:id="rId865" ref="C435"/>
    <hyperlink r:id="rId866" ref="F435"/>
    <hyperlink r:id="rId867" ref="C436"/>
    <hyperlink r:id="rId868" ref="F436"/>
    <hyperlink r:id="rId869" ref="C437"/>
    <hyperlink r:id="rId870" ref="F437"/>
    <hyperlink r:id="rId871" ref="C438"/>
    <hyperlink r:id="rId872" ref="F438"/>
    <hyperlink r:id="rId873" ref="C439"/>
    <hyperlink r:id="rId874" ref="F439"/>
    <hyperlink r:id="rId875" ref="C440"/>
    <hyperlink r:id="rId876" ref="F440"/>
    <hyperlink r:id="rId877" ref="C441"/>
    <hyperlink r:id="rId878" ref="F441"/>
    <hyperlink r:id="rId879" ref="C442"/>
    <hyperlink r:id="rId880" ref="F442"/>
    <hyperlink r:id="rId881" ref="C443"/>
    <hyperlink r:id="rId882" ref="F443"/>
    <hyperlink r:id="rId883" ref="C444"/>
    <hyperlink r:id="rId884" ref="F444"/>
    <hyperlink r:id="rId885" ref="C445"/>
    <hyperlink r:id="rId886" ref="F445"/>
    <hyperlink r:id="rId887" ref="C446"/>
    <hyperlink r:id="rId888" ref="F446"/>
    <hyperlink r:id="rId889" ref="C447"/>
    <hyperlink r:id="rId890" ref="F447"/>
    <hyperlink r:id="rId891" ref="C448"/>
    <hyperlink r:id="rId892" ref="F448"/>
    <hyperlink r:id="rId893" ref="C449"/>
    <hyperlink r:id="rId894" ref="F449"/>
    <hyperlink r:id="rId895" ref="C450"/>
    <hyperlink r:id="rId896" ref="F450"/>
    <hyperlink r:id="rId897" ref="C451"/>
    <hyperlink r:id="rId898" ref="F451"/>
    <hyperlink r:id="rId899" ref="C452"/>
    <hyperlink r:id="rId900" ref="F452"/>
    <hyperlink r:id="rId901" ref="C453"/>
    <hyperlink r:id="rId902" ref="F453"/>
    <hyperlink r:id="rId903" ref="C454"/>
    <hyperlink r:id="rId904" ref="F454"/>
    <hyperlink r:id="rId905" ref="C455"/>
    <hyperlink r:id="rId906" ref="F455"/>
    <hyperlink r:id="rId907" ref="C456"/>
    <hyperlink r:id="rId908" ref="F456"/>
    <hyperlink r:id="rId909" ref="C457"/>
    <hyperlink r:id="rId910" ref="F457"/>
    <hyperlink r:id="rId911" ref="C458"/>
    <hyperlink r:id="rId912" ref="F458"/>
    <hyperlink r:id="rId913" ref="C459"/>
    <hyperlink r:id="rId914" ref="F459"/>
    <hyperlink r:id="rId915" ref="C460"/>
    <hyperlink r:id="rId916" ref="F460"/>
    <hyperlink r:id="rId917" ref="C461"/>
    <hyperlink r:id="rId918" ref="F461"/>
    <hyperlink r:id="rId919" ref="C462"/>
    <hyperlink r:id="rId920" ref="F462"/>
    <hyperlink r:id="rId921" ref="C463"/>
    <hyperlink r:id="rId922" ref="F463"/>
    <hyperlink r:id="rId923" ref="C464"/>
    <hyperlink r:id="rId924" ref="F464"/>
    <hyperlink r:id="rId925" ref="C465"/>
    <hyperlink r:id="rId926" ref="F465"/>
    <hyperlink r:id="rId927" ref="C466"/>
    <hyperlink r:id="rId928" ref="F466"/>
    <hyperlink r:id="rId929" ref="C467"/>
    <hyperlink r:id="rId930" ref="F467"/>
    <hyperlink r:id="rId931" ref="C468"/>
    <hyperlink r:id="rId932" ref="F468"/>
    <hyperlink r:id="rId933" ref="C469"/>
    <hyperlink r:id="rId934" ref="F469"/>
    <hyperlink r:id="rId935" ref="C470"/>
    <hyperlink r:id="rId936" ref="F470"/>
    <hyperlink r:id="rId937" ref="C471"/>
    <hyperlink r:id="rId938" ref="F471"/>
    <hyperlink r:id="rId939" ref="C472"/>
    <hyperlink r:id="rId940" ref="F472"/>
    <hyperlink r:id="rId941" ref="C473"/>
    <hyperlink r:id="rId942" ref="F473"/>
    <hyperlink r:id="rId943" ref="C474"/>
    <hyperlink r:id="rId944" ref="F474"/>
    <hyperlink r:id="rId945" ref="C475"/>
    <hyperlink r:id="rId946" ref="F475"/>
    <hyperlink r:id="rId947" ref="C476"/>
    <hyperlink r:id="rId948" ref="F476"/>
    <hyperlink r:id="rId949" ref="C477"/>
    <hyperlink r:id="rId950" ref="F477"/>
    <hyperlink r:id="rId951" ref="C478"/>
    <hyperlink r:id="rId952" ref="F478"/>
    <hyperlink r:id="rId953" ref="C479"/>
    <hyperlink r:id="rId954" ref="F479"/>
    <hyperlink r:id="rId955" ref="C480"/>
    <hyperlink r:id="rId956" ref="F480"/>
    <hyperlink r:id="rId957" ref="C481"/>
    <hyperlink r:id="rId958" ref="F481"/>
    <hyperlink r:id="rId959" ref="C482"/>
    <hyperlink r:id="rId960" ref="F482"/>
    <hyperlink r:id="rId961" ref="C483"/>
    <hyperlink r:id="rId962" ref="F483"/>
    <hyperlink r:id="rId963" ref="C484"/>
    <hyperlink r:id="rId964" ref="F484"/>
    <hyperlink r:id="rId965" ref="C485"/>
    <hyperlink r:id="rId966" ref="F485"/>
    <hyperlink r:id="rId967" ref="C486"/>
    <hyperlink r:id="rId968" ref="F486"/>
    <hyperlink r:id="rId969" ref="C487"/>
    <hyperlink r:id="rId970" ref="F487"/>
    <hyperlink r:id="rId971" ref="C488"/>
    <hyperlink r:id="rId972" ref="F488"/>
    <hyperlink r:id="rId973" ref="C489"/>
    <hyperlink r:id="rId974" ref="F489"/>
    <hyperlink r:id="rId975" ref="C490"/>
    <hyperlink r:id="rId976" ref="F490"/>
    <hyperlink r:id="rId977" ref="C491"/>
    <hyperlink r:id="rId978" ref="F491"/>
    <hyperlink r:id="rId979" ref="C492"/>
    <hyperlink r:id="rId980" ref="F492"/>
    <hyperlink r:id="rId981" ref="C493"/>
    <hyperlink r:id="rId982" ref="F493"/>
    <hyperlink r:id="rId983" ref="C494"/>
    <hyperlink r:id="rId984" ref="F494"/>
    <hyperlink r:id="rId985" ref="C495"/>
    <hyperlink r:id="rId986" ref="F495"/>
    <hyperlink r:id="rId987" ref="C496"/>
    <hyperlink r:id="rId988" ref="F496"/>
    <hyperlink r:id="rId989" ref="C497"/>
    <hyperlink r:id="rId990" ref="F497"/>
    <hyperlink r:id="rId991" ref="C498"/>
    <hyperlink r:id="rId992" ref="F498"/>
    <hyperlink r:id="rId993" ref="C499"/>
    <hyperlink r:id="rId994" ref="F499"/>
    <hyperlink r:id="rId995" ref="C500"/>
    <hyperlink r:id="rId996" ref="F500"/>
    <hyperlink r:id="rId997" ref="C501"/>
    <hyperlink r:id="rId998" ref="F501"/>
    <hyperlink r:id="rId999" ref="C502"/>
    <hyperlink r:id="rId1000" ref="F502"/>
    <hyperlink r:id="rId1001" ref="C503"/>
    <hyperlink r:id="rId1002" ref="F503"/>
    <hyperlink r:id="rId1003" ref="C504"/>
    <hyperlink r:id="rId1004" ref="F504"/>
    <hyperlink r:id="rId1005" ref="C505"/>
    <hyperlink r:id="rId1006" ref="F505"/>
    <hyperlink r:id="rId1007" ref="C506"/>
    <hyperlink r:id="rId1008" ref="F506"/>
    <hyperlink r:id="rId1009" ref="C507"/>
    <hyperlink r:id="rId1010" ref="F507"/>
    <hyperlink r:id="rId1011" ref="C508"/>
    <hyperlink r:id="rId1012" ref="F508"/>
    <hyperlink r:id="rId1013" ref="C509"/>
    <hyperlink r:id="rId1014" ref="F509"/>
    <hyperlink r:id="rId1015" ref="C510"/>
    <hyperlink r:id="rId1016" ref="F510"/>
    <hyperlink r:id="rId1017" ref="C511"/>
    <hyperlink r:id="rId1018" ref="F511"/>
    <hyperlink r:id="rId1019" ref="C512"/>
    <hyperlink r:id="rId1020" ref="F512"/>
    <hyperlink r:id="rId1021" ref="C513"/>
    <hyperlink r:id="rId1022" ref="F513"/>
    <hyperlink r:id="rId1023" ref="C514"/>
    <hyperlink r:id="rId1024" ref="F514"/>
    <hyperlink r:id="rId1025" ref="C515"/>
    <hyperlink r:id="rId1026" ref="F515"/>
    <hyperlink r:id="rId1027" ref="C516"/>
    <hyperlink r:id="rId1028" ref="F516"/>
    <hyperlink r:id="rId1029" ref="C517"/>
    <hyperlink r:id="rId1030" ref="F517"/>
    <hyperlink r:id="rId1031" ref="C518"/>
    <hyperlink r:id="rId1032" ref="F518"/>
    <hyperlink r:id="rId1033" ref="C519"/>
    <hyperlink r:id="rId1034" ref="F519"/>
    <hyperlink r:id="rId1035" ref="C520"/>
    <hyperlink r:id="rId1036" ref="F520"/>
    <hyperlink r:id="rId1037" ref="C521"/>
    <hyperlink r:id="rId1038" ref="F521"/>
    <hyperlink r:id="rId1039" ref="C522"/>
    <hyperlink r:id="rId1040" ref="F522"/>
    <hyperlink r:id="rId1041" ref="C523"/>
    <hyperlink r:id="rId1042" ref="F523"/>
    <hyperlink r:id="rId1043" ref="C524"/>
    <hyperlink r:id="rId1044" ref="F524"/>
    <hyperlink r:id="rId1045" ref="C525"/>
    <hyperlink r:id="rId1046" ref="F525"/>
    <hyperlink r:id="rId1047" ref="C526"/>
    <hyperlink r:id="rId1048" ref="F526"/>
    <hyperlink r:id="rId1049" ref="C527"/>
    <hyperlink r:id="rId1050" ref="F527"/>
    <hyperlink r:id="rId1051" ref="C528"/>
    <hyperlink r:id="rId1052" ref="F528"/>
    <hyperlink r:id="rId1053" ref="C529"/>
    <hyperlink r:id="rId1054" ref="F529"/>
    <hyperlink r:id="rId1055" ref="C530"/>
    <hyperlink r:id="rId1056" ref="F530"/>
    <hyperlink r:id="rId1057" ref="C531"/>
    <hyperlink r:id="rId1058" ref="F531"/>
    <hyperlink r:id="rId1059" ref="C532"/>
    <hyperlink r:id="rId1060" ref="F532"/>
    <hyperlink r:id="rId1061" ref="C533"/>
    <hyperlink r:id="rId1062" ref="F533"/>
    <hyperlink r:id="rId1063" ref="C534"/>
    <hyperlink r:id="rId1064" ref="F534"/>
    <hyperlink r:id="rId1065" ref="C535"/>
    <hyperlink r:id="rId1066" ref="F535"/>
    <hyperlink r:id="rId1067" ref="C536"/>
    <hyperlink r:id="rId1068" ref="F536"/>
    <hyperlink r:id="rId1069" ref="C537"/>
    <hyperlink r:id="rId1070" ref="F537"/>
    <hyperlink r:id="rId1071" ref="C538"/>
    <hyperlink r:id="rId1072" ref="F538"/>
    <hyperlink r:id="rId1073" ref="C539"/>
    <hyperlink r:id="rId1074" ref="F539"/>
    <hyperlink r:id="rId1075" ref="C540"/>
    <hyperlink r:id="rId1076" ref="F540"/>
    <hyperlink r:id="rId1077" ref="C541"/>
    <hyperlink r:id="rId1078" ref="F541"/>
    <hyperlink r:id="rId1079" ref="C542"/>
    <hyperlink r:id="rId1080" ref="F542"/>
    <hyperlink r:id="rId1081" ref="C543"/>
    <hyperlink r:id="rId1082" ref="F543"/>
    <hyperlink r:id="rId1083" ref="C544"/>
    <hyperlink r:id="rId1084" ref="F544"/>
    <hyperlink r:id="rId1085" ref="C545"/>
    <hyperlink r:id="rId1086" ref="F545"/>
    <hyperlink r:id="rId1087" ref="C546"/>
    <hyperlink r:id="rId1088" ref="F546"/>
    <hyperlink r:id="rId1089" ref="C547"/>
    <hyperlink r:id="rId1090" ref="F547"/>
    <hyperlink r:id="rId1091" ref="C548"/>
    <hyperlink r:id="rId1092" ref="F548"/>
    <hyperlink r:id="rId1093" ref="C549"/>
    <hyperlink r:id="rId1094" ref="F549"/>
    <hyperlink r:id="rId1095" ref="C550"/>
    <hyperlink r:id="rId1096" ref="F550"/>
    <hyperlink r:id="rId1097" ref="C551"/>
    <hyperlink r:id="rId1098" ref="F551"/>
    <hyperlink r:id="rId1099" ref="C552"/>
    <hyperlink r:id="rId1100" ref="F552"/>
    <hyperlink r:id="rId1101" ref="C553"/>
    <hyperlink r:id="rId1102" ref="F553"/>
    <hyperlink r:id="rId1103" ref="C554"/>
    <hyperlink r:id="rId1104" ref="F554"/>
    <hyperlink r:id="rId1105" ref="C555"/>
    <hyperlink r:id="rId1106" ref="F555"/>
    <hyperlink r:id="rId1107" ref="C556"/>
    <hyperlink r:id="rId1108" ref="F556"/>
    <hyperlink r:id="rId1109" ref="C557"/>
    <hyperlink r:id="rId1110" ref="F557"/>
    <hyperlink r:id="rId1111" ref="C558"/>
    <hyperlink r:id="rId1112" ref="F558"/>
    <hyperlink r:id="rId1113" ref="C559"/>
    <hyperlink r:id="rId1114" ref="F559"/>
    <hyperlink r:id="rId1115" ref="C560"/>
    <hyperlink r:id="rId1116" ref="F560"/>
    <hyperlink r:id="rId1117" ref="C561"/>
    <hyperlink r:id="rId1118" ref="F561"/>
    <hyperlink r:id="rId1119" ref="C562"/>
    <hyperlink r:id="rId1120" ref="F562"/>
    <hyperlink r:id="rId1121" ref="C564"/>
    <hyperlink r:id="rId1122" ref="F564"/>
    <hyperlink r:id="rId1123" ref="C565"/>
    <hyperlink r:id="rId1124" ref="F565"/>
    <hyperlink r:id="rId1125" ref="C566"/>
    <hyperlink r:id="rId1126" ref="F566"/>
    <hyperlink r:id="rId1127" ref="C567"/>
    <hyperlink r:id="rId1128" ref="F567"/>
    <hyperlink r:id="rId1129" ref="C568"/>
    <hyperlink r:id="rId1130" ref="F568"/>
    <hyperlink r:id="rId1131" ref="C569"/>
    <hyperlink r:id="rId1132" ref="F569"/>
    <hyperlink r:id="rId1133" ref="C570"/>
    <hyperlink r:id="rId1134" ref="F570"/>
    <hyperlink r:id="rId1135" ref="C571"/>
    <hyperlink r:id="rId1136" ref="F571"/>
    <hyperlink r:id="rId1137" ref="C572"/>
    <hyperlink r:id="rId1138" ref="F572"/>
    <hyperlink r:id="rId1139" ref="C573"/>
    <hyperlink r:id="rId1140" ref="F573"/>
    <hyperlink r:id="rId1141" ref="C574"/>
    <hyperlink r:id="rId1142" ref="F574"/>
    <hyperlink r:id="rId1143" ref="C575"/>
    <hyperlink r:id="rId1144" ref="F575"/>
    <hyperlink r:id="rId1145" ref="C576"/>
    <hyperlink r:id="rId1146" ref="F576"/>
    <hyperlink r:id="rId1147" ref="C577"/>
    <hyperlink r:id="rId1148" ref="F577"/>
    <hyperlink r:id="rId1149" ref="C578"/>
    <hyperlink r:id="rId1150" ref="F578"/>
    <hyperlink r:id="rId1151" ref="C579"/>
    <hyperlink r:id="rId1152" ref="F579"/>
    <hyperlink r:id="rId1153" ref="C580"/>
    <hyperlink r:id="rId1154" ref="F580"/>
    <hyperlink r:id="rId1155" ref="C581"/>
    <hyperlink r:id="rId1156" ref="F581"/>
    <hyperlink r:id="rId1157" ref="C582"/>
    <hyperlink r:id="rId1158" ref="F582"/>
    <hyperlink r:id="rId1159" ref="C583"/>
    <hyperlink r:id="rId1160" ref="F583"/>
    <hyperlink r:id="rId1161" ref="C584"/>
    <hyperlink r:id="rId1162" ref="F584"/>
    <hyperlink r:id="rId1163" ref="C585"/>
    <hyperlink r:id="rId1164" ref="F585"/>
    <hyperlink r:id="rId1165" ref="C586"/>
    <hyperlink r:id="rId1166" ref="F586"/>
    <hyperlink r:id="rId1167" ref="C587"/>
    <hyperlink r:id="rId1168" ref="F587"/>
    <hyperlink r:id="rId1169" ref="C588"/>
    <hyperlink r:id="rId1170" ref="F588"/>
    <hyperlink r:id="rId1171" ref="C590"/>
    <hyperlink r:id="rId1172" ref="F590"/>
    <hyperlink r:id="rId1173" ref="C591"/>
    <hyperlink r:id="rId1174" ref="F591"/>
    <hyperlink r:id="rId1175" ref="C592"/>
    <hyperlink r:id="rId1176" ref="F592"/>
    <hyperlink r:id="rId1177" ref="C593"/>
    <hyperlink r:id="rId1178" ref="F593"/>
    <hyperlink r:id="rId1179" ref="C594"/>
    <hyperlink r:id="rId1180" ref="F594"/>
    <hyperlink r:id="rId1181" ref="C595"/>
    <hyperlink r:id="rId1182" ref="F595"/>
    <hyperlink r:id="rId1183" ref="C596"/>
    <hyperlink r:id="rId1184" ref="F596"/>
    <hyperlink r:id="rId1185" ref="C597"/>
    <hyperlink r:id="rId1186" ref="F597"/>
    <hyperlink r:id="rId1187" ref="C598"/>
    <hyperlink r:id="rId1188" ref="F598"/>
    <hyperlink r:id="rId1189" ref="C599"/>
    <hyperlink r:id="rId1190" ref="F599"/>
    <hyperlink r:id="rId1191" ref="C600"/>
    <hyperlink r:id="rId1192" ref="F600"/>
    <hyperlink r:id="rId1193" ref="C601"/>
    <hyperlink r:id="rId1194" ref="F601"/>
    <hyperlink r:id="rId1195" ref="C602"/>
    <hyperlink r:id="rId1196" ref="F602"/>
    <hyperlink r:id="rId1197" ref="C603"/>
    <hyperlink r:id="rId1198" ref="F603"/>
    <hyperlink r:id="rId1199" ref="C604"/>
    <hyperlink r:id="rId1200" ref="F604"/>
    <hyperlink r:id="rId1201" ref="C605"/>
    <hyperlink r:id="rId1202" ref="F605"/>
    <hyperlink r:id="rId1203" ref="C606"/>
    <hyperlink r:id="rId1204" ref="F606"/>
    <hyperlink r:id="rId1205" ref="C607"/>
    <hyperlink r:id="rId1206" ref="F607"/>
    <hyperlink r:id="rId1207" ref="C608"/>
    <hyperlink r:id="rId1208" ref="F608"/>
    <hyperlink r:id="rId1209" ref="C609"/>
    <hyperlink r:id="rId1210" ref="F609"/>
    <hyperlink r:id="rId1211" ref="C610"/>
    <hyperlink r:id="rId1212" ref="F610"/>
    <hyperlink r:id="rId1213" ref="C611"/>
    <hyperlink r:id="rId1214" ref="F611"/>
    <hyperlink r:id="rId1215" ref="C612"/>
    <hyperlink r:id="rId1216" ref="F612"/>
    <hyperlink r:id="rId1217" ref="C613"/>
    <hyperlink r:id="rId1218" ref="F613"/>
    <hyperlink r:id="rId1219" ref="C614"/>
    <hyperlink r:id="rId1220" ref="F614"/>
    <hyperlink r:id="rId1221" ref="C615"/>
    <hyperlink r:id="rId1222" ref="F615"/>
    <hyperlink r:id="rId1223" ref="C616"/>
    <hyperlink r:id="rId1224" ref="F616"/>
    <hyperlink r:id="rId1225" ref="C617"/>
    <hyperlink r:id="rId1226" ref="F617"/>
    <hyperlink r:id="rId1227" ref="C618"/>
    <hyperlink r:id="rId1228" ref="F618"/>
    <hyperlink r:id="rId1229" ref="C619"/>
    <hyperlink r:id="rId1230" ref="F619"/>
    <hyperlink r:id="rId1231" ref="C620"/>
    <hyperlink r:id="rId1232" ref="F620"/>
    <hyperlink r:id="rId1233" ref="C621"/>
    <hyperlink r:id="rId1234" ref="F621"/>
    <hyperlink r:id="rId1235" ref="C622"/>
    <hyperlink r:id="rId1236" ref="F622"/>
    <hyperlink r:id="rId1237" ref="C623"/>
    <hyperlink r:id="rId1238" ref="F623"/>
    <hyperlink r:id="rId1239" ref="C624"/>
    <hyperlink r:id="rId1240" ref="F624"/>
    <hyperlink r:id="rId1241" ref="C625"/>
    <hyperlink r:id="rId1242" ref="F625"/>
    <hyperlink r:id="rId1243" ref="C626"/>
    <hyperlink r:id="rId1244" ref="F626"/>
    <hyperlink r:id="rId1245" ref="C627"/>
    <hyperlink r:id="rId1246" ref="F627"/>
    <hyperlink r:id="rId1247" ref="C628"/>
    <hyperlink r:id="rId1248" ref="F628"/>
    <hyperlink r:id="rId1249" ref="C629"/>
    <hyperlink r:id="rId1250" ref="F629"/>
    <hyperlink r:id="rId1251" ref="C630"/>
    <hyperlink r:id="rId1252" ref="F630"/>
    <hyperlink r:id="rId1253" ref="C631"/>
    <hyperlink r:id="rId1254" ref="F631"/>
    <hyperlink r:id="rId1255" ref="C632"/>
    <hyperlink r:id="rId1256" ref="F632"/>
    <hyperlink r:id="rId1257" ref="C633"/>
    <hyperlink r:id="rId1258" ref="F633"/>
    <hyperlink r:id="rId1259" ref="C634"/>
    <hyperlink r:id="rId1260" ref="F634"/>
    <hyperlink r:id="rId1261" ref="C635"/>
    <hyperlink r:id="rId1262" ref="F635"/>
    <hyperlink r:id="rId1263" ref="C636"/>
    <hyperlink r:id="rId1264" ref="F636"/>
    <hyperlink r:id="rId1265" ref="C637"/>
    <hyperlink r:id="rId1266" ref="F637"/>
    <hyperlink r:id="rId1267" ref="C638"/>
    <hyperlink r:id="rId1268" ref="F638"/>
    <hyperlink r:id="rId1269" ref="C639"/>
    <hyperlink r:id="rId1270" ref="F639"/>
    <hyperlink r:id="rId1271" ref="C640"/>
    <hyperlink r:id="rId1272" ref="F640"/>
    <hyperlink r:id="rId1273" ref="C641"/>
    <hyperlink r:id="rId1274" ref="F641"/>
    <hyperlink r:id="rId1275" ref="C642"/>
    <hyperlink r:id="rId1276" ref="F642"/>
    <hyperlink r:id="rId1277" ref="C643"/>
    <hyperlink r:id="rId1278" ref="F643"/>
    <hyperlink r:id="rId1279" ref="C644"/>
    <hyperlink r:id="rId1280" ref="F644"/>
    <hyperlink r:id="rId1281" ref="C645"/>
    <hyperlink r:id="rId1282" ref="F645"/>
    <hyperlink r:id="rId1283" ref="C646"/>
    <hyperlink r:id="rId1284" ref="F646"/>
    <hyperlink r:id="rId1285" ref="C647"/>
    <hyperlink r:id="rId1286" ref="F647"/>
    <hyperlink r:id="rId1287" ref="C648"/>
    <hyperlink r:id="rId1288" ref="F648"/>
    <hyperlink r:id="rId1289" ref="C649"/>
    <hyperlink r:id="rId1290" ref="F649"/>
    <hyperlink r:id="rId1291" ref="C650"/>
    <hyperlink r:id="rId1292" ref="F650"/>
    <hyperlink r:id="rId1293" ref="C651"/>
    <hyperlink r:id="rId1294" ref="F651"/>
    <hyperlink r:id="rId1295" ref="C652"/>
    <hyperlink r:id="rId1296" ref="F652"/>
    <hyperlink r:id="rId1297" ref="C653"/>
    <hyperlink r:id="rId1298" ref="F653"/>
    <hyperlink r:id="rId1299" ref="C654"/>
    <hyperlink r:id="rId1300" ref="F654"/>
    <hyperlink r:id="rId1301" ref="C655"/>
    <hyperlink r:id="rId1302" ref="F655"/>
    <hyperlink r:id="rId1303" ref="C656"/>
    <hyperlink r:id="rId1304" ref="F656"/>
    <hyperlink r:id="rId1305" ref="C657"/>
    <hyperlink r:id="rId1306" ref="F657"/>
    <hyperlink r:id="rId1307" ref="C658"/>
    <hyperlink r:id="rId1308" ref="F658"/>
    <hyperlink r:id="rId1309" ref="C659"/>
    <hyperlink r:id="rId1310" ref="F659"/>
    <hyperlink r:id="rId1311" ref="C660"/>
    <hyperlink r:id="rId1312" ref="F660"/>
    <hyperlink r:id="rId1313" ref="C661"/>
    <hyperlink r:id="rId1314" ref="F661"/>
    <hyperlink r:id="rId1315" ref="C662"/>
    <hyperlink r:id="rId1316" ref="F662"/>
    <hyperlink r:id="rId1317" ref="C663"/>
    <hyperlink r:id="rId1318" ref="F663"/>
    <hyperlink r:id="rId1319" ref="C664"/>
    <hyperlink r:id="rId1320" ref="F664"/>
    <hyperlink r:id="rId1321" ref="C665"/>
    <hyperlink r:id="rId1322" ref="F665"/>
    <hyperlink r:id="rId1323" ref="C666"/>
    <hyperlink r:id="rId1324" ref="F666"/>
    <hyperlink r:id="rId1325" ref="C667"/>
    <hyperlink r:id="rId1326" ref="F667"/>
    <hyperlink r:id="rId1327" ref="C668"/>
    <hyperlink r:id="rId1328" ref="F668"/>
    <hyperlink r:id="rId1329" ref="C669"/>
    <hyperlink r:id="rId1330" ref="F669"/>
    <hyperlink r:id="rId1331" ref="C670"/>
    <hyperlink r:id="rId1332" ref="F670"/>
    <hyperlink r:id="rId1333" ref="C671"/>
    <hyperlink r:id="rId1334" ref="F671"/>
    <hyperlink r:id="rId1335" ref="C672"/>
    <hyperlink r:id="rId1336" ref="F672"/>
    <hyperlink r:id="rId1337" ref="C673"/>
    <hyperlink r:id="rId1338" ref="F673"/>
    <hyperlink r:id="rId1339" ref="C674"/>
    <hyperlink r:id="rId1340" ref="F674"/>
    <hyperlink r:id="rId1341" ref="C675"/>
    <hyperlink r:id="rId1342" ref="F675"/>
    <hyperlink r:id="rId1343" ref="C676"/>
    <hyperlink r:id="rId1344" ref="F676"/>
    <hyperlink r:id="rId1345" ref="C677"/>
    <hyperlink r:id="rId1346" ref="F677"/>
    <hyperlink r:id="rId1347" ref="C678"/>
    <hyperlink r:id="rId1348" ref="F678"/>
    <hyperlink r:id="rId1349" ref="C679"/>
    <hyperlink r:id="rId1350" ref="F679"/>
    <hyperlink r:id="rId1351" ref="C680"/>
    <hyperlink r:id="rId1352" ref="F680"/>
    <hyperlink r:id="rId1353" ref="C681"/>
    <hyperlink r:id="rId1354" ref="F681"/>
    <hyperlink r:id="rId1355" ref="C682"/>
    <hyperlink r:id="rId1356" ref="F682"/>
    <hyperlink r:id="rId1357" ref="C683"/>
    <hyperlink r:id="rId1358" ref="F683"/>
    <hyperlink r:id="rId1359" ref="C684"/>
    <hyperlink r:id="rId1360" ref="F684"/>
    <hyperlink r:id="rId1361" ref="C685"/>
    <hyperlink r:id="rId1362" ref="F685"/>
    <hyperlink r:id="rId1363" ref="C686"/>
    <hyperlink r:id="rId1364" ref="F686"/>
    <hyperlink r:id="rId1365" ref="C687"/>
    <hyperlink r:id="rId1366" ref="F687"/>
    <hyperlink r:id="rId1367" ref="C688"/>
    <hyperlink r:id="rId1368" ref="F688"/>
    <hyperlink r:id="rId1369" ref="C689"/>
    <hyperlink r:id="rId1370" ref="F689"/>
    <hyperlink r:id="rId1371" ref="C690"/>
    <hyperlink r:id="rId1372" ref="F690"/>
    <hyperlink r:id="rId1373" ref="C691"/>
    <hyperlink r:id="rId1374" ref="F691"/>
    <hyperlink r:id="rId1375" ref="C692"/>
    <hyperlink r:id="rId1376" ref="F692"/>
    <hyperlink r:id="rId1377" ref="C693"/>
    <hyperlink r:id="rId1378" ref="F693"/>
    <hyperlink r:id="rId1379" ref="C694"/>
    <hyperlink r:id="rId1380" ref="F694"/>
    <hyperlink r:id="rId1381" ref="C695"/>
    <hyperlink r:id="rId1382" ref="F695"/>
    <hyperlink r:id="rId1383" ref="C696"/>
    <hyperlink r:id="rId1384" ref="F696"/>
    <hyperlink r:id="rId1385" ref="C697"/>
    <hyperlink r:id="rId1386" ref="F697"/>
    <hyperlink r:id="rId1387" ref="C698"/>
    <hyperlink r:id="rId1388" ref="F698"/>
    <hyperlink r:id="rId1389" ref="C699"/>
    <hyperlink r:id="rId1390" ref="F699"/>
    <hyperlink r:id="rId1391" ref="C700"/>
    <hyperlink r:id="rId1392" ref="F700"/>
    <hyperlink r:id="rId1393" ref="C701"/>
    <hyperlink r:id="rId1394" ref="F701"/>
    <hyperlink r:id="rId1395" ref="C702"/>
    <hyperlink r:id="rId1396" ref="F702"/>
    <hyperlink r:id="rId1397" ref="C703"/>
    <hyperlink r:id="rId1398" ref="F703"/>
    <hyperlink r:id="rId1399" ref="C704"/>
    <hyperlink r:id="rId1400" ref="F704"/>
    <hyperlink r:id="rId1401" ref="C705"/>
    <hyperlink r:id="rId1402" ref="F705"/>
    <hyperlink r:id="rId1403" ref="C706"/>
    <hyperlink r:id="rId1404" ref="F706"/>
    <hyperlink r:id="rId1405" ref="C707"/>
    <hyperlink r:id="rId1406" ref="F707"/>
    <hyperlink r:id="rId1407" ref="C708"/>
    <hyperlink r:id="rId1408" ref="F708"/>
    <hyperlink r:id="rId1409" ref="C709"/>
    <hyperlink r:id="rId1410" ref="F709"/>
    <hyperlink r:id="rId1411" ref="C710"/>
    <hyperlink r:id="rId1412" ref="F710"/>
    <hyperlink r:id="rId1413" ref="C711"/>
    <hyperlink r:id="rId1414" ref="F711"/>
    <hyperlink r:id="rId1415" ref="C712"/>
    <hyperlink r:id="rId1416" ref="F712"/>
    <hyperlink r:id="rId1417" ref="C713"/>
    <hyperlink r:id="rId1418" ref="F713"/>
    <hyperlink r:id="rId1419" ref="C714"/>
    <hyperlink r:id="rId1420" ref="F714"/>
    <hyperlink r:id="rId1421" ref="C715"/>
    <hyperlink r:id="rId1422" ref="F715"/>
    <hyperlink r:id="rId1423" ref="C716"/>
    <hyperlink r:id="rId1424" ref="F716"/>
    <hyperlink r:id="rId1425" ref="C717"/>
    <hyperlink r:id="rId1426" ref="F717"/>
    <hyperlink r:id="rId1427" ref="C718"/>
    <hyperlink r:id="rId1428" ref="F718"/>
    <hyperlink r:id="rId1429" ref="C719"/>
    <hyperlink r:id="rId1430" ref="F719"/>
    <hyperlink r:id="rId1431" ref="C720"/>
    <hyperlink r:id="rId1432" ref="F720"/>
    <hyperlink r:id="rId1433" ref="C721"/>
    <hyperlink r:id="rId1434" ref="F721"/>
    <hyperlink r:id="rId1435" ref="C722"/>
    <hyperlink r:id="rId1436" ref="F722"/>
    <hyperlink r:id="rId1437" ref="C723"/>
    <hyperlink r:id="rId1438" ref="F723"/>
    <hyperlink r:id="rId1439" ref="C724"/>
    <hyperlink r:id="rId1440" ref="F724"/>
    <hyperlink r:id="rId1441" ref="C725"/>
    <hyperlink r:id="rId1442" ref="F725"/>
    <hyperlink r:id="rId1443" ref="C726"/>
    <hyperlink r:id="rId1444" ref="F726"/>
    <hyperlink r:id="rId1445" ref="C727"/>
    <hyperlink r:id="rId1446" ref="F727"/>
    <hyperlink r:id="rId1447" ref="C728"/>
    <hyperlink r:id="rId1448" ref="F728"/>
    <hyperlink r:id="rId1449" ref="C729"/>
    <hyperlink r:id="rId1450" ref="F729"/>
    <hyperlink r:id="rId1451" ref="C730"/>
    <hyperlink r:id="rId1452" ref="F730"/>
    <hyperlink r:id="rId1453" ref="C731"/>
    <hyperlink r:id="rId1454" ref="F731"/>
    <hyperlink r:id="rId1455" ref="C732"/>
    <hyperlink r:id="rId1456" ref="F732"/>
    <hyperlink r:id="rId1457" ref="C733"/>
    <hyperlink r:id="rId1458" ref="F733"/>
    <hyperlink r:id="rId1459" ref="C734"/>
    <hyperlink r:id="rId1460" ref="F734"/>
    <hyperlink r:id="rId1461" ref="C735"/>
    <hyperlink r:id="rId1462" ref="F735"/>
    <hyperlink r:id="rId1463" ref="C736"/>
    <hyperlink r:id="rId1464" ref="F736"/>
    <hyperlink r:id="rId1465" ref="C737"/>
    <hyperlink r:id="rId1466" ref="F737"/>
    <hyperlink r:id="rId1467" ref="C738"/>
    <hyperlink r:id="rId1468" ref="F738"/>
    <hyperlink r:id="rId1469" ref="C739"/>
    <hyperlink r:id="rId1470" ref="F739"/>
    <hyperlink r:id="rId1471" ref="C740"/>
    <hyperlink r:id="rId1472" ref="F740"/>
    <hyperlink r:id="rId1473" ref="C741"/>
    <hyperlink r:id="rId1474" ref="F741"/>
    <hyperlink r:id="rId1475" ref="C742"/>
    <hyperlink r:id="rId1476" ref="F742"/>
    <hyperlink r:id="rId1477" ref="C743"/>
    <hyperlink r:id="rId1478" ref="F743"/>
    <hyperlink r:id="rId1479" ref="C744"/>
    <hyperlink r:id="rId1480" ref="F744"/>
    <hyperlink r:id="rId1481" ref="C745"/>
    <hyperlink r:id="rId1482" ref="F745"/>
    <hyperlink r:id="rId1483" ref="C746"/>
    <hyperlink r:id="rId1484" ref="F746"/>
    <hyperlink r:id="rId1485" ref="C747"/>
    <hyperlink r:id="rId1486" ref="F747"/>
    <hyperlink r:id="rId1487" ref="C748"/>
    <hyperlink r:id="rId1488" ref="F748"/>
    <hyperlink r:id="rId1489" ref="C749"/>
    <hyperlink r:id="rId1490" ref="F749"/>
    <hyperlink r:id="rId1491" ref="C750"/>
    <hyperlink r:id="rId1492" ref="F750"/>
    <hyperlink r:id="rId1493" ref="C751"/>
    <hyperlink r:id="rId1494" ref="F751"/>
    <hyperlink r:id="rId1495" ref="C752"/>
    <hyperlink r:id="rId1496" ref="F752"/>
    <hyperlink r:id="rId1497" ref="C753"/>
    <hyperlink r:id="rId1498" ref="F753"/>
    <hyperlink r:id="rId1499" ref="C754"/>
    <hyperlink r:id="rId1500" ref="F754"/>
    <hyperlink r:id="rId1501" ref="C755"/>
    <hyperlink r:id="rId1502" ref="F755"/>
    <hyperlink r:id="rId1503" ref="C756"/>
    <hyperlink r:id="rId1504" ref="F756"/>
    <hyperlink r:id="rId1505" ref="C757"/>
    <hyperlink r:id="rId1506" ref="F757"/>
    <hyperlink r:id="rId1507" ref="C758"/>
    <hyperlink r:id="rId1508" ref="F758"/>
    <hyperlink r:id="rId1509" ref="C759"/>
    <hyperlink r:id="rId1510" ref="F759"/>
    <hyperlink r:id="rId1511" ref="C760"/>
    <hyperlink r:id="rId1512" ref="F760"/>
    <hyperlink r:id="rId1513" ref="C761"/>
    <hyperlink r:id="rId1514" ref="F761"/>
    <hyperlink r:id="rId1515" ref="C762"/>
    <hyperlink r:id="rId1516" ref="F762"/>
    <hyperlink r:id="rId1517" ref="C763"/>
    <hyperlink r:id="rId1518" ref="F763"/>
    <hyperlink r:id="rId1519" ref="C764"/>
    <hyperlink r:id="rId1520" ref="F764"/>
    <hyperlink r:id="rId1521" ref="C765"/>
    <hyperlink r:id="rId1522" ref="F765"/>
    <hyperlink r:id="rId1523" ref="C766"/>
    <hyperlink r:id="rId1524" ref="F766"/>
    <hyperlink r:id="rId1525" ref="C767"/>
    <hyperlink r:id="rId1526" ref="F767"/>
    <hyperlink r:id="rId1527" ref="C768"/>
    <hyperlink r:id="rId1528" ref="F768"/>
    <hyperlink r:id="rId1529" ref="C769"/>
    <hyperlink r:id="rId1530" ref="F769"/>
    <hyperlink r:id="rId1531" ref="C770"/>
    <hyperlink r:id="rId1532" ref="F770"/>
    <hyperlink r:id="rId1533" ref="C771"/>
    <hyperlink r:id="rId1534" ref="F771"/>
    <hyperlink r:id="rId1535" ref="C772"/>
    <hyperlink r:id="rId1536" ref="F772"/>
    <hyperlink r:id="rId1537" ref="C773"/>
    <hyperlink r:id="rId1538" ref="F773"/>
    <hyperlink r:id="rId1539" ref="C774"/>
    <hyperlink r:id="rId1540" ref="F774"/>
    <hyperlink r:id="rId1541" ref="C775"/>
    <hyperlink r:id="rId1542" ref="F775"/>
    <hyperlink r:id="rId1543" ref="C776"/>
    <hyperlink r:id="rId1544" ref="F776"/>
    <hyperlink r:id="rId1545" ref="C777"/>
    <hyperlink r:id="rId1546" ref="F777"/>
    <hyperlink r:id="rId1547" ref="C778"/>
    <hyperlink r:id="rId1548" ref="F778"/>
    <hyperlink r:id="rId1549" ref="C779"/>
    <hyperlink r:id="rId1550" ref="F779"/>
    <hyperlink r:id="rId1551" ref="C780"/>
    <hyperlink r:id="rId1552" ref="F780"/>
    <hyperlink r:id="rId1553" ref="C781"/>
    <hyperlink r:id="rId1554" ref="F781"/>
    <hyperlink r:id="rId1555" ref="C782"/>
    <hyperlink r:id="rId1556" ref="F782"/>
    <hyperlink r:id="rId1557" ref="C783"/>
    <hyperlink r:id="rId1558" ref="F783"/>
    <hyperlink r:id="rId1559" ref="C784"/>
    <hyperlink r:id="rId1560" ref="F784"/>
    <hyperlink r:id="rId1561" ref="C785"/>
    <hyperlink r:id="rId1562" ref="F785"/>
    <hyperlink r:id="rId1563" ref="C786"/>
    <hyperlink r:id="rId1564" ref="F786"/>
    <hyperlink r:id="rId1565" ref="C787"/>
    <hyperlink r:id="rId1566" ref="F787"/>
    <hyperlink r:id="rId1567" ref="C788"/>
    <hyperlink r:id="rId1568" ref="F788"/>
    <hyperlink r:id="rId1569" ref="C789"/>
    <hyperlink r:id="rId1570" ref="F789"/>
    <hyperlink r:id="rId1571" ref="C790"/>
    <hyperlink r:id="rId1572" ref="F790"/>
    <hyperlink r:id="rId1573" ref="C791"/>
    <hyperlink r:id="rId1574" ref="F791"/>
    <hyperlink r:id="rId1575" ref="C792"/>
    <hyperlink r:id="rId1576" ref="F792"/>
    <hyperlink r:id="rId1577" ref="C793"/>
    <hyperlink r:id="rId1578" ref="F793"/>
    <hyperlink r:id="rId1579" ref="C794"/>
    <hyperlink r:id="rId1580" ref="F794"/>
    <hyperlink r:id="rId1581" ref="C795"/>
    <hyperlink r:id="rId1582" ref="F795"/>
    <hyperlink r:id="rId1583" ref="C796"/>
    <hyperlink r:id="rId1584" ref="F796"/>
    <hyperlink r:id="rId1585" ref="C797"/>
    <hyperlink r:id="rId1586" ref="F797"/>
    <hyperlink r:id="rId1587" ref="C798"/>
    <hyperlink r:id="rId1588" ref="F798"/>
    <hyperlink r:id="rId1589" ref="C799"/>
    <hyperlink r:id="rId1590" ref="F799"/>
    <hyperlink r:id="rId1591" ref="C800"/>
    <hyperlink r:id="rId1592" ref="F800"/>
    <hyperlink r:id="rId1593" ref="C801"/>
    <hyperlink r:id="rId1594" ref="F801"/>
    <hyperlink r:id="rId1595" ref="C802"/>
    <hyperlink r:id="rId1596" ref="F802"/>
    <hyperlink r:id="rId1597" ref="C803"/>
    <hyperlink r:id="rId1598" ref="F803"/>
    <hyperlink r:id="rId1599" ref="C804"/>
    <hyperlink r:id="rId1600" ref="F804"/>
    <hyperlink r:id="rId1601" ref="C805"/>
    <hyperlink r:id="rId1602" ref="F805"/>
    <hyperlink r:id="rId1603" ref="C806"/>
    <hyperlink r:id="rId1604" ref="F806"/>
    <hyperlink r:id="rId1605" ref="C807"/>
    <hyperlink r:id="rId1606" ref="F807"/>
    <hyperlink r:id="rId1607" ref="C808"/>
    <hyperlink r:id="rId1608" ref="F808"/>
    <hyperlink r:id="rId1609" ref="C809"/>
    <hyperlink r:id="rId1610" ref="F809"/>
    <hyperlink r:id="rId1611" ref="C810"/>
    <hyperlink r:id="rId1612" ref="F810"/>
    <hyperlink r:id="rId1613" ref="C811"/>
    <hyperlink r:id="rId1614" ref="F811"/>
    <hyperlink r:id="rId1615" ref="C812"/>
    <hyperlink r:id="rId1616" ref="F812"/>
    <hyperlink r:id="rId1617" ref="C813"/>
    <hyperlink r:id="rId1618" ref="F813"/>
    <hyperlink r:id="rId1619" ref="C814"/>
    <hyperlink r:id="rId1620" ref="F814"/>
    <hyperlink r:id="rId1621" ref="C815"/>
    <hyperlink r:id="rId1622" ref="F815"/>
    <hyperlink r:id="rId1623" ref="C816"/>
    <hyperlink r:id="rId1624" ref="F816"/>
    <hyperlink r:id="rId1625" ref="C817"/>
    <hyperlink r:id="rId1626" ref="F817"/>
    <hyperlink r:id="rId1627" ref="C818"/>
    <hyperlink r:id="rId1628" ref="F818"/>
    <hyperlink r:id="rId1629" ref="C819"/>
    <hyperlink r:id="rId1630" ref="F819"/>
    <hyperlink r:id="rId1631" ref="C820"/>
    <hyperlink r:id="rId1632" ref="F820"/>
    <hyperlink r:id="rId1633" ref="C821"/>
    <hyperlink r:id="rId1634" ref="F821"/>
    <hyperlink r:id="rId1635" ref="C822"/>
    <hyperlink r:id="rId1636" ref="F822"/>
    <hyperlink r:id="rId1637" ref="C823"/>
    <hyperlink r:id="rId1638" ref="F823"/>
    <hyperlink r:id="rId1639" ref="C824"/>
    <hyperlink r:id="rId1640" ref="F824"/>
    <hyperlink r:id="rId1641" ref="C825"/>
    <hyperlink r:id="rId1642" ref="F825"/>
    <hyperlink r:id="rId1643" ref="C826"/>
    <hyperlink r:id="rId1644" ref="F826"/>
    <hyperlink r:id="rId1645" ref="C827"/>
    <hyperlink r:id="rId1646" ref="F827"/>
    <hyperlink r:id="rId1647" ref="C828"/>
    <hyperlink r:id="rId1648" ref="F828"/>
    <hyperlink r:id="rId1649" ref="C829"/>
    <hyperlink r:id="rId1650" ref="F829"/>
    <hyperlink r:id="rId1651" ref="C830"/>
    <hyperlink r:id="rId1652" ref="F830"/>
    <hyperlink r:id="rId1653" ref="C831"/>
    <hyperlink r:id="rId1654" ref="F831"/>
    <hyperlink r:id="rId1655" ref="C832"/>
    <hyperlink r:id="rId1656" ref="F832"/>
    <hyperlink r:id="rId1657" ref="C833"/>
    <hyperlink r:id="rId1658" ref="F833"/>
    <hyperlink r:id="rId1659" ref="C834"/>
    <hyperlink r:id="rId1660" ref="F834"/>
    <hyperlink r:id="rId1661" ref="C835"/>
    <hyperlink r:id="rId1662" ref="F835"/>
    <hyperlink r:id="rId1663" ref="C836"/>
    <hyperlink r:id="rId1664" ref="F836"/>
    <hyperlink r:id="rId1665" ref="C837"/>
    <hyperlink r:id="rId1666" ref="F837"/>
    <hyperlink r:id="rId1667" ref="C838"/>
    <hyperlink r:id="rId1668" ref="F838"/>
    <hyperlink r:id="rId1669" ref="C839"/>
    <hyperlink r:id="rId1670" ref="F839"/>
    <hyperlink r:id="rId1671" ref="C840"/>
    <hyperlink r:id="rId1672" ref="F840"/>
    <hyperlink r:id="rId1673" ref="C841"/>
    <hyperlink r:id="rId1674" ref="F841"/>
    <hyperlink r:id="rId1675" ref="C842"/>
    <hyperlink r:id="rId1676" ref="F842"/>
    <hyperlink r:id="rId1677" ref="C843"/>
    <hyperlink r:id="rId1678" ref="F843"/>
    <hyperlink r:id="rId1679" ref="C844"/>
    <hyperlink r:id="rId1680" ref="F844"/>
    <hyperlink r:id="rId1681" ref="C845"/>
    <hyperlink r:id="rId1682" ref="F845"/>
    <hyperlink r:id="rId1683" ref="C846"/>
    <hyperlink r:id="rId1684" ref="F846"/>
    <hyperlink r:id="rId1685" ref="C847"/>
    <hyperlink r:id="rId1686" ref="F847"/>
    <hyperlink r:id="rId1687" ref="C848"/>
    <hyperlink r:id="rId1688" ref="F848"/>
    <hyperlink r:id="rId1689" ref="C849"/>
    <hyperlink r:id="rId1690" ref="F849"/>
    <hyperlink r:id="rId1691" ref="C850"/>
    <hyperlink r:id="rId1692" ref="F850"/>
    <hyperlink r:id="rId1693" ref="C851"/>
    <hyperlink r:id="rId1694" ref="F851"/>
    <hyperlink r:id="rId1695" ref="C852"/>
    <hyperlink r:id="rId1696" ref="F852"/>
    <hyperlink r:id="rId1697" ref="C853"/>
    <hyperlink r:id="rId1698" ref="F853"/>
    <hyperlink r:id="rId1699" ref="C854"/>
    <hyperlink r:id="rId1700" ref="F854"/>
    <hyperlink r:id="rId1701" ref="C855"/>
    <hyperlink r:id="rId1702" ref="F855"/>
    <hyperlink r:id="rId1703" ref="C856"/>
    <hyperlink r:id="rId1704" ref="F856"/>
    <hyperlink r:id="rId1705" ref="C857"/>
    <hyperlink r:id="rId1706" ref="F857"/>
    <hyperlink r:id="rId1707" ref="C858"/>
    <hyperlink r:id="rId1708" ref="F858"/>
    <hyperlink r:id="rId1709" ref="C859"/>
    <hyperlink r:id="rId1710" ref="F859"/>
    <hyperlink r:id="rId1711" ref="C860"/>
    <hyperlink r:id="rId1712" ref="F860"/>
    <hyperlink r:id="rId1713" ref="C861"/>
    <hyperlink r:id="rId1714" ref="F861"/>
    <hyperlink r:id="rId1715" ref="C862"/>
    <hyperlink r:id="rId1716" ref="F862"/>
    <hyperlink r:id="rId1717" ref="C863"/>
    <hyperlink r:id="rId1718" ref="F863"/>
    <hyperlink r:id="rId1719" ref="C864"/>
    <hyperlink r:id="rId1720" ref="F864"/>
    <hyperlink r:id="rId1721" ref="C865"/>
    <hyperlink r:id="rId1722" ref="F865"/>
    <hyperlink r:id="rId1723" ref="C866"/>
    <hyperlink r:id="rId1724" ref="F866"/>
    <hyperlink r:id="rId1725" ref="C867"/>
    <hyperlink r:id="rId1726" ref="F867"/>
    <hyperlink r:id="rId1727" ref="C868"/>
    <hyperlink r:id="rId1728" ref="F868"/>
    <hyperlink r:id="rId1729" ref="C869"/>
    <hyperlink r:id="rId1730" ref="F869"/>
    <hyperlink r:id="rId1731" ref="C870"/>
    <hyperlink r:id="rId1732" ref="F870"/>
    <hyperlink r:id="rId1733" ref="C871"/>
    <hyperlink r:id="rId1734" ref="F871"/>
    <hyperlink r:id="rId1735" ref="C872"/>
    <hyperlink r:id="rId1736" ref="F872"/>
    <hyperlink r:id="rId1737" ref="C873"/>
    <hyperlink r:id="rId1738" ref="F873"/>
    <hyperlink r:id="rId1739" ref="C874"/>
    <hyperlink r:id="rId1740" ref="F874"/>
    <hyperlink r:id="rId1741" ref="C875"/>
    <hyperlink r:id="rId1742" ref="F875"/>
    <hyperlink r:id="rId1743" ref="C876"/>
    <hyperlink r:id="rId1744" ref="F876"/>
    <hyperlink r:id="rId1745" ref="C877"/>
    <hyperlink r:id="rId1746" ref="F877"/>
    <hyperlink r:id="rId1747" ref="C878"/>
    <hyperlink r:id="rId1748" ref="F878"/>
    <hyperlink r:id="rId1749" ref="C879"/>
    <hyperlink r:id="rId1750" ref="F879"/>
    <hyperlink r:id="rId1751" ref="C880"/>
    <hyperlink r:id="rId1752" ref="F880"/>
    <hyperlink r:id="rId1753" ref="C881"/>
    <hyperlink r:id="rId1754" ref="F881"/>
    <hyperlink r:id="rId1755" ref="C882"/>
    <hyperlink r:id="rId1756" ref="F882"/>
    <hyperlink r:id="rId1757" ref="C883"/>
    <hyperlink r:id="rId1758" ref="F883"/>
    <hyperlink r:id="rId1759" ref="C884"/>
    <hyperlink r:id="rId1760" ref="F884"/>
    <hyperlink r:id="rId1761" ref="C885"/>
    <hyperlink r:id="rId1762" ref="F885"/>
    <hyperlink r:id="rId1763" ref="C886"/>
    <hyperlink r:id="rId1764" ref="F886"/>
    <hyperlink r:id="rId1765" ref="C887"/>
    <hyperlink r:id="rId1766" ref="F887"/>
    <hyperlink r:id="rId1767" ref="C888"/>
    <hyperlink r:id="rId1768" ref="F888"/>
    <hyperlink r:id="rId1769" ref="C889"/>
    <hyperlink r:id="rId1770" ref="F889"/>
    <hyperlink r:id="rId1771" ref="C890"/>
    <hyperlink r:id="rId1772" ref="F890"/>
    <hyperlink r:id="rId1773" ref="C891"/>
    <hyperlink r:id="rId1774" ref="F891"/>
    <hyperlink r:id="rId1775" ref="C892"/>
    <hyperlink r:id="rId1776" ref="F892"/>
    <hyperlink r:id="rId1777" ref="C893"/>
    <hyperlink r:id="rId1778" ref="F893"/>
    <hyperlink r:id="rId1779" ref="C894"/>
    <hyperlink r:id="rId1780" ref="F894"/>
    <hyperlink r:id="rId1781" ref="C895"/>
    <hyperlink r:id="rId1782" ref="F895"/>
    <hyperlink r:id="rId1783" ref="C896"/>
    <hyperlink r:id="rId1784" ref="F896"/>
    <hyperlink r:id="rId1785" ref="C897"/>
    <hyperlink r:id="rId1786" ref="F897"/>
    <hyperlink r:id="rId1787" ref="C898"/>
    <hyperlink r:id="rId1788" ref="F898"/>
    <hyperlink r:id="rId1789" ref="C899"/>
    <hyperlink r:id="rId1790" ref="F899"/>
    <hyperlink r:id="rId1791" ref="C900"/>
    <hyperlink r:id="rId1792" ref="F900"/>
    <hyperlink r:id="rId1793" ref="C901"/>
    <hyperlink r:id="rId1794" ref="F901"/>
    <hyperlink r:id="rId1795" ref="C902"/>
    <hyperlink r:id="rId1796" ref="F902"/>
    <hyperlink r:id="rId1797" ref="C903"/>
    <hyperlink r:id="rId1798" ref="F903"/>
    <hyperlink r:id="rId1799" ref="C904"/>
    <hyperlink r:id="rId1800" ref="F904"/>
    <hyperlink r:id="rId1801" ref="C905"/>
    <hyperlink r:id="rId1802" ref="F905"/>
    <hyperlink r:id="rId1803" ref="C906"/>
    <hyperlink r:id="rId1804" ref="F906"/>
    <hyperlink r:id="rId1805" ref="C907"/>
    <hyperlink r:id="rId1806" ref="F907"/>
    <hyperlink r:id="rId1807" ref="C908"/>
    <hyperlink r:id="rId1808" ref="F908"/>
    <hyperlink r:id="rId1809" ref="C909"/>
    <hyperlink r:id="rId1810" ref="F909"/>
    <hyperlink r:id="rId1811" ref="C910"/>
    <hyperlink r:id="rId1812" ref="F910"/>
    <hyperlink r:id="rId1813" ref="C911"/>
    <hyperlink r:id="rId1814" ref="F911"/>
    <hyperlink r:id="rId1815" ref="C912"/>
    <hyperlink r:id="rId1816" ref="F912"/>
    <hyperlink r:id="rId1817" ref="C913"/>
    <hyperlink r:id="rId1818" ref="F913"/>
    <hyperlink r:id="rId1819" ref="C914"/>
    <hyperlink r:id="rId1820" ref="F914"/>
    <hyperlink r:id="rId1821" ref="C915"/>
    <hyperlink r:id="rId1822" ref="F915"/>
    <hyperlink r:id="rId1823" ref="C916"/>
    <hyperlink r:id="rId1824" ref="F916"/>
    <hyperlink r:id="rId1825" ref="C917"/>
    <hyperlink r:id="rId1826" ref="F917"/>
    <hyperlink r:id="rId1827" ref="C918"/>
    <hyperlink r:id="rId1828" ref="F918"/>
    <hyperlink r:id="rId1829" ref="C919"/>
    <hyperlink r:id="rId1830" ref="F919"/>
    <hyperlink r:id="rId1831" ref="C920"/>
    <hyperlink r:id="rId1832" ref="F920"/>
    <hyperlink r:id="rId1833" ref="C921"/>
    <hyperlink r:id="rId1834" ref="F921"/>
    <hyperlink r:id="rId1835" ref="C922"/>
    <hyperlink r:id="rId1836" ref="F922"/>
    <hyperlink r:id="rId1837" ref="C923"/>
    <hyperlink r:id="rId1838" ref="F923"/>
    <hyperlink r:id="rId1839" ref="C924"/>
    <hyperlink r:id="rId1840" ref="F924"/>
    <hyperlink r:id="rId1841" ref="C925"/>
    <hyperlink r:id="rId1842" ref="F925"/>
    <hyperlink r:id="rId1843" ref="C926"/>
    <hyperlink r:id="rId1844" ref="F926"/>
    <hyperlink r:id="rId1845" ref="C927"/>
    <hyperlink r:id="rId1846" ref="F927"/>
    <hyperlink r:id="rId1847" ref="C928"/>
    <hyperlink r:id="rId1848" ref="F928"/>
    <hyperlink r:id="rId1849" ref="C929"/>
    <hyperlink r:id="rId1850" ref="F929"/>
    <hyperlink r:id="rId1851" ref="C930"/>
    <hyperlink r:id="rId1852" ref="F930"/>
    <hyperlink r:id="rId1853" ref="C931"/>
    <hyperlink r:id="rId1854" ref="F931"/>
    <hyperlink r:id="rId1855" ref="C932"/>
    <hyperlink r:id="rId1856" ref="F932"/>
    <hyperlink r:id="rId1857" ref="C933"/>
    <hyperlink r:id="rId1858" ref="F933"/>
    <hyperlink r:id="rId1859" ref="C934"/>
    <hyperlink r:id="rId1860" ref="F934"/>
    <hyperlink r:id="rId1861" ref="C935"/>
    <hyperlink r:id="rId1862" ref="F935"/>
    <hyperlink r:id="rId1863" ref="C936"/>
    <hyperlink r:id="rId1864" ref="F936"/>
    <hyperlink r:id="rId1865" ref="C937"/>
    <hyperlink r:id="rId1866" ref="F937"/>
    <hyperlink r:id="rId1867" ref="C938"/>
    <hyperlink r:id="rId1868" ref="F938"/>
    <hyperlink r:id="rId1869" ref="C939"/>
    <hyperlink r:id="rId1870" ref="F939"/>
    <hyperlink r:id="rId1871" ref="C940"/>
    <hyperlink r:id="rId1872" ref="F940"/>
    <hyperlink r:id="rId1873" ref="C941"/>
    <hyperlink r:id="rId1874" ref="F941"/>
    <hyperlink r:id="rId1875" ref="C942"/>
    <hyperlink r:id="rId1876" ref="F942"/>
    <hyperlink r:id="rId1877" ref="C943"/>
    <hyperlink r:id="rId1878" ref="F943"/>
    <hyperlink r:id="rId1879" ref="C944"/>
    <hyperlink r:id="rId1880" ref="F944"/>
    <hyperlink r:id="rId1881" ref="C945"/>
    <hyperlink r:id="rId1882" ref="F945"/>
    <hyperlink r:id="rId1883" ref="C946"/>
    <hyperlink r:id="rId1884" ref="F946"/>
    <hyperlink r:id="rId1885" ref="C947"/>
    <hyperlink r:id="rId1886" ref="F947"/>
    <hyperlink r:id="rId1887" ref="C948"/>
    <hyperlink r:id="rId1888" ref="F948"/>
    <hyperlink r:id="rId1889" ref="C949"/>
    <hyperlink r:id="rId1890" ref="F949"/>
    <hyperlink r:id="rId1891" ref="C950"/>
    <hyperlink r:id="rId1892" ref="F950"/>
    <hyperlink r:id="rId1893" ref="C951"/>
    <hyperlink r:id="rId1894" ref="F951"/>
    <hyperlink r:id="rId1895" ref="C952"/>
    <hyperlink r:id="rId1896" ref="F952"/>
    <hyperlink r:id="rId1897" ref="C953"/>
    <hyperlink r:id="rId1898" ref="F953"/>
    <hyperlink r:id="rId1899" ref="C954"/>
    <hyperlink r:id="rId1900" ref="F954"/>
    <hyperlink r:id="rId1901" ref="C955"/>
    <hyperlink r:id="rId1902" ref="F955"/>
    <hyperlink r:id="rId1903" ref="C956"/>
    <hyperlink r:id="rId1904" ref="F956"/>
    <hyperlink r:id="rId1905" ref="C957"/>
    <hyperlink r:id="rId1906" ref="F957"/>
    <hyperlink r:id="rId1907" ref="C958"/>
    <hyperlink r:id="rId1908" ref="F958"/>
    <hyperlink r:id="rId1909" ref="C959"/>
    <hyperlink r:id="rId1910" ref="F959"/>
    <hyperlink r:id="rId1911" ref="C960"/>
    <hyperlink r:id="rId1912" ref="F960"/>
    <hyperlink r:id="rId1913" ref="C961"/>
    <hyperlink r:id="rId1914" ref="F961"/>
    <hyperlink r:id="rId1915" ref="C962"/>
    <hyperlink r:id="rId1916" ref="F962"/>
    <hyperlink r:id="rId1917" ref="C963"/>
    <hyperlink r:id="rId1918" ref="F963"/>
    <hyperlink r:id="rId1919" ref="C964"/>
    <hyperlink r:id="rId1920" ref="F964"/>
    <hyperlink r:id="rId1921" ref="C965"/>
    <hyperlink r:id="rId1922" ref="F965"/>
    <hyperlink r:id="rId1923" ref="C966"/>
    <hyperlink r:id="rId1924" ref="F966"/>
    <hyperlink r:id="rId1925" ref="C967"/>
    <hyperlink r:id="rId1926" ref="F967"/>
    <hyperlink r:id="rId1927" ref="C968"/>
    <hyperlink r:id="rId1928" ref="F968"/>
    <hyperlink r:id="rId1929" ref="C969"/>
    <hyperlink r:id="rId1930" ref="F969"/>
    <hyperlink r:id="rId1931" ref="C970"/>
    <hyperlink r:id="rId1932" ref="F970"/>
    <hyperlink r:id="rId1933" ref="C971"/>
    <hyperlink r:id="rId1934" ref="F971"/>
    <hyperlink r:id="rId1935" ref="C972"/>
    <hyperlink r:id="rId1936" ref="F972"/>
    <hyperlink r:id="rId1937" ref="C973"/>
    <hyperlink r:id="rId1938" ref="F973"/>
    <hyperlink r:id="rId1939" ref="C974"/>
    <hyperlink r:id="rId1940" ref="F974"/>
    <hyperlink r:id="rId1941" ref="C975"/>
    <hyperlink r:id="rId1942" ref="F975"/>
    <hyperlink r:id="rId1943" ref="C976"/>
    <hyperlink r:id="rId1944" ref="F976"/>
    <hyperlink r:id="rId1945" ref="C977"/>
    <hyperlink r:id="rId1946" ref="F977"/>
    <hyperlink r:id="rId1947" ref="C978"/>
    <hyperlink r:id="rId1948" ref="F978"/>
    <hyperlink r:id="rId1949" ref="C979"/>
    <hyperlink r:id="rId1950" ref="F979"/>
    <hyperlink r:id="rId1951" ref="C980"/>
    <hyperlink r:id="rId1952" ref="F980"/>
    <hyperlink r:id="rId1953" ref="C981"/>
    <hyperlink r:id="rId1954" ref="F981"/>
    <hyperlink r:id="rId1955" ref="C982"/>
    <hyperlink r:id="rId1956" ref="F982"/>
    <hyperlink r:id="rId1957" ref="C983"/>
    <hyperlink r:id="rId1958" ref="F983"/>
    <hyperlink r:id="rId1959" ref="C984"/>
    <hyperlink r:id="rId1960" ref="F984"/>
    <hyperlink r:id="rId1961" ref="C985"/>
    <hyperlink r:id="rId1962" ref="F985"/>
    <hyperlink r:id="rId1963" ref="C986"/>
    <hyperlink r:id="rId1964" ref="F986"/>
    <hyperlink r:id="rId1965" ref="C987"/>
    <hyperlink r:id="rId1966" ref="F987"/>
    <hyperlink r:id="rId1967" ref="C988"/>
    <hyperlink r:id="rId1968" ref="F988"/>
    <hyperlink r:id="rId1969" ref="C989"/>
    <hyperlink r:id="rId1970" ref="F989"/>
    <hyperlink r:id="rId1971" ref="C990"/>
    <hyperlink r:id="rId1972" ref="F990"/>
    <hyperlink r:id="rId1973" ref="C991"/>
    <hyperlink r:id="rId1974" ref="F991"/>
    <hyperlink r:id="rId1975" ref="C992"/>
    <hyperlink r:id="rId1976" ref="F992"/>
    <hyperlink r:id="rId1977" ref="C993"/>
    <hyperlink r:id="rId1978" ref="F993"/>
    <hyperlink r:id="rId1979" ref="C994"/>
    <hyperlink r:id="rId1980" ref="F994"/>
    <hyperlink r:id="rId1981" ref="C995"/>
    <hyperlink r:id="rId1982" ref="F995"/>
    <hyperlink r:id="rId1983" ref="C996"/>
    <hyperlink r:id="rId1984" ref="F996"/>
    <hyperlink r:id="rId1985" ref="C997"/>
    <hyperlink r:id="rId1986" ref="F997"/>
    <hyperlink r:id="rId1987" ref="C998"/>
    <hyperlink r:id="rId1988" ref="F998"/>
    <hyperlink r:id="rId1989" ref="C999"/>
    <hyperlink r:id="rId1990" ref="F999"/>
    <hyperlink r:id="rId1991" ref="C1000"/>
    <hyperlink r:id="rId1992" ref="F1000"/>
    <hyperlink r:id="rId1993" ref="C1001"/>
    <hyperlink r:id="rId1994" ref="F1001"/>
    <hyperlink r:id="rId1995" ref="C1002"/>
    <hyperlink r:id="rId1996" ref="F1002"/>
    <hyperlink r:id="rId1997" ref="C1003"/>
    <hyperlink r:id="rId1998" ref="F1003"/>
    <hyperlink r:id="rId1999" ref="C1004"/>
    <hyperlink r:id="rId2000" ref="F1004"/>
    <hyperlink r:id="rId2001" ref="C1005"/>
    <hyperlink r:id="rId2002" ref="F1005"/>
    <hyperlink r:id="rId2003" ref="C1006"/>
    <hyperlink r:id="rId2004" ref="F1006"/>
    <hyperlink r:id="rId2005" ref="C1007"/>
    <hyperlink r:id="rId2006" ref="F1007"/>
    <hyperlink r:id="rId2007" ref="C1008"/>
    <hyperlink r:id="rId2008" ref="F1008"/>
    <hyperlink r:id="rId2009" ref="C1009"/>
    <hyperlink r:id="rId2010" ref="F1009"/>
    <hyperlink r:id="rId2011" ref="C1010"/>
    <hyperlink r:id="rId2012" ref="F1010"/>
    <hyperlink r:id="rId2013" ref="C1011"/>
    <hyperlink r:id="rId2014" ref="F1011"/>
    <hyperlink r:id="rId2015" ref="C1012"/>
    <hyperlink r:id="rId2016" ref="F1012"/>
    <hyperlink r:id="rId2017" ref="C1013"/>
    <hyperlink r:id="rId2018" ref="F1013"/>
    <hyperlink r:id="rId2019" ref="C1014"/>
    <hyperlink r:id="rId2020" ref="F1014"/>
    <hyperlink r:id="rId2021" ref="C1015"/>
    <hyperlink r:id="rId2022" ref="F1015"/>
    <hyperlink r:id="rId2023" ref="C1016"/>
    <hyperlink r:id="rId2024" ref="F1016"/>
    <hyperlink r:id="rId2025" ref="C1017"/>
    <hyperlink r:id="rId2026" ref="F1017"/>
    <hyperlink r:id="rId2027" ref="C1018"/>
    <hyperlink r:id="rId2028" ref="F1018"/>
    <hyperlink r:id="rId2029" ref="C1019"/>
    <hyperlink r:id="rId2030" ref="F1019"/>
    <hyperlink r:id="rId2031" ref="C1020"/>
    <hyperlink r:id="rId2032" ref="F1020"/>
    <hyperlink r:id="rId2033" ref="C1021"/>
    <hyperlink r:id="rId2034" ref="F1021"/>
    <hyperlink r:id="rId2035" ref="C1022"/>
    <hyperlink r:id="rId2036" ref="F1022"/>
    <hyperlink r:id="rId2037" ref="C1023"/>
    <hyperlink r:id="rId2038" ref="F1023"/>
    <hyperlink r:id="rId2039" ref="C1024"/>
    <hyperlink r:id="rId2040" ref="F1024"/>
    <hyperlink r:id="rId2041" ref="C1025"/>
    <hyperlink r:id="rId2042" ref="F1025"/>
    <hyperlink r:id="rId2043" ref="C1026"/>
    <hyperlink r:id="rId2044" ref="F1026"/>
    <hyperlink r:id="rId2045" ref="C1027"/>
    <hyperlink r:id="rId2046" ref="F1027"/>
    <hyperlink r:id="rId2047" ref="C1028"/>
    <hyperlink r:id="rId2048" ref="F1028"/>
    <hyperlink r:id="rId2049" ref="C1029"/>
    <hyperlink r:id="rId2050" ref="F1029"/>
    <hyperlink r:id="rId2051" ref="C1030"/>
    <hyperlink r:id="rId2052" ref="F1030"/>
    <hyperlink r:id="rId2053" ref="C1031"/>
    <hyperlink r:id="rId2054" ref="F1031"/>
    <hyperlink r:id="rId2055" ref="C1032"/>
    <hyperlink r:id="rId2056" ref="F1032"/>
    <hyperlink r:id="rId2057" ref="C1033"/>
    <hyperlink r:id="rId2058" ref="F1033"/>
    <hyperlink r:id="rId2059" ref="C1034"/>
    <hyperlink r:id="rId2060" ref="F1034"/>
    <hyperlink r:id="rId2061" ref="C1035"/>
    <hyperlink r:id="rId2062" ref="F1035"/>
    <hyperlink r:id="rId2063" ref="C1036"/>
    <hyperlink r:id="rId2064" ref="F1036"/>
    <hyperlink r:id="rId2065" ref="C1037"/>
    <hyperlink r:id="rId2066" ref="F1037"/>
    <hyperlink r:id="rId2067" ref="A1038"/>
    <hyperlink r:id="rId2068" ref="C1039"/>
    <hyperlink r:id="rId2069" ref="F1039"/>
    <hyperlink r:id="rId2070" ref="C1040"/>
    <hyperlink r:id="rId2071" ref="F1040"/>
    <hyperlink r:id="rId2072" ref="C1041"/>
    <hyperlink r:id="rId2073" ref="F1041"/>
    <hyperlink r:id="rId2074" ref="C1042"/>
    <hyperlink r:id="rId2075" ref="F1042"/>
    <hyperlink r:id="rId2076" ref="C1043"/>
    <hyperlink r:id="rId2077" ref="F1043"/>
    <hyperlink r:id="rId2078" ref="C1044"/>
    <hyperlink r:id="rId2079" ref="F1044"/>
    <hyperlink r:id="rId2080" ref="C1045"/>
    <hyperlink r:id="rId2081" ref="F1045"/>
    <hyperlink r:id="rId2082" ref="C1046"/>
    <hyperlink r:id="rId2083" ref="F1046"/>
    <hyperlink r:id="rId2084" ref="C1047"/>
    <hyperlink r:id="rId2085" ref="F1047"/>
    <hyperlink r:id="rId2086" ref="C1048"/>
    <hyperlink r:id="rId2087" ref="F1048"/>
    <hyperlink r:id="rId2088" ref="C1049"/>
    <hyperlink r:id="rId2089" ref="F1049"/>
    <hyperlink r:id="rId2090" ref="C1050"/>
    <hyperlink r:id="rId2091" ref="F1050"/>
    <hyperlink r:id="rId2092" ref="C1051"/>
    <hyperlink r:id="rId2093" ref="F1051"/>
    <hyperlink r:id="rId2094" ref="C1052"/>
    <hyperlink r:id="rId2095" ref="F1052"/>
    <hyperlink r:id="rId2096" ref="C1053"/>
    <hyperlink r:id="rId2097" ref="F1053"/>
    <hyperlink r:id="rId2098" ref="C1054"/>
    <hyperlink r:id="rId2099" ref="F1054"/>
    <hyperlink r:id="rId2100" ref="C1055"/>
    <hyperlink r:id="rId2101" ref="F1055"/>
    <hyperlink r:id="rId2102" ref="C1057"/>
    <hyperlink r:id="rId2103" ref="F1057"/>
    <hyperlink r:id="rId2104" ref="C1058"/>
    <hyperlink r:id="rId2105" ref="F1058"/>
    <hyperlink r:id="rId2106" ref="C1059"/>
    <hyperlink r:id="rId2107" ref="F1059"/>
    <hyperlink r:id="rId2108" ref="C1061"/>
    <hyperlink r:id="rId2109" ref="F1061"/>
    <hyperlink r:id="rId2110" ref="C1062"/>
    <hyperlink r:id="rId2111" ref="F1062"/>
    <hyperlink r:id="rId2112" ref="C1063"/>
    <hyperlink r:id="rId2113" ref="F1063"/>
    <hyperlink r:id="rId2114" ref="C1064"/>
    <hyperlink r:id="rId2115" ref="F1064"/>
    <hyperlink r:id="rId2116" ref="C1065"/>
    <hyperlink r:id="rId2117" ref="F1065"/>
    <hyperlink r:id="rId2118" ref="C1066"/>
    <hyperlink r:id="rId2119" ref="F1066"/>
    <hyperlink r:id="rId2120" ref="C1067"/>
    <hyperlink r:id="rId2121" ref="F1067"/>
    <hyperlink r:id="rId2122" ref="C1068"/>
    <hyperlink r:id="rId2123" ref="F1068"/>
    <hyperlink r:id="rId2124" ref="C1069"/>
    <hyperlink r:id="rId2125" ref="F1069"/>
    <hyperlink r:id="rId2126" ref="C1070"/>
    <hyperlink r:id="rId2127" ref="F1070"/>
    <hyperlink r:id="rId2128" ref="C1071"/>
    <hyperlink r:id="rId2129" ref="F1071"/>
    <hyperlink r:id="rId2130" ref="C1072"/>
    <hyperlink r:id="rId2131" ref="F1072"/>
    <hyperlink r:id="rId2132" ref="C1073"/>
    <hyperlink r:id="rId2133" ref="F1073"/>
    <hyperlink r:id="rId2134" ref="C1074"/>
    <hyperlink r:id="rId2135" ref="F1074"/>
    <hyperlink r:id="rId2136" ref="C1075"/>
    <hyperlink r:id="rId2137" ref="F1075"/>
    <hyperlink r:id="rId2138" ref="C1076"/>
    <hyperlink r:id="rId2139" ref="F1076"/>
    <hyperlink r:id="rId2140" ref="C1077"/>
    <hyperlink r:id="rId2141" ref="F1077"/>
    <hyperlink r:id="rId2142" ref="C1078"/>
    <hyperlink r:id="rId2143" ref="F1078"/>
    <hyperlink r:id="rId2144" ref="C1080"/>
    <hyperlink r:id="rId2145" ref="F1080"/>
    <hyperlink r:id="rId2146" ref="C1081"/>
    <hyperlink r:id="rId2147" ref="F1081"/>
    <hyperlink r:id="rId2148" ref="C1082"/>
    <hyperlink r:id="rId2149" ref="F1082"/>
    <hyperlink r:id="rId2150" ref="C1083"/>
    <hyperlink r:id="rId2151" ref="F1083"/>
    <hyperlink r:id="rId2152" ref="C1084"/>
    <hyperlink r:id="rId2153" ref="F1084"/>
    <hyperlink r:id="rId2154" ref="C1085"/>
    <hyperlink r:id="rId2155" ref="F1085"/>
    <hyperlink r:id="rId2156" ref="C1086"/>
    <hyperlink r:id="rId2157" ref="F1086"/>
    <hyperlink r:id="rId2158" ref="C1087"/>
    <hyperlink r:id="rId2159" ref="F1087"/>
    <hyperlink r:id="rId2160" ref="C1088"/>
    <hyperlink r:id="rId2161" ref="F1088"/>
    <hyperlink r:id="rId2162" ref="C1089"/>
    <hyperlink r:id="rId2163" ref="F1089"/>
    <hyperlink r:id="rId2164" ref="C1090"/>
    <hyperlink r:id="rId2165" ref="F1090"/>
    <hyperlink r:id="rId2166" ref="C1091"/>
    <hyperlink r:id="rId2167" ref="F1091"/>
    <hyperlink r:id="rId2168" ref="C1092"/>
    <hyperlink r:id="rId2169" ref="F1092"/>
    <hyperlink r:id="rId2170" ref="C1093"/>
    <hyperlink r:id="rId2171" ref="F1093"/>
    <hyperlink r:id="rId2172" ref="C1094"/>
    <hyperlink r:id="rId2173" ref="F1094"/>
    <hyperlink r:id="rId2174" ref="C1095"/>
    <hyperlink r:id="rId2175" ref="F1095"/>
    <hyperlink r:id="rId2176" ref="C1096"/>
    <hyperlink r:id="rId2177" ref="F1096"/>
    <hyperlink r:id="rId2178" ref="C1097"/>
    <hyperlink r:id="rId2179" ref="F1097"/>
    <hyperlink r:id="rId2180" ref="C1098"/>
    <hyperlink r:id="rId2181" ref="F1098"/>
    <hyperlink r:id="rId2182" ref="C1099"/>
    <hyperlink r:id="rId2183" ref="F1099"/>
    <hyperlink r:id="rId2184" ref="C1100"/>
    <hyperlink r:id="rId2185" ref="F1100"/>
    <hyperlink r:id="rId2186" ref="C1101"/>
    <hyperlink r:id="rId2187" ref="F1101"/>
    <hyperlink r:id="rId2188" ref="C1102"/>
    <hyperlink r:id="rId2189" ref="F1102"/>
    <hyperlink r:id="rId2190" ref="C1103"/>
    <hyperlink r:id="rId2191" ref="F1103"/>
    <hyperlink r:id="rId2192" ref="C1104"/>
    <hyperlink r:id="rId2193" ref="F1104"/>
    <hyperlink r:id="rId2194" ref="C1105"/>
    <hyperlink r:id="rId2195" ref="F1105"/>
    <hyperlink r:id="rId2196" ref="C1106"/>
    <hyperlink r:id="rId2197" ref="F1106"/>
    <hyperlink r:id="rId2198" ref="C1107"/>
    <hyperlink r:id="rId2199" ref="F1107"/>
    <hyperlink r:id="rId2200" ref="C1108"/>
    <hyperlink r:id="rId2201" ref="F1108"/>
    <hyperlink r:id="rId2202" ref="C1109"/>
    <hyperlink r:id="rId2203" ref="F1109"/>
    <hyperlink r:id="rId2204" ref="C1110"/>
    <hyperlink r:id="rId2205" ref="F1110"/>
    <hyperlink r:id="rId2206" ref="C1111"/>
    <hyperlink r:id="rId2207" ref="F1111"/>
    <hyperlink r:id="rId2208" ref="C1112"/>
    <hyperlink r:id="rId2209" ref="F1112"/>
    <hyperlink r:id="rId2210" ref="C1113"/>
    <hyperlink r:id="rId2211" ref="F1113"/>
    <hyperlink r:id="rId2212" ref="C1114"/>
    <hyperlink r:id="rId2213" ref="F1114"/>
    <hyperlink r:id="rId2214" ref="C1115"/>
    <hyperlink r:id="rId2215" ref="F1115"/>
    <hyperlink r:id="rId2216" ref="C1116"/>
    <hyperlink r:id="rId2217" ref="F1116"/>
    <hyperlink r:id="rId2218" ref="C1117"/>
    <hyperlink r:id="rId2219" ref="F1117"/>
    <hyperlink r:id="rId2220" ref="C1118"/>
    <hyperlink r:id="rId2221" ref="F1118"/>
    <hyperlink r:id="rId2222" ref="C1119"/>
    <hyperlink r:id="rId2223" ref="F1119"/>
    <hyperlink r:id="rId2224" ref="C1120"/>
    <hyperlink r:id="rId2225" ref="F1120"/>
    <hyperlink r:id="rId2226" ref="C1121"/>
    <hyperlink r:id="rId2227" ref="F1121"/>
    <hyperlink r:id="rId2228" ref="C1122"/>
    <hyperlink r:id="rId2229" ref="F1122"/>
    <hyperlink r:id="rId2230" ref="C1123"/>
    <hyperlink r:id="rId2231" ref="F1123"/>
    <hyperlink r:id="rId2232" ref="C1124"/>
    <hyperlink r:id="rId2233" ref="F1124"/>
    <hyperlink r:id="rId2234" ref="C1125"/>
    <hyperlink r:id="rId2235" ref="F1125"/>
    <hyperlink r:id="rId2236" ref="C1126"/>
    <hyperlink r:id="rId2237" ref="F1126"/>
    <hyperlink r:id="rId2238" ref="C1128"/>
    <hyperlink r:id="rId2239" ref="F1128"/>
    <hyperlink r:id="rId2240" ref="C1129"/>
    <hyperlink r:id="rId2241" ref="F1129"/>
    <hyperlink r:id="rId2242" ref="C1130"/>
    <hyperlink r:id="rId2243" ref="F1130"/>
    <hyperlink r:id="rId2244" ref="C1131"/>
    <hyperlink r:id="rId2245" ref="F1131"/>
    <hyperlink r:id="rId2246" ref="C1132"/>
    <hyperlink r:id="rId2247" ref="F1132"/>
    <hyperlink r:id="rId2248" ref="C1133"/>
    <hyperlink r:id="rId2249" ref="F1133"/>
    <hyperlink r:id="rId2250" ref="C1134"/>
    <hyperlink r:id="rId2251" ref="F1134"/>
    <hyperlink r:id="rId2252" ref="C1135"/>
    <hyperlink r:id="rId2253" ref="F1135"/>
    <hyperlink r:id="rId2254" ref="C1136"/>
    <hyperlink r:id="rId2255" ref="F1136"/>
    <hyperlink r:id="rId2256" ref="C1137"/>
    <hyperlink r:id="rId2257" ref="F1137"/>
    <hyperlink r:id="rId2258" ref="C1138"/>
    <hyperlink r:id="rId2259" ref="F1138"/>
    <hyperlink r:id="rId2260" ref="C1139"/>
    <hyperlink r:id="rId2261" ref="F1139"/>
    <hyperlink r:id="rId2262" ref="C1140"/>
    <hyperlink r:id="rId2263" ref="F1140"/>
    <hyperlink r:id="rId2264" ref="C1141"/>
    <hyperlink r:id="rId2265" ref="F1141"/>
    <hyperlink r:id="rId2266" ref="C1142"/>
    <hyperlink r:id="rId2267" ref="F1142"/>
    <hyperlink r:id="rId2268" ref="C1143"/>
    <hyperlink r:id="rId2269" ref="F1143"/>
    <hyperlink r:id="rId2270" ref="C1144"/>
    <hyperlink r:id="rId2271" ref="F1144"/>
    <hyperlink r:id="rId2272" ref="C1145"/>
    <hyperlink r:id="rId2273" ref="F1145"/>
    <hyperlink r:id="rId2274" ref="C1146"/>
    <hyperlink r:id="rId2275" ref="F1146"/>
    <hyperlink r:id="rId2276" ref="C1147"/>
    <hyperlink r:id="rId2277" ref="F1147"/>
    <hyperlink r:id="rId2278" ref="C1148"/>
    <hyperlink r:id="rId2279" ref="F1148"/>
    <hyperlink r:id="rId2280" ref="C1149"/>
    <hyperlink r:id="rId2281" ref="F1149"/>
    <hyperlink r:id="rId2282" ref="C1150"/>
    <hyperlink r:id="rId2283" ref="F1150"/>
    <hyperlink r:id="rId2284" ref="C1151"/>
    <hyperlink r:id="rId2285" ref="F1151"/>
    <hyperlink r:id="rId2286" ref="C1152"/>
    <hyperlink r:id="rId2287" ref="F1152"/>
    <hyperlink r:id="rId2288" ref="C1153"/>
    <hyperlink r:id="rId2289" ref="F1153"/>
    <hyperlink r:id="rId2290" ref="C1154"/>
    <hyperlink r:id="rId2291" ref="F1154"/>
    <hyperlink r:id="rId2292" ref="C1155"/>
    <hyperlink r:id="rId2293" ref="F1155"/>
    <hyperlink r:id="rId2294" ref="C1156"/>
    <hyperlink r:id="rId2295" ref="F1156"/>
    <hyperlink r:id="rId2296" ref="C1157"/>
    <hyperlink r:id="rId2297" ref="F1157"/>
    <hyperlink r:id="rId2298" ref="C1158"/>
    <hyperlink r:id="rId2299" ref="F1158"/>
    <hyperlink r:id="rId2300" ref="C1159"/>
    <hyperlink r:id="rId2301" ref="F1159"/>
    <hyperlink r:id="rId2302" ref="C1160"/>
    <hyperlink r:id="rId2303" ref="F1160"/>
    <hyperlink r:id="rId2304" ref="C1161"/>
    <hyperlink r:id="rId2305" ref="F1161"/>
    <hyperlink r:id="rId2306" ref="C1162"/>
    <hyperlink r:id="rId2307" ref="F1162"/>
    <hyperlink r:id="rId2308" ref="C1163"/>
    <hyperlink r:id="rId2309" ref="F1163"/>
    <hyperlink r:id="rId2310" ref="C1164"/>
    <hyperlink r:id="rId2311" ref="F1164"/>
    <hyperlink r:id="rId2312" ref="C1165"/>
    <hyperlink r:id="rId2313" ref="F1165"/>
    <hyperlink r:id="rId2314" ref="C1166"/>
    <hyperlink r:id="rId2315" ref="F1166"/>
    <hyperlink r:id="rId2316" ref="C1167"/>
    <hyperlink r:id="rId2317" ref="F1167"/>
    <hyperlink r:id="rId2318" ref="C1168"/>
    <hyperlink r:id="rId2319" ref="F1168"/>
    <hyperlink r:id="rId2320" ref="C1169"/>
    <hyperlink r:id="rId2321" ref="F1169"/>
    <hyperlink r:id="rId2322" ref="C1170"/>
    <hyperlink r:id="rId2323" ref="F1170"/>
    <hyperlink r:id="rId2324" ref="C1171"/>
    <hyperlink r:id="rId2325" ref="F1171"/>
    <hyperlink r:id="rId2326" ref="C1172"/>
    <hyperlink r:id="rId2327" ref="F1172"/>
    <hyperlink r:id="rId2328" ref="C1173"/>
    <hyperlink r:id="rId2329" ref="F1173"/>
    <hyperlink r:id="rId2330" ref="C1174"/>
    <hyperlink r:id="rId2331" ref="F1174"/>
    <hyperlink r:id="rId2332" ref="C1175"/>
    <hyperlink r:id="rId2333" ref="F1175"/>
    <hyperlink r:id="rId2334" ref="C1176"/>
    <hyperlink r:id="rId2335" ref="F1176"/>
    <hyperlink r:id="rId2336" ref="C1177"/>
    <hyperlink r:id="rId2337" ref="F1177"/>
    <hyperlink r:id="rId2338" ref="C1178"/>
    <hyperlink r:id="rId2339" ref="F1178"/>
    <hyperlink r:id="rId2340" ref="C1179"/>
    <hyperlink r:id="rId2341" ref="F1179"/>
    <hyperlink r:id="rId2342" ref="C1180"/>
    <hyperlink r:id="rId2343" ref="F1180"/>
    <hyperlink r:id="rId2344" ref="C1181"/>
    <hyperlink r:id="rId2345" ref="F1181"/>
    <hyperlink r:id="rId2346" ref="C1182"/>
    <hyperlink r:id="rId2347" ref="F1182"/>
    <hyperlink r:id="rId2348" ref="C1183"/>
    <hyperlink r:id="rId2349" ref="F1183"/>
  </hyperlinks>
  <drawing r:id="rId23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3</v>
      </c>
      <c r="C1" s="1" t="s">
        <v>6</v>
      </c>
      <c r="D1" s="1" t="s">
        <v>9</v>
      </c>
      <c r="E1" s="1" t="s">
        <v>11</v>
      </c>
      <c r="F1" s="1" t="s">
        <v>14</v>
      </c>
      <c r="G1" s="1" t="s">
        <v>17</v>
      </c>
      <c r="H1" s="1" t="s">
        <v>20</v>
      </c>
      <c r="I1" s="2"/>
      <c r="J1" s="2"/>
      <c r="K1" s="2"/>
      <c r="L1" s="2"/>
      <c r="M1" s="2"/>
      <c r="N1" s="2"/>
      <c r="O1" s="2"/>
      <c r="P1" s="2"/>
      <c r="Q1" s="2"/>
      <c r="R1" s="2"/>
      <c r="S1" s="2"/>
      <c r="T1" s="2"/>
      <c r="U1" s="2"/>
      <c r="V1" s="2"/>
      <c r="W1" s="2"/>
      <c r="X1" s="2"/>
      <c r="Y1" s="2"/>
      <c r="Z1" s="2"/>
    </row>
    <row r="2">
      <c r="A2" s="4" t="s">
        <v>39</v>
      </c>
      <c r="B2" s="4"/>
      <c r="C2" s="4"/>
      <c r="D2" s="4"/>
      <c r="E2" s="4"/>
      <c r="F2" s="4"/>
      <c r="G2" s="4"/>
      <c r="H2" s="4"/>
    </row>
    <row r="3">
      <c r="A3" s="4">
        <v>1.0</v>
      </c>
      <c r="B3" s="4" t="s">
        <v>46</v>
      </c>
      <c r="C3" s="7" t="s">
        <v>47</v>
      </c>
      <c r="D3" s="4" t="s">
        <v>39</v>
      </c>
      <c r="E3" s="4" t="s">
        <v>68</v>
      </c>
      <c r="F3" s="7" t="s">
        <v>72</v>
      </c>
      <c r="G3" s="4" t="s">
        <v>113</v>
      </c>
      <c r="H3" s="4" t="s">
        <v>115</v>
      </c>
    </row>
    <row r="4">
      <c r="A4" s="4">
        <v>2.0</v>
      </c>
      <c r="B4" s="4" t="s">
        <v>46</v>
      </c>
      <c r="C4" s="7" t="s">
        <v>47</v>
      </c>
      <c r="D4" s="4" t="s">
        <v>39</v>
      </c>
      <c r="E4" s="4" t="s">
        <v>68</v>
      </c>
      <c r="F4" s="7" t="s">
        <v>72</v>
      </c>
      <c r="G4" s="4">
        <v>8.5615326079527E14</v>
      </c>
      <c r="H4" s="4" t="s">
        <v>126</v>
      </c>
    </row>
    <row r="5">
      <c r="A5" s="4">
        <v>3.0</v>
      </c>
      <c r="B5" s="4" t="s">
        <v>127</v>
      </c>
      <c r="C5" s="7" t="s">
        <v>129</v>
      </c>
      <c r="D5" s="4" t="s">
        <v>39</v>
      </c>
      <c r="E5" s="4" t="s">
        <v>148</v>
      </c>
      <c r="F5" s="7" t="s">
        <v>72</v>
      </c>
      <c r="G5" s="4" t="s">
        <v>151</v>
      </c>
      <c r="H5" s="4" t="s">
        <v>152</v>
      </c>
    </row>
    <row r="6">
      <c r="A6" s="4">
        <v>4.0</v>
      </c>
      <c r="B6" s="4" t="s">
        <v>46</v>
      </c>
      <c r="C6" s="7" t="s">
        <v>47</v>
      </c>
      <c r="D6" s="4" t="s">
        <v>39</v>
      </c>
      <c r="E6" s="4" t="s">
        <v>68</v>
      </c>
      <c r="F6" s="7" t="s">
        <v>72</v>
      </c>
      <c r="G6" s="4" t="s">
        <v>158</v>
      </c>
      <c r="H6" s="4" t="s">
        <v>115</v>
      </c>
    </row>
    <row r="7">
      <c r="A7" s="4">
        <v>5.0</v>
      </c>
      <c r="B7" s="4" t="s">
        <v>127</v>
      </c>
      <c r="C7" s="7" t="s">
        <v>129</v>
      </c>
      <c r="D7" s="4" t="s">
        <v>39</v>
      </c>
      <c r="E7" s="4" t="s">
        <v>148</v>
      </c>
      <c r="F7" s="7" t="s">
        <v>72</v>
      </c>
      <c r="G7" s="4">
        <v>2.54241065618026E15</v>
      </c>
      <c r="H7" s="4" t="s">
        <v>169</v>
      </c>
    </row>
    <row r="8">
      <c r="A8" s="4">
        <v>6.0</v>
      </c>
      <c r="B8" s="4" t="s">
        <v>46</v>
      </c>
      <c r="C8" s="7" t="s">
        <v>47</v>
      </c>
      <c r="D8" s="4" t="s">
        <v>39</v>
      </c>
      <c r="E8" s="4" t="s">
        <v>68</v>
      </c>
      <c r="F8" s="7" t="s">
        <v>72</v>
      </c>
      <c r="G8" s="4" t="s">
        <v>174</v>
      </c>
      <c r="H8" s="4" t="s">
        <v>115</v>
      </c>
    </row>
    <row r="9">
      <c r="A9" s="4">
        <v>7.0</v>
      </c>
      <c r="B9" s="4" t="s">
        <v>127</v>
      </c>
      <c r="C9" s="7" t="s">
        <v>129</v>
      </c>
      <c r="D9" s="4" t="s">
        <v>39</v>
      </c>
      <c r="E9" s="4" t="s">
        <v>183</v>
      </c>
      <c r="F9" s="7" t="s">
        <v>72</v>
      </c>
      <c r="G9" s="4" t="s">
        <v>186</v>
      </c>
      <c r="H9" s="4" t="s">
        <v>169</v>
      </c>
    </row>
    <row r="10">
      <c r="A10" s="4">
        <v>8.0</v>
      </c>
      <c r="B10" s="4" t="s">
        <v>127</v>
      </c>
      <c r="C10" s="7" t="s">
        <v>129</v>
      </c>
      <c r="D10" s="4" t="s">
        <v>39</v>
      </c>
      <c r="E10" s="4" t="s">
        <v>183</v>
      </c>
      <c r="F10" s="7" t="s">
        <v>72</v>
      </c>
      <c r="G10" s="4" t="s">
        <v>191</v>
      </c>
      <c r="H10" s="4" t="s">
        <v>152</v>
      </c>
    </row>
    <row r="11">
      <c r="A11" s="4">
        <v>9.0</v>
      </c>
      <c r="B11" s="4" t="s">
        <v>46</v>
      </c>
      <c r="C11" s="7" t="s">
        <v>87</v>
      </c>
      <c r="D11" s="4" t="s">
        <v>39</v>
      </c>
      <c r="E11" s="4" t="s">
        <v>205</v>
      </c>
      <c r="F11" s="7" t="s">
        <v>72</v>
      </c>
      <c r="G11" s="4" t="s">
        <v>208</v>
      </c>
      <c r="H11" s="4" t="s">
        <v>209</v>
      </c>
    </row>
    <row r="12">
      <c r="A12" s="4">
        <v>10.0</v>
      </c>
      <c r="B12" s="4" t="s">
        <v>127</v>
      </c>
      <c r="C12" s="7" t="s">
        <v>129</v>
      </c>
      <c r="D12" s="4" t="s">
        <v>39</v>
      </c>
      <c r="E12" s="4" t="s">
        <v>183</v>
      </c>
      <c r="F12" s="7" t="s">
        <v>72</v>
      </c>
      <c r="G12" s="4" t="s">
        <v>216</v>
      </c>
      <c r="H12" s="4" t="s">
        <v>152</v>
      </c>
    </row>
    <row r="13">
      <c r="A13" s="4">
        <v>11.0</v>
      </c>
      <c r="B13" s="4" t="s">
        <v>127</v>
      </c>
      <c r="C13" s="7" t="s">
        <v>129</v>
      </c>
      <c r="D13" s="4" t="s">
        <v>39</v>
      </c>
      <c r="E13" s="4" t="s">
        <v>218</v>
      </c>
      <c r="F13" s="7" t="s">
        <v>72</v>
      </c>
      <c r="G13" s="4" t="s">
        <v>223</v>
      </c>
      <c r="H13" s="4" t="s">
        <v>169</v>
      </c>
    </row>
    <row r="14">
      <c r="A14" s="4">
        <v>12.0</v>
      </c>
      <c r="B14" s="4" t="s">
        <v>127</v>
      </c>
      <c r="C14" s="7" t="s">
        <v>129</v>
      </c>
      <c r="D14" s="4" t="s">
        <v>39</v>
      </c>
      <c r="E14" s="4" t="s">
        <v>148</v>
      </c>
      <c r="F14" s="7" t="s">
        <v>72</v>
      </c>
      <c r="G14" s="4" t="s">
        <v>226</v>
      </c>
      <c r="H14" s="4" t="s">
        <v>169</v>
      </c>
    </row>
    <row r="15">
      <c r="A15" s="4">
        <v>13.0</v>
      </c>
      <c r="B15" s="4" t="s">
        <v>127</v>
      </c>
      <c r="C15" s="7" t="s">
        <v>129</v>
      </c>
      <c r="D15" s="4" t="s">
        <v>39</v>
      </c>
      <c r="E15" s="4" t="s">
        <v>218</v>
      </c>
      <c r="F15" s="7" t="s">
        <v>72</v>
      </c>
      <c r="G15" s="4" t="s">
        <v>232</v>
      </c>
      <c r="H15" s="4" t="s">
        <v>152</v>
      </c>
    </row>
    <row r="16">
      <c r="A16" s="4">
        <v>14.0</v>
      </c>
      <c r="B16" s="4" t="s">
        <v>233</v>
      </c>
      <c r="C16" s="7" t="s">
        <v>72</v>
      </c>
      <c r="D16" s="4" t="s">
        <v>39</v>
      </c>
      <c r="E16" s="4" t="s">
        <v>237</v>
      </c>
      <c r="F16" s="7" t="s">
        <v>72</v>
      </c>
      <c r="G16" s="4" t="s">
        <v>238</v>
      </c>
      <c r="H16" s="4" t="s">
        <v>239</v>
      </c>
    </row>
    <row r="17">
      <c r="A17" s="4">
        <v>15.0</v>
      </c>
      <c r="B17" s="4" t="s">
        <v>233</v>
      </c>
      <c r="C17" s="7" t="s">
        <v>72</v>
      </c>
      <c r="D17" s="4" t="s">
        <v>39</v>
      </c>
      <c r="E17" s="4" t="s">
        <v>248</v>
      </c>
      <c r="F17" s="7" t="s">
        <v>72</v>
      </c>
      <c r="G17" s="4" t="s">
        <v>249</v>
      </c>
      <c r="H17" s="4" t="s">
        <v>239</v>
      </c>
    </row>
    <row r="18">
      <c r="A18" s="4">
        <v>16.0</v>
      </c>
      <c r="B18" s="4" t="s">
        <v>127</v>
      </c>
      <c r="C18" s="7" t="s">
        <v>129</v>
      </c>
      <c r="D18" s="4" t="s">
        <v>39</v>
      </c>
      <c r="E18" s="4" t="s">
        <v>183</v>
      </c>
      <c r="F18" s="7" t="s">
        <v>72</v>
      </c>
      <c r="G18" s="4" t="s">
        <v>259</v>
      </c>
      <c r="H18" s="4" t="s">
        <v>169</v>
      </c>
    </row>
    <row r="19">
      <c r="A19" s="4">
        <v>17.0</v>
      </c>
      <c r="B19" s="4" t="s">
        <v>46</v>
      </c>
      <c r="C19" s="7" t="s">
        <v>263</v>
      </c>
      <c r="D19" s="4" t="s">
        <v>39</v>
      </c>
      <c r="E19" s="4" t="s">
        <v>270</v>
      </c>
      <c r="F19" s="7" t="s">
        <v>72</v>
      </c>
      <c r="G19" s="4" t="s">
        <v>271</v>
      </c>
      <c r="H19" s="4" t="s">
        <v>273</v>
      </c>
    </row>
    <row r="20">
      <c r="A20" s="4">
        <v>18.0</v>
      </c>
      <c r="B20" s="4" t="s">
        <v>46</v>
      </c>
      <c r="C20" s="7" t="s">
        <v>263</v>
      </c>
      <c r="D20" s="4" t="s">
        <v>39</v>
      </c>
      <c r="E20" s="4" t="s">
        <v>270</v>
      </c>
      <c r="F20" s="7" t="s">
        <v>72</v>
      </c>
      <c r="G20" s="4" t="s">
        <v>279</v>
      </c>
      <c r="H20" s="4" t="s">
        <v>280</v>
      </c>
    </row>
    <row r="21">
      <c r="A21" s="4">
        <v>19.0</v>
      </c>
      <c r="B21" s="4" t="s">
        <v>127</v>
      </c>
      <c r="C21" s="7" t="s">
        <v>129</v>
      </c>
      <c r="D21" s="4" t="s">
        <v>39</v>
      </c>
      <c r="E21" s="4" t="s">
        <v>183</v>
      </c>
      <c r="F21" s="7" t="s">
        <v>72</v>
      </c>
      <c r="G21" s="4">
        <v>2.02422103563419E15</v>
      </c>
      <c r="H21" s="4" t="s">
        <v>152</v>
      </c>
    </row>
    <row r="22">
      <c r="A22" s="4">
        <v>20.0</v>
      </c>
      <c r="B22" s="4" t="s">
        <v>127</v>
      </c>
      <c r="C22" s="7" t="s">
        <v>129</v>
      </c>
      <c r="D22" s="4" t="s">
        <v>39</v>
      </c>
      <c r="E22" s="4" t="s">
        <v>286</v>
      </c>
      <c r="F22" s="7" t="s">
        <v>72</v>
      </c>
      <c r="G22" s="4" t="s">
        <v>287</v>
      </c>
      <c r="H22" s="4" t="s">
        <v>289</v>
      </c>
    </row>
    <row r="23">
      <c r="A23" s="4">
        <v>21.0</v>
      </c>
      <c r="B23" s="4" t="s">
        <v>46</v>
      </c>
      <c r="C23" s="7" t="s">
        <v>293</v>
      </c>
      <c r="D23" s="4" t="s">
        <v>39</v>
      </c>
      <c r="E23" s="4" t="s">
        <v>302</v>
      </c>
      <c r="F23" s="7" t="s">
        <v>72</v>
      </c>
      <c r="G23" s="4" t="s">
        <v>303</v>
      </c>
      <c r="H23" s="4" t="s">
        <v>239</v>
      </c>
    </row>
    <row r="24">
      <c r="A24" s="4">
        <v>22.0</v>
      </c>
      <c r="B24" s="4" t="s">
        <v>46</v>
      </c>
      <c r="C24" s="7" t="s">
        <v>47</v>
      </c>
      <c r="D24" s="4" t="s">
        <v>39</v>
      </c>
      <c r="E24" s="4" t="s">
        <v>68</v>
      </c>
      <c r="F24" s="7" t="s">
        <v>72</v>
      </c>
      <c r="G24" s="4" t="s">
        <v>307</v>
      </c>
      <c r="H24" s="4" t="s">
        <v>115</v>
      </c>
    </row>
    <row r="25">
      <c r="A25" s="4">
        <v>23.0</v>
      </c>
      <c r="B25" s="4" t="s">
        <v>217</v>
      </c>
      <c r="C25" s="7" t="s">
        <v>263</v>
      </c>
      <c r="D25" s="4" t="s">
        <v>39</v>
      </c>
      <c r="E25" s="4" t="s">
        <v>311</v>
      </c>
      <c r="F25" s="7" t="s">
        <v>72</v>
      </c>
      <c r="G25" s="4" t="s">
        <v>312</v>
      </c>
      <c r="H25" s="4" t="s">
        <v>239</v>
      </c>
    </row>
    <row r="26">
      <c r="A26" s="4">
        <v>24.0</v>
      </c>
      <c r="B26" s="4" t="s">
        <v>46</v>
      </c>
      <c r="C26" s="7" t="s">
        <v>47</v>
      </c>
      <c r="D26" s="4" t="s">
        <v>39</v>
      </c>
      <c r="E26" s="4" t="s">
        <v>68</v>
      </c>
      <c r="F26" s="7" t="s">
        <v>72</v>
      </c>
      <c r="G26" s="4" t="s">
        <v>319</v>
      </c>
      <c r="H26" s="4" t="s">
        <v>115</v>
      </c>
    </row>
    <row r="27">
      <c r="A27" s="4">
        <v>25.0</v>
      </c>
      <c r="B27" s="4" t="s">
        <v>46</v>
      </c>
      <c r="C27" s="7" t="s">
        <v>47</v>
      </c>
      <c r="D27" s="4" t="s">
        <v>39</v>
      </c>
      <c r="E27" s="4" t="s">
        <v>68</v>
      </c>
      <c r="F27" s="7" t="s">
        <v>72</v>
      </c>
      <c r="G27" s="4" t="s">
        <v>327</v>
      </c>
      <c r="H27" s="4" t="s">
        <v>328</v>
      </c>
    </row>
    <row r="28">
      <c r="A28" s="4">
        <v>26.0</v>
      </c>
      <c r="B28" s="4" t="s">
        <v>127</v>
      </c>
      <c r="C28" s="7" t="s">
        <v>129</v>
      </c>
      <c r="D28" s="4" t="s">
        <v>39</v>
      </c>
      <c r="E28" s="4" t="s">
        <v>183</v>
      </c>
      <c r="F28" s="7" t="s">
        <v>72</v>
      </c>
      <c r="G28" s="4" t="s">
        <v>330</v>
      </c>
      <c r="H28" s="4" t="s">
        <v>152</v>
      </c>
    </row>
    <row r="29">
      <c r="A29" s="4">
        <v>27.0</v>
      </c>
      <c r="B29" s="4" t="s">
        <v>46</v>
      </c>
      <c r="C29" s="7" t="s">
        <v>47</v>
      </c>
      <c r="D29" s="4" t="s">
        <v>39</v>
      </c>
      <c r="E29" s="4" t="s">
        <v>68</v>
      </c>
      <c r="F29" s="7" t="s">
        <v>72</v>
      </c>
      <c r="G29" s="4" t="s">
        <v>335</v>
      </c>
      <c r="H29" s="4" t="s">
        <v>336</v>
      </c>
    </row>
    <row r="30">
      <c r="A30" s="4">
        <v>28.0</v>
      </c>
      <c r="B30" s="4" t="s">
        <v>127</v>
      </c>
      <c r="C30" s="7" t="s">
        <v>129</v>
      </c>
      <c r="D30" s="4" t="s">
        <v>39</v>
      </c>
      <c r="E30" s="4" t="s">
        <v>341</v>
      </c>
      <c r="F30" s="7" t="s">
        <v>72</v>
      </c>
      <c r="G30" s="4" t="s">
        <v>342</v>
      </c>
      <c r="H30" s="4" t="s">
        <v>239</v>
      </c>
    </row>
    <row r="31">
      <c r="A31" s="4">
        <v>29.0</v>
      </c>
      <c r="B31" s="4" t="s">
        <v>46</v>
      </c>
      <c r="C31" s="7" t="s">
        <v>263</v>
      </c>
      <c r="D31" s="4" t="s">
        <v>39</v>
      </c>
      <c r="E31" s="4" t="s">
        <v>270</v>
      </c>
      <c r="F31" s="7" t="s">
        <v>72</v>
      </c>
      <c r="G31" s="4" t="s">
        <v>347</v>
      </c>
      <c r="H31" s="4" t="s">
        <v>280</v>
      </c>
    </row>
    <row r="32">
      <c r="A32" s="4">
        <v>30.0</v>
      </c>
      <c r="B32" s="4" t="s">
        <v>46</v>
      </c>
      <c r="C32" s="7" t="s">
        <v>263</v>
      </c>
      <c r="D32" s="4" t="s">
        <v>39</v>
      </c>
      <c r="E32" s="4" t="s">
        <v>270</v>
      </c>
      <c r="F32" s="7" t="s">
        <v>72</v>
      </c>
      <c r="G32" s="4" t="s">
        <v>354</v>
      </c>
      <c r="H32" s="4" t="s">
        <v>355</v>
      </c>
    </row>
    <row r="33">
      <c r="A33" s="4">
        <v>31.0</v>
      </c>
      <c r="B33" s="4" t="s">
        <v>127</v>
      </c>
      <c r="C33" s="7" t="s">
        <v>129</v>
      </c>
      <c r="D33" s="4" t="s">
        <v>39</v>
      </c>
      <c r="E33" s="4" t="s">
        <v>183</v>
      </c>
      <c r="F33" s="7" t="s">
        <v>72</v>
      </c>
      <c r="G33" s="4" t="s">
        <v>358</v>
      </c>
      <c r="H33" s="4" t="s">
        <v>169</v>
      </c>
    </row>
    <row r="34">
      <c r="A34" s="4">
        <v>32.0</v>
      </c>
      <c r="B34" s="4" t="s">
        <v>127</v>
      </c>
      <c r="C34" s="7" t="s">
        <v>72</v>
      </c>
      <c r="D34" s="4" t="s">
        <v>39</v>
      </c>
      <c r="E34" s="4" t="s">
        <v>183</v>
      </c>
      <c r="F34" s="7" t="s">
        <v>72</v>
      </c>
      <c r="G34" s="4" t="s">
        <v>363</v>
      </c>
      <c r="H34" s="4" t="s">
        <v>152</v>
      </c>
    </row>
    <row r="35">
      <c r="A35" s="4">
        <v>33.0</v>
      </c>
      <c r="B35" s="4" t="s">
        <v>46</v>
      </c>
      <c r="C35" s="7" t="s">
        <v>263</v>
      </c>
      <c r="D35" s="4" t="s">
        <v>39</v>
      </c>
      <c r="E35" s="4" t="s">
        <v>270</v>
      </c>
      <c r="F35" s="7" t="s">
        <v>72</v>
      </c>
      <c r="G35" s="4" t="s">
        <v>369</v>
      </c>
      <c r="H35" s="4" t="s">
        <v>273</v>
      </c>
    </row>
    <row r="36">
      <c r="A36" s="4">
        <v>34.0</v>
      </c>
      <c r="B36" s="4" t="s">
        <v>46</v>
      </c>
      <c r="C36" s="7" t="s">
        <v>263</v>
      </c>
      <c r="D36" s="4" t="s">
        <v>39</v>
      </c>
      <c r="E36" s="4" t="s">
        <v>270</v>
      </c>
      <c r="F36" s="7" t="s">
        <v>72</v>
      </c>
      <c r="G36" s="4" t="s">
        <v>372</v>
      </c>
      <c r="H36" s="4" t="s">
        <v>273</v>
      </c>
    </row>
    <row r="37">
      <c r="A37" s="4">
        <v>35.0</v>
      </c>
      <c r="B37" s="4" t="s">
        <v>46</v>
      </c>
      <c r="C37" s="7" t="s">
        <v>47</v>
      </c>
      <c r="D37" s="4" t="s">
        <v>39</v>
      </c>
      <c r="E37" s="4" t="s">
        <v>68</v>
      </c>
      <c r="F37" s="7" t="s">
        <v>72</v>
      </c>
      <c r="G37" s="4" t="s">
        <v>376</v>
      </c>
      <c r="H37" s="4" t="s">
        <v>115</v>
      </c>
    </row>
    <row r="38">
      <c r="A38" s="4">
        <v>36.0</v>
      </c>
      <c r="B38" s="4" t="s">
        <v>233</v>
      </c>
      <c r="C38" s="7" t="s">
        <v>72</v>
      </c>
      <c r="D38" s="4" t="s">
        <v>39</v>
      </c>
      <c r="E38" s="4" t="s">
        <v>248</v>
      </c>
      <c r="F38" s="7" t="s">
        <v>72</v>
      </c>
      <c r="G38" s="4" t="s">
        <v>379</v>
      </c>
      <c r="H38" s="4" t="s">
        <v>239</v>
      </c>
    </row>
    <row r="39">
      <c r="A39" s="4">
        <v>37.0</v>
      </c>
      <c r="B39" s="4" t="s">
        <v>46</v>
      </c>
      <c r="C39" s="7" t="s">
        <v>87</v>
      </c>
      <c r="D39" s="4" t="s">
        <v>39</v>
      </c>
      <c r="E39" s="4" t="s">
        <v>205</v>
      </c>
      <c r="F39" s="7" t="s">
        <v>72</v>
      </c>
      <c r="G39" s="4">
        <v>9.01843082691478E14</v>
      </c>
      <c r="H39" s="4" t="s">
        <v>382</v>
      </c>
    </row>
    <row r="40">
      <c r="A40" s="4">
        <v>38.0</v>
      </c>
      <c r="B40" s="4" t="s">
        <v>46</v>
      </c>
      <c r="C40" s="7" t="s">
        <v>263</v>
      </c>
      <c r="D40" s="4" t="s">
        <v>39</v>
      </c>
      <c r="E40" s="4" t="s">
        <v>270</v>
      </c>
      <c r="F40" s="7" t="s">
        <v>72</v>
      </c>
      <c r="G40" s="4" t="s">
        <v>386</v>
      </c>
      <c r="H40" s="4" t="s">
        <v>273</v>
      </c>
    </row>
    <row r="41">
      <c r="A41" s="4">
        <v>39.0</v>
      </c>
      <c r="B41" s="4" t="s">
        <v>127</v>
      </c>
      <c r="C41" s="7" t="s">
        <v>45</v>
      </c>
      <c r="D41" s="4" t="s">
        <v>39</v>
      </c>
      <c r="E41" s="4" t="s">
        <v>341</v>
      </c>
      <c r="F41" s="7" t="s">
        <v>72</v>
      </c>
      <c r="G41" s="4" t="s">
        <v>398</v>
      </c>
      <c r="H41" s="4" t="s">
        <v>280</v>
      </c>
    </row>
    <row r="42">
      <c r="A42" s="4">
        <v>40.0</v>
      </c>
      <c r="B42" s="4" t="s">
        <v>127</v>
      </c>
      <c r="C42" s="7" t="s">
        <v>129</v>
      </c>
      <c r="D42" s="4" t="s">
        <v>39</v>
      </c>
      <c r="E42" s="4" t="s">
        <v>341</v>
      </c>
      <c r="F42" s="7" t="s">
        <v>72</v>
      </c>
      <c r="G42" s="4" t="s">
        <v>404</v>
      </c>
      <c r="H42" s="4" t="s">
        <v>407</v>
      </c>
    </row>
    <row r="43">
      <c r="A43" s="4">
        <v>41.0</v>
      </c>
      <c r="B43" s="4" t="s">
        <v>46</v>
      </c>
      <c r="C43" s="7" t="s">
        <v>263</v>
      </c>
      <c r="D43" s="4" t="s">
        <v>39</v>
      </c>
      <c r="E43" s="4" t="s">
        <v>270</v>
      </c>
      <c r="F43" s="7" t="s">
        <v>72</v>
      </c>
      <c r="G43" s="4" t="s">
        <v>414</v>
      </c>
      <c r="H43" s="4" t="s">
        <v>355</v>
      </c>
    </row>
    <row r="44">
      <c r="A44" s="4">
        <v>42.0</v>
      </c>
      <c r="B44" s="4" t="s">
        <v>127</v>
      </c>
      <c r="C44" s="7" t="s">
        <v>129</v>
      </c>
      <c r="D44" s="4" t="s">
        <v>39</v>
      </c>
      <c r="E44" s="4" t="s">
        <v>286</v>
      </c>
      <c r="F44" s="7" t="s">
        <v>72</v>
      </c>
      <c r="G44" s="4" t="s">
        <v>416</v>
      </c>
      <c r="H44" s="4" t="s">
        <v>417</v>
      </c>
    </row>
    <row r="45">
      <c r="A45" s="4">
        <v>43.0</v>
      </c>
      <c r="B45" s="4" t="s">
        <v>127</v>
      </c>
      <c r="C45" s="7" t="s">
        <v>72</v>
      </c>
      <c r="D45" s="4" t="s">
        <v>39</v>
      </c>
      <c r="E45" s="4" t="s">
        <v>183</v>
      </c>
      <c r="F45" s="7" t="s">
        <v>72</v>
      </c>
      <c r="G45" s="4" t="s">
        <v>425</v>
      </c>
      <c r="H45" s="4" t="s">
        <v>152</v>
      </c>
    </row>
    <row r="46">
      <c r="A46" s="4">
        <v>44.0</v>
      </c>
      <c r="B46" s="4" t="s">
        <v>46</v>
      </c>
      <c r="C46" s="7" t="s">
        <v>47</v>
      </c>
      <c r="D46" s="4" t="s">
        <v>39</v>
      </c>
      <c r="E46" s="4" t="s">
        <v>68</v>
      </c>
      <c r="F46" s="7" t="s">
        <v>72</v>
      </c>
      <c r="G46" s="4" t="s">
        <v>432</v>
      </c>
      <c r="H46" s="4" t="s">
        <v>126</v>
      </c>
    </row>
    <row r="47">
      <c r="A47" s="4">
        <v>45.0</v>
      </c>
      <c r="B47" s="4" t="s">
        <v>127</v>
      </c>
      <c r="C47" s="7" t="s">
        <v>129</v>
      </c>
      <c r="D47" s="4" t="s">
        <v>39</v>
      </c>
      <c r="E47" s="4" t="s">
        <v>218</v>
      </c>
      <c r="F47" s="7" t="s">
        <v>72</v>
      </c>
      <c r="G47" s="4">
        <v>9.8598314446729E14</v>
      </c>
      <c r="H47" s="4" t="s">
        <v>239</v>
      </c>
    </row>
    <row r="48">
      <c r="A48" s="4">
        <v>46.0</v>
      </c>
      <c r="B48" s="4" t="s">
        <v>127</v>
      </c>
      <c r="C48" s="7" t="s">
        <v>129</v>
      </c>
      <c r="D48" s="4" t="s">
        <v>39</v>
      </c>
      <c r="E48" s="4" t="s">
        <v>286</v>
      </c>
      <c r="F48" s="7" t="s">
        <v>72</v>
      </c>
      <c r="G48" s="4" t="s">
        <v>444</v>
      </c>
      <c r="H48" s="4" t="s">
        <v>445</v>
      </c>
    </row>
    <row r="49">
      <c r="A49" s="4">
        <v>47.0</v>
      </c>
      <c r="B49" s="4" t="s">
        <v>127</v>
      </c>
      <c r="C49" s="7" t="s">
        <v>129</v>
      </c>
      <c r="D49" s="4" t="s">
        <v>39</v>
      </c>
      <c r="E49" s="4" t="s">
        <v>341</v>
      </c>
      <c r="F49" s="7" t="s">
        <v>72</v>
      </c>
      <c r="G49" s="4" t="s">
        <v>448</v>
      </c>
      <c r="H49" s="4" t="s">
        <v>280</v>
      </c>
    </row>
    <row r="50">
      <c r="A50" s="4">
        <v>48.0</v>
      </c>
      <c r="B50" s="4" t="s">
        <v>127</v>
      </c>
      <c r="C50" s="7" t="s">
        <v>129</v>
      </c>
      <c r="D50" s="4" t="s">
        <v>39</v>
      </c>
      <c r="E50" s="4" t="s">
        <v>341</v>
      </c>
      <c r="F50" s="7" t="s">
        <v>72</v>
      </c>
      <c r="G50" s="4">
        <v>9.89254544137529E14</v>
      </c>
      <c r="H50" s="4" t="s">
        <v>280</v>
      </c>
    </row>
    <row r="51">
      <c r="A51" s="4">
        <v>49.0</v>
      </c>
      <c r="B51" s="4" t="s">
        <v>46</v>
      </c>
      <c r="C51" s="7" t="s">
        <v>47</v>
      </c>
      <c r="D51" s="4" t="s">
        <v>39</v>
      </c>
      <c r="E51" s="4" t="s">
        <v>68</v>
      </c>
      <c r="F51" s="7" t="s">
        <v>72</v>
      </c>
      <c r="G51" s="4" t="s">
        <v>462</v>
      </c>
      <c r="H51" s="4" t="s">
        <v>463</v>
      </c>
    </row>
    <row r="52">
      <c r="A52" s="4">
        <v>50.0</v>
      </c>
      <c r="B52" s="4" t="s">
        <v>46</v>
      </c>
      <c r="C52" s="7" t="s">
        <v>47</v>
      </c>
      <c r="D52" s="4" t="s">
        <v>39</v>
      </c>
      <c r="E52" s="4" t="s">
        <v>68</v>
      </c>
      <c r="F52" s="7" t="s">
        <v>72</v>
      </c>
      <c r="G52" s="4" t="s">
        <v>468</v>
      </c>
      <c r="H52" s="4" t="s">
        <v>336</v>
      </c>
    </row>
    <row r="53">
      <c r="A53" s="4">
        <v>51.0</v>
      </c>
      <c r="B53" s="4" t="s">
        <v>46</v>
      </c>
      <c r="C53" s="7" t="s">
        <v>87</v>
      </c>
      <c r="D53" s="4" t="s">
        <v>39</v>
      </c>
      <c r="E53" s="4" t="s">
        <v>205</v>
      </c>
      <c r="F53" s="7" t="s">
        <v>72</v>
      </c>
      <c r="G53" s="4">
        <v>1.08976701018733E15</v>
      </c>
      <c r="H53" s="4" t="s">
        <v>328</v>
      </c>
    </row>
    <row r="54">
      <c r="A54" s="4">
        <v>52.0</v>
      </c>
      <c r="B54" s="4" t="s">
        <v>127</v>
      </c>
      <c r="C54" s="7" t="s">
        <v>129</v>
      </c>
      <c r="D54" s="4" t="s">
        <v>39</v>
      </c>
      <c r="E54" s="4" t="s">
        <v>286</v>
      </c>
      <c r="F54" s="7" t="s">
        <v>72</v>
      </c>
      <c r="G54" s="4" t="s">
        <v>477</v>
      </c>
      <c r="H54" s="4" t="s">
        <v>289</v>
      </c>
    </row>
    <row r="55">
      <c r="A55" s="4">
        <v>53.0</v>
      </c>
      <c r="B55" s="4" t="s">
        <v>127</v>
      </c>
      <c r="C55" s="7" t="s">
        <v>129</v>
      </c>
      <c r="D55" s="4" t="s">
        <v>39</v>
      </c>
      <c r="E55" s="4" t="s">
        <v>341</v>
      </c>
      <c r="F55" s="7" t="s">
        <v>72</v>
      </c>
      <c r="G55" s="4" t="s">
        <v>484</v>
      </c>
      <c r="H55" s="4" t="s">
        <v>280</v>
      </c>
    </row>
    <row r="56">
      <c r="A56" s="4">
        <v>54.0</v>
      </c>
      <c r="B56" s="4" t="s">
        <v>46</v>
      </c>
      <c r="C56" s="7" t="s">
        <v>47</v>
      </c>
      <c r="D56" s="4" t="s">
        <v>39</v>
      </c>
      <c r="E56" s="4" t="s">
        <v>68</v>
      </c>
      <c r="F56" s="7" t="s">
        <v>72</v>
      </c>
      <c r="G56" s="4" t="s">
        <v>493</v>
      </c>
      <c r="H56" s="4" t="s">
        <v>336</v>
      </c>
    </row>
    <row r="57">
      <c r="A57" s="4">
        <v>55.0</v>
      </c>
      <c r="B57" s="4" t="s">
        <v>127</v>
      </c>
      <c r="C57" s="7" t="s">
        <v>129</v>
      </c>
      <c r="D57" s="4" t="s">
        <v>39</v>
      </c>
      <c r="E57" s="4" t="s">
        <v>341</v>
      </c>
      <c r="F57" s="7" t="s">
        <v>72</v>
      </c>
      <c r="G57" s="4" t="s">
        <v>501</v>
      </c>
      <c r="H57" s="4" t="s">
        <v>280</v>
      </c>
    </row>
    <row r="58">
      <c r="A58" s="4">
        <v>56.0</v>
      </c>
      <c r="B58" s="4" t="s">
        <v>46</v>
      </c>
      <c r="C58" s="7" t="s">
        <v>47</v>
      </c>
      <c r="D58" s="4" t="s">
        <v>39</v>
      </c>
      <c r="E58" s="4" t="s">
        <v>68</v>
      </c>
      <c r="F58" s="7" t="s">
        <v>72</v>
      </c>
      <c r="G58" s="4">
        <v>1.59967260182075E15</v>
      </c>
      <c r="H58" s="4" t="s">
        <v>336</v>
      </c>
    </row>
    <row r="59">
      <c r="A59" s="4">
        <v>57.0</v>
      </c>
      <c r="B59" s="4" t="s">
        <v>127</v>
      </c>
      <c r="C59" s="7" t="s">
        <v>129</v>
      </c>
      <c r="D59" s="4" t="s">
        <v>39</v>
      </c>
      <c r="E59" s="4" t="s">
        <v>286</v>
      </c>
      <c r="F59" s="7" t="s">
        <v>72</v>
      </c>
      <c r="G59" s="4" t="s">
        <v>514</v>
      </c>
      <c r="H59" s="4" t="s">
        <v>328</v>
      </c>
    </row>
    <row r="60">
      <c r="A60" s="4">
        <v>58.0</v>
      </c>
      <c r="B60" s="4" t="s">
        <v>46</v>
      </c>
      <c r="C60" s="7" t="s">
        <v>47</v>
      </c>
      <c r="D60" s="4" t="s">
        <v>39</v>
      </c>
      <c r="E60" s="4" t="s">
        <v>68</v>
      </c>
      <c r="F60" s="7" t="s">
        <v>72</v>
      </c>
      <c r="G60" s="4" t="s">
        <v>522</v>
      </c>
      <c r="H60" s="4" t="s">
        <v>382</v>
      </c>
    </row>
    <row r="61">
      <c r="A61" s="4">
        <v>59.0</v>
      </c>
      <c r="B61" s="4" t="s">
        <v>46</v>
      </c>
      <c r="C61" s="7" t="s">
        <v>47</v>
      </c>
      <c r="D61" s="4" t="s">
        <v>39</v>
      </c>
      <c r="E61" s="4" t="s">
        <v>68</v>
      </c>
      <c r="F61" s="7" t="s">
        <v>72</v>
      </c>
      <c r="G61" s="4">
        <v>8.92341760353033E14</v>
      </c>
      <c r="H61" s="4" t="s">
        <v>336</v>
      </c>
    </row>
    <row r="62">
      <c r="A62" s="4">
        <v>60.0</v>
      </c>
      <c r="B62" s="4" t="s">
        <v>46</v>
      </c>
      <c r="C62" s="7" t="s">
        <v>263</v>
      </c>
      <c r="D62" s="4" t="s">
        <v>39</v>
      </c>
      <c r="E62" s="4" t="s">
        <v>270</v>
      </c>
      <c r="F62" s="7" t="s">
        <v>72</v>
      </c>
      <c r="G62" s="4" t="s">
        <v>537</v>
      </c>
      <c r="H62" s="4" t="s">
        <v>273</v>
      </c>
    </row>
    <row r="63">
      <c r="A63" s="4">
        <v>61.0</v>
      </c>
      <c r="B63" s="4" t="s">
        <v>46</v>
      </c>
      <c r="C63" s="7" t="s">
        <v>47</v>
      </c>
      <c r="D63" s="4" t="s">
        <v>39</v>
      </c>
      <c r="E63" s="4" t="s">
        <v>68</v>
      </c>
      <c r="F63" s="7" t="s">
        <v>72</v>
      </c>
      <c r="G63" s="4" t="s">
        <v>543</v>
      </c>
      <c r="H63" s="4" t="s">
        <v>336</v>
      </c>
    </row>
    <row r="64">
      <c r="A64" s="4">
        <v>62.0</v>
      </c>
      <c r="B64" s="4" t="s">
        <v>127</v>
      </c>
      <c r="C64" s="7" t="s">
        <v>45</v>
      </c>
      <c r="D64" s="4" t="s">
        <v>39</v>
      </c>
      <c r="E64" s="4" t="s">
        <v>341</v>
      </c>
      <c r="F64" s="7" t="s">
        <v>72</v>
      </c>
      <c r="G64" s="4" t="s">
        <v>549</v>
      </c>
      <c r="H64" s="4" t="s">
        <v>239</v>
      </c>
    </row>
    <row r="65">
      <c r="A65" s="4">
        <v>63.0</v>
      </c>
      <c r="B65" s="4" t="s">
        <v>127</v>
      </c>
      <c r="C65" s="7" t="s">
        <v>129</v>
      </c>
      <c r="D65" s="4" t="s">
        <v>39</v>
      </c>
      <c r="E65" s="4" t="s">
        <v>286</v>
      </c>
      <c r="F65" s="7" t="s">
        <v>72</v>
      </c>
      <c r="G65" s="4" t="s">
        <v>553</v>
      </c>
      <c r="H65" s="4" t="s">
        <v>328</v>
      </c>
    </row>
    <row r="66">
      <c r="A66" s="4">
        <v>64.0</v>
      </c>
      <c r="B66" s="4" t="s">
        <v>127</v>
      </c>
      <c r="C66" s="7" t="s">
        <v>129</v>
      </c>
      <c r="D66" s="4" t="s">
        <v>39</v>
      </c>
      <c r="E66" s="4" t="s">
        <v>183</v>
      </c>
      <c r="F66" s="7" t="s">
        <v>72</v>
      </c>
      <c r="G66" s="4" t="s">
        <v>560</v>
      </c>
      <c r="H66" s="4" t="s">
        <v>169</v>
      </c>
    </row>
    <row r="67">
      <c r="A67" s="4">
        <v>65.0</v>
      </c>
      <c r="B67" s="4" t="s">
        <v>46</v>
      </c>
      <c r="C67" s="7" t="s">
        <v>87</v>
      </c>
      <c r="D67" s="4" t="s">
        <v>39</v>
      </c>
      <c r="E67" s="4" t="s">
        <v>205</v>
      </c>
      <c r="F67" s="7" t="s">
        <v>72</v>
      </c>
      <c r="G67" s="4" t="s">
        <v>564</v>
      </c>
      <c r="H67" s="4" t="s">
        <v>382</v>
      </c>
    </row>
    <row r="68">
      <c r="A68" s="4">
        <v>66.0</v>
      </c>
      <c r="B68" s="4" t="s">
        <v>233</v>
      </c>
      <c r="C68" s="7" t="s">
        <v>72</v>
      </c>
      <c r="D68" s="4" t="s">
        <v>39</v>
      </c>
      <c r="E68" s="4" t="s">
        <v>248</v>
      </c>
      <c r="F68" s="7" t="s">
        <v>72</v>
      </c>
      <c r="G68" s="4">
        <v>1.03922583226305E15</v>
      </c>
      <c r="H68" s="4" t="s">
        <v>445</v>
      </c>
    </row>
    <row r="69">
      <c r="A69" s="4">
        <v>67.0</v>
      </c>
      <c r="B69" s="4" t="s">
        <v>233</v>
      </c>
      <c r="C69" s="7" t="s">
        <v>72</v>
      </c>
      <c r="D69" s="4" t="s">
        <v>39</v>
      </c>
      <c r="E69" s="4" t="s">
        <v>248</v>
      </c>
      <c r="F69" s="7" t="s">
        <v>72</v>
      </c>
      <c r="G69" s="4" t="s">
        <v>573</v>
      </c>
      <c r="H69" s="4" t="s">
        <v>445</v>
      </c>
    </row>
    <row r="70">
      <c r="A70" s="4">
        <v>68.0</v>
      </c>
      <c r="B70" s="4" t="s">
        <v>46</v>
      </c>
      <c r="C70" s="7" t="s">
        <v>263</v>
      </c>
      <c r="D70" s="4" t="s">
        <v>39</v>
      </c>
      <c r="E70" s="4" t="s">
        <v>270</v>
      </c>
      <c r="F70" s="7" t="s">
        <v>72</v>
      </c>
      <c r="G70" s="4" t="s">
        <v>575</v>
      </c>
      <c r="H70" s="4" t="s">
        <v>273</v>
      </c>
    </row>
    <row r="71">
      <c r="A71" s="4">
        <v>69.0</v>
      </c>
      <c r="B71" s="4" t="s">
        <v>127</v>
      </c>
      <c r="C71" s="7" t="s">
        <v>129</v>
      </c>
      <c r="D71" s="4" t="s">
        <v>39</v>
      </c>
      <c r="E71" s="4" t="s">
        <v>341</v>
      </c>
      <c r="F71" s="7" t="s">
        <v>72</v>
      </c>
      <c r="G71" s="4" t="s">
        <v>579</v>
      </c>
      <c r="H71" s="4" t="s">
        <v>273</v>
      </c>
    </row>
    <row r="72">
      <c r="A72" s="4">
        <v>70.0</v>
      </c>
      <c r="B72" s="4" t="s">
        <v>127</v>
      </c>
      <c r="C72" s="7" t="s">
        <v>129</v>
      </c>
      <c r="D72" s="4" t="s">
        <v>39</v>
      </c>
      <c r="E72" s="4" t="s">
        <v>341</v>
      </c>
      <c r="F72" s="7" t="s">
        <v>72</v>
      </c>
      <c r="G72" s="4" t="s">
        <v>580</v>
      </c>
      <c r="H72" s="4" t="s">
        <v>581</v>
      </c>
    </row>
    <row r="73">
      <c r="A73" s="4">
        <v>71.0</v>
      </c>
      <c r="B73" s="4" t="s">
        <v>127</v>
      </c>
      <c r="C73" s="7" t="s">
        <v>129</v>
      </c>
      <c r="D73" s="4" t="s">
        <v>39</v>
      </c>
      <c r="E73" s="4" t="s">
        <v>286</v>
      </c>
      <c r="F73" s="7" t="s">
        <v>72</v>
      </c>
      <c r="G73" s="4">
        <v>9.27176769778047E14</v>
      </c>
      <c r="H73" s="4" t="s">
        <v>417</v>
      </c>
    </row>
    <row r="74">
      <c r="A74" s="4">
        <v>72.0</v>
      </c>
      <c r="B74" s="4" t="s">
        <v>233</v>
      </c>
      <c r="C74" s="7" t="s">
        <v>72</v>
      </c>
      <c r="D74" s="4" t="s">
        <v>39</v>
      </c>
      <c r="E74" s="4" t="s">
        <v>248</v>
      </c>
      <c r="F74" s="7" t="s">
        <v>72</v>
      </c>
      <c r="G74" s="4" t="s">
        <v>586</v>
      </c>
      <c r="H74" s="4" t="s">
        <v>445</v>
      </c>
    </row>
    <row r="75">
      <c r="A75" s="4">
        <v>73.0</v>
      </c>
      <c r="B75" s="4" t="s">
        <v>127</v>
      </c>
      <c r="C75" s="7" t="s">
        <v>129</v>
      </c>
      <c r="D75" s="4" t="s">
        <v>39</v>
      </c>
      <c r="E75" s="4" t="s">
        <v>183</v>
      </c>
      <c r="F75" s="7" t="s">
        <v>72</v>
      </c>
      <c r="G75" s="4" t="s">
        <v>588</v>
      </c>
      <c r="H75" s="4" t="s">
        <v>169</v>
      </c>
    </row>
    <row r="76">
      <c r="A76" s="4">
        <v>74.0</v>
      </c>
      <c r="B76" s="4" t="s">
        <v>46</v>
      </c>
      <c r="C76" s="7" t="s">
        <v>263</v>
      </c>
      <c r="D76" s="4" t="s">
        <v>39</v>
      </c>
      <c r="E76" s="4" t="s">
        <v>593</v>
      </c>
      <c r="F76" s="7" t="s">
        <v>72</v>
      </c>
      <c r="G76" s="4">
        <v>8.81301011489206E14</v>
      </c>
      <c r="H76" s="4" t="s">
        <v>239</v>
      </c>
    </row>
    <row r="77">
      <c r="A77" s="4">
        <v>75.0</v>
      </c>
      <c r="B77" s="4" t="s">
        <v>127</v>
      </c>
      <c r="C77" s="7" t="s">
        <v>72</v>
      </c>
      <c r="D77" s="4" t="s">
        <v>39</v>
      </c>
      <c r="E77" s="4" t="s">
        <v>183</v>
      </c>
      <c r="F77" s="7" t="s">
        <v>72</v>
      </c>
      <c r="G77" s="4" t="s">
        <v>596</v>
      </c>
      <c r="H77" s="4" t="s">
        <v>152</v>
      </c>
    </row>
    <row r="78">
      <c r="A78" s="4">
        <v>76.0</v>
      </c>
      <c r="B78" s="4" t="s">
        <v>127</v>
      </c>
      <c r="C78" s="7" t="s">
        <v>129</v>
      </c>
      <c r="D78" s="4" t="s">
        <v>39</v>
      </c>
      <c r="E78" s="4" t="s">
        <v>593</v>
      </c>
      <c r="F78" s="7" t="s">
        <v>72</v>
      </c>
      <c r="G78" s="4" t="s">
        <v>599</v>
      </c>
      <c r="H78" s="4" t="s">
        <v>289</v>
      </c>
    </row>
    <row r="79">
      <c r="A79" s="4">
        <v>77.0</v>
      </c>
      <c r="B79" s="4" t="s">
        <v>233</v>
      </c>
      <c r="C79" s="7" t="s">
        <v>72</v>
      </c>
      <c r="D79" s="4" t="s">
        <v>39</v>
      </c>
      <c r="E79" s="4" t="s">
        <v>604</v>
      </c>
      <c r="F79" s="7" t="s">
        <v>72</v>
      </c>
      <c r="G79" s="4" t="s">
        <v>606</v>
      </c>
      <c r="H79" s="4" t="s">
        <v>607</v>
      </c>
    </row>
    <row r="80">
      <c r="A80" s="4">
        <v>78.0</v>
      </c>
      <c r="B80" s="4" t="s">
        <v>127</v>
      </c>
      <c r="C80" s="7" t="s">
        <v>129</v>
      </c>
      <c r="D80" s="4" t="s">
        <v>39</v>
      </c>
      <c r="E80" s="4" t="s">
        <v>608</v>
      </c>
      <c r="F80" s="7" t="s">
        <v>72</v>
      </c>
      <c r="G80" s="4" t="s">
        <v>609</v>
      </c>
      <c r="H80" s="4" t="s">
        <v>581</v>
      </c>
    </row>
    <row r="81">
      <c r="A81" s="4">
        <v>79.0</v>
      </c>
      <c r="B81" s="4" t="s">
        <v>127</v>
      </c>
      <c r="C81" s="7" t="s">
        <v>129</v>
      </c>
      <c r="D81" s="4" t="s">
        <v>39</v>
      </c>
      <c r="E81" s="4" t="s">
        <v>608</v>
      </c>
      <c r="F81" s="7" t="s">
        <v>72</v>
      </c>
      <c r="G81" s="4" t="s">
        <v>617</v>
      </c>
      <c r="H81" s="4" t="s">
        <v>280</v>
      </c>
    </row>
    <row r="82">
      <c r="A82" s="4">
        <v>80.0</v>
      </c>
      <c r="B82" s="4" t="s">
        <v>127</v>
      </c>
      <c r="C82" s="7" t="s">
        <v>129</v>
      </c>
      <c r="D82" s="4" t="s">
        <v>39</v>
      </c>
      <c r="E82" s="4" t="s">
        <v>593</v>
      </c>
      <c r="F82" s="7" t="s">
        <v>72</v>
      </c>
      <c r="G82" s="4" t="s">
        <v>620</v>
      </c>
      <c r="H82" s="4" t="s">
        <v>417</v>
      </c>
    </row>
    <row r="83">
      <c r="A83" s="4">
        <v>81.0</v>
      </c>
      <c r="B83" s="4" t="s">
        <v>46</v>
      </c>
      <c r="C83" s="7" t="s">
        <v>47</v>
      </c>
      <c r="D83" s="4" t="s">
        <v>39</v>
      </c>
      <c r="E83" s="4" t="s">
        <v>622</v>
      </c>
      <c r="F83" s="7" t="s">
        <v>72</v>
      </c>
      <c r="G83" s="4" t="s">
        <v>625</v>
      </c>
      <c r="H83" s="4" t="s">
        <v>115</v>
      </c>
    </row>
    <row r="84">
      <c r="A84" s="4">
        <v>82.0</v>
      </c>
      <c r="B84" s="4" t="s">
        <v>46</v>
      </c>
      <c r="C84" s="7" t="s">
        <v>47</v>
      </c>
      <c r="D84" s="4" t="s">
        <v>39</v>
      </c>
      <c r="E84" s="4" t="s">
        <v>68</v>
      </c>
      <c r="F84" s="7" t="s">
        <v>72</v>
      </c>
      <c r="G84" s="4" t="s">
        <v>626</v>
      </c>
      <c r="H84" s="4" t="s">
        <v>382</v>
      </c>
    </row>
    <row r="85">
      <c r="A85" s="4">
        <v>83.0</v>
      </c>
      <c r="B85" s="4" t="s">
        <v>127</v>
      </c>
      <c r="C85" s="7" t="s">
        <v>129</v>
      </c>
      <c r="D85" s="4" t="s">
        <v>39</v>
      </c>
      <c r="E85" s="4" t="s">
        <v>593</v>
      </c>
      <c r="F85" s="7" t="s">
        <v>72</v>
      </c>
      <c r="G85" s="4" t="s">
        <v>628</v>
      </c>
      <c r="H85" s="4" t="s">
        <v>289</v>
      </c>
    </row>
    <row r="86">
      <c r="A86" s="4">
        <v>84.0</v>
      </c>
      <c r="B86" s="4" t="s">
        <v>127</v>
      </c>
      <c r="C86" s="7" t="s">
        <v>129</v>
      </c>
      <c r="D86" s="4" t="s">
        <v>39</v>
      </c>
      <c r="E86" s="4" t="s">
        <v>608</v>
      </c>
      <c r="F86" s="7" t="s">
        <v>72</v>
      </c>
      <c r="G86" s="4" t="s">
        <v>635</v>
      </c>
      <c r="H86" s="4" t="s">
        <v>239</v>
      </c>
    </row>
    <row r="87">
      <c r="A87" s="4">
        <v>85.0</v>
      </c>
      <c r="B87" s="4" t="s">
        <v>127</v>
      </c>
      <c r="C87" s="7" t="s">
        <v>45</v>
      </c>
      <c r="D87" s="4" t="s">
        <v>39</v>
      </c>
      <c r="E87" s="4" t="s">
        <v>608</v>
      </c>
      <c r="F87" s="7" t="s">
        <v>72</v>
      </c>
      <c r="G87" s="4" t="s">
        <v>638</v>
      </c>
      <c r="H87" s="4" t="s">
        <v>640</v>
      </c>
    </row>
    <row r="88">
      <c r="A88" s="4">
        <v>86.0</v>
      </c>
      <c r="B88" s="4" t="s">
        <v>46</v>
      </c>
      <c r="C88" s="7" t="s">
        <v>263</v>
      </c>
      <c r="D88" s="4" t="s">
        <v>39</v>
      </c>
      <c r="E88" s="4" t="s">
        <v>641</v>
      </c>
      <c r="F88" s="7" t="s">
        <v>72</v>
      </c>
      <c r="G88" s="4">
        <v>9.73023035754663E14</v>
      </c>
      <c r="H88" s="4" t="s">
        <v>239</v>
      </c>
    </row>
    <row r="89">
      <c r="A89" s="4">
        <v>87.0</v>
      </c>
      <c r="B89" s="4" t="s">
        <v>127</v>
      </c>
      <c r="C89" s="7" t="s">
        <v>129</v>
      </c>
      <c r="D89" s="4" t="s">
        <v>39</v>
      </c>
      <c r="E89" s="4" t="s">
        <v>593</v>
      </c>
      <c r="F89" s="7" t="s">
        <v>72</v>
      </c>
      <c r="G89" s="4" t="s">
        <v>649</v>
      </c>
      <c r="H89" s="4" t="s">
        <v>445</v>
      </c>
    </row>
    <row r="90">
      <c r="A90" s="4">
        <v>88.0</v>
      </c>
      <c r="B90" s="4" t="s">
        <v>127</v>
      </c>
      <c r="C90" s="7" t="s">
        <v>72</v>
      </c>
      <c r="D90" s="4" t="s">
        <v>39</v>
      </c>
      <c r="E90" s="4" t="s">
        <v>651</v>
      </c>
      <c r="F90" s="7" t="s">
        <v>72</v>
      </c>
      <c r="G90" s="4" t="s">
        <v>653</v>
      </c>
      <c r="H90" s="4" t="s">
        <v>152</v>
      </c>
    </row>
    <row r="91">
      <c r="A91" s="4">
        <v>89.0</v>
      </c>
      <c r="B91" s="4" t="s">
        <v>127</v>
      </c>
      <c r="C91" s="7" t="s">
        <v>129</v>
      </c>
      <c r="D91" s="4" t="s">
        <v>39</v>
      </c>
      <c r="E91" s="4" t="s">
        <v>657</v>
      </c>
      <c r="F91" s="7" t="s">
        <v>72</v>
      </c>
      <c r="G91" s="4" t="s">
        <v>660</v>
      </c>
      <c r="H91" s="4" t="s">
        <v>640</v>
      </c>
    </row>
    <row r="92">
      <c r="A92" s="4">
        <v>90.0</v>
      </c>
      <c r="B92" s="4" t="s">
        <v>46</v>
      </c>
      <c r="C92" s="7" t="s">
        <v>293</v>
      </c>
      <c r="D92" s="4" t="s">
        <v>39</v>
      </c>
      <c r="E92" s="4" t="s">
        <v>664</v>
      </c>
      <c r="F92" s="7" t="s">
        <v>72</v>
      </c>
      <c r="G92" s="4" t="s">
        <v>667</v>
      </c>
      <c r="H92" s="4" t="s">
        <v>355</v>
      </c>
    </row>
    <row r="93">
      <c r="A93" s="4">
        <v>91.0</v>
      </c>
      <c r="B93" s="4" t="s">
        <v>46</v>
      </c>
      <c r="C93" s="7" t="s">
        <v>47</v>
      </c>
      <c r="D93" s="4" t="s">
        <v>39</v>
      </c>
      <c r="E93" s="4" t="s">
        <v>622</v>
      </c>
      <c r="F93" s="7" t="s">
        <v>72</v>
      </c>
      <c r="G93" s="4" t="s">
        <v>671</v>
      </c>
      <c r="H93" s="4" t="s">
        <v>115</v>
      </c>
    </row>
    <row r="94">
      <c r="A94" s="4">
        <v>92.0</v>
      </c>
      <c r="B94" s="4" t="s">
        <v>233</v>
      </c>
      <c r="C94" s="7" t="s">
        <v>72</v>
      </c>
      <c r="D94" s="4" t="s">
        <v>39</v>
      </c>
      <c r="E94" s="4" t="s">
        <v>604</v>
      </c>
      <c r="F94" s="7" t="s">
        <v>72</v>
      </c>
      <c r="G94" s="4">
        <v>1.06345792662281E15</v>
      </c>
      <c r="H94" s="4" t="s">
        <v>445</v>
      </c>
    </row>
    <row r="95">
      <c r="A95" s="4">
        <v>93.0</v>
      </c>
      <c r="B95" s="4" t="s">
        <v>127</v>
      </c>
      <c r="C95" s="7" t="s">
        <v>72</v>
      </c>
      <c r="D95" s="4" t="s">
        <v>39</v>
      </c>
      <c r="E95" s="4" t="s">
        <v>651</v>
      </c>
      <c r="F95" s="7" t="s">
        <v>72</v>
      </c>
      <c r="G95" s="4" t="s">
        <v>678</v>
      </c>
      <c r="H95" s="4" t="s">
        <v>152</v>
      </c>
    </row>
    <row r="96">
      <c r="A96" s="4">
        <v>94.0</v>
      </c>
      <c r="B96" s="4" t="s">
        <v>46</v>
      </c>
      <c r="C96" s="7" t="s">
        <v>47</v>
      </c>
      <c r="D96" s="4" t="s">
        <v>39</v>
      </c>
      <c r="E96" s="4" t="s">
        <v>622</v>
      </c>
      <c r="F96" s="7" t="s">
        <v>72</v>
      </c>
      <c r="G96" s="4" t="s">
        <v>682</v>
      </c>
      <c r="H96" s="4" t="s">
        <v>382</v>
      </c>
    </row>
    <row r="97">
      <c r="A97" s="4">
        <v>95.0</v>
      </c>
      <c r="B97" s="4" t="s">
        <v>233</v>
      </c>
      <c r="C97" s="7" t="s">
        <v>72</v>
      </c>
      <c r="D97" s="4" t="s">
        <v>39</v>
      </c>
      <c r="E97" s="4" t="s">
        <v>685</v>
      </c>
      <c r="F97" s="7" t="s">
        <v>72</v>
      </c>
      <c r="G97" s="4" t="s">
        <v>686</v>
      </c>
      <c r="H97" s="4" t="s">
        <v>239</v>
      </c>
    </row>
    <row r="98">
      <c r="A98" s="4">
        <v>96.0</v>
      </c>
      <c r="B98" s="4" t="s">
        <v>46</v>
      </c>
      <c r="C98" s="7" t="s">
        <v>263</v>
      </c>
      <c r="D98" s="4" t="s">
        <v>39</v>
      </c>
      <c r="E98" s="4" t="s">
        <v>641</v>
      </c>
      <c r="F98" s="7" t="s">
        <v>72</v>
      </c>
      <c r="G98" s="4" t="s">
        <v>689</v>
      </c>
      <c r="H98" s="4" t="s">
        <v>273</v>
      </c>
    </row>
    <row r="99">
      <c r="A99" s="4">
        <v>97.0</v>
      </c>
      <c r="B99" s="4" t="s">
        <v>46</v>
      </c>
      <c r="C99" s="7" t="s">
        <v>293</v>
      </c>
      <c r="D99" s="4" t="s">
        <v>39</v>
      </c>
      <c r="E99" s="4" t="s">
        <v>664</v>
      </c>
      <c r="F99" s="7" t="s">
        <v>72</v>
      </c>
      <c r="G99" s="4" t="s">
        <v>692</v>
      </c>
      <c r="H99" s="4" t="s">
        <v>355</v>
      </c>
    </row>
    <row r="100">
      <c r="A100" s="4">
        <v>98.0</v>
      </c>
      <c r="B100" s="4" t="s">
        <v>127</v>
      </c>
      <c r="C100" s="7" t="s">
        <v>129</v>
      </c>
      <c r="D100" s="4" t="s">
        <v>39</v>
      </c>
      <c r="E100" s="4" t="s">
        <v>593</v>
      </c>
      <c r="F100" s="7" t="s">
        <v>72</v>
      </c>
      <c r="G100" s="4" t="s">
        <v>693</v>
      </c>
      <c r="H100" s="4" t="s">
        <v>417</v>
      </c>
    </row>
    <row r="101">
      <c r="A101" s="4">
        <v>99.0</v>
      </c>
      <c r="B101" s="4" t="s">
        <v>46</v>
      </c>
      <c r="C101" s="7" t="s">
        <v>47</v>
      </c>
      <c r="D101" s="4" t="s">
        <v>39</v>
      </c>
      <c r="E101" s="4" t="s">
        <v>622</v>
      </c>
      <c r="F101" s="7" t="s">
        <v>72</v>
      </c>
      <c r="G101" s="4" t="s">
        <v>699</v>
      </c>
      <c r="H101" s="4" t="s">
        <v>382</v>
      </c>
    </row>
    <row r="102">
      <c r="A102" s="4">
        <v>100.0</v>
      </c>
      <c r="B102" s="4" t="s">
        <v>46</v>
      </c>
      <c r="C102" s="7" t="s">
        <v>47</v>
      </c>
      <c r="D102" s="4" t="s">
        <v>39</v>
      </c>
      <c r="E102" s="4" t="s">
        <v>622</v>
      </c>
      <c r="F102" s="7" t="s">
        <v>72</v>
      </c>
      <c r="G102" s="4">
        <v>1.25449425010768E15</v>
      </c>
      <c r="H102" s="4" t="s">
        <v>382</v>
      </c>
    </row>
    <row r="103">
      <c r="A103" s="4">
        <v>101.0</v>
      </c>
      <c r="B103" s="4" t="s">
        <v>46</v>
      </c>
      <c r="C103" s="7" t="s">
        <v>47</v>
      </c>
      <c r="D103" s="4" t="s">
        <v>39</v>
      </c>
      <c r="E103" s="4" t="s">
        <v>622</v>
      </c>
      <c r="F103" s="7" t="s">
        <v>72</v>
      </c>
      <c r="G103" s="4" t="s">
        <v>703</v>
      </c>
      <c r="H103" s="4" t="s">
        <v>115</v>
      </c>
    </row>
    <row r="104">
      <c r="A104" s="4">
        <v>102.0</v>
      </c>
      <c r="B104" s="4" t="s">
        <v>46</v>
      </c>
      <c r="C104" s="7" t="s">
        <v>263</v>
      </c>
      <c r="D104" s="4" t="s">
        <v>39</v>
      </c>
      <c r="E104" s="4" t="s">
        <v>593</v>
      </c>
      <c r="F104" s="7" t="s">
        <v>72</v>
      </c>
      <c r="G104" s="4" t="s">
        <v>707</v>
      </c>
      <c r="H104" s="4" t="s">
        <v>239</v>
      </c>
    </row>
    <row r="105">
      <c r="A105" s="4">
        <v>103.0</v>
      </c>
      <c r="B105" s="4" t="s">
        <v>127</v>
      </c>
      <c r="C105" s="7" t="s">
        <v>129</v>
      </c>
      <c r="D105" s="4" t="s">
        <v>39</v>
      </c>
      <c r="E105" s="4" t="s">
        <v>657</v>
      </c>
      <c r="F105" s="7" t="s">
        <v>72</v>
      </c>
      <c r="G105" s="4">
        <v>9.16443948178613E14</v>
      </c>
      <c r="H105" s="4" t="s">
        <v>714</v>
      </c>
    </row>
    <row r="106">
      <c r="A106" s="4">
        <v>104.0</v>
      </c>
      <c r="B106" s="4" t="s">
        <v>46</v>
      </c>
      <c r="C106" s="7" t="s">
        <v>87</v>
      </c>
      <c r="D106" s="4" t="s">
        <v>39</v>
      </c>
      <c r="E106" s="4" t="s">
        <v>716</v>
      </c>
      <c r="F106" s="7" t="s">
        <v>72</v>
      </c>
      <c r="G106" s="4" t="s">
        <v>718</v>
      </c>
      <c r="H106" s="4" t="s">
        <v>126</v>
      </c>
    </row>
    <row r="107">
      <c r="A107" s="4">
        <v>105.0</v>
      </c>
      <c r="B107" s="4" t="s">
        <v>127</v>
      </c>
      <c r="C107" s="7" t="s">
        <v>129</v>
      </c>
      <c r="D107" s="4" t="s">
        <v>39</v>
      </c>
      <c r="E107" s="4" t="s">
        <v>608</v>
      </c>
      <c r="F107" s="7" t="s">
        <v>72</v>
      </c>
      <c r="G107" s="4" t="s">
        <v>722</v>
      </c>
      <c r="H107" s="4" t="s">
        <v>581</v>
      </c>
    </row>
    <row r="108">
      <c r="A108" s="4">
        <v>106.0</v>
      </c>
      <c r="B108" s="4" t="s">
        <v>127</v>
      </c>
      <c r="C108" s="7" t="s">
        <v>129</v>
      </c>
      <c r="D108" s="4" t="s">
        <v>39</v>
      </c>
      <c r="E108" s="4" t="s">
        <v>657</v>
      </c>
      <c r="F108" s="7" t="s">
        <v>72</v>
      </c>
      <c r="G108" s="4" t="s">
        <v>725</v>
      </c>
      <c r="H108" s="4" t="s">
        <v>581</v>
      </c>
    </row>
    <row r="109">
      <c r="A109" s="4">
        <v>107.0</v>
      </c>
      <c r="B109" s="4" t="s">
        <v>127</v>
      </c>
      <c r="C109" s="7" t="s">
        <v>129</v>
      </c>
      <c r="D109" s="4" t="s">
        <v>39</v>
      </c>
      <c r="E109" s="4" t="s">
        <v>657</v>
      </c>
      <c r="F109" s="7" t="s">
        <v>72</v>
      </c>
      <c r="G109" s="4" t="s">
        <v>730</v>
      </c>
      <c r="H109" s="4" t="s">
        <v>273</v>
      </c>
    </row>
    <row r="110">
      <c r="A110" s="4">
        <v>108.0</v>
      </c>
      <c r="B110" s="4" t="s">
        <v>46</v>
      </c>
      <c r="C110" s="7" t="s">
        <v>263</v>
      </c>
      <c r="D110" s="4" t="s">
        <v>39</v>
      </c>
      <c r="E110" s="4" t="s">
        <v>641</v>
      </c>
      <c r="F110" s="7" t="s">
        <v>72</v>
      </c>
      <c r="G110" s="4" t="s">
        <v>733</v>
      </c>
      <c r="H110" s="4" t="s">
        <v>239</v>
      </c>
    </row>
    <row r="111">
      <c r="A111" s="4">
        <v>109.0</v>
      </c>
      <c r="B111" s="4" t="s">
        <v>127</v>
      </c>
      <c r="C111" s="7" t="s">
        <v>129</v>
      </c>
      <c r="D111" s="4" t="s">
        <v>39</v>
      </c>
      <c r="E111" s="4" t="s">
        <v>651</v>
      </c>
      <c r="F111" s="7" t="s">
        <v>72</v>
      </c>
      <c r="G111" s="4" t="s">
        <v>739</v>
      </c>
      <c r="H111" s="4" t="s">
        <v>152</v>
      </c>
    </row>
    <row r="112">
      <c r="A112" s="4">
        <v>110.0</v>
      </c>
      <c r="B112" s="4" t="s">
        <v>127</v>
      </c>
      <c r="C112" s="7" t="s">
        <v>129</v>
      </c>
      <c r="D112" s="4" t="s">
        <v>39</v>
      </c>
      <c r="E112" s="4" t="s">
        <v>657</v>
      </c>
      <c r="F112" s="7" t="s">
        <v>72</v>
      </c>
      <c r="G112" s="4" t="s">
        <v>742</v>
      </c>
      <c r="H112" s="4" t="s">
        <v>714</v>
      </c>
    </row>
    <row r="113">
      <c r="A113" s="4">
        <v>111.0</v>
      </c>
      <c r="B113" s="4" t="s">
        <v>46</v>
      </c>
      <c r="C113" s="7" t="s">
        <v>263</v>
      </c>
      <c r="D113" s="4" t="s">
        <v>39</v>
      </c>
      <c r="E113" s="4" t="s">
        <v>641</v>
      </c>
      <c r="F113" s="7" t="s">
        <v>72</v>
      </c>
      <c r="G113" s="4" t="s">
        <v>743</v>
      </c>
      <c r="H113" s="4" t="s">
        <v>239</v>
      </c>
    </row>
    <row r="114">
      <c r="A114" s="4">
        <v>112.0</v>
      </c>
      <c r="B114" s="4" t="s">
        <v>127</v>
      </c>
      <c r="C114" s="7" t="s">
        <v>129</v>
      </c>
      <c r="D114" s="4" t="s">
        <v>39</v>
      </c>
      <c r="E114" s="4" t="s">
        <v>657</v>
      </c>
      <c r="F114" s="7" t="s">
        <v>72</v>
      </c>
      <c r="G114" s="4">
        <v>9.00674893114668E14</v>
      </c>
      <c r="H114" s="4" t="s">
        <v>581</v>
      </c>
    </row>
    <row r="115">
      <c r="A115" s="4">
        <v>113.0</v>
      </c>
      <c r="B115" s="4" t="s">
        <v>46</v>
      </c>
      <c r="C115" s="7" t="s">
        <v>263</v>
      </c>
      <c r="D115" s="4" t="s">
        <v>39</v>
      </c>
      <c r="E115" s="4" t="s">
        <v>593</v>
      </c>
      <c r="F115" s="7" t="s">
        <v>72</v>
      </c>
      <c r="G115" s="4" t="s">
        <v>749</v>
      </c>
      <c r="H115" s="4" t="s">
        <v>239</v>
      </c>
    </row>
    <row r="116">
      <c r="A116" s="4">
        <v>114.0</v>
      </c>
      <c r="B116" s="4" t="s">
        <v>127</v>
      </c>
      <c r="C116" s="7" t="s">
        <v>129</v>
      </c>
      <c r="D116" s="4" t="s">
        <v>39</v>
      </c>
      <c r="E116" s="4" t="s">
        <v>657</v>
      </c>
      <c r="F116" s="7" t="s">
        <v>72</v>
      </c>
      <c r="G116" s="4" t="s">
        <v>752</v>
      </c>
      <c r="H116" s="4" t="s">
        <v>273</v>
      </c>
    </row>
    <row r="117">
      <c r="A117" s="4">
        <v>115.0</v>
      </c>
      <c r="B117" s="4" t="s">
        <v>46</v>
      </c>
      <c r="C117" s="7" t="s">
        <v>47</v>
      </c>
      <c r="D117" s="4" t="s">
        <v>39</v>
      </c>
      <c r="E117" s="4" t="s">
        <v>622</v>
      </c>
      <c r="F117" s="7" t="s">
        <v>72</v>
      </c>
      <c r="G117" s="4">
        <v>2.10877872003414E15</v>
      </c>
      <c r="H117" s="4" t="s">
        <v>382</v>
      </c>
    </row>
    <row r="118">
      <c r="A118" s="4">
        <v>116.0</v>
      </c>
      <c r="B118" s="4" t="s">
        <v>127</v>
      </c>
      <c r="C118" s="7" t="s">
        <v>129</v>
      </c>
      <c r="D118" s="4" t="s">
        <v>39</v>
      </c>
      <c r="E118" s="4" t="s">
        <v>657</v>
      </c>
      <c r="F118" s="7" t="s">
        <v>72</v>
      </c>
      <c r="G118" s="4">
        <v>9.55524650921317E14</v>
      </c>
      <c r="H118" s="4" t="s">
        <v>581</v>
      </c>
    </row>
    <row r="119">
      <c r="A119" s="4">
        <v>117.0</v>
      </c>
      <c r="B119" s="4" t="s">
        <v>127</v>
      </c>
      <c r="C119" s="7" t="s">
        <v>129</v>
      </c>
      <c r="D119" s="4" t="s">
        <v>39</v>
      </c>
      <c r="E119" s="4" t="s">
        <v>657</v>
      </c>
      <c r="F119" s="7" t="s">
        <v>72</v>
      </c>
      <c r="G119" s="4" t="s">
        <v>763</v>
      </c>
      <c r="H119" s="4" t="s">
        <v>581</v>
      </c>
    </row>
    <row r="120">
      <c r="A120" s="4">
        <v>118.0</v>
      </c>
      <c r="B120" s="4" t="s">
        <v>127</v>
      </c>
      <c r="C120" s="7" t="s">
        <v>129</v>
      </c>
      <c r="D120" s="4" t="s">
        <v>39</v>
      </c>
      <c r="E120" s="4" t="s">
        <v>657</v>
      </c>
      <c r="F120" s="7" t="s">
        <v>72</v>
      </c>
      <c r="G120" s="4" t="s">
        <v>767</v>
      </c>
      <c r="H120" s="4" t="s">
        <v>581</v>
      </c>
    </row>
    <row r="121">
      <c r="A121" s="4">
        <v>119.0</v>
      </c>
      <c r="B121" s="4" t="s">
        <v>127</v>
      </c>
      <c r="C121" s="7" t="s">
        <v>72</v>
      </c>
      <c r="D121" s="4" t="s">
        <v>39</v>
      </c>
      <c r="E121" s="4" t="s">
        <v>651</v>
      </c>
      <c r="F121" s="7" t="s">
        <v>72</v>
      </c>
      <c r="G121" s="4" t="s">
        <v>778</v>
      </c>
      <c r="H121" s="4" t="s">
        <v>152</v>
      </c>
    </row>
    <row r="122">
      <c r="A122" s="4">
        <v>120.0</v>
      </c>
      <c r="B122" s="4" t="s">
        <v>127</v>
      </c>
      <c r="C122" s="7" t="s">
        <v>129</v>
      </c>
      <c r="D122" s="4" t="s">
        <v>39</v>
      </c>
      <c r="E122" s="4" t="s">
        <v>608</v>
      </c>
      <c r="F122" s="7" t="s">
        <v>72</v>
      </c>
      <c r="G122" s="4" t="s">
        <v>782</v>
      </c>
      <c r="H122" s="4" t="s">
        <v>640</v>
      </c>
    </row>
    <row r="123">
      <c r="A123" s="4">
        <v>121.0</v>
      </c>
      <c r="B123" s="4" t="s">
        <v>46</v>
      </c>
      <c r="C123" s="7" t="s">
        <v>47</v>
      </c>
      <c r="D123" s="4" t="s">
        <v>39</v>
      </c>
      <c r="E123" s="4" t="s">
        <v>622</v>
      </c>
      <c r="F123" s="7" t="s">
        <v>72</v>
      </c>
      <c r="G123" s="4" t="s">
        <v>785</v>
      </c>
      <c r="H123" s="4" t="s">
        <v>328</v>
      </c>
    </row>
    <row r="124">
      <c r="A124" s="4">
        <v>122.0</v>
      </c>
      <c r="B124" s="4" t="s">
        <v>127</v>
      </c>
      <c r="C124" s="7" t="s">
        <v>129</v>
      </c>
      <c r="D124" s="4" t="s">
        <v>39</v>
      </c>
      <c r="E124" s="4" t="s">
        <v>657</v>
      </c>
      <c r="F124" s="7" t="s">
        <v>72</v>
      </c>
      <c r="G124" s="4" t="s">
        <v>792</v>
      </c>
      <c r="H124" s="4" t="s">
        <v>640</v>
      </c>
    </row>
    <row r="125">
      <c r="A125" s="4">
        <v>123.0</v>
      </c>
      <c r="B125" s="4" t="s">
        <v>233</v>
      </c>
      <c r="C125" s="7" t="s">
        <v>72</v>
      </c>
      <c r="D125" s="4" t="s">
        <v>39</v>
      </c>
      <c r="E125" s="4" t="s">
        <v>685</v>
      </c>
      <c r="F125" s="7" t="s">
        <v>72</v>
      </c>
      <c r="G125" s="4" t="s">
        <v>795</v>
      </c>
      <c r="H125" s="4" t="s">
        <v>239</v>
      </c>
    </row>
    <row r="126">
      <c r="A126" s="4">
        <v>124.0</v>
      </c>
      <c r="B126" s="4" t="s">
        <v>127</v>
      </c>
      <c r="C126" s="7" t="s">
        <v>129</v>
      </c>
      <c r="D126" s="4" t="s">
        <v>39</v>
      </c>
      <c r="E126" s="4" t="s">
        <v>608</v>
      </c>
      <c r="F126" s="7" t="s">
        <v>72</v>
      </c>
      <c r="G126" s="4" t="s">
        <v>798</v>
      </c>
      <c r="H126" s="4" t="s">
        <v>273</v>
      </c>
    </row>
    <row r="127">
      <c r="A127" s="4">
        <v>125.0</v>
      </c>
      <c r="B127" s="4" t="s">
        <v>46</v>
      </c>
      <c r="C127" s="7" t="s">
        <v>47</v>
      </c>
      <c r="D127" s="4" t="s">
        <v>39</v>
      </c>
      <c r="E127" s="4" t="s">
        <v>622</v>
      </c>
      <c r="F127" s="7" t="s">
        <v>72</v>
      </c>
      <c r="G127" s="4" t="s">
        <v>799</v>
      </c>
      <c r="H127" s="4" t="s">
        <v>382</v>
      </c>
    </row>
    <row r="128">
      <c r="A128" s="4">
        <v>126.0</v>
      </c>
      <c r="B128" s="4" t="s">
        <v>127</v>
      </c>
      <c r="C128" s="7" t="s">
        <v>129</v>
      </c>
      <c r="D128" s="4" t="s">
        <v>39</v>
      </c>
      <c r="E128" s="4" t="s">
        <v>657</v>
      </c>
      <c r="F128" s="7" t="s">
        <v>72</v>
      </c>
      <c r="G128" s="4" t="s">
        <v>804</v>
      </c>
      <c r="H128" s="4" t="s">
        <v>640</v>
      </c>
    </row>
    <row r="129">
      <c r="A129" s="4">
        <v>127.0</v>
      </c>
      <c r="B129" s="4" t="s">
        <v>127</v>
      </c>
      <c r="C129" s="7" t="s">
        <v>129</v>
      </c>
      <c r="D129" s="4" t="s">
        <v>39</v>
      </c>
      <c r="E129" s="4" t="s">
        <v>657</v>
      </c>
      <c r="F129" s="7" t="s">
        <v>72</v>
      </c>
      <c r="G129" s="4" t="s">
        <v>807</v>
      </c>
      <c r="H129" s="4" t="s">
        <v>581</v>
      </c>
    </row>
    <row r="130">
      <c r="A130" s="4">
        <v>128.0</v>
      </c>
      <c r="B130" s="4" t="s">
        <v>46</v>
      </c>
      <c r="C130" s="7" t="s">
        <v>263</v>
      </c>
      <c r="D130" s="4" t="s">
        <v>39</v>
      </c>
      <c r="E130" s="4" t="s">
        <v>593</v>
      </c>
      <c r="F130" s="7" t="s">
        <v>72</v>
      </c>
      <c r="G130" s="4">
        <v>9.79703301750224E14</v>
      </c>
      <c r="H130" s="4" t="s">
        <v>239</v>
      </c>
    </row>
    <row r="131">
      <c r="A131" s="4">
        <v>129.0</v>
      </c>
      <c r="B131" s="4" t="s">
        <v>127</v>
      </c>
      <c r="C131" s="7" t="s">
        <v>129</v>
      </c>
      <c r="D131" s="4" t="s">
        <v>39</v>
      </c>
      <c r="E131" s="4" t="s">
        <v>657</v>
      </c>
      <c r="F131" s="7" t="s">
        <v>72</v>
      </c>
      <c r="G131" s="4" t="s">
        <v>813</v>
      </c>
      <c r="H131" s="4" t="s">
        <v>581</v>
      </c>
    </row>
    <row r="132">
      <c r="A132" s="4">
        <v>130.0</v>
      </c>
      <c r="B132" s="4" t="s">
        <v>127</v>
      </c>
      <c r="C132" s="7" t="s">
        <v>129</v>
      </c>
      <c r="D132" s="4" t="s">
        <v>39</v>
      </c>
      <c r="E132" s="4" t="s">
        <v>657</v>
      </c>
      <c r="F132" s="7" t="s">
        <v>72</v>
      </c>
      <c r="G132" s="4" t="s">
        <v>818</v>
      </c>
      <c r="H132" s="4" t="s">
        <v>581</v>
      </c>
    </row>
    <row r="133">
      <c r="A133" s="4">
        <v>131.0</v>
      </c>
      <c r="B133" s="4" t="s">
        <v>127</v>
      </c>
      <c r="C133" s="7" t="s">
        <v>129</v>
      </c>
      <c r="D133" s="4" t="s">
        <v>39</v>
      </c>
      <c r="E133" s="4" t="s">
        <v>657</v>
      </c>
      <c r="F133" s="7" t="s">
        <v>72</v>
      </c>
      <c r="G133" s="4" t="s">
        <v>821</v>
      </c>
      <c r="H133" s="4" t="s">
        <v>581</v>
      </c>
    </row>
    <row r="134">
      <c r="A134" s="4">
        <v>132.0</v>
      </c>
      <c r="B134" s="4" t="s">
        <v>127</v>
      </c>
      <c r="C134" s="7" t="s">
        <v>129</v>
      </c>
      <c r="D134" s="4" t="s">
        <v>39</v>
      </c>
      <c r="E134" s="4" t="s">
        <v>657</v>
      </c>
      <c r="F134" s="7" t="s">
        <v>72</v>
      </c>
      <c r="G134" s="4" t="s">
        <v>822</v>
      </c>
      <c r="H134" s="4" t="s">
        <v>581</v>
      </c>
    </row>
    <row r="135">
      <c r="A135" s="4">
        <v>133.0</v>
      </c>
      <c r="B135" s="4" t="s">
        <v>46</v>
      </c>
      <c r="C135" s="7" t="s">
        <v>47</v>
      </c>
      <c r="D135" s="4" t="s">
        <v>39</v>
      </c>
      <c r="E135" s="4" t="s">
        <v>622</v>
      </c>
      <c r="F135" s="7" t="s">
        <v>72</v>
      </c>
      <c r="G135" s="4" t="s">
        <v>828</v>
      </c>
      <c r="H135" s="4" t="s">
        <v>115</v>
      </c>
    </row>
    <row r="136">
      <c r="A136" s="4">
        <v>134.0</v>
      </c>
      <c r="B136" s="4" t="s">
        <v>127</v>
      </c>
      <c r="C136" s="7" t="s">
        <v>129</v>
      </c>
      <c r="D136" s="4" t="s">
        <v>39</v>
      </c>
      <c r="E136" s="4" t="s">
        <v>657</v>
      </c>
      <c r="F136" s="7" t="s">
        <v>72</v>
      </c>
      <c r="G136" s="4">
        <v>1.03250345966836E15</v>
      </c>
      <c r="H136" s="4" t="s">
        <v>273</v>
      </c>
    </row>
    <row r="137">
      <c r="A137" s="4">
        <v>135.0</v>
      </c>
      <c r="B137" s="4" t="s">
        <v>46</v>
      </c>
      <c r="C137" s="7" t="s">
        <v>47</v>
      </c>
      <c r="D137" s="4" t="s">
        <v>39</v>
      </c>
      <c r="E137" s="4" t="s">
        <v>622</v>
      </c>
      <c r="F137" s="7" t="s">
        <v>72</v>
      </c>
      <c r="G137" s="4" t="s">
        <v>837</v>
      </c>
      <c r="H137" s="4" t="s">
        <v>382</v>
      </c>
    </row>
    <row r="138">
      <c r="A138" s="4">
        <v>136.0</v>
      </c>
      <c r="B138" s="4" t="s">
        <v>127</v>
      </c>
      <c r="C138" s="7" t="s">
        <v>129</v>
      </c>
      <c r="D138" s="4" t="s">
        <v>39</v>
      </c>
      <c r="E138" s="4" t="s">
        <v>657</v>
      </c>
      <c r="F138" s="7" t="s">
        <v>72</v>
      </c>
      <c r="G138" s="4" t="s">
        <v>839</v>
      </c>
      <c r="H138" s="4" t="s">
        <v>581</v>
      </c>
    </row>
    <row r="139">
      <c r="A139" s="4">
        <v>137.0</v>
      </c>
      <c r="B139" s="4" t="s">
        <v>127</v>
      </c>
      <c r="C139" s="7" t="s">
        <v>129</v>
      </c>
      <c r="D139" s="4" t="s">
        <v>39</v>
      </c>
      <c r="E139" s="4" t="s">
        <v>608</v>
      </c>
      <c r="F139" s="7" t="s">
        <v>72</v>
      </c>
      <c r="G139" s="4" t="s">
        <v>840</v>
      </c>
      <c r="H139" s="4" t="s">
        <v>714</v>
      </c>
    </row>
    <row r="140">
      <c r="A140" s="4">
        <v>138.0</v>
      </c>
      <c r="B140" s="4" t="s">
        <v>127</v>
      </c>
      <c r="C140" s="7" t="s">
        <v>129</v>
      </c>
      <c r="D140" s="4" t="s">
        <v>39</v>
      </c>
      <c r="E140" s="4" t="s">
        <v>593</v>
      </c>
      <c r="F140" s="7" t="s">
        <v>72</v>
      </c>
      <c r="G140" s="4" t="s">
        <v>841</v>
      </c>
      <c r="H140" s="4" t="s">
        <v>445</v>
      </c>
    </row>
    <row r="141">
      <c r="A141" s="4">
        <v>139.0</v>
      </c>
      <c r="B141" s="4" t="s">
        <v>127</v>
      </c>
      <c r="C141" s="7" t="s">
        <v>129</v>
      </c>
      <c r="D141" s="4" t="s">
        <v>39</v>
      </c>
      <c r="E141" s="4" t="s">
        <v>657</v>
      </c>
      <c r="F141" s="7" t="s">
        <v>72</v>
      </c>
      <c r="G141" s="4" t="s">
        <v>845</v>
      </c>
      <c r="H141" s="4" t="s">
        <v>640</v>
      </c>
    </row>
    <row r="142">
      <c r="A142" s="4">
        <v>140.0</v>
      </c>
      <c r="B142" s="4" t="s">
        <v>46</v>
      </c>
      <c r="C142" s="7" t="s">
        <v>293</v>
      </c>
      <c r="D142" s="4" t="s">
        <v>39</v>
      </c>
      <c r="E142" s="4" t="s">
        <v>641</v>
      </c>
      <c r="F142" s="7" t="s">
        <v>72</v>
      </c>
      <c r="G142" s="4" t="s">
        <v>847</v>
      </c>
      <c r="H142" s="4" t="s">
        <v>273</v>
      </c>
    </row>
    <row r="143">
      <c r="A143" s="4">
        <v>141.0</v>
      </c>
      <c r="B143" s="4" t="s">
        <v>46</v>
      </c>
      <c r="C143" s="7" t="s">
        <v>47</v>
      </c>
      <c r="D143" s="4" t="s">
        <v>39</v>
      </c>
      <c r="E143" s="4" t="s">
        <v>622</v>
      </c>
      <c r="F143" s="7" t="s">
        <v>72</v>
      </c>
      <c r="G143" s="4" t="s">
        <v>850</v>
      </c>
      <c r="H143" s="4" t="s">
        <v>382</v>
      </c>
    </row>
    <row r="144">
      <c r="A144" s="4">
        <v>142.0</v>
      </c>
      <c r="B144" s="4" t="s">
        <v>46</v>
      </c>
      <c r="C144" s="7" t="s">
        <v>263</v>
      </c>
      <c r="D144" s="4" t="s">
        <v>39</v>
      </c>
      <c r="E144" s="4" t="s">
        <v>641</v>
      </c>
      <c r="F144" s="7" t="s">
        <v>72</v>
      </c>
      <c r="G144" s="4" t="s">
        <v>854</v>
      </c>
      <c r="H144" s="4" t="s">
        <v>355</v>
      </c>
    </row>
    <row r="145">
      <c r="A145" s="4">
        <v>143.0</v>
      </c>
      <c r="B145" s="4" t="s">
        <v>127</v>
      </c>
      <c r="C145" s="7" t="s">
        <v>129</v>
      </c>
      <c r="D145" s="4" t="s">
        <v>39</v>
      </c>
      <c r="E145" s="4" t="s">
        <v>657</v>
      </c>
      <c r="F145" s="7" t="s">
        <v>72</v>
      </c>
      <c r="G145" s="4" t="s">
        <v>858</v>
      </c>
      <c r="H145" s="4" t="s">
        <v>273</v>
      </c>
    </row>
    <row r="146">
      <c r="A146" s="4">
        <v>144.0</v>
      </c>
      <c r="B146" s="4" t="s">
        <v>46</v>
      </c>
      <c r="C146" s="7" t="s">
        <v>72</v>
      </c>
      <c r="D146" s="4" t="s">
        <v>39</v>
      </c>
      <c r="E146" s="4" t="s">
        <v>860</v>
      </c>
      <c r="F146" s="7" t="s">
        <v>72</v>
      </c>
      <c r="G146" s="4" t="s">
        <v>861</v>
      </c>
      <c r="H146" s="4" t="s">
        <v>239</v>
      </c>
    </row>
    <row r="147">
      <c r="A147" s="4">
        <v>145.0</v>
      </c>
      <c r="B147" s="4" t="s">
        <v>127</v>
      </c>
      <c r="C147" s="7" t="s">
        <v>129</v>
      </c>
      <c r="D147" s="4" t="s">
        <v>39</v>
      </c>
      <c r="E147" s="4" t="s">
        <v>608</v>
      </c>
      <c r="F147" s="7" t="s">
        <v>72</v>
      </c>
      <c r="G147" s="4" t="s">
        <v>863</v>
      </c>
      <c r="H147" s="4" t="s">
        <v>714</v>
      </c>
    </row>
    <row r="148">
      <c r="A148" s="4">
        <v>146.0</v>
      </c>
      <c r="B148" s="4" t="s">
        <v>46</v>
      </c>
      <c r="C148" s="7" t="s">
        <v>47</v>
      </c>
      <c r="D148" s="4" t="s">
        <v>39</v>
      </c>
      <c r="E148" s="4" t="s">
        <v>622</v>
      </c>
      <c r="F148" s="7" t="s">
        <v>72</v>
      </c>
      <c r="G148" s="4" t="s">
        <v>866</v>
      </c>
      <c r="H148" s="4" t="s">
        <v>382</v>
      </c>
    </row>
    <row r="149">
      <c r="A149" s="4">
        <v>147.0</v>
      </c>
      <c r="B149" s="4" t="s">
        <v>46</v>
      </c>
      <c r="C149" s="7" t="s">
        <v>263</v>
      </c>
      <c r="D149" s="4" t="s">
        <v>39</v>
      </c>
      <c r="E149" s="4" t="s">
        <v>641</v>
      </c>
      <c r="F149" s="7" t="s">
        <v>72</v>
      </c>
      <c r="G149" s="4">
        <v>9.92265330526519E14</v>
      </c>
      <c r="H149" s="4" t="s">
        <v>239</v>
      </c>
    </row>
    <row r="150">
      <c r="A150" s="4">
        <v>148.0</v>
      </c>
      <c r="B150" s="4" t="s">
        <v>233</v>
      </c>
      <c r="C150" s="7" t="s">
        <v>72</v>
      </c>
      <c r="D150" s="4" t="s">
        <v>39</v>
      </c>
      <c r="E150" s="4" t="s">
        <v>874</v>
      </c>
      <c r="F150" s="7" t="s">
        <v>72</v>
      </c>
      <c r="G150" s="4" t="s">
        <v>875</v>
      </c>
      <c r="H150" s="4" t="s">
        <v>273</v>
      </c>
    </row>
    <row r="151">
      <c r="A151" s="4">
        <v>149.0</v>
      </c>
      <c r="B151" s="4" t="s">
        <v>46</v>
      </c>
      <c r="C151" s="7" t="s">
        <v>263</v>
      </c>
      <c r="D151" s="4" t="s">
        <v>39</v>
      </c>
      <c r="E151" s="4" t="s">
        <v>593</v>
      </c>
      <c r="F151" s="7" t="s">
        <v>72</v>
      </c>
      <c r="G151" s="4">
        <v>1.60012446498043E15</v>
      </c>
      <c r="H151" s="4" t="s">
        <v>239</v>
      </c>
    </row>
    <row r="152">
      <c r="A152" s="4">
        <v>150.0</v>
      </c>
      <c r="B152" s="4" t="s">
        <v>46</v>
      </c>
      <c r="C152" s="7" t="s">
        <v>293</v>
      </c>
      <c r="D152" s="4" t="s">
        <v>39</v>
      </c>
      <c r="E152" s="4" t="s">
        <v>593</v>
      </c>
      <c r="F152" s="7" t="s">
        <v>72</v>
      </c>
      <c r="G152" s="4">
        <v>9.33156899114724E14</v>
      </c>
      <c r="H152" s="4" t="s">
        <v>273</v>
      </c>
    </row>
    <row r="153">
      <c r="A153" s="4">
        <v>151.0</v>
      </c>
      <c r="B153" s="4" t="s">
        <v>233</v>
      </c>
      <c r="C153" s="7" t="s">
        <v>72</v>
      </c>
      <c r="D153" s="4" t="s">
        <v>39</v>
      </c>
      <c r="E153" s="4" t="s">
        <v>874</v>
      </c>
      <c r="F153" s="7" t="s">
        <v>72</v>
      </c>
      <c r="G153" s="4" t="s">
        <v>883</v>
      </c>
      <c r="H153" s="4" t="s">
        <v>239</v>
      </c>
    </row>
    <row r="154">
      <c r="A154" s="4">
        <v>152.0</v>
      </c>
      <c r="B154" s="4" t="s">
        <v>46</v>
      </c>
      <c r="C154" s="7" t="s">
        <v>293</v>
      </c>
      <c r="D154" s="4" t="s">
        <v>39</v>
      </c>
      <c r="E154" s="4" t="s">
        <v>593</v>
      </c>
      <c r="F154" s="7" t="s">
        <v>72</v>
      </c>
      <c r="G154" s="4" t="s">
        <v>886</v>
      </c>
      <c r="H154" s="4" t="s">
        <v>273</v>
      </c>
    </row>
    <row r="155">
      <c r="A155" s="4">
        <v>153.0</v>
      </c>
      <c r="B155" s="4" t="s">
        <v>46</v>
      </c>
      <c r="C155" s="7" t="s">
        <v>72</v>
      </c>
      <c r="D155" s="4" t="s">
        <v>39</v>
      </c>
      <c r="E155" s="4" t="s">
        <v>891</v>
      </c>
      <c r="F155" s="7" t="s">
        <v>72</v>
      </c>
      <c r="G155" s="4" t="s">
        <v>892</v>
      </c>
      <c r="H155" s="4" t="s">
        <v>239</v>
      </c>
    </row>
    <row r="156">
      <c r="A156" s="4">
        <v>154.0</v>
      </c>
      <c r="B156" s="4" t="s">
        <v>46</v>
      </c>
      <c r="C156" s="7" t="s">
        <v>47</v>
      </c>
      <c r="D156" s="4" t="s">
        <v>39</v>
      </c>
      <c r="E156" s="4" t="s">
        <v>622</v>
      </c>
      <c r="F156" s="7" t="s">
        <v>72</v>
      </c>
      <c r="G156" s="4" t="s">
        <v>894</v>
      </c>
      <c r="H156" s="4" t="s">
        <v>382</v>
      </c>
    </row>
    <row r="157">
      <c r="A157" s="4">
        <v>155.0</v>
      </c>
      <c r="B157" s="4" t="s">
        <v>233</v>
      </c>
      <c r="C157" s="7" t="s">
        <v>72</v>
      </c>
      <c r="D157" s="4" t="s">
        <v>39</v>
      </c>
      <c r="E157" s="4" t="s">
        <v>874</v>
      </c>
      <c r="F157" s="7" t="s">
        <v>72</v>
      </c>
      <c r="G157" s="4" t="s">
        <v>895</v>
      </c>
      <c r="H157" s="4" t="s">
        <v>445</v>
      </c>
    </row>
    <row r="158">
      <c r="A158" s="4">
        <v>156.0</v>
      </c>
      <c r="B158" s="4" t="s">
        <v>46</v>
      </c>
      <c r="C158" s="7" t="s">
        <v>47</v>
      </c>
      <c r="D158" s="4" t="s">
        <v>39</v>
      </c>
      <c r="E158" s="4" t="s">
        <v>622</v>
      </c>
      <c r="F158" s="7" t="s">
        <v>72</v>
      </c>
      <c r="G158" s="4" t="s">
        <v>901</v>
      </c>
      <c r="H158" s="4" t="s">
        <v>382</v>
      </c>
    </row>
    <row r="159">
      <c r="A159" s="4">
        <v>157.0</v>
      </c>
      <c r="B159" s="4" t="s">
        <v>233</v>
      </c>
      <c r="C159" s="7" t="s">
        <v>72</v>
      </c>
      <c r="D159" s="4" t="s">
        <v>39</v>
      </c>
      <c r="E159" s="4" t="s">
        <v>874</v>
      </c>
      <c r="F159" s="7" t="s">
        <v>72</v>
      </c>
      <c r="G159" s="4" t="s">
        <v>904</v>
      </c>
      <c r="H159" s="4" t="s">
        <v>273</v>
      </c>
    </row>
    <row r="160">
      <c r="A160" s="4">
        <v>158.0</v>
      </c>
      <c r="B160" s="4" t="s">
        <v>127</v>
      </c>
      <c r="C160" s="7" t="s">
        <v>129</v>
      </c>
      <c r="D160" s="4" t="s">
        <v>39</v>
      </c>
      <c r="E160" s="4" t="s">
        <v>657</v>
      </c>
      <c r="F160" s="7" t="s">
        <v>72</v>
      </c>
      <c r="G160" s="4" t="s">
        <v>905</v>
      </c>
      <c r="H160" s="4" t="s">
        <v>239</v>
      </c>
    </row>
    <row r="161">
      <c r="A161" s="11" t="s">
        <v>908</v>
      </c>
      <c r="B161" s="11" t="s">
        <v>912</v>
      </c>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1" t="s">
        <v>918</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4">
        <v>159.0</v>
      </c>
      <c r="B163" s="4" t="s">
        <v>46</v>
      </c>
      <c r="C163" s="7" t="s">
        <v>919</v>
      </c>
      <c r="D163" s="4" t="s">
        <v>918</v>
      </c>
      <c r="E163" s="4" t="s">
        <v>925</v>
      </c>
      <c r="F163" s="7" t="s">
        <v>926</v>
      </c>
      <c r="G163" s="4" t="s">
        <v>938</v>
      </c>
      <c r="H163" s="4" t="s">
        <v>940</v>
      </c>
    </row>
    <row r="164">
      <c r="A164" s="4">
        <v>160.0</v>
      </c>
      <c r="B164" s="4" t="s">
        <v>941</v>
      </c>
      <c r="C164" s="7" t="s">
        <v>942</v>
      </c>
      <c r="D164" s="4" t="s">
        <v>918</v>
      </c>
      <c r="E164" s="4" t="s">
        <v>948</v>
      </c>
      <c r="F164" s="7" t="s">
        <v>926</v>
      </c>
      <c r="G164" s="4" t="s">
        <v>950</v>
      </c>
      <c r="H164" s="4" t="s">
        <v>940</v>
      </c>
    </row>
    <row r="165">
      <c r="A165" s="4">
        <v>161.0</v>
      </c>
      <c r="B165" s="4" t="s">
        <v>217</v>
      </c>
      <c r="C165" s="7" t="s">
        <v>952</v>
      </c>
      <c r="D165" s="4" t="s">
        <v>918</v>
      </c>
      <c r="E165" s="4" t="s">
        <v>959</v>
      </c>
      <c r="F165" s="7" t="s">
        <v>926</v>
      </c>
      <c r="G165" s="4" t="s">
        <v>960</v>
      </c>
      <c r="H165" s="4" t="s">
        <v>962</v>
      </c>
    </row>
    <row r="166">
      <c r="A166" s="4">
        <v>162.0</v>
      </c>
      <c r="B166" s="4" t="s">
        <v>46</v>
      </c>
      <c r="C166" s="7" t="s">
        <v>964</v>
      </c>
      <c r="D166" s="4" t="s">
        <v>918</v>
      </c>
      <c r="E166" s="4" t="s">
        <v>967</v>
      </c>
      <c r="F166" s="7" t="s">
        <v>926</v>
      </c>
      <c r="G166" s="4" t="s">
        <v>969</v>
      </c>
      <c r="H166" s="4" t="s">
        <v>970</v>
      </c>
    </row>
    <row r="167">
      <c r="A167" s="4">
        <v>163.0</v>
      </c>
      <c r="B167" s="4" t="s">
        <v>972</v>
      </c>
      <c r="C167" s="7" t="s">
        <v>973</v>
      </c>
      <c r="D167" s="4" t="s">
        <v>918</v>
      </c>
      <c r="E167" s="4" t="s">
        <v>977</v>
      </c>
      <c r="F167" s="7" t="s">
        <v>926</v>
      </c>
      <c r="G167" s="4" t="s">
        <v>979</v>
      </c>
      <c r="H167" s="4" t="s">
        <v>980</v>
      </c>
    </row>
    <row r="168">
      <c r="A168" s="4">
        <v>164.0</v>
      </c>
      <c r="B168" s="4" t="s">
        <v>972</v>
      </c>
      <c r="C168" s="7" t="s">
        <v>973</v>
      </c>
      <c r="D168" s="4" t="s">
        <v>918</v>
      </c>
      <c r="E168" s="4" t="s">
        <v>977</v>
      </c>
      <c r="F168" s="7" t="s">
        <v>926</v>
      </c>
      <c r="G168" s="4">
        <v>8.23578803636287E14</v>
      </c>
      <c r="H168" s="4" t="s">
        <v>983</v>
      </c>
    </row>
    <row r="169">
      <c r="A169" s="4">
        <v>165.0</v>
      </c>
      <c r="B169" s="4" t="s">
        <v>233</v>
      </c>
      <c r="C169" s="7" t="s">
        <v>984</v>
      </c>
      <c r="D169" s="4" t="s">
        <v>918</v>
      </c>
      <c r="E169" s="4" t="s">
        <v>990</v>
      </c>
      <c r="F169" s="7" t="s">
        <v>926</v>
      </c>
      <c r="G169" s="4">
        <v>9.03217772057284E14</v>
      </c>
      <c r="H169" s="4" t="s">
        <v>992</v>
      </c>
    </row>
    <row r="170">
      <c r="A170" s="4">
        <v>166.0</v>
      </c>
      <c r="B170" s="4" t="s">
        <v>233</v>
      </c>
      <c r="C170" s="7" t="s">
        <v>984</v>
      </c>
      <c r="D170" s="4" t="s">
        <v>918</v>
      </c>
      <c r="E170" s="4" t="s">
        <v>990</v>
      </c>
      <c r="F170" s="7" t="s">
        <v>926</v>
      </c>
      <c r="G170" s="4" t="s">
        <v>995</v>
      </c>
      <c r="H170" s="4" t="s">
        <v>970</v>
      </c>
    </row>
    <row r="171">
      <c r="A171" s="4">
        <v>167.0</v>
      </c>
      <c r="B171" s="4" t="s">
        <v>46</v>
      </c>
      <c r="C171" s="7" t="s">
        <v>984</v>
      </c>
      <c r="D171" s="4" t="s">
        <v>918</v>
      </c>
      <c r="E171" s="4" t="s">
        <v>996</v>
      </c>
      <c r="F171" s="7" t="s">
        <v>926</v>
      </c>
      <c r="G171" s="4">
        <v>8.08906338427102E14</v>
      </c>
      <c r="H171" s="4" t="s">
        <v>997</v>
      </c>
    </row>
    <row r="172">
      <c r="A172" s="4">
        <v>168.0</v>
      </c>
      <c r="B172" s="4" t="s">
        <v>217</v>
      </c>
      <c r="C172" s="7" t="s">
        <v>1000</v>
      </c>
      <c r="D172" s="4" t="s">
        <v>918</v>
      </c>
      <c r="E172" s="4" t="s">
        <v>1005</v>
      </c>
      <c r="F172" s="7" t="s">
        <v>926</v>
      </c>
      <c r="G172" s="4">
        <v>6.81348218359931E14</v>
      </c>
      <c r="H172" s="4" t="s">
        <v>1006</v>
      </c>
    </row>
    <row r="173">
      <c r="A173" s="4">
        <v>169.0</v>
      </c>
      <c r="B173" s="4" t="s">
        <v>217</v>
      </c>
      <c r="C173" s="7" t="s">
        <v>1000</v>
      </c>
      <c r="D173" s="4" t="s">
        <v>918</v>
      </c>
      <c r="E173" s="4" t="s">
        <v>1009</v>
      </c>
      <c r="F173" s="7" t="s">
        <v>926</v>
      </c>
      <c r="G173" s="4" t="s">
        <v>1013</v>
      </c>
      <c r="H173" s="4" t="s">
        <v>980</v>
      </c>
    </row>
    <row r="174">
      <c r="A174" s="4">
        <v>170.0</v>
      </c>
      <c r="B174" s="4" t="s">
        <v>217</v>
      </c>
      <c r="C174" s="7" t="s">
        <v>1000</v>
      </c>
      <c r="D174" s="4" t="s">
        <v>918</v>
      </c>
      <c r="E174" s="4" t="s">
        <v>1005</v>
      </c>
      <c r="F174" s="7" t="s">
        <v>926</v>
      </c>
      <c r="G174" s="4" t="s">
        <v>1016</v>
      </c>
      <c r="H174" s="4" t="s">
        <v>1017</v>
      </c>
    </row>
    <row r="175">
      <c r="A175" s="4">
        <v>171.0</v>
      </c>
      <c r="B175" s="4" t="s">
        <v>46</v>
      </c>
      <c r="C175" s="7" t="s">
        <v>984</v>
      </c>
      <c r="D175" s="4" t="s">
        <v>918</v>
      </c>
      <c r="E175" s="4" t="s">
        <v>996</v>
      </c>
      <c r="F175" s="7" t="s">
        <v>926</v>
      </c>
      <c r="G175" s="4" t="s">
        <v>1022</v>
      </c>
      <c r="H175" s="4" t="s">
        <v>980</v>
      </c>
    </row>
    <row r="176">
      <c r="A176" s="4">
        <v>172.0</v>
      </c>
      <c r="B176" s="4" t="s">
        <v>217</v>
      </c>
      <c r="C176" s="7" t="s">
        <v>1000</v>
      </c>
      <c r="D176" s="4" t="s">
        <v>918</v>
      </c>
      <c r="E176" s="4" t="s">
        <v>1009</v>
      </c>
      <c r="F176" s="7" t="s">
        <v>926</v>
      </c>
      <c r="G176" s="4" t="s">
        <v>1023</v>
      </c>
      <c r="H176" s="4" t="s">
        <v>1024</v>
      </c>
    </row>
    <row r="177">
      <c r="A177" s="4">
        <v>173.0</v>
      </c>
      <c r="B177" s="4" t="s">
        <v>217</v>
      </c>
      <c r="C177" s="7" t="s">
        <v>1000</v>
      </c>
      <c r="D177" s="4" t="s">
        <v>918</v>
      </c>
      <c r="E177" s="4" t="s">
        <v>1025</v>
      </c>
      <c r="F177" s="7" t="s">
        <v>926</v>
      </c>
      <c r="G177" s="4" t="s">
        <v>1027</v>
      </c>
      <c r="H177" s="4" t="s">
        <v>1028</v>
      </c>
    </row>
    <row r="178">
      <c r="A178" s="4">
        <v>174.0</v>
      </c>
      <c r="B178" s="4" t="s">
        <v>46</v>
      </c>
      <c r="C178" s="7" t="s">
        <v>964</v>
      </c>
      <c r="D178" s="4" t="s">
        <v>918</v>
      </c>
      <c r="E178" s="4" t="s">
        <v>967</v>
      </c>
      <c r="F178" s="7" t="s">
        <v>926</v>
      </c>
      <c r="G178" s="4">
        <v>9.00738569119821E14</v>
      </c>
      <c r="H178" s="4" t="s">
        <v>980</v>
      </c>
    </row>
    <row r="179">
      <c r="A179" s="4">
        <v>175.0</v>
      </c>
      <c r="B179" s="4" t="s">
        <v>217</v>
      </c>
      <c r="C179" s="7" t="s">
        <v>1000</v>
      </c>
      <c r="D179" s="4" t="s">
        <v>918</v>
      </c>
      <c r="E179" s="4" t="s">
        <v>1005</v>
      </c>
      <c r="F179" s="7" t="s">
        <v>926</v>
      </c>
      <c r="G179" s="4" t="s">
        <v>1035</v>
      </c>
      <c r="H179" s="4" t="s">
        <v>980</v>
      </c>
    </row>
    <row r="180">
      <c r="A180" s="4">
        <v>176.0</v>
      </c>
      <c r="B180" s="4" t="s">
        <v>217</v>
      </c>
      <c r="C180" s="7" t="s">
        <v>1000</v>
      </c>
      <c r="D180" s="4" t="s">
        <v>918</v>
      </c>
      <c r="E180" s="4" t="s">
        <v>1005</v>
      </c>
      <c r="F180" s="7" t="s">
        <v>926</v>
      </c>
      <c r="G180" s="4" t="s">
        <v>1036</v>
      </c>
      <c r="H180" s="4" t="s">
        <v>992</v>
      </c>
    </row>
    <row r="181">
      <c r="A181" s="4">
        <v>177.0</v>
      </c>
      <c r="B181" s="4" t="s">
        <v>217</v>
      </c>
      <c r="C181" s="7" t="s">
        <v>1000</v>
      </c>
      <c r="D181" s="4" t="s">
        <v>918</v>
      </c>
      <c r="E181" s="4" t="s">
        <v>1025</v>
      </c>
      <c r="F181" s="7" t="s">
        <v>926</v>
      </c>
      <c r="G181" s="4">
        <v>8.60923420209406E14</v>
      </c>
      <c r="H181" s="4" t="s">
        <v>980</v>
      </c>
    </row>
    <row r="182">
      <c r="A182" s="11" t="s">
        <v>40</v>
      </c>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4">
        <v>178.0</v>
      </c>
      <c r="B183" s="4" t="s">
        <v>941</v>
      </c>
      <c r="C183" s="7" t="s">
        <v>1042</v>
      </c>
      <c r="D183" s="4" t="s">
        <v>40</v>
      </c>
      <c r="E183" s="4" t="s">
        <v>1050</v>
      </c>
      <c r="F183" s="7" t="s">
        <v>1051</v>
      </c>
      <c r="G183" s="4" t="s">
        <v>1064</v>
      </c>
      <c r="H183" s="4" t="s">
        <v>1065</v>
      </c>
    </row>
    <row r="184">
      <c r="A184" s="4">
        <v>179.0</v>
      </c>
      <c r="B184" s="4" t="s">
        <v>941</v>
      </c>
      <c r="C184" s="7" t="s">
        <v>1042</v>
      </c>
      <c r="D184" s="4" t="s">
        <v>40</v>
      </c>
      <c r="E184" s="4" t="s">
        <v>1067</v>
      </c>
      <c r="F184" s="7" t="s">
        <v>1051</v>
      </c>
      <c r="G184" s="4" t="s">
        <v>1071</v>
      </c>
      <c r="H184" s="4" t="s">
        <v>1072</v>
      </c>
    </row>
    <row r="185">
      <c r="A185" s="4">
        <v>180.0</v>
      </c>
      <c r="B185" s="4" t="s">
        <v>46</v>
      </c>
      <c r="C185" s="7" t="s">
        <v>1074</v>
      </c>
      <c r="D185" s="4" t="s">
        <v>40</v>
      </c>
      <c r="E185" s="4" t="s">
        <v>1082</v>
      </c>
      <c r="F185" s="7" t="s">
        <v>1051</v>
      </c>
      <c r="G185" s="4" t="s">
        <v>1084</v>
      </c>
      <c r="H185" s="4" t="s">
        <v>1085</v>
      </c>
    </row>
    <row r="186">
      <c r="A186" s="4">
        <v>181.0</v>
      </c>
      <c r="B186" s="4" t="s">
        <v>941</v>
      </c>
      <c r="C186" s="7" t="s">
        <v>1086</v>
      </c>
      <c r="D186" s="4" t="s">
        <v>40</v>
      </c>
      <c r="E186" s="4" t="s">
        <v>1093</v>
      </c>
      <c r="F186" s="7" t="s">
        <v>1051</v>
      </c>
      <c r="G186" s="4" t="s">
        <v>1095</v>
      </c>
      <c r="H186" s="4" t="s">
        <v>1097</v>
      </c>
    </row>
    <row r="187">
      <c r="A187" s="4">
        <v>182.0</v>
      </c>
      <c r="B187" s="4" t="s">
        <v>1098</v>
      </c>
      <c r="C187" s="7" t="s">
        <v>1099</v>
      </c>
      <c r="D187" s="4" t="s">
        <v>40</v>
      </c>
      <c r="E187" s="4" t="s">
        <v>1104</v>
      </c>
      <c r="F187" s="7" t="s">
        <v>1051</v>
      </c>
      <c r="G187" s="4" t="s">
        <v>1107</v>
      </c>
      <c r="H187" s="4" t="s">
        <v>1108</v>
      </c>
    </row>
    <row r="188">
      <c r="A188" s="4">
        <v>183.0</v>
      </c>
      <c r="B188" s="4" t="s">
        <v>46</v>
      </c>
      <c r="C188" s="7" t="s">
        <v>1042</v>
      </c>
      <c r="D188" s="4" t="s">
        <v>40</v>
      </c>
      <c r="E188" s="4" t="s">
        <v>1110</v>
      </c>
      <c r="F188" s="7" t="s">
        <v>1051</v>
      </c>
      <c r="G188" s="4" t="s">
        <v>1111</v>
      </c>
      <c r="H188" s="4" t="s">
        <v>1112</v>
      </c>
    </row>
    <row r="189">
      <c r="A189" s="4">
        <v>184.0</v>
      </c>
      <c r="B189" s="4" t="s">
        <v>1098</v>
      </c>
      <c r="C189" s="7" t="s">
        <v>1113</v>
      </c>
      <c r="D189" s="4" t="s">
        <v>40</v>
      </c>
      <c r="E189" s="4" t="s">
        <v>1118</v>
      </c>
      <c r="F189" s="7" t="s">
        <v>1051</v>
      </c>
      <c r="G189" s="4" t="s">
        <v>1119</v>
      </c>
      <c r="H189" s="4" t="s">
        <v>1120</v>
      </c>
    </row>
    <row r="190">
      <c r="A190" s="4">
        <v>185.0</v>
      </c>
      <c r="B190" s="4" t="s">
        <v>46</v>
      </c>
      <c r="C190" s="7" t="s">
        <v>1099</v>
      </c>
      <c r="D190" s="4" t="s">
        <v>40</v>
      </c>
      <c r="E190" s="4" t="s">
        <v>1122</v>
      </c>
      <c r="F190" s="7" t="s">
        <v>1051</v>
      </c>
      <c r="G190" s="4" t="s">
        <v>1124</v>
      </c>
      <c r="H190" s="4" t="s">
        <v>1127</v>
      </c>
    </row>
    <row r="191">
      <c r="A191" s="4">
        <v>186.0</v>
      </c>
      <c r="B191" s="4" t="s">
        <v>46</v>
      </c>
      <c r="C191" s="7" t="s">
        <v>1129</v>
      </c>
      <c r="D191" s="4" t="s">
        <v>1135</v>
      </c>
      <c r="E191" s="4" t="s">
        <v>1138</v>
      </c>
      <c r="F191" s="7" t="s">
        <v>1051</v>
      </c>
      <c r="G191" s="4" t="s">
        <v>1139</v>
      </c>
      <c r="H191" s="4" t="s">
        <v>1140</v>
      </c>
    </row>
    <row r="192">
      <c r="A192" s="4">
        <v>187.0</v>
      </c>
      <c r="B192" s="4" t="s">
        <v>1098</v>
      </c>
      <c r="C192" s="7" t="s">
        <v>1099</v>
      </c>
      <c r="D192" s="4" t="s">
        <v>40</v>
      </c>
      <c r="E192" s="4" t="s">
        <v>1142</v>
      </c>
      <c r="F192" s="7" t="s">
        <v>1051</v>
      </c>
      <c r="G192" s="4" t="s">
        <v>1143</v>
      </c>
      <c r="H192" s="4" t="s">
        <v>1144</v>
      </c>
    </row>
    <row r="193">
      <c r="A193" s="4">
        <v>188.0</v>
      </c>
      <c r="B193" s="4" t="s">
        <v>941</v>
      </c>
      <c r="C193" s="7" t="s">
        <v>1086</v>
      </c>
      <c r="D193" s="4" t="s">
        <v>40</v>
      </c>
      <c r="E193" s="4" t="s">
        <v>1145</v>
      </c>
      <c r="F193" s="7" t="s">
        <v>1051</v>
      </c>
      <c r="G193" s="4" t="s">
        <v>1146</v>
      </c>
      <c r="H193" s="4" t="s">
        <v>1147</v>
      </c>
    </row>
    <row r="194">
      <c r="A194" s="4">
        <v>189.0</v>
      </c>
      <c r="B194" s="4" t="s">
        <v>941</v>
      </c>
      <c r="C194" s="7" t="s">
        <v>1129</v>
      </c>
      <c r="D194" s="4" t="s">
        <v>1135</v>
      </c>
      <c r="E194" s="4" t="s">
        <v>1151</v>
      </c>
      <c r="F194" s="7" t="s">
        <v>1051</v>
      </c>
      <c r="G194" s="4" t="s">
        <v>1153</v>
      </c>
      <c r="H194" s="4" t="s">
        <v>1155</v>
      </c>
    </row>
    <row r="195">
      <c r="A195" s="4">
        <v>190.0</v>
      </c>
      <c r="B195" s="4" t="s">
        <v>217</v>
      </c>
      <c r="C195" s="7" t="s">
        <v>1074</v>
      </c>
      <c r="D195" s="4" t="s">
        <v>40</v>
      </c>
      <c r="E195" s="4" t="s">
        <v>1156</v>
      </c>
      <c r="F195" s="7" t="s">
        <v>1051</v>
      </c>
      <c r="G195" s="4" t="s">
        <v>1158</v>
      </c>
      <c r="H195" s="4" t="s">
        <v>1085</v>
      </c>
    </row>
    <row r="196">
      <c r="A196" s="4">
        <v>191.0</v>
      </c>
      <c r="B196" s="4" t="s">
        <v>46</v>
      </c>
      <c r="C196" s="7" t="s">
        <v>1086</v>
      </c>
      <c r="D196" s="4" t="s">
        <v>40</v>
      </c>
      <c r="E196" s="4" t="s">
        <v>1159</v>
      </c>
      <c r="F196" s="7" t="s">
        <v>1051</v>
      </c>
      <c r="G196" s="4" t="s">
        <v>1161</v>
      </c>
      <c r="H196" s="4" t="s">
        <v>1097</v>
      </c>
    </row>
    <row r="197">
      <c r="A197" s="4">
        <v>192.0</v>
      </c>
      <c r="B197" s="4" t="s">
        <v>941</v>
      </c>
      <c r="C197" s="7" t="s">
        <v>1042</v>
      </c>
      <c r="D197" s="4" t="s">
        <v>40</v>
      </c>
      <c r="E197" s="4" t="s">
        <v>1165</v>
      </c>
      <c r="F197" s="7" t="s">
        <v>1051</v>
      </c>
      <c r="G197" s="4" t="s">
        <v>1166</v>
      </c>
      <c r="H197" s="4" t="s">
        <v>1167</v>
      </c>
    </row>
    <row r="198">
      <c r="A198" s="4">
        <v>193.0</v>
      </c>
      <c r="B198" s="4" t="s">
        <v>1098</v>
      </c>
      <c r="C198" s="7" t="s">
        <v>1099</v>
      </c>
      <c r="D198" s="4" t="s">
        <v>40</v>
      </c>
      <c r="E198" s="4" t="s">
        <v>1168</v>
      </c>
      <c r="F198" s="7" t="s">
        <v>1051</v>
      </c>
      <c r="G198" s="4" t="s">
        <v>1169</v>
      </c>
      <c r="H198" s="4" t="s">
        <v>1170</v>
      </c>
    </row>
    <row r="199">
      <c r="A199" s="4">
        <v>194.0</v>
      </c>
      <c r="B199" s="4" t="s">
        <v>941</v>
      </c>
      <c r="C199" s="7" t="s">
        <v>1042</v>
      </c>
      <c r="D199" s="4" t="s">
        <v>40</v>
      </c>
      <c r="E199" s="4" t="s">
        <v>1171</v>
      </c>
      <c r="F199" s="7" t="s">
        <v>1051</v>
      </c>
      <c r="G199" s="4" t="s">
        <v>1173</v>
      </c>
      <c r="H199" s="4" t="s">
        <v>1176</v>
      </c>
    </row>
    <row r="200">
      <c r="A200" s="4">
        <v>195.0</v>
      </c>
      <c r="B200" s="4" t="s">
        <v>46</v>
      </c>
      <c r="C200" s="7" t="s">
        <v>1086</v>
      </c>
      <c r="D200" s="4" t="s">
        <v>40</v>
      </c>
      <c r="E200" s="4" t="s">
        <v>1178</v>
      </c>
      <c r="F200" s="7" t="s">
        <v>1051</v>
      </c>
      <c r="G200" s="4" t="s">
        <v>1179</v>
      </c>
      <c r="H200" s="4" t="s">
        <v>1180</v>
      </c>
    </row>
    <row r="201">
      <c r="A201" s="4">
        <v>196.0</v>
      </c>
      <c r="B201" s="4" t="s">
        <v>46</v>
      </c>
      <c r="C201" s="7" t="s">
        <v>1042</v>
      </c>
      <c r="D201" s="4" t="s">
        <v>40</v>
      </c>
      <c r="E201" s="4" t="s">
        <v>1182</v>
      </c>
      <c r="F201" s="7" t="s">
        <v>1051</v>
      </c>
      <c r="G201" s="4" t="s">
        <v>1183</v>
      </c>
      <c r="H201" s="4" t="s">
        <v>1176</v>
      </c>
    </row>
    <row r="202">
      <c r="A202" s="4">
        <v>197.0</v>
      </c>
      <c r="B202" s="4" t="s">
        <v>1098</v>
      </c>
      <c r="C202" s="7" t="s">
        <v>1184</v>
      </c>
      <c r="D202" s="4" t="s">
        <v>40</v>
      </c>
      <c r="E202" s="4" t="s">
        <v>1188</v>
      </c>
      <c r="F202" s="7" t="s">
        <v>1051</v>
      </c>
      <c r="G202" s="4">
        <v>9.91036303768566E14</v>
      </c>
      <c r="H202" s="4" t="s">
        <v>1189</v>
      </c>
    </row>
    <row r="203">
      <c r="A203" s="4">
        <v>198.0</v>
      </c>
      <c r="B203" s="4" t="s">
        <v>972</v>
      </c>
      <c r="C203" s="7" t="s">
        <v>1129</v>
      </c>
      <c r="D203" s="4" t="s">
        <v>1135</v>
      </c>
      <c r="E203" s="4" t="s">
        <v>1196</v>
      </c>
      <c r="F203" s="7" t="s">
        <v>1051</v>
      </c>
      <c r="G203" s="4" t="s">
        <v>1197</v>
      </c>
      <c r="H203" s="4" t="s">
        <v>1198</v>
      </c>
    </row>
    <row r="204">
      <c r="A204" s="4">
        <v>199.0</v>
      </c>
      <c r="B204" s="4" t="s">
        <v>941</v>
      </c>
      <c r="C204" s="7" t="s">
        <v>1086</v>
      </c>
      <c r="D204" s="4" t="s">
        <v>40</v>
      </c>
      <c r="E204" s="4" t="s">
        <v>1093</v>
      </c>
      <c r="F204" s="7" t="s">
        <v>1051</v>
      </c>
      <c r="G204" s="4" t="s">
        <v>1201</v>
      </c>
      <c r="H204" s="4" t="s">
        <v>1097</v>
      </c>
    </row>
    <row r="205">
      <c r="A205" s="4">
        <v>200.0</v>
      </c>
      <c r="B205" s="4" t="s">
        <v>1098</v>
      </c>
      <c r="C205" s="7" t="s">
        <v>1074</v>
      </c>
      <c r="D205" s="4" t="s">
        <v>40</v>
      </c>
      <c r="E205" s="4" t="s">
        <v>1204</v>
      </c>
      <c r="F205" s="7" t="s">
        <v>1051</v>
      </c>
      <c r="G205" s="4" t="s">
        <v>1205</v>
      </c>
      <c r="H205" s="4" t="s">
        <v>1085</v>
      </c>
    </row>
    <row r="206">
      <c r="A206" s="4">
        <v>201.0</v>
      </c>
      <c r="B206" s="4" t="s">
        <v>1098</v>
      </c>
      <c r="C206" s="7" t="s">
        <v>1074</v>
      </c>
      <c r="D206" s="4" t="s">
        <v>40</v>
      </c>
      <c r="E206" s="4" t="s">
        <v>1207</v>
      </c>
      <c r="F206" s="7" t="s">
        <v>1051</v>
      </c>
      <c r="G206" s="4" t="s">
        <v>1208</v>
      </c>
      <c r="H206" s="4" t="s">
        <v>1209</v>
      </c>
    </row>
    <row r="207">
      <c r="A207" s="4">
        <v>202.0</v>
      </c>
      <c r="B207" s="4" t="s">
        <v>941</v>
      </c>
      <c r="C207" s="7" t="s">
        <v>1086</v>
      </c>
      <c r="D207" s="4" t="s">
        <v>40</v>
      </c>
      <c r="E207" s="4" t="s">
        <v>1212</v>
      </c>
      <c r="F207" s="7" t="s">
        <v>1051</v>
      </c>
      <c r="G207" s="4" t="s">
        <v>1213</v>
      </c>
      <c r="H207" s="4" t="s">
        <v>1214</v>
      </c>
    </row>
    <row r="208">
      <c r="A208" s="4">
        <v>203.0</v>
      </c>
      <c r="B208" s="4" t="s">
        <v>941</v>
      </c>
      <c r="C208" s="7" t="s">
        <v>1086</v>
      </c>
      <c r="D208" s="4" t="s">
        <v>40</v>
      </c>
      <c r="E208" s="4" t="s">
        <v>1217</v>
      </c>
      <c r="F208" s="7" t="s">
        <v>1051</v>
      </c>
      <c r="G208" s="4" t="s">
        <v>1218</v>
      </c>
      <c r="H208" s="4" t="s">
        <v>1219</v>
      </c>
    </row>
    <row r="209">
      <c r="A209" s="4">
        <v>204.0</v>
      </c>
      <c r="B209" s="4" t="s">
        <v>941</v>
      </c>
      <c r="C209" s="7" t="s">
        <v>1099</v>
      </c>
      <c r="D209" s="4" t="s">
        <v>40</v>
      </c>
      <c r="E209" s="4" t="s">
        <v>1220</v>
      </c>
      <c r="F209" s="7" t="s">
        <v>1051</v>
      </c>
      <c r="G209" s="4" t="s">
        <v>1221</v>
      </c>
      <c r="H209" s="4" t="s">
        <v>1140</v>
      </c>
    </row>
    <row r="210">
      <c r="A210" s="4">
        <v>205.0</v>
      </c>
      <c r="B210" s="4" t="s">
        <v>217</v>
      </c>
      <c r="C210" s="7" t="s">
        <v>1074</v>
      </c>
      <c r="D210" s="4" t="s">
        <v>40</v>
      </c>
      <c r="E210" s="4" t="s">
        <v>1224</v>
      </c>
      <c r="F210" s="7" t="s">
        <v>1051</v>
      </c>
      <c r="G210" s="4" t="s">
        <v>1227</v>
      </c>
      <c r="H210" s="4" t="s">
        <v>1229</v>
      </c>
    </row>
    <row r="211">
      <c r="A211" s="4">
        <v>206.0</v>
      </c>
      <c r="B211" s="4" t="s">
        <v>46</v>
      </c>
      <c r="C211" s="7" t="s">
        <v>1042</v>
      </c>
      <c r="D211" s="4" t="s">
        <v>40</v>
      </c>
      <c r="E211" s="4" t="s">
        <v>1230</v>
      </c>
      <c r="F211" s="7" t="s">
        <v>1051</v>
      </c>
      <c r="G211" s="4" t="s">
        <v>1232</v>
      </c>
      <c r="H211" s="4" t="s">
        <v>1233</v>
      </c>
    </row>
    <row r="212">
      <c r="A212" s="4">
        <v>207.0</v>
      </c>
      <c r="B212" s="4" t="s">
        <v>46</v>
      </c>
      <c r="C212" s="7" t="s">
        <v>1042</v>
      </c>
      <c r="D212" s="4" t="s">
        <v>40</v>
      </c>
      <c r="E212" s="4" t="s">
        <v>1234</v>
      </c>
      <c r="F212" s="7" t="s">
        <v>1051</v>
      </c>
      <c r="G212" s="4" t="s">
        <v>1235</v>
      </c>
      <c r="H212" s="4" t="s">
        <v>1236</v>
      </c>
    </row>
    <row r="213">
      <c r="A213" s="4">
        <v>208.0</v>
      </c>
      <c r="B213" s="4" t="s">
        <v>1098</v>
      </c>
      <c r="C213" s="7" t="s">
        <v>1074</v>
      </c>
      <c r="D213" s="4" t="s">
        <v>40</v>
      </c>
      <c r="E213" s="4" t="s">
        <v>1239</v>
      </c>
      <c r="F213" s="7" t="s">
        <v>1051</v>
      </c>
      <c r="G213" s="4" t="s">
        <v>1241</v>
      </c>
      <c r="H213" s="4" t="s">
        <v>1242</v>
      </c>
    </row>
    <row r="214">
      <c r="A214" s="4">
        <v>209.0</v>
      </c>
      <c r="B214" s="4" t="s">
        <v>1098</v>
      </c>
      <c r="C214" s="7" t="s">
        <v>1099</v>
      </c>
      <c r="D214" s="4" t="s">
        <v>40</v>
      </c>
      <c r="E214" s="4" t="s">
        <v>1244</v>
      </c>
      <c r="F214" s="7" t="s">
        <v>1051</v>
      </c>
      <c r="G214" s="4" t="s">
        <v>1246</v>
      </c>
      <c r="H214" s="4" t="s">
        <v>1247</v>
      </c>
    </row>
    <row r="215">
      <c r="A215" s="4">
        <v>210.0</v>
      </c>
      <c r="B215" s="4" t="s">
        <v>46</v>
      </c>
      <c r="C215" s="7" t="s">
        <v>1248</v>
      </c>
      <c r="D215" s="4" t="s">
        <v>40</v>
      </c>
      <c r="E215" s="4" t="s">
        <v>1254</v>
      </c>
      <c r="F215" s="7" t="s">
        <v>1051</v>
      </c>
      <c r="G215" s="4" t="s">
        <v>1255</v>
      </c>
      <c r="H215" s="4" t="s">
        <v>1256</v>
      </c>
    </row>
    <row r="216">
      <c r="A216" s="4">
        <v>211.0</v>
      </c>
      <c r="B216" s="4" t="s">
        <v>46</v>
      </c>
      <c r="C216" s="7" t="s">
        <v>1086</v>
      </c>
      <c r="D216" s="4" t="s">
        <v>40</v>
      </c>
      <c r="E216" s="4" t="s">
        <v>1257</v>
      </c>
      <c r="F216" s="7" t="s">
        <v>1051</v>
      </c>
      <c r="G216" s="4" t="s">
        <v>1258</v>
      </c>
      <c r="H216" s="4" t="s">
        <v>1259</v>
      </c>
    </row>
    <row r="217">
      <c r="A217" s="4">
        <v>212.0</v>
      </c>
      <c r="B217" s="4" t="s">
        <v>46</v>
      </c>
      <c r="C217" s="7" t="s">
        <v>1099</v>
      </c>
      <c r="D217" s="4" t="s">
        <v>40</v>
      </c>
      <c r="E217" s="4" t="s">
        <v>1265</v>
      </c>
      <c r="F217" s="7" t="s">
        <v>1051</v>
      </c>
      <c r="G217" s="4" t="s">
        <v>1266</v>
      </c>
      <c r="H217" s="4" t="s">
        <v>1267</v>
      </c>
    </row>
    <row r="218">
      <c r="A218" s="4">
        <v>213.0</v>
      </c>
      <c r="B218" s="4" t="s">
        <v>941</v>
      </c>
      <c r="C218" s="7" t="s">
        <v>1086</v>
      </c>
      <c r="D218" s="4" t="s">
        <v>40</v>
      </c>
      <c r="E218" s="4" t="s">
        <v>1093</v>
      </c>
      <c r="F218" s="7" t="s">
        <v>1051</v>
      </c>
      <c r="G218" s="4" t="s">
        <v>1269</v>
      </c>
      <c r="H218" s="4" t="s">
        <v>1219</v>
      </c>
    </row>
    <row r="219">
      <c r="A219" s="4">
        <v>214.0</v>
      </c>
      <c r="B219" s="4" t="s">
        <v>46</v>
      </c>
      <c r="C219" s="7" t="s">
        <v>1042</v>
      </c>
      <c r="D219" s="4" t="s">
        <v>40</v>
      </c>
      <c r="E219" s="4" t="s">
        <v>1270</v>
      </c>
      <c r="F219" s="7" t="s">
        <v>1051</v>
      </c>
      <c r="G219" s="4" t="s">
        <v>1271</v>
      </c>
      <c r="H219" s="4" t="s">
        <v>1272</v>
      </c>
    </row>
    <row r="220">
      <c r="A220" s="4">
        <v>215.0</v>
      </c>
      <c r="B220" s="4" t="s">
        <v>1098</v>
      </c>
      <c r="C220" s="7" t="s">
        <v>1099</v>
      </c>
      <c r="D220" s="4" t="s">
        <v>40</v>
      </c>
      <c r="E220" s="4" t="s">
        <v>1276</v>
      </c>
      <c r="F220" s="7" t="s">
        <v>1051</v>
      </c>
      <c r="G220" s="4" t="s">
        <v>1277</v>
      </c>
      <c r="H220" s="4" t="s">
        <v>1120</v>
      </c>
    </row>
    <row r="221">
      <c r="A221" s="4">
        <v>216.0</v>
      </c>
      <c r="B221" s="4" t="s">
        <v>1098</v>
      </c>
      <c r="C221" s="7" t="s">
        <v>1113</v>
      </c>
      <c r="D221" s="4" t="s">
        <v>40</v>
      </c>
      <c r="E221" s="4" t="s">
        <v>1279</v>
      </c>
      <c r="F221" s="7" t="s">
        <v>1051</v>
      </c>
      <c r="G221" s="4" t="s">
        <v>1280</v>
      </c>
      <c r="H221" s="4" t="s">
        <v>1281</v>
      </c>
    </row>
    <row r="222">
      <c r="A222" s="4">
        <v>217.0</v>
      </c>
      <c r="B222" s="4" t="s">
        <v>1098</v>
      </c>
      <c r="C222" s="7" t="s">
        <v>1283</v>
      </c>
      <c r="D222" s="4" t="s">
        <v>40</v>
      </c>
      <c r="E222" s="4" t="s">
        <v>1288</v>
      </c>
      <c r="F222" s="7" t="s">
        <v>1051</v>
      </c>
      <c r="G222" s="4" t="s">
        <v>1289</v>
      </c>
      <c r="H222" s="4" t="s">
        <v>1120</v>
      </c>
    </row>
    <row r="223">
      <c r="A223" s="4">
        <v>218.0</v>
      </c>
      <c r="B223" s="4" t="s">
        <v>46</v>
      </c>
      <c r="C223" s="7" t="s">
        <v>1248</v>
      </c>
      <c r="D223" s="4" t="s">
        <v>40</v>
      </c>
      <c r="E223" s="4" t="s">
        <v>1291</v>
      </c>
      <c r="F223" s="7" t="s">
        <v>1051</v>
      </c>
      <c r="G223" s="4" t="s">
        <v>1294</v>
      </c>
      <c r="H223" s="4" t="s">
        <v>1198</v>
      </c>
    </row>
    <row r="224">
      <c r="A224" s="4">
        <v>219.0</v>
      </c>
      <c r="B224" s="4" t="s">
        <v>1098</v>
      </c>
      <c r="C224" s="7" t="s">
        <v>1297</v>
      </c>
      <c r="D224" s="4" t="s">
        <v>40</v>
      </c>
      <c r="E224" s="4" t="s">
        <v>1302</v>
      </c>
      <c r="F224" s="7" t="s">
        <v>1051</v>
      </c>
      <c r="G224" s="4">
        <v>1.08628025392737E15</v>
      </c>
      <c r="H224" s="4" t="s">
        <v>1267</v>
      </c>
    </row>
    <row r="225">
      <c r="A225" s="4">
        <v>220.0</v>
      </c>
      <c r="B225" s="4" t="s">
        <v>1098</v>
      </c>
      <c r="C225" s="7" t="s">
        <v>1074</v>
      </c>
      <c r="D225" s="4" t="s">
        <v>40</v>
      </c>
      <c r="E225" s="4" t="s">
        <v>1303</v>
      </c>
      <c r="F225" s="7" t="s">
        <v>1051</v>
      </c>
      <c r="G225" s="4" t="s">
        <v>1304</v>
      </c>
      <c r="H225" s="4" t="s">
        <v>1189</v>
      </c>
    </row>
    <row r="226">
      <c r="A226" s="4">
        <v>221.0</v>
      </c>
      <c r="B226" s="4" t="s">
        <v>1098</v>
      </c>
      <c r="C226" s="7" t="s">
        <v>1307</v>
      </c>
      <c r="D226" s="4" t="s">
        <v>40</v>
      </c>
      <c r="E226" s="4" t="s">
        <v>1312</v>
      </c>
      <c r="F226" s="7" t="s">
        <v>1051</v>
      </c>
      <c r="G226" s="4" t="s">
        <v>1313</v>
      </c>
      <c r="H226" s="4" t="s">
        <v>1267</v>
      </c>
    </row>
    <row r="227">
      <c r="A227" s="4">
        <v>222.0</v>
      </c>
      <c r="B227" s="4" t="s">
        <v>46</v>
      </c>
      <c r="C227" s="7" t="s">
        <v>1042</v>
      </c>
      <c r="D227" s="4" t="s">
        <v>40</v>
      </c>
      <c r="E227" s="4" t="s">
        <v>1316</v>
      </c>
      <c r="F227" s="7" t="s">
        <v>1051</v>
      </c>
      <c r="G227" s="4" t="s">
        <v>1317</v>
      </c>
      <c r="H227" s="4" t="s">
        <v>1267</v>
      </c>
    </row>
    <row r="228">
      <c r="A228" s="4">
        <v>223.0</v>
      </c>
      <c r="B228" s="4" t="s">
        <v>1098</v>
      </c>
      <c r="C228" s="7" t="s">
        <v>1074</v>
      </c>
      <c r="D228" s="4" t="s">
        <v>40</v>
      </c>
      <c r="E228" s="4" t="s">
        <v>1321</v>
      </c>
      <c r="F228" s="7" t="s">
        <v>1051</v>
      </c>
      <c r="G228" s="4" t="s">
        <v>1324</v>
      </c>
      <c r="H228" s="4" t="s">
        <v>1072</v>
      </c>
    </row>
    <row r="229">
      <c r="A229" s="4">
        <v>224.0</v>
      </c>
      <c r="B229" s="4" t="s">
        <v>1098</v>
      </c>
      <c r="C229" s="7" t="s">
        <v>1325</v>
      </c>
      <c r="D229" s="4" t="s">
        <v>40</v>
      </c>
      <c r="E229" s="4" t="s">
        <v>1333</v>
      </c>
      <c r="F229" s="7" t="s">
        <v>1051</v>
      </c>
      <c r="G229" s="4" t="s">
        <v>1334</v>
      </c>
      <c r="H229" s="4" t="s">
        <v>1072</v>
      </c>
    </row>
    <row r="230">
      <c r="A230" s="4">
        <v>225.0</v>
      </c>
      <c r="B230" s="4" t="s">
        <v>1098</v>
      </c>
      <c r="C230" s="7" t="s">
        <v>1184</v>
      </c>
      <c r="D230" s="4" t="s">
        <v>40</v>
      </c>
      <c r="E230" s="4" t="s">
        <v>1335</v>
      </c>
      <c r="F230" s="7" t="s">
        <v>1051</v>
      </c>
      <c r="G230" s="4" t="s">
        <v>1338</v>
      </c>
      <c r="H230" s="4" t="s">
        <v>1339</v>
      </c>
    </row>
    <row r="231">
      <c r="A231" s="4">
        <v>226.0</v>
      </c>
      <c r="B231" s="4" t="s">
        <v>46</v>
      </c>
      <c r="C231" s="7" t="s">
        <v>1074</v>
      </c>
      <c r="D231" s="4" t="s">
        <v>40</v>
      </c>
      <c r="E231" s="4" t="s">
        <v>1344</v>
      </c>
      <c r="F231" s="7" t="s">
        <v>1051</v>
      </c>
      <c r="G231" s="4" t="s">
        <v>1345</v>
      </c>
      <c r="H231" s="4" t="s">
        <v>1189</v>
      </c>
    </row>
    <row r="232">
      <c r="A232" s="4">
        <v>227.0</v>
      </c>
      <c r="B232" s="4" t="s">
        <v>1098</v>
      </c>
      <c r="C232" s="7" t="s">
        <v>1074</v>
      </c>
      <c r="D232" s="4" t="s">
        <v>40</v>
      </c>
      <c r="E232" s="4" t="s">
        <v>1347</v>
      </c>
      <c r="F232" s="7" t="s">
        <v>1051</v>
      </c>
      <c r="G232" s="4" t="s">
        <v>1348</v>
      </c>
      <c r="H232" s="4" t="s">
        <v>1189</v>
      </c>
    </row>
    <row r="233">
      <c r="A233" s="4">
        <v>228.0</v>
      </c>
      <c r="B233" s="4" t="s">
        <v>1098</v>
      </c>
      <c r="C233" s="7" t="s">
        <v>1184</v>
      </c>
      <c r="D233" s="4" t="s">
        <v>40</v>
      </c>
      <c r="E233" s="4" t="s">
        <v>1349</v>
      </c>
      <c r="F233" s="7" t="s">
        <v>1051</v>
      </c>
      <c r="G233" s="4" t="s">
        <v>1352</v>
      </c>
      <c r="H233" s="4" t="s">
        <v>1353</v>
      </c>
    </row>
    <row r="234">
      <c r="A234" s="4">
        <v>229.0</v>
      </c>
      <c r="B234" s="4" t="s">
        <v>1098</v>
      </c>
      <c r="C234" s="7" t="s">
        <v>1283</v>
      </c>
      <c r="D234" s="4" t="s">
        <v>40</v>
      </c>
      <c r="E234" s="4" t="s">
        <v>1288</v>
      </c>
      <c r="F234" s="7" t="s">
        <v>1051</v>
      </c>
      <c r="G234" s="4" t="s">
        <v>1357</v>
      </c>
      <c r="H234" s="4" t="s">
        <v>1267</v>
      </c>
    </row>
    <row r="235">
      <c r="A235" s="4">
        <v>230.0</v>
      </c>
      <c r="B235" s="4" t="s">
        <v>1098</v>
      </c>
      <c r="C235" s="7" t="s">
        <v>1359</v>
      </c>
      <c r="D235" s="4" t="s">
        <v>40</v>
      </c>
      <c r="E235" s="4" t="s">
        <v>1364</v>
      </c>
      <c r="F235" s="7" t="s">
        <v>1051</v>
      </c>
      <c r="G235" s="4" t="s">
        <v>1365</v>
      </c>
      <c r="H235" s="4" t="s">
        <v>1367</v>
      </c>
    </row>
    <row r="236">
      <c r="A236" s="4">
        <v>231.0</v>
      </c>
      <c r="B236" s="4" t="s">
        <v>1098</v>
      </c>
      <c r="C236" s="7" t="s">
        <v>1307</v>
      </c>
      <c r="D236" s="4" t="s">
        <v>40</v>
      </c>
      <c r="E236" s="4" t="s">
        <v>1368</v>
      </c>
      <c r="F236" s="7" t="s">
        <v>1051</v>
      </c>
      <c r="G236" s="4" t="s">
        <v>1369</v>
      </c>
      <c r="H236" s="4" t="s">
        <v>1267</v>
      </c>
    </row>
    <row r="237">
      <c r="A237" s="4">
        <v>232.0</v>
      </c>
      <c r="B237" s="4" t="s">
        <v>46</v>
      </c>
      <c r="C237" s="7" t="s">
        <v>1373</v>
      </c>
      <c r="D237" s="4" t="s">
        <v>40</v>
      </c>
      <c r="E237" s="4" t="s">
        <v>1378</v>
      </c>
      <c r="F237" s="7" t="s">
        <v>1051</v>
      </c>
      <c r="G237" s="4">
        <v>1.00027307639833E15</v>
      </c>
      <c r="H237" s="4" t="s">
        <v>1108</v>
      </c>
    </row>
    <row r="238">
      <c r="A238" s="4">
        <v>233.0</v>
      </c>
      <c r="B238" s="4" t="s">
        <v>46</v>
      </c>
      <c r="C238" s="7" t="s">
        <v>1042</v>
      </c>
      <c r="D238" s="4" t="s">
        <v>40</v>
      </c>
      <c r="E238" s="4" t="s">
        <v>1383</v>
      </c>
      <c r="F238" s="7" t="s">
        <v>1051</v>
      </c>
      <c r="G238" s="4" t="s">
        <v>1385</v>
      </c>
      <c r="H238" s="4" t="s">
        <v>1386</v>
      </c>
    </row>
    <row r="239">
      <c r="A239" s="4">
        <v>234.0</v>
      </c>
      <c r="B239" s="4" t="s">
        <v>1098</v>
      </c>
      <c r="C239" s="7" t="s">
        <v>1074</v>
      </c>
      <c r="D239" s="4" t="s">
        <v>40</v>
      </c>
      <c r="E239" s="4" t="s">
        <v>1387</v>
      </c>
      <c r="F239" s="7" t="s">
        <v>1051</v>
      </c>
      <c r="G239" s="4" t="s">
        <v>1388</v>
      </c>
      <c r="H239" s="4" t="s">
        <v>1140</v>
      </c>
    </row>
    <row r="240">
      <c r="A240" s="4">
        <v>235.0</v>
      </c>
      <c r="B240" s="4" t="s">
        <v>46</v>
      </c>
      <c r="C240" s="7" t="s">
        <v>1373</v>
      </c>
      <c r="D240" s="4" t="s">
        <v>40</v>
      </c>
      <c r="E240" s="4" t="s">
        <v>1378</v>
      </c>
      <c r="F240" s="7" t="s">
        <v>1051</v>
      </c>
      <c r="G240" s="4">
        <v>1.07963478158896E15</v>
      </c>
      <c r="H240" s="4" t="s">
        <v>1108</v>
      </c>
    </row>
    <row r="241">
      <c r="A241" s="4">
        <v>236.0</v>
      </c>
      <c r="B241" s="4" t="s">
        <v>1098</v>
      </c>
      <c r="C241" s="7" t="s">
        <v>1392</v>
      </c>
      <c r="D241" s="4" t="s">
        <v>40</v>
      </c>
      <c r="E241" s="4" t="s">
        <v>1399</v>
      </c>
      <c r="F241" s="7" t="s">
        <v>1051</v>
      </c>
      <c r="G241" s="4" t="s">
        <v>1400</v>
      </c>
      <c r="H241" s="4" t="s">
        <v>1108</v>
      </c>
    </row>
    <row r="242">
      <c r="A242" s="4">
        <v>237.0</v>
      </c>
      <c r="B242" s="4" t="s">
        <v>46</v>
      </c>
      <c r="C242" s="7" t="s">
        <v>1074</v>
      </c>
      <c r="D242" s="4" t="s">
        <v>40</v>
      </c>
      <c r="E242" s="4" t="s">
        <v>1404</v>
      </c>
      <c r="F242" s="7" t="s">
        <v>1051</v>
      </c>
      <c r="G242" s="4" t="s">
        <v>1406</v>
      </c>
      <c r="H242" s="4" t="s">
        <v>1108</v>
      </c>
    </row>
    <row r="243">
      <c r="A243" s="4">
        <v>238.0</v>
      </c>
      <c r="B243" s="4" t="s">
        <v>1098</v>
      </c>
      <c r="C243" s="7" t="s">
        <v>1248</v>
      </c>
      <c r="D243" s="4" t="s">
        <v>40</v>
      </c>
      <c r="E243" s="4" t="s">
        <v>1407</v>
      </c>
      <c r="F243" s="7" t="s">
        <v>1051</v>
      </c>
      <c r="G243" s="4" t="s">
        <v>1409</v>
      </c>
      <c r="H243" s="4" t="s">
        <v>1256</v>
      </c>
    </row>
    <row r="244">
      <c r="A244" s="4">
        <v>239.0</v>
      </c>
      <c r="B244" s="4" t="s">
        <v>1098</v>
      </c>
      <c r="C244" s="7" t="s">
        <v>1373</v>
      </c>
      <c r="D244" s="4" t="s">
        <v>40</v>
      </c>
      <c r="E244" s="4" t="s">
        <v>1413</v>
      </c>
      <c r="F244" s="7" t="s">
        <v>1051</v>
      </c>
      <c r="G244" s="4" t="s">
        <v>1414</v>
      </c>
      <c r="H244" s="4" t="s">
        <v>1267</v>
      </c>
    </row>
    <row r="245">
      <c r="A245" s="4">
        <v>240.0</v>
      </c>
      <c r="B245" s="4" t="s">
        <v>46</v>
      </c>
      <c r="C245" s="7" t="s">
        <v>1248</v>
      </c>
      <c r="D245" s="4" t="s">
        <v>40</v>
      </c>
      <c r="E245" s="4" t="s">
        <v>1416</v>
      </c>
      <c r="F245" s="7" t="s">
        <v>1051</v>
      </c>
      <c r="G245" s="4" t="s">
        <v>1417</v>
      </c>
      <c r="H245" s="4" t="s">
        <v>1256</v>
      </c>
    </row>
    <row r="246">
      <c r="A246" s="4">
        <v>241.0</v>
      </c>
      <c r="B246" s="4" t="s">
        <v>941</v>
      </c>
      <c r="C246" s="7" t="s">
        <v>1042</v>
      </c>
      <c r="D246" s="4" t="s">
        <v>40</v>
      </c>
      <c r="E246" s="4" t="s">
        <v>1419</v>
      </c>
      <c r="F246" s="7" t="s">
        <v>1051</v>
      </c>
      <c r="G246" s="4" t="s">
        <v>1424</v>
      </c>
      <c r="H246" s="4" t="s">
        <v>1176</v>
      </c>
    </row>
    <row r="247">
      <c r="A247" s="4">
        <v>242.0</v>
      </c>
      <c r="B247" s="4" t="s">
        <v>46</v>
      </c>
      <c r="C247" s="7" t="s">
        <v>1086</v>
      </c>
      <c r="D247" s="4" t="s">
        <v>40</v>
      </c>
      <c r="E247" s="4" t="s">
        <v>1425</v>
      </c>
      <c r="F247" s="7" t="s">
        <v>1051</v>
      </c>
      <c r="G247" s="4" t="s">
        <v>1427</v>
      </c>
      <c r="H247" s="4" t="s">
        <v>1428</v>
      </c>
    </row>
    <row r="248">
      <c r="A248" s="4">
        <v>243.0</v>
      </c>
      <c r="B248" s="4" t="s">
        <v>46</v>
      </c>
      <c r="C248" s="7" t="s">
        <v>1042</v>
      </c>
      <c r="D248" s="4" t="s">
        <v>40</v>
      </c>
      <c r="E248" s="4" t="s">
        <v>1429</v>
      </c>
      <c r="F248" s="7" t="s">
        <v>1051</v>
      </c>
      <c r="G248" s="4" t="s">
        <v>1430</v>
      </c>
      <c r="H248" s="4" t="s">
        <v>1431</v>
      </c>
    </row>
    <row r="249">
      <c r="A249" s="4">
        <v>244.0</v>
      </c>
      <c r="B249" s="4" t="s">
        <v>217</v>
      </c>
      <c r="C249" s="7" t="s">
        <v>1042</v>
      </c>
      <c r="D249" s="4" t="s">
        <v>40</v>
      </c>
      <c r="E249" s="4" t="s">
        <v>1435</v>
      </c>
      <c r="F249" s="7" t="s">
        <v>1051</v>
      </c>
      <c r="G249" s="4" t="s">
        <v>1436</v>
      </c>
      <c r="H249" s="4" t="s">
        <v>1437</v>
      </c>
    </row>
    <row r="250">
      <c r="A250" s="13" t="s">
        <v>1438</v>
      </c>
      <c r="B250" s="13" t="s">
        <v>912</v>
      </c>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3" t="s">
        <v>1444</v>
      </c>
      <c r="B251" s="13" t="s">
        <v>912</v>
      </c>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3" t="s">
        <v>1446</v>
      </c>
      <c r="B252" s="13" t="s">
        <v>912</v>
      </c>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5" t="s">
        <v>1450</v>
      </c>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4">
        <v>245.0</v>
      </c>
      <c r="B254" s="4" t="s">
        <v>46</v>
      </c>
      <c r="C254" s="7" t="s">
        <v>1453</v>
      </c>
      <c r="D254" s="7" t="s">
        <v>1459</v>
      </c>
      <c r="E254" s="4" t="s">
        <v>1462</v>
      </c>
      <c r="F254" s="7" t="s">
        <v>1464</v>
      </c>
      <c r="G254" s="4">
        <v>8.01842682333548E14</v>
      </c>
      <c r="H254" s="4" t="s">
        <v>1476</v>
      </c>
    </row>
    <row r="255">
      <c r="A255" s="4">
        <v>246.0</v>
      </c>
      <c r="B255" s="4" t="s">
        <v>1098</v>
      </c>
      <c r="C255" s="7" t="s">
        <v>1478</v>
      </c>
      <c r="D255" s="7" t="s">
        <v>1459</v>
      </c>
      <c r="E255" s="4" t="s">
        <v>1480</v>
      </c>
      <c r="F255" s="7" t="s">
        <v>1464</v>
      </c>
      <c r="G255" s="4" t="s">
        <v>1482</v>
      </c>
      <c r="H255" s="4" t="s">
        <v>1483</v>
      </c>
    </row>
    <row r="256">
      <c r="A256" s="4">
        <v>247.0</v>
      </c>
      <c r="B256" s="4" t="s">
        <v>46</v>
      </c>
      <c r="C256" s="7" t="s">
        <v>1478</v>
      </c>
      <c r="D256" s="7" t="s">
        <v>1459</v>
      </c>
      <c r="E256" s="4" t="s">
        <v>1488</v>
      </c>
      <c r="F256" s="7" t="s">
        <v>1464</v>
      </c>
      <c r="G256" s="4" t="s">
        <v>1489</v>
      </c>
      <c r="H256" s="4" t="s">
        <v>1490</v>
      </c>
    </row>
    <row r="257">
      <c r="A257" s="4">
        <v>248.0</v>
      </c>
      <c r="B257" s="4" t="s">
        <v>233</v>
      </c>
      <c r="C257" s="7" t="s">
        <v>1492</v>
      </c>
      <c r="D257" s="7" t="s">
        <v>1459</v>
      </c>
      <c r="E257" s="4" t="s">
        <v>1497</v>
      </c>
      <c r="F257" s="7" t="s">
        <v>1464</v>
      </c>
      <c r="G257" s="4" t="s">
        <v>1499</v>
      </c>
      <c r="H257" s="4" t="s">
        <v>1500</v>
      </c>
    </row>
    <row r="258">
      <c r="A258" s="4">
        <v>249.0</v>
      </c>
      <c r="B258" s="4" t="s">
        <v>46</v>
      </c>
      <c r="C258" s="7" t="s">
        <v>1478</v>
      </c>
      <c r="D258" s="7" t="s">
        <v>1459</v>
      </c>
      <c r="E258" s="4" t="s">
        <v>1488</v>
      </c>
      <c r="F258" s="7" t="s">
        <v>1464</v>
      </c>
      <c r="G258" s="4" t="s">
        <v>1502</v>
      </c>
      <c r="H258" s="4" t="s">
        <v>1503</v>
      </c>
    </row>
    <row r="259">
      <c r="A259" s="4">
        <v>250.0</v>
      </c>
      <c r="B259" s="4" t="s">
        <v>233</v>
      </c>
      <c r="C259" s="7" t="s">
        <v>1492</v>
      </c>
      <c r="D259" s="7" t="s">
        <v>1459</v>
      </c>
      <c r="E259" s="4" t="s">
        <v>1497</v>
      </c>
      <c r="F259" s="7" t="s">
        <v>1464</v>
      </c>
      <c r="G259" s="4">
        <v>7.1538661800517E14</v>
      </c>
      <c r="H259" s="4" t="s">
        <v>1508</v>
      </c>
    </row>
    <row r="260">
      <c r="A260" s="4">
        <v>251.0</v>
      </c>
      <c r="B260" s="4" t="s">
        <v>46</v>
      </c>
      <c r="C260" s="7" t="s">
        <v>1478</v>
      </c>
      <c r="D260" s="7" t="s">
        <v>1459</v>
      </c>
      <c r="E260" s="4" t="s">
        <v>1488</v>
      </c>
      <c r="F260" s="7" t="s">
        <v>1464</v>
      </c>
      <c r="G260" s="4" t="s">
        <v>1511</v>
      </c>
      <c r="H260" s="4" t="s">
        <v>1512</v>
      </c>
    </row>
    <row r="261">
      <c r="A261" s="4">
        <v>252.0</v>
      </c>
      <c r="B261" s="4" t="s">
        <v>1098</v>
      </c>
      <c r="C261" s="7" t="s">
        <v>1478</v>
      </c>
      <c r="D261" s="7" t="s">
        <v>1459</v>
      </c>
      <c r="E261" s="4" t="s">
        <v>1513</v>
      </c>
      <c r="F261" s="7" t="s">
        <v>1464</v>
      </c>
      <c r="G261" s="4" t="s">
        <v>1514</v>
      </c>
      <c r="H261" s="4" t="s">
        <v>1515</v>
      </c>
    </row>
    <row r="262">
      <c r="A262" s="4">
        <v>253.0</v>
      </c>
      <c r="B262" s="4" t="s">
        <v>1098</v>
      </c>
      <c r="C262" s="7" t="s">
        <v>1478</v>
      </c>
      <c r="D262" s="7" t="s">
        <v>1459</v>
      </c>
      <c r="E262" s="4" t="s">
        <v>1513</v>
      </c>
      <c r="F262" s="7" t="s">
        <v>1464</v>
      </c>
      <c r="G262" s="4" t="s">
        <v>1520</v>
      </c>
      <c r="H262" s="4" t="s">
        <v>1521</v>
      </c>
    </row>
    <row r="263">
      <c r="A263" s="4">
        <v>254.0</v>
      </c>
      <c r="B263" s="4" t="s">
        <v>233</v>
      </c>
      <c r="C263" s="7" t="s">
        <v>1524</v>
      </c>
      <c r="D263" s="7" t="s">
        <v>1459</v>
      </c>
      <c r="E263" s="4" t="s">
        <v>1525</v>
      </c>
      <c r="F263" s="7" t="s">
        <v>1464</v>
      </c>
      <c r="G263" s="4" t="s">
        <v>1528</v>
      </c>
      <c r="H263" s="4" t="s">
        <v>1530</v>
      </c>
    </row>
    <row r="264">
      <c r="A264" s="4">
        <v>255.0</v>
      </c>
      <c r="B264" s="4" t="s">
        <v>46</v>
      </c>
      <c r="C264" s="7" t="s">
        <v>1478</v>
      </c>
      <c r="D264" s="7" t="s">
        <v>1459</v>
      </c>
      <c r="E264" s="4" t="s">
        <v>1488</v>
      </c>
      <c r="F264" s="7" t="s">
        <v>1464</v>
      </c>
      <c r="G264" s="4" t="s">
        <v>1533</v>
      </c>
      <c r="H264" s="4" t="s">
        <v>1534</v>
      </c>
    </row>
    <row r="265">
      <c r="A265" s="4">
        <v>256.0</v>
      </c>
      <c r="B265" s="4" t="s">
        <v>1098</v>
      </c>
      <c r="C265" s="7" t="s">
        <v>1478</v>
      </c>
      <c r="D265" s="7" t="s">
        <v>1459</v>
      </c>
      <c r="E265" s="4" t="s">
        <v>1480</v>
      </c>
      <c r="F265" s="7" t="s">
        <v>1464</v>
      </c>
      <c r="G265" s="4">
        <v>1.64473071988574E15</v>
      </c>
      <c r="H265" s="4" t="s">
        <v>1490</v>
      </c>
    </row>
    <row r="266">
      <c r="A266" s="4">
        <v>257.0</v>
      </c>
      <c r="B266" s="4" t="s">
        <v>46</v>
      </c>
      <c r="C266" s="7" t="s">
        <v>1478</v>
      </c>
      <c r="D266" s="7" t="s">
        <v>1459</v>
      </c>
      <c r="E266" s="4" t="s">
        <v>1488</v>
      </c>
      <c r="F266" s="7" t="s">
        <v>1464</v>
      </c>
      <c r="G266" s="4" t="s">
        <v>1540</v>
      </c>
      <c r="H266" s="4" t="s">
        <v>1541</v>
      </c>
    </row>
    <row r="267">
      <c r="A267" s="4">
        <v>258.0</v>
      </c>
      <c r="B267" s="4" t="s">
        <v>46</v>
      </c>
      <c r="C267" s="7" t="s">
        <v>1478</v>
      </c>
      <c r="D267" s="7" t="s">
        <v>1459</v>
      </c>
      <c r="E267" s="4" t="s">
        <v>1488</v>
      </c>
      <c r="F267" s="7" t="s">
        <v>1464</v>
      </c>
      <c r="G267" s="4">
        <v>8.18897714501555E14</v>
      </c>
      <c r="H267" s="4" t="s">
        <v>1543</v>
      </c>
    </row>
    <row r="268">
      <c r="A268" s="4">
        <v>259.0</v>
      </c>
      <c r="B268" s="4" t="s">
        <v>46</v>
      </c>
      <c r="C268" s="7" t="s">
        <v>1478</v>
      </c>
      <c r="D268" s="7" t="s">
        <v>1459</v>
      </c>
      <c r="E268" s="4" t="s">
        <v>1488</v>
      </c>
      <c r="F268" s="7" t="s">
        <v>1464</v>
      </c>
      <c r="G268" s="4" t="s">
        <v>1544</v>
      </c>
      <c r="H268" s="4" t="s">
        <v>1530</v>
      </c>
    </row>
    <row r="269">
      <c r="A269" s="4">
        <v>260.0</v>
      </c>
      <c r="B269" s="4" t="s">
        <v>46</v>
      </c>
      <c r="C269" s="7" t="s">
        <v>1478</v>
      </c>
      <c r="D269" s="7" t="s">
        <v>1459</v>
      </c>
      <c r="E269" s="4" t="s">
        <v>1488</v>
      </c>
      <c r="F269" s="7" t="s">
        <v>1464</v>
      </c>
      <c r="G269" s="4" t="s">
        <v>1549</v>
      </c>
      <c r="H269" s="4" t="s">
        <v>1550</v>
      </c>
    </row>
    <row r="270">
      <c r="A270" s="4">
        <v>261.0</v>
      </c>
      <c r="B270" s="4" t="s">
        <v>233</v>
      </c>
      <c r="C270" s="7" t="s">
        <v>1492</v>
      </c>
      <c r="D270" s="7" t="s">
        <v>1459</v>
      </c>
      <c r="E270" s="4" t="s">
        <v>1497</v>
      </c>
      <c r="F270" s="7" t="s">
        <v>1464</v>
      </c>
      <c r="G270" s="4">
        <v>7.82215241019858E14</v>
      </c>
      <c r="H270" s="4" t="s">
        <v>1555</v>
      </c>
    </row>
    <row r="271">
      <c r="A271" s="4">
        <v>262.0</v>
      </c>
      <c r="B271" s="4" t="s">
        <v>46</v>
      </c>
      <c r="C271" s="7" t="s">
        <v>1478</v>
      </c>
      <c r="D271" s="7" t="s">
        <v>1459</v>
      </c>
      <c r="E271" s="4" t="s">
        <v>1488</v>
      </c>
      <c r="F271" s="7" t="s">
        <v>1464</v>
      </c>
      <c r="G271" s="4" t="s">
        <v>1556</v>
      </c>
      <c r="H271" s="4" t="s">
        <v>1550</v>
      </c>
    </row>
    <row r="272">
      <c r="A272" s="4">
        <v>263.0</v>
      </c>
      <c r="B272" s="4" t="s">
        <v>46</v>
      </c>
      <c r="C272" s="7" t="s">
        <v>1478</v>
      </c>
      <c r="D272" s="7" t="s">
        <v>1459</v>
      </c>
      <c r="E272" s="4" t="s">
        <v>1488</v>
      </c>
      <c r="F272" s="7" t="s">
        <v>1464</v>
      </c>
      <c r="G272" s="4" t="s">
        <v>1562</v>
      </c>
      <c r="H272" s="4" t="s">
        <v>1563</v>
      </c>
    </row>
    <row r="273">
      <c r="A273" s="4">
        <v>264.0</v>
      </c>
      <c r="B273" s="4" t="s">
        <v>46</v>
      </c>
      <c r="C273" s="7" t="s">
        <v>1478</v>
      </c>
      <c r="D273" s="7" t="s">
        <v>1459</v>
      </c>
      <c r="E273" s="4" t="s">
        <v>1488</v>
      </c>
      <c r="F273" s="7" t="s">
        <v>1464</v>
      </c>
      <c r="G273" s="4">
        <v>9.13891994906727E14</v>
      </c>
      <c r="H273" s="4" t="s">
        <v>1566</v>
      </c>
    </row>
    <row r="274">
      <c r="A274" s="4">
        <v>265.0</v>
      </c>
      <c r="B274" s="4" t="s">
        <v>46</v>
      </c>
      <c r="C274" s="7" t="s">
        <v>1478</v>
      </c>
      <c r="D274" s="7" t="s">
        <v>1459</v>
      </c>
      <c r="E274" s="4" t="s">
        <v>1570</v>
      </c>
      <c r="F274" s="7" t="s">
        <v>1464</v>
      </c>
      <c r="G274" s="4" t="s">
        <v>1571</v>
      </c>
      <c r="H274" s="4" t="s">
        <v>1572</v>
      </c>
    </row>
    <row r="275">
      <c r="A275" s="4">
        <v>266.0</v>
      </c>
      <c r="B275" s="4" t="s">
        <v>46</v>
      </c>
      <c r="C275" s="7" t="s">
        <v>1478</v>
      </c>
      <c r="D275" s="7" t="s">
        <v>1459</v>
      </c>
      <c r="E275" s="4" t="s">
        <v>1488</v>
      </c>
      <c r="F275" s="7" t="s">
        <v>1464</v>
      </c>
      <c r="G275" s="4" t="s">
        <v>1576</v>
      </c>
      <c r="H275" s="4" t="s">
        <v>1541</v>
      </c>
    </row>
    <row r="276">
      <c r="A276" s="4">
        <v>267.0</v>
      </c>
      <c r="B276" s="4" t="s">
        <v>46</v>
      </c>
      <c r="C276" s="7" t="s">
        <v>1478</v>
      </c>
      <c r="D276" s="7" t="s">
        <v>1459</v>
      </c>
      <c r="E276" s="4" t="s">
        <v>1488</v>
      </c>
      <c r="F276" s="7" t="s">
        <v>1464</v>
      </c>
      <c r="G276" s="4" t="s">
        <v>1578</v>
      </c>
      <c r="H276" s="4" t="s">
        <v>1563</v>
      </c>
    </row>
    <row r="277">
      <c r="A277" s="4">
        <v>268.0</v>
      </c>
      <c r="B277" s="4" t="s">
        <v>1098</v>
      </c>
      <c r="C277" s="7" t="s">
        <v>1478</v>
      </c>
      <c r="D277" s="7" t="s">
        <v>1459</v>
      </c>
      <c r="E277" s="4" t="s">
        <v>1480</v>
      </c>
      <c r="F277" s="7" t="s">
        <v>1464</v>
      </c>
      <c r="G277" s="4">
        <v>7.60049606800872E14</v>
      </c>
      <c r="H277" s="4" t="s">
        <v>1582</v>
      </c>
    </row>
    <row r="278">
      <c r="A278" s="4">
        <v>269.0</v>
      </c>
      <c r="B278" s="4" t="s">
        <v>46</v>
      </c>
      <c r="C278" s="7" t="s">
        <v>1478</v>
      </c>
      <c r="D278" s="7" t="s">
        <v>1459</v>
      </c>
      <c r="E278" s="4" t="s">
        <v>1488</v>
      </c>
      <c r="F278" s="7" t="s">
        <v>1464</v>
      </c>
      <c r="G278" s="4" t="s">
        <v>1583</v>
      </c>
      <c r="H278" s="4" t="s">
        <v>1543</v>
      </c>
    </row>
    <row r="279">
      <c r="A279" s="4">
        <v>270.0</v>
      </c>
      <c r="B279" s="4" t="s">
        <v>46</v>
      </c>
      <c r="C279" s="7" t="s">
        <v>1478</v>
      </c>
      <c r="D279" s="7" t="s">
        <v>1459</v>
      </c>
      <c r="E279" s="4" t="s">
        <v>1488</v>
      </c>
      <c r="F279" s="7" t="s">
        <v>1464</v>
      </c>
      <c r="G279" s="4">
        <v>1.38422525968563E15</v>
      </c>
      <c r="H279" s="4" t="s">
        <v>1534</v>
      </c>
    </row>
    <row r="280">
      <c r="A280" s="4">
        <v>271.0</v>
      </c>
      <c r="B280" s="4" t="s">
        <v>1098</v>
      </c>
      <c r="C280" s="7" t="s">
        <v>1478</v>
      </c>
      <c r="D280" s="7" t="s">
        <v>1459</v>
      </c>
      <c r="E280" s="4" t="s">
        <v>1480</v>
      </c>
      <c r="F280" s="7" t="s">
        <v>1464</v>
      </c>
      <c r="G280" s="4">
        <v>8.80282651376063E14</v>
      </c>
      <c r="H280" s="4" t="s">
        <v>1534</v>
      </c>
    </row>
    <row r="281">
      <c r="A281" s="4">
        <v>272.0</v>
      </c>
      <c r="B281" s="4" t="s">
        <v>46</v>
      </c>
      <c r="C281" s="7" t="s">
        <v>1478</v>
      </c>
      <c r="D281" s="7" t="s">
        <v>1459</v>
      </c>
      <c r="E281" s="4" t="s">
        <v>1488</v>
      </c>
      <c r="F281" s="7" t="s">
        <v>1464</v>
      </c>
      <c r="G281" s="4" t="s">
        <v>1594</v>
      </c>
      <c r="H281" s="4" t="s">
        <v>1595</v>
      </c>
    </row>
    <row r="282">
      <c r="A282" s="4">
        <v>273.0</v>
      </c>
      <c r="B282" s="4" t="s">
        <v>46</v>
      </c>
      <c r="C282" s="7" t="s">
        <v>1478</v>
      </c>
      <c r="D282" s="7" t="s">
        <v>1459</v>
      </c>
      <c r="E282" s="4" t="s">
        <v>1488</v>
      </c>
      <c r="F282" s="7" t="s">
        <v>1464</v>
      </c>
      <c r="G282" s="4">
        <v>1.70773928047861E15</v>
      </c>
      <c r="H282" s="4" t="s">
        <v>1600</v>
      </c>
    </row>
    <row r="283">
      <c r="A283" s="4">
        <v>274.0</v>
      </c>
      <c r="B283" s="4" t="s">
        <v>1098</v>
      </c>
      <c r="C283" s="7" t="s">
        <v>1478</v>
      </c>
      <c r="D283" s="7" t="s">
        <v>1459</v>
      </c>
      <c r="E283" s="4" t="s">
        <v>1603</v>
      </c>
      <c r="F283" s="7" t="s">
        <v>1464</v>
      </c>
      <c r="G283" s="4">
        <v>8.76891334751098E14</v>
      </c>
      <c r="H283" s="4" t="s">
        <v>1604</v>
      </c>
    </row>
    <row r="284">
      <c r="A284" s="4">
        <v>275.0</v>
      </c>
      <c r="B284" s="4" t="s">
        <v>46</v>
      </c>
      <c r="C284" s="7" t="s">
        <v>1478</v>
      </c>
      <c r="D284" s="7" t="s">
        <v>1459</v>
      </c>
      <c r="E284" s="4" t="s">
        <v>1606</v>
      </c>
      <c r="F284" s="7" t="s">
        <v>1464</v>
      </c>
      <c r="G284" s="4" t="s">
        <v>1610</v>
      </c>
      <c r="H284" s="4" t="s">
        <v>1612</v>
      </c>
    </row>
    <row r="285">
      <c r="A285" s="4">
        <v>276.0</v>
      </c>
      <c r="B285" s="4" t="s">
        <v>46</v>
      </c>
      <c r="C285" s="7" t="s">
        <v>1478</v>
      </c>
      <c r="D285" s="7" t="s">
        <v>1459</v>
      </c>
      <c r="E285" s="4" t="s">
        <v>1606</v>
      </c>
      <c r="F285" s="7" t="s">
        <v>1464</v>
      </c>
      <c r="G285" s="4" t="s">
        <v>1614</v>
      </c>
      <c r="H285" s="4" t="s">
        <v>1615</v>
      </c>
    </row>
    <row r="286">
      <c r="A286" s="4">
        <v>277.0</v>
      </c>
      <c r="B286" s="4" t="s">
        <v>46</v>
      </c>
      <c r="C286" s="7" t="s">
        <v>1478</v>
      </c>
      <c r="D286" s="7" t="s">
        <v>1459</v>
      </c>
      <c r="E286" s="4" t="s">
        <v>1617</v>
      </c>
      <c r="F286" s="7" t="s">
        <v>1464</v>
      </c>
      <c r="G286" s="4" t="s">
        <v>1620</v>
      </c>
      <c r="H286" s="4" t="s">
        <v>1530</v>
      </c>
    </row>
    <row r="287">
      <c r="A287" s="4">
        <v>278.0</v>
      </c>
      <c r="B287" s="4" t="s">
        <v>46</v>
      </c>
      <c r="C287" s="7" t="s">
        <v>1478</v>
      </c>
      <c r="D287" s="7" t="s">
        <v>1459</v>
      </c>
      <c r="E287" s="4" t="s">
        <v>1606</v>
      </c>
      <c r="F287" s="7" t="s">
        <v>1464</v>
      </c>
      <c r="G287" s="4" t="s">
        <v>1622</v>
      </c>
      <c r="H287" s="4" t="s">
        <v>1623</v>
      </c>
    </row>
    <row r="288">
      <c r="A288" s="4">
        <v>279.0</v>
      </c>
      <c r="B288" s="4" t="s">
        <v>46</v>
      </c>
      <c r="C288" s="7" t="s">
        <v>1478</v>
      </c>
      <c r="D288" s="7" t="s">
        <v>1459</v>
      </c>
      <c r="E288" s="4" t="s">
        <v>1606</v>
      </c>
      <c r="F288" s="7" t="s">
        <v>1464</v>
      </c>
      <c r="G288" s="4" t="s">
        <v>1627</v>
      </c>
      <c r="H288" s="4" t="s">
        <v>1530</v>
      </c>
    </row>
    <row r="289">
      <c r="A289" s="4">
        <v>280.0</v>
      </c>
      <c r="B289" s="4" t="s">
        <v>46</v>
      </c>
      <c r="C289" s="7" t="s">
        <v>1478</v>
      </c>
      <c r="D289" s="7" t="s">
        <v>1459</v>
      </c>
      <c r="E289" s="4" t="s">
        <v>1606</v>
      </c>
      <c r="F289" s="7" t="s">
        <v>1464</v>
      </c>
      <c r="G289" s="4">
        <v>8.73859842325876E14</v>
      </c>
      <c r="H289" s="4" t="s">
        <v>1623</v>
      </c>
    </row>
    <row r="290">
      <c r="A290" s="4">
        <v>281.0</v>
      </c>
      <c r="B290" s="4" t="s">
        <v>46</v>
      </c>
      <c r="C290" s="7" t="s">
        <v>1478</v>
      </c>
      <c r="D290" s="7" t="s">
        <v>1459</v>
      </c>
      <c r="E290" s="4" t="s">
        <v>1617</v>
      </c>
      <c r="F290" s="7" t="s">
        <v>1464</v>
      </c>
      <c r="G290" s="4" t="s">
        <v>1638</v>
      </c>
      <c r="H290" s="4" t="s">
        <v>1572</v>
      </c>
    </row>
    <row r="291">
      <c r="A291" s="4">
        <v>282.0</v>
      </c>
      <c r="B291" s="4" t="s">
        <v>1098</v>
      </c>
      <c r="C291" s="7" t="s">
        <v>1478</v>
      </c>
      <c r="D291" s="7" t="s">
        <v>1459</v>
      </c>
      <c r="E291" s="4" t="s">
        <v>1641</v>
      </c>
      <c r="F291" s="7" t="s">
        <v>1464</v>
      </c>
      <c r="G291" s="4" t="s">
        <v>1643</v>
      </c>
      <c r="H291" s="4" t="s">
        <v>1623</v>
      </c>
    </row>
    <row r="292">
      <c r="A292" s="15" t="s">
        <v>1644</v>
      </c>
      <c r="B292" s="15" t="s">
        <v>912</v>
      </c>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sheetData>
  <hyperlinks>
    <hyperlink r:id="rId1" ref="C3"/>
    <hyperlink r:id="rId2" ref="F3"/>
    <hyperlink r:id="rId3" ref="C4"/>
    <hyperlink r:id="rId4" ref="F4"/>
    <hyperlink r:id="rId5" ref="C5"/>
    <hyperlink r:id="rId6" ref="F5"/>
    <hyperlink r:id="rId7" ref="C6"/>
    <hyperlink r:id="rId8" ref="F6"/>
    <hyperlink r:id="rId9" ref="C7"/>
    <hyperlink r:id="rId10" ref="F7"/>
    <hyperlink r:id="rId11" ref="C8"/>
    <hyperlink r:id="rId12" ref="F8"/>
    <hyperlink r:id="rId13" ref="C9"/>
    <hyperlink r:id="rId14" ref="F9"/>
    <hyperlink r:id="rId15" ref="C10"/>
    <hyperlink r:id="rId16" ref="F10"/>
    <hyperlink r:id="rId17" ref="C11"/>
    <hyperlink r:id="rId18" ref="F11"/>
    <hyperlink r:id="rId19" ref="C12"/>
    <hyperlink r:id="rId20" ref="F12"/>
    <hyperlink r:id="rId21" ref="C13"/>
    <hyperlink r:id="rId22" ref="F13"/>
    <hyperlink r:id="rId23" ref="C14"/>
    <hyperlink r:id="rId24" ref="F14"/>
    <hyperlink r:id="rId25" ref="C15"/>
    <hyperlink r:id="rId26" ref="F15"/>
    <hyperlink r:id="rId27" ref="C16"/>
    <hyperlink r:id="rId28" ref="F16"/>
    <hyperlink r:id="rId29" ref="C17"/>
    <hyperlink r:id="rId30" ref="F17"/>
    <hyperlink r:id="rId31" ref="C18"/>
    <hyperlink r:id="rId32" ref="F18"/>
    <hyperlink r:id="rId33" ref="C19"/>
    <hyperlink r:id="rId34" ref="F19"/>
    <hyperlink r:id="rId35" ref="C20"/>
    <hyperlink r:id="rId36" ref="F20"/>
    <hyperlink r:id="rId37" ref="C21"/>
    <hyperlink r:id="rId38" ref="F21"/>
    <hyperlink r:id="rId39" ref="C22"/>
    <hyperlink r:id="rId40" ref="F22"/>
    <hyperlink r:id="rId41" ref="C23"/>
    <hyperlink r:id="rId42" ref="F23"/>
    <hyperlink r:id="rId43" ref="C24"/>
    <hyperlink r:id="rId44" ref="F24"/>
    <hyperlink r:id="rId45" ref="C25"/>
    <hyperlink r:id="rId46" ref="F25"/>
    <hyperlink r:id="rId47" ref="C26"/>
    <hyperlink r:id="rId48" ref="F26"/>
    <hyperlink r:id="rId49" ref="C27"/>
    <hyperlink r:id="rId50" ref="F27"/>
    <hyperlink r:id="rId51" ref="C28"/>
    <hyperlink r:id="rId52" ref="F28"/>
    <hyperlink r:id="rId53" ref="C29"/>
    <hyperlink r:id="rId54" ref="F29"/>
    <hyperlink r:id="rId55" ref="C30"/>
    <hyperlink r:id="rId56" ref="F30"/>
    <hyperlink r:id="rId57" ref="C31"/>
    <hyperlink r:id="rId58" ref="F31"/>
    <hyperlink r:id="rId59" ref="C32"/>
    <hyperlink r:id="rId60" ref="F32"/>
    <hyperlink r:id="rId61" ref="C33"/>
    <hyperlink r:id="rId62" ref="F33"/>
    <hyperlink r:id="rId63" ref="C34"/>
    <hyperlink r:id="rId64" ref="F34"/>
    <hyperlink r:id="rId65" ref="C35"/>
    <hyperlink r:id="rId66" ref="F35"/>
    <hyperlink r:id="rId67" ref="C36"/>
    <hyperlink r:id="rId68" ref="F36"/>
    <hyperlink r:id="rId69" ref="C37"/>
    <hyperlink r:id="rId70" ref="F37"/>
    <hyperlink r:id="rId71" ref="C38"/>
    <hyperlink r:id="rId72" ref="F38"/>
    <hyperlink r:id="rId73" ref="C39"/>
    <hyperlink r:id="rId74" ref="F39"/>
    <hyperlink r:id="rId75" ref="C40"/>
    <hyperlink r:id="rId76" ref="F40"/>
    <hyperlink r:id="rId77" ref="C41"/>
    <hyperlink r:id="rId78" ref="F41"/>
    <hyperlink r:id="rId79" ref="C42"/>
    <hyperlink r:id="rId80" ref="F42"/>
    <hyperlink r:id="rId81" ref="C43"/>
    <hyperlink r:id="rId82" ref="F43"/>
    <hyperlink r:id="rId83" ref="C44"/>
    <hyperlink r:id="rId84" ref="F44"/>
    <hyperlink r:id="rId85" ref="C45"/>
    <hyperlink r:id="rId86" ref="F45"/>
    <hyperlink r:id="rId87" ref="C46"/>
    <hyperlink r:id="rId88" ref="F46"/>
    <hyperlink r:id="rId89" ref="C47"/>
    <hyperlink r:id="rId90" ref="F47"/>
    <hyperlink r:id="rId91" ref="C48"/>
    <hyperlink r:id="rId92" ref="F48"/>
    <hyperlink r:id="rId93" ref="C49"/>
    <hyperlink r:id="rId94" ref="F49"/>
    <hyperlink r:id="rId95" ref="C50"/>
    <hyperlink r:id="rId96" ref="F50"/>
    <hyperlink r:id="rId97" ref="C51"/>
    <hyperlink r:id="rId98" ref="F51"/>
    <hyperlink r:id="rId99" ref="C52"/>
    <hyperlink r:id="rId100" ref="F52"/>
    <hyperlink r:id="rId101" ref="C53"/>
    <hyperlink r:id="rId102" ref="F53"/>
    <hyperlink r:id="rId103" ref="C54"/>
    <hyperlink r:id="rId104" ref="F54"/>
    <hyperlink r:id="rId105" ref="C55"/>
    <hyperlink r:id="rId106" ref="F55"/>
    <hyperlink r:id="rId107" ref="C56"/>
    <hyperlink r:id="rId108" ref="F56"/>
    <hyperlink r:id="rId109" ref="C57"/>
    <hyperlink r:id="rId110" ref="F57"/>
    <hyperlink r:id="rId111" ref="C58"/>
    <hyperlink r:id="rId112" ref="F58"/>
    <hyperlink r:id="rId113" ref="C59"/>
    <hyperlink r:id="rId114" ref="F59"/>
    <hyperlink r:id="rId115" ref="C60"/>
    <hyperlink r:id="rId116" ref="F60"/>
    <hyperlink r:id="rId117" ref="C61"/>
    <hyperlink r:id="rId118" ref="F61"/>
    <hyperlink r:id="rId119" ref="C62"/>
    <hyperlink r:id="rId120" ref="F62"/>
    <hyperlink r:id="rId121" ref="C63"/>
    <hyperlink r:id="rId122" ref="F63"/>
    <hyperlink r:id="rId123" ref="C64"/>
    <hyperlink r:id="rId124" ref="F64"/>
    <hyperlink r:id="rId125" ref="C65"/>
    <hyperlink r:id="rId126" ref="F65"/>
    <hyperlink r:id="rId127" ref="C66"/>
    <hyperlink r:id="rId128" ref="F66"/>
    <hyperlink r:id="rId129" ref="C67"/>
    <hyperlink r:id="rId130" ref="F67"/>
    <hyperlink r:id="rId131" ref="C68"/>
    <hyperlink r:id="rId132" ref="F68"/>
    <hyperlink r:id="rId133" ref="C69"/>
    <hyperlink r:id="rId134" ref="F69"/>
    <hyperlink r:id="rId135" ref="C70"/>
    <hyperlink r:id="rId136" ref="F70"/>
    <hyperlink r:id="rId137" ref="C71"/>
    <hyperlink r:id="rId138" ref="F71"/>
    <hyperlink r:id="rId139" ref="C72"/>
    <hyperlink r:id="rId140" ref="F72"/>
    <hyperlink r:id="rId141" ref="C73"/>
    <hyperlink r:id="rId142" ref="F73"/>
    <hyperlink r:id="rId143" ref="C74"/>
    <hyperlink r:id="rId144" ref="F74"/>
    <hyperlink r:id="rId145" ref="C75"/>
    <hyperlink r:id="rId146" ref="F75"/>
    <hyperlink r:id="rId147" ref="C76"/>
    <hyperlink r:id="rId148" ref="F76"/>
    <hyperlink r:id="rId149" ref="C77"/>
    <hyperlink r:id="rId150" ref="F77"/>
    <hyperlink r:id="rId151" ref="C78"/>
    <hyperlink r:id="rId152" ref="F78"/>
    <hyperlink r:id="rId153" ref="C79"/>
    <hyperlink r:id="rId154" ref="F79"/>
    <hyperlink r:id="rId155" ref="C80"/>
    <hyperlink r:id="rId156" ref="F80"/>
    <hyperlink r:id="rId157" ref="C81"/>
    <hyperlink r:id="rId158" ref="F81"/>
    <hyperlink r:id="rId159" ref="C82"/>
    <hyperlink r:id="rId160" ref="F82"/>
    <hyperlink r:id="rId161" ref="C83"/>
    <hyperlink r:id="rId162" ref="F83"/>
    <hyperlink r:id="rId163" ref="C84"/>
    <hyperlink r:id="rId164" ref="F84"/>
    <hyperlink r:id="rId165" ref="C85"/>
    <hyperlink r:id="rId166" ref="F85"/>
    <hyperlink r:id="rId167" ref="C86"/>
    <hyperlink r:id="rId168" ref="F86"/>
    <hyperlink r:id="rId169" ref="C87"/>
    <hyperlink r:id="rId170" ref="F87"/>
    <hyperlink r:id="rId171" ref="C88"/>
    <hyperlink r:id="rId172" ref="F88"/>
    <hyperlink r:id="rId173" ref="C89"/>
    <hyperlink r:id="rId174" ref="F89"/>
    <hyperlink r:id="rId175" ref="C90"/>
    <hyperlink r:id="rId176" ref="F90"/>
    <hyperlink r:id="rId177" ref="C91"/>
    <hyperlink r:id="rId178" ref="F91"/>
    <hyperlink r:id="rId179" ref="C92"/>
    <hyperlink r:id="rId180" ref="F92"/>
    <hyperlink r:id="rId181" ref="C93"/>
    <hyperlink r:id="rId182" ref="F93"/>
    <hyperlink r:id="rId183" ref="C94"/>
    <hyperlink r:id="rId184" ref="F94"/>
    <hyperlink r:id="rId185" ref="C95"/>
    <hyperlink r:id="rId186" ref="F95"/>
    <hyperlink r:id="rId187" ref="C96"/>
    <hyperlink r:id="rId188" ref="F96"/>
    <hyperlink r:id="rId189" ref="C97"/>
    <hyperlink r:id="rId190" ref="F97"/>
    <hyperlink r:id="rId191" ref="C98"/>
    <hyperlink r:id="rId192" ref="F98"/>
    <hyperlink r:id="rId193" ref="C99"/>
    <hyperlink r:id="rId194" ref="F99"/>
    <hyperlink r:id="rId195" ref="C100"/>
    <hyperlink r:id="rId196" ref="F100"/>
    <hyperlink r:id="rId197" ref="C101"/>
    <hyperlink r:id="rId198" ref="F101"/>
    <hyperlink r:id="rId199" ref="C102"/>
    <hyperlink r:id="rId200" ref="F102"/>
    <hyperlink r:id="rId201" ref="C103"/>
    <hyperlink r:id="rId202" ref="F103"/>
    <hyperlink r:id="rId203" ref="C104"/>
    <hyperlink r:id="rId204" ref="F104"/>
    <hyperlink r:id="rId205" ref="C105"/>
    <hyperlink r:id="rId206" ref="F105"/>
    <hyperlink r:id="rId207" ref="C106"/>
    <hyperlink r:id="rId208" ref="F106"/>
    <hyperlink r:id="rId209" ref="C107"/>
    <hyperlink r:id="rId210" ref="F107"/>
    <hyperlink r:id="rId211" ref="C108"/>
    <hyperlink r:id="rId212" ref="F108"/>
    <hyperlink r:id="rId213" ref="C109"/>
    <hyperlink r:id="rId214" ref="F109"/>
    <hyperlink r:id="rId215" ref="C110"/>
    <hyperlink r:id="rId216" ref="F110"/>
    <hyperlink r:id="rId217" ref="C111"/>
    <hyperlink r:id="rId218" ref="F111"/>
    <hyperlink r:id="rId219" ref="C112"/>
    <hyperlink r:id="rId220" ref="F112"/>
    <hyperlink r:id="rId221" ref="C113"/>
    <hyperlink r:id="rId222" ref="F113"/>
    <hyperlink r:id="rId223" ref="C114"/>
    <hyperlink r:id="rId224" ref="F114"/>
    <hyperlink r:id="rId225" ref="C115"/>
    <hyperlink r:id="rId226" ref="F115"/>
    <hyperlink r:id="rId227" ref="C116"/>
    <hyperlink r:id="rId228" ref="F116"/>
    <hyperlink r:id="rId229" ref="C117"/>
    <hyperlink r:id="rId230" ref="F117"/>
    <hyperlink r:id="rId231" ref="C118"/>
    <hyperlink r:id="rId232" ref="F118"/>
    <hyperlink r:id="rId233" ref="C119"/>
    <hyperlink r:id="rId234" ref="F119"/>
    <hyperlink r:id="rId235" ref="C120"/>
    <hyperlink r:id="rId236" ref="F120"/>
    <hyperlink r:id="rId237" ref="C121"/>
    <hyperlink r:id="rId238" ref="F121"/>
    <hyperlink r:id="rId239" ref="C122"/>
    <hyperlink r:id="rId240" ref="F122"/>
    <hyperlink r:id="rId241" ref="C123"/>
    <hyperlink r:id="rId242" ref="F123"/>
    <hyperlink r:id="rId243" ref="C124"/>
    <hyperlink r:id="rId244" ref="F124"/>
    <hyperlink r:id="rId245" ref="C125"/>
    <hyperlink r:id="rId246" ref="F125"/>
    <hyperlink r:id="rId247" ref="C126"/>
    <hyperlink r:id="rId248" ref="F126"/>
    <hyperlink r:id="rId249" ref="C127"/>
    <hyperlink r:id="rId250" ref="F127"/>
    <hyperlink r:id="rId251" ref="C128"/>
    <hyperlink r:id="rId252" ref="F128"/>
    <hyperlink r:id="rId253" ref="C129"/>
    <hyperlink r:id="rId254" ref="F129"/>
    <hyperlink r:id="rId255" ref="C130"/>
    <hyperlink r:id="rId256" ref="F130"/>
    <hyperlink r:id="rId257" ref="C131"/>
    <hyperlink r:id="rId258" ref="F131"/>
    <hyperlink r:id="rId259" ref="C132"/>
    <hyperlink r:id="rId260" ref="F132"/>
    <hyperlink r:id="rId261" ref="C133"/>
    <hyperlink r:id="rId262" ref="F133"/>
    <hyperlink r:id="rId263" ref="C134"/>
    <hyperlink r:id="rId264" ref="F134"/>
    <hyperlink r:id="rId265" ref="C135"/>
    <hyperlink r:id="rId266" ref="F135"/>
    <hyperlink r:id="rId267" ref="C136"/>
    <hyperlink r:id="rId268" ref="F136"/>
    <hyperlink r:id="rId269" ref="C137"/>
    <hyperlink r:id="rId270" ref="F137"/>
    <hyperlink r:id="rId271" ref="C138"/>
    <hyperlink r:id="rId272" ref="F138"/>
    <hyperlink r:id="rId273" ref="C139"/>
    <hyperlink r:id="rId274" ref="F139"/>
    <hyperlink r:id="rId275" ref="C140"/>
    <hyperlink r:id="rId276" ref="F140"/>
    <hyperlink r:id="rId277" ref="C141"/>
    <hyperlink r:id="rId278" ref="F141"/>
    <hyperlink r:id="rId279" ref="C142"/>
    <hyperlink r:id="rId280" ref="F142"/>
    <hyperlink r:id="rId281" ref="C143"/>
    <hyperlink r:id="rId282" ref="F143"/>
    <hyperlink r:id="rId283" ref="C144"/>
    <hyperlink r:id="rId284" ref="F144"/>
    <hyperlink r:id="rId285" ref="C145"/>
    <hyperlink r:id="rId286" ref="F145"/>
    <hyperlink r:id="rId287" ref="C146"/>
    <hyperlink r:id="rId288" ref="F146"/>
    <hyperlink r:id="rId289" ref="C147"/>
    <hyperlink r:id="rId290" ref="F147"/>
    <hyperlink r:id="rId291" ref="C148"/>
    <hyperlink r:id="rId292" ref="F148"/>
    <hyperlink r:id="rId293" ref="C149"/>
    <hyperlink r:id="rId294" ref="F149"/>
    <hyperlink r:id="rId295" ref="C150"/>
    <hyperlink r:id="rId296" ref="F150"/>
    <hyperlink r:id="rId297" ref="C151"/>
    <hyperlink r:id="rId298" ref="F151"/>
    <hyperlink r:id="rId299" ref="C152"/>
    <hyperlink r:id="rId300" ref="F152"/>
    <hyperlink r:id="rId301" ref="C153"/>
    <hyperlink r:id="rId302" ref="F153"/>
    <hyperlink r:id="rId303" ref="C154"/>
    <hyperlink r:id="rId304" ref="F154"/>
    <hyperlink r:id="rId305" ref="C155"/>
    <hyperlink r:id="rId306" ref="F155"/>
    <hyperlink r:id="rId307" ref="C156"/>
    <hyperlink r:id="rId308" ref="F156"/>
    <hyperlink r:id="rId309" ref="C157"/>
    <hyperlink r:id="rId310" ref="F157"/>
    <hyperlink r:id="rId311" ref="C158"/>
    <hyperlink r:id="rId312" ref="F158"/>
    <hyperlink r:id="rId313" ref="C159"/>
    <hyperlink r:id="rId314" ref="F159"/>
    <hyperlink r:id="rId315" ref="C160"/>
    <hyperlink r:id="rId316" ref="F160"/>
    <hyperlink r:id="rId317" ref="C163"/>
    <hyperlink r:id="rId318" ref="F163"/>
    <hyperlink r:id="rId319" ref="C164"/>
    <hyperlink r:id="rId320" ref="F164"/>
    <hyperlink r:id="rId321" ref="C165"/>
    <hyperlink r:id="rId322" ref="F165"/>
    <hyperlink r:id="rId323" ref="C166"/>
    <hyperlink r:id="rId324" ref="F166"/>
    <hyperlink r:id="rId325" ref="C167"/>
    <hyperlink r:id="rId326" ref="F167"/>
    <hyperlink r:id="rId327" ref="C168"/>
    <hyperlink r:id="rId328" ref="F168"/>
    <hyperlink r:id="rId329" ref="C169"/>
    <hyperlink r:id="rId330" ref="F169"/>
    <hyperlink r:id="rId331" ref="C170"/>
    <hyperlink r:id="rId332" ref="F170"/>
    <hyperlink r:id="rId333" ref="C171"/>
    <hyperlink r:id="rId334" ref="F171"/>
    <hyperlink r:id="rId335" ref="C172"/>
    <hyperlink r:id="rId336" ref="F172"/>
    <hyperlink r:id="rId337" ref="C173"/>
    <hyperlink r:id="rId338" ref="F173"/>
    <hyperlink r:id="rId339" ref="C174"/>
    <hyperlink r:id="rId340" ref="F174"/>
    <hyperlink r:id="rId341" ref="C175"/>
    <hyperlink r:id="rId342" ref="F175"/>
    <hyperlink r:id="rId343" ref="C176"/>
    <hyperlink r:id="rId344" ref="F176"/>
    <hyperlink r:id="rId345" ref="C177"/>
    <hyperlink r:id="rId346" ref="F177"/>
    <hyperlink r:id="rId347" ref="C178"/>
    <hyperlink r:id="rId348" ref="F178"/>
    <hyperlink r:id="rId349" ref="C179"/>
    <hyperlink r:id="rId350" ref="F179"/>
    <hyperlink r:id="rId351" ref="C180"/>
    <hyperlink r:id="rId352" ref="F180"/>
    <hyperlink r:id="rId353" ref="C181"/>
    <hyperlink r:id="rId354" ref="F181"/>
    <hyperlink r:id="rId355" ref="C183"/>
    <hyperlink r:id="rId356" ref="F183"/>
    <hyperlink r:id="rId357" ref="C184"/>
    <hyperlink r:id="rId358" ref="F184"/>
    <hyperlink r:id="rId359" ref="C185"/>
    <hyperlink r:id="rId360" ref="F185"/>
    <hyperlink r:id="rId361" ref="C186"/>
    <hyperlink r:id="rId362" ref="F186"/>
    <hyperlink r:id="rId363" ref="C187"/>
    <hyperlink r:id="rId364" ref="F187"/>
    <hyperlink r:id="rId365" ref="C188"/>
    <hyperlink r:id="rId366" ref="F188"/>
    <hyperlink r:id="rId367" ref="C189"/>
    <hyperlink r:id="rId368" ref="F189"/>
    <hyperlink r:id="rId369" ref="C190"/>
    <hyperlink r:id="rId370" ref="F190"/>
    <hyperlink r:id="rId371" ref="C191"/>
    <hyperlink r:id="rId372" ref="F191"/>
    <hyperlink r:id="rId373" ref="C192"/>
    <hyperlink r:id="rId374" ref="F192"/>
    <hyperlink r:id="rId375" ref="C193"/>
    <hyperlink r:id="rId376" ref="F193"/>
    <hyperlink r:id="rId377" ref="C194"/>
    <hyperlink r:id="rId378" ref="F194"/>
    <hyperlink r:id="rId379" ref="C195"/>
    <hyperlink r:id="rId380" ref="F195"/>
    <hyperlink r:id="rId381" ref="C196"/>
    <hyperlink r:id="rId382" ref="F196"/>
    <hyperlink r:id="rId383" ref="C197"/>
    <hyperlink r:id="rId384" ref="F197"/>
    <hyperlink r:id="rId385" ref="C198"/>
    <hyperlink r:id="rId386" ref="F198"/>
    <hyperlink r:id="rId387" ref="C199"/>
    <hyperlink r:id="rId388" ref="F199"/>
    <hyperlink r:id="rId389" ref="C200"/>
    <hyperlink r:id="rId390" ref="F200"/>
    <hyperlink r:id="rId391" ref="C201"/>
    <hyperlink r:id="rId392" ref="F201"/>
    <hyperlink r:id="rId393" ref="C202"/>
    <hyperlink r:id="rId394" ref="F202"/>
    <hyperlink r:id="rId395" ref="C203"/>
    <hyperlink r:id="rId396" ref="F203"/>
    <hyperlink r:id="rId397" ref="C204"/>
    <hyperlink r:id="rId398" ref="F204"/>
    <hyperlink r:id="rId399" ref="C205"/>
    <hyperlink r:id="rId400" ref="F205"/>
    <hyperlink r:id="rId401" ref="C206"/>
    <hyperlink r:id="rId402" ref="F206"/>
    <hyperlink r:id="rId403" ref="C207"/>
    <hyperlink r:id="rId404" ref="F207"/>
    <hyperlink r:id="rId405" ref="C208"/>
    <hyperlink r:id="rId406" ref="F208"/>
    <hyperlink r:id="rId407" ref="C209"/>
    <hyperlink r:id="rId408" ref="F209"/>
    <hyperlink r:id="rId409" ref="C210"/>
    <hyperlink r:id="rId410" ref="F210"/>
    <hyperlink r:id="rId411" ref="C211"/>
    <hyperlink r:id="rId412" ref="F211"/>
    <hyperlink r:id="rId413" ref="C212"/>
    <hyperlink r:id="rId414" ref="F212"/>
    <hyperlink r:id="rId415" ref="C213"/>
    <hyperlink r:id="rId416" ref="F213"/>
    <hyperlink r:id="rId417" ref="C214"/>
    <hyperlink r:id="rId418" ref="F214"/>
    <hyperlink r:id="rId419" ref="C215"/>
    <hyperlink r:id="rId420" ref="F215"/>
    <hyperlink r:id="rId421" ref="C216"/>
    <hyperlink r:id="rId422" ref="F216"/>
    <hyperlink r:id="rId423" ref="C217"/>
    <hyperlink r:id="rId424" ref="F217"/>
    <hyperlink r:id="rId425" ref="C218"/>
    <hyperlink r:id="rId426" ref="F218"/>
    <hyperlink r:id="rId427" ref="C219"/>
    <hyperlink r:id="rId428" ref="F219"/>
    <hyperlink r:id="rId429" ref="C220"/>
    <hyperlink r:id="rId430" ref="F220"/>
    <hyperlink r:id="rId431" ref="C221"/>
    <hyperlink r:id="rId432" ref="F221"/>
    <hyperlink r:id="rId433" ref="C222"/>
    <hyperlink r:id="rId434" ref="F222"/>
    <hyperlink r:id="rId435" ref="C223"/>
    <hyperlink r:id="rId436" ref="F223"/>
    <hyperlink r:id="rId437" ref="C224"/>
    <hyperlink r:id="rId438" ref="F224"/>
    <hyperlink r:id="rId439" ref="C225"/>
    <hyperlink r:id="rId440" ref="F225"/>
    <hyperlink r:id="rId441" ref="C226"/>
    <hyperlink r:id="rId442" ref="F226"/>
    <hyperlink r:id="rId443" ref="C227"/>
    <hyperlink r:id="rId444" ref="F227"/>
    <hyperlink r:id="rId445" ref="C228"/>
    <hyperlink r:id="rId446" ref="F228"/>
    <hyperlink r:id="rId447" ref="C229"/>
    <hyperlink r:id="rId448" ref="F229"/>
    <hyperlink r:id="rId449" ref="C230"/>
    <hyperlink r:id="rId450" ref="F230"/>
    <hyperlink r:id="rId451" ref="C231"/>
    <hyperlink r:id="rId452" ref="F231"/>
    <hyperlink r:id="rId453" ref="C232"/>
    <hyperlink r:id="rId454" ref="F232"/>
    <hyperlink r:id="rId455" ref="C233"/>
    <hyperlink r:id="rId456" ref="F233"/>
    <hyperlink r:id="rId457" ref="C234"/>
    <hyperlink r:id="rId458" ref="F234"/>
    <hyperlink r:id="rId459" ref="C235"/>
    <hyperlink r:id="rId460" ref="F235"/>
    <hyperlink r:id="rId461" ref="C236"/>
    <hyperlink r:id="rId462" ref="F236"/>
    <hyperlink r:id="rId463" ref="C237"/>
    <hyperlink r:id="rId464" ref="F237"/>
    <hyperlink r:id="rId465" ref="C238"/>
    <hyperlink r:id="rId466" ref="F238"/>
    <hyperlink r:id="rId467" ref="C239"/>
    <hyperlink r:id="rId468" ref="F239"/>
    <hyperlink r:id="rId469" ref="C240"/>
    <hyperlink r:id="rId470" ref="F240"/>
    <hyperlink r:id="rId471" ref="C241"/>
    <hyperlink r:id="rId472" ref="F241"/>
    <hyperlink r:id="rId473" ref="C242"/>
    <hyperlink r:id="rId474" ref="F242"/>
    <hyperlink r:id="rId475" ref="C243"/>
    <hyperlink r:id="rId476" ref="F243"/>
    <hyperlink r:id="rId477" ref="C244"/>
    <hyperlink r:id="rId478" ref="F244"/>
    <hyperlink r:id="rId479" ref="C245"/>
    <hyperlink r:id="rId480" ref="F245"/>
    <hyperlink r:id="rId481" ref="C246"/>
    <hyperlink r:id="rId482" ref="F246"/>
    <hyperlink r:id="rId483" ref="C247"/>
    <hyperlink r:id="rId484" ref="F247"/>
    <hyperlink r:id="rId485" ref="C248"/>
    <hyperlink r:id="rId486" ref="F248"/>
    <hyperlink r:id="rId487" ref="C249"/>
    <hyperlink r:id="rId488" ref="F249"/>
    <hyperlink r:id="rId489" ref="C254"/>
    <hyperlink r:id="rId490" ref="D254"/>
    <hyperlink r:id="rId491" ref="F254"/>
    <hyperlink r:id="rId492" ref="C255"/>
    <hyperlink r:id="rId493" ref="D255"/>
    <hyperlink r:id="rId494" ref="F255"/>
    <hyperlink r:id="rId495" ref="C256"/>
    <hyperlink r:id="rId496" ref="D256"/>
    <hyperlink r:id="rId497" ref="F256"/>
    <hyperlink r:id="rId498" ref="C257"/>
    <hyperlink r:id="rId499" ref="D257"/>
    <hyperlink r:id="rId500" ref="F257"/>
    <hyperlink r:id="rId501" ref="C258"/>
    <hyperlink r:id="rId502" ref="D258"/>
    <hyperlink r:id="rId503" ref="F258"/>
    <hyperlink r:id="rId504" ref="C259"/>
    <hyperlink r:id="rId505" ref="D259"/>
    <hyperlink r:id="rId506" ref="F259"/>
    <hyperlink r:id="rId507" ref="C260"/>
    <hyperlink r:id="rId508" ref="D260"/>
    <hyperlink r:id="rId509" ref="F260"/>
    <hyperlink r:id="rId510" ref="C261"/>
    <hyperlink r:id="rId511" ref="D261"/>
    <hyperlink r:id="rId512" ref="F261"/>
    <hyperlink r:id="rId513" ref="C262"/>
    <hyperlink r:id="rId514" ref="D262"/>
    <hyperlink r:id="rId515" ref="F262"/>
    <hyperlink r:id="rId516" ref="C263"/>
    <hyperlink r:id="rId517" ref="D263"/>
    <hyperlink r:id="rId518" ref="F263"/>
    <hyperlink r:id="rId519" ref="C264"/>
    <hyperlink r:id="rId520" ref="D264"/>
    <hyperlink r:id="rId521" ref="F264"/>
    <hyperlink r:id="rId522" ref="C265"/>
    <hyperlink r:id="rId523" ref="D265"/>
    <hyperlink r:id="rId524" ref="F265"/>
    <hyperlink r:id="rId525" ref="C266"/>
    <hyperlink r:id="rId526" ref="D266"/>
    <hyperlink r:id="rId527" ref="F266"/>
    <hyperlink r:id="rId528" ref="C267"/>
    <hyperlink r:id="rId529" ref="D267"/>
    <hyperlink r:id="rId530" ref="F267"/>
    <hyperlink r:id="rId531" ref="C268"/>
    <hyperlink r:id="rId532" ref="D268"/>
    <hyperlink r:id="rId533" ref="F268"/>
    <hyperlink r:id="rId534" ref="C269"/>
    <hyperlink r:id="rId535" ref="D269"/>
    <hyperlink r:id="rId536" ref="F269"/>
    <hyperlink r:id="rId537" ref="C270"/>
    <hyperlink r:id="rId538" ref="D270"/>
    <hyperlink r:id="rId539" ref="F270"/>
    <hyperlink r:id="rId540" ref="C271"/>
    <hyperlink r:id="rId541" ref="D271"/>
    <hyperlink r:id="rId542" ref="F271"/>
    <hyperlink r:id="rId543" ref="C272"/>
    <hyperlink r:id="rId544" ref="D272"/>
    <hyperlink r:id="rId545" ref="F272"/>
    <hyperlink r:id="rId546" ref="C273"/>
    <hyperlink r:id="rId547" ref="D273"/>
    <hyperlink r:id="rId548" ref="F273"/>
    <hyperlink r:id="rId549" ref="C274"/>
    <hyperlink r:id="rId550" ref="D274"/>
    <hyperlink r:id="rId551" ref="F274"/>
    <hyperlink r:id="rId552" ref="C275"/>
    <hyperlink r:id="rId553" ref="D275"/>
    <hyperlink r:id="rId554" ref="F275"/>
    <hyperlink r:id="rId555" ref="C276"/>
    <hyperlink r:id="rId556" ref="D276"/>
    <hyperlink r:id="rId557" ref="F276"/>
    <hyperlink r:id="rId558" ref="C277"/>
    <hyperlink r:id="rId559" ref="D277"/>
    <hyperlink r:id="rId560" ref="F277"/>
    <hyperlink r:id="rId561" ref="C278"/>
    <hyperlink r:id="rId562" ref="D278"/>
    <hyperlink r:id="rId563" ref="F278"/>
    <hyperlink r:id="rId564" ref="C279"/>
    <hyperlink r:id="rId565" ref="D279"/>
    <hyperlink r:id="rId566" ref="F279"/>
    <hyperlink r:id="rId567" ref="C280"/>
    <hyperlink r:id="rId568" ref="D280"/>
    <hyperlink r:id="rId569" ref="F280"/>
    <hyperlink r:id="rId570" ref="C281"/>
    <hyperlink r:id="rId571" ref="D281"/>
    <hyperlink r:id="rId572" ref="F281"/>
    <hyperlink r:id="rId573" ref="C282"/>
    <hyperlink r:id="rId574" ref="D282"/>
    <hyperlink r:id="rId575" ref="F282"/>
    <hyperlink r:id="rId576" ref="C283"/>
    <hyperlink r:id="rId577" ref="D283"/>
    <hyperlink r:id="rId578" ref="F283"/>
    <hyperlink r:id="rId579" ref="C284"/>
    <hyperlink r:id="rId580" ref="D284"/>
    <hyperlink r:id="rId581" ref="F284"/>
    <hyperlink r:id="rId582" ref="C285"/>
    <hyperlink r:id="rId583" ref="D285"/>
    <hyperlink r:id="rId584" ref="F285"/>
    <hyperlink r:id="rId585" ref="C286"/>
    <hyperlink r:id="rId586" ref="D286"/>
    <hyperlink r:id="rId587" ref="F286"/>
    <hyperlink r:id="rId588" ref="C287"/>
    <hyperlink r:id="rId589" ref="D287"/>
    <hyperlink r:id="rId590" ref="F287"/>
    <hyperlink r:id="rId591" ref="C288"/>
    <hyperlink r:id="rId592" ref="D288"/>
    <hyperlink r:id="rId593" ref="F288"/>
    <hyperlink r:id="rId594" ref="C289"/>
    <hyperlink r:id="rId595" ref="D289"/>
    <hyperlink r:id="rId596" ref="F289"/>
    <hyperlink r:id="rId597" ref="C290"/>
    <hyperlink r:id="rId598" ref="D290"/>
    <hyperlink r:id="rId599" ref="F290"/>
    <hyperlink r:id="rId600" ref="C291"/>
    <hyperlink r:id="rId601" ref="D291"/>
    <hyperlink r:id="rId602" ref="F291"/>
  </hyperlinks>
  <drawing r:id="rId60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3.38"/>
  </cols>
  <sheetData>
    <row r="1">
      <c r="A1" s="1" t="s">
        <v>1</v>
      </c>
      <c r="B1" s="1" t="s">
        <v>2</v>
      </c>
      <c r="C1" s="1" t="s">
        <v>4</v>
      </c>
      <c r="D1" s="1" t="s">
        <v>5</v>
      </c>
      <c r="E1" s="1" t="s">
        <v>7</v>
      </c>
      <c r="F1" s="1" t="s">
        <v>8</v>
      </c>
      <c r="G1" s="1" t="s">
        <v>10</v>
      </c>
      <c r="H1" s="1" t="s">
        <v>13</v>
      </c>
      <c r="I1" s="1" t="s">
        <v>15</v>
      </c>
      <c r="J1" s="1" t="s">
        <v>16</v>
      </c>
      <c r="K1" s="1" t="s">
        <v>19</v>
      </c>
      <c r="L1" s="1" t="s">
        <v>21</v>
      </c>
      <c r="M1" s="1" t="s">
        <v>22</v>
      </c>
      <c r="N1" s="1" t="s">
        <v>23</v>
      </c>
      <c r="O1" s="1" t="s">
        <v>24</v>
      </c>
      <c r="P1" s="1" t="s">
        <v>26</v>
      </c>
      <c r="Q1" s="2"/>
      <c r="R1" s="2"/>
      <c r="S1" s="2"/>
      <c r="T1" s="2"/>
      <c r="U1" s="2"/>
      <c r="V1" s="2"/>
      <c r="W1" s="2"/>
      <c r="X1" s="2"/>
      <c r="Y1" s="2"/>
      <c r="Z1" s="2"/>
    </row>
    <row r="2">
      <c r="A2" s="4" t="s">
        <v>38</v>
      </c>
      <c r="B2" s="4">
        <v>1.0</v>
      </c>
      <c r="F2" s="4" t="s">
        <v>41</v>
      </c>
      <c r="G2" s="4" t="s">
        <v>42</v>
      </c>
      <c r="H2" s="4" t="s">
        <v>43</v>
      </c>
      <c r="I2" s="4">
        <v>6.0</v>
      </c>
      <c r="J2" s="4">
        <v>0.0</v>
      </c>
      <c r="K2" s="5" t="str">
        <f>HYPERLINK("https://www.instagram.com/p/Dajx_9ljI3S/","Open Post")</f>
        <v>Open Post</v>
      </c>
      <c r="L2" s="4" t="s">
        <v>48</v>
      </c>
      <c r="M2" s="4" t="s">
        <v>49</v>
      </c>
      <c r="N2" s="4" t="s">
        <v>50</v>
      </c>
      <c r="O2" s="4" t="s">
        <v>51</v>
      </c>
      <c r="P2" s="4" t="s">
        <v>53</v>
      </c>
    </row>
    <row r="3">
      <c r="A3" s="4" t="s">
        <v>38</v>
      </c>
      <c r="B3" s="4">
        <v>2.0</v>
      </c>
      <c r="F3" s="4" t="s">
        <v>57</v>
      </c>
      <c r="G3" s="4" t="s">
        <v>58</v>
      </c>
      <c r="H3" s="4" t="s">
        <v>43</v>
      </c>
      <c r="I3" s="4">
        <v>56.0</v>
      </c>
      <c r="J3" s="4" t="s">
        <v>43</v>
      </c>
      <c r="K3" s="5" t="str">
        <f>HYPERLINK("https://www.instagram.com/reel/DaCspxMNE-S/","Open Reel")</f>
        <v>Open Reel</v>
      </c>
      <c r="L3" s="4" t="s">
        <v>70</v>
      </c>
      <c r="M3" s="4" t="s">
        <v>71</v>
      </c>
      <c r="N3" s="4" t="s">
        <v>73</v>
      </c>
      <c r="O3" s="4" t="s">
        <v>74</v>
      </c>
      <c r="P3" s="4" t="s">
        <v>75</v>
      </c>
    </row>
    <row r="4">
      <c r="A4" s="4" t="s">
        <v>38</v>
      </c>
      <c r="B4" s="4">
        <v>3.0</v>
      </c>
      <c r="F4" s="4" t="s">
        <v>57</v>
      </c>
      <c r="G4" s="4" t="s">
        <v>77</v>
      </c>
      <c r="H4" s="4" t="s">
        <v>43</v>
      </c>
      <c r="I4" s="4">
        <v>88.0</v>
      </c>
      <c r="J4" s="4" t="s">
        <v>43</v>
      </c>
      <c r="K4" s="5" t="str">
        <f>HYPERLINK("https://www.instagram.com/reel/DYfCk60sBwr/?utm_source=ig_web_copy_link&amp;stkn=MzRlODBiNWFlZA==","Open Reel")</f>
        <v>Open Reel</v>
      </c>
      <c r="L4" s="4" t="s">
        <v>80</v>
      </c>
      <c r="M4" s="4" t="s">
        <v>49</v>
      </c>
      <c r="N4" s="4" t="s">
        <v>82</v>
      </c>
      <c r="O4" s="4" t="s">
        <v>74</v>
      </c>
      <c r="P4" s="4" t="s">
        <v>84</v>
      </c>
    </row>
    <row r="5">
      <c r="A5" s="4" t="s">
        <v>38</v>
      </c>
      <c r="B5" s="4">
        <v>4.0</v>
      </c>
      <c r="F5" s="4" t="s">
        <v>57</v>
      </c>
      <c r="G5" s="4" t="s">
        <v>85</v>
      </c>
      <c r="H5" s="4" t="s">
        <v>43</v>
      </c>
      <c r="I5" s="4" t="s">
        <v>43</v>
      </c>
      <c r="J5" s="4" t="s">
        <v>43</v>
      </c>
      <c r="K5" s="5" t="str">
        <f>HYPERLINK("https://www.instagram.com/reel/DXrlR7kDOe3/?utm_source=ig_web_copy_link&amp;stkn=MzRlODBiNWFlZA==","Open Reel")</f>
        <v>Open Reel</v>
      </c>
      <c r="L5" s="4" t="s">
        <v>90</v>
      </c>
      <c r="M5" s="4" t="s">
        <v>92</v>
      </c>
      <c r="N5" s="4" t="s">
        <v>93</v>
      </c>
      <c r="O5" s="4" t="s">
        <v>74</v>
      </c>
      <c r="P5" s="4" t="s">
        <v>94</v>
      </c>
    </row>
    <row r="6">
      <c r="A6" s="4" t="s">
        <v>38</v>
      </c>
      <c r="B6" s="4">
        <v>5.0</v>
      </c>
      <c r="F6" s="4" t="s">
        <v>41</v>
      </c>
      <c r="G6" s="4" t="s">
        <v>95</v>
      </c>
      <c r="H6" s="4" t="s">
        <v>43</v>
      </c>
      <c r="I6" s="4">
        <v>30.0</v>
      </c>
      <c r="J6" s="4">
        <v>0.0</v>
      </c>
      <c r="K6" s="5" t="str">
        <f>HYPERLINK("https://www.instagram.com/p/DXg6fNMjdyW/","Open Post")</f>
        <v>Open Post</v>
      </c>
      <c r="L6" s="4" t="s">
        <v>96</v>
      </c>
      <c r="M6" s="4" t="s">
        <v>98</v>
      </c>
      <c r="N6" s="4" t="s">
        <v>101</v>
      </c>
      <c r="O6" s="4" t="s">
        <v>51</v>
      </c>
      <c r="P6" s="4" t="s">
        <v>102</v>
      </c>
    </row>
    <row r="7">
      <c r="A7" s="4" t="s">
        <v>38</v>
      </c>
      <c r="B7" s="4">
        <v>6.0</v>
      </c>
      <c r="F7" s="4" t="s">
        <v>57</v>
      </c>
      <c r="G7" s="4" t="s">
        <v>105</v>
      </c>
      <c r="H7" s="4" t="s">
        <v>43</v>
      </c>
      <c r="I7" s="4">
        <v>21.0</v>
      </c>
      <c r="J7" s="4" t="s">
        <v>43</v>
      </c>
      <c r="K7" s="5" t="str">
        <f>HYPERLINK("https://www.instagram.com/reel/DWYZAq2CiPz/?utm_source=ig_web_copy_link&amp;stkn=MzRlODBiNWFlZA==","Open Reel")</f>
        <v>Open Reel</v>
      </c>
      <c r="L7" s="4" t="s">
        <v>108</v>
      </c>
      <c r="M7" s="4" t="s">
        <v>109</v>
      </c>
      <c r="N7" s="4" t="s">
        <v>110</v>
      </c>
      <c r="O7" s="4" t="s">
        <v>74</v>
      </c>
      <c r="P7" s="4" t="s">
        <v>111</v>
      </c>
    </row>
    <row r="8">
      <c r="A8" s="4" t="s">
        <v>38</v>
      </c>
      <c r="B8" s="4">
        <v>7.0</v>
      </c>
      <c r="F8" s="4" t="s">
        <v>41</v>
      </c>
      <c r="G8" s="4" t="s">
        <v>112</v>
      </c>
      <c r="H8" s="4" t="s">
        <v>43</v>
      </c>
      <c r="I8" s="4">
        <v>55.0</v>
      </c>
      <c r="J8" s="4">
        <v>2.0</v>
      </c>
      <c r="K8" s="5" t="str">
        <f>HYPERLINK("https://www.instagram.com/p/DVqh2PuDD_c/","Open Post")</f>
        <v>Open Post</v>
      </c>
      <c r="L8" s="4" t="s">
        <v>119</v>
      </c>
      <c r="M8" s="4" t="s">
        <v>49</v>
      </c>
      <c r="N8" s="4" t="s">
        <v>120</v>
      </c>
      <c r="O8" s="4" t="s">
        <v>51</v>
      </c>
      <c r="P8" s="4" t="s">
        <v>122</v>
      </c>
    </row>
    <row r="9">
      <c r="A9" s="4" t="s">
        <v>38</v>
      </c>
      <c r="B9" s="4">
        <v>8.0</v>
      </c>
      <c r="F9" s="4" t="s">
        <v>41</v>
      </c>
      <c r="G9" s="4" t="s">
        <v>125</v>
      </c>
      <c r="H9" s="4" t="s">
        <v>43</v>
      </c>
      <c r="I9" s="4">
        <v>12.0</v>
      </c>
      <c r="J9" s="4">
        <v>0.0</v>
      </c>
      <c r="K9" s="5" t="str">
        <f>HYPERLINK("https://www.instagram.com/p/DVgNg2tiA78/","Open Post")</f>
        <v>Open Post</v>
      </c>
      <c r="L9" s="4" t="s">
        <v>131</v>
      </c>
      <c r="M9" s="4" t="s">
        <v>132</v>
      </c>
      <c r="N9" s="4" t="s">
        <v>133</v>
      </c>
      <c r="O9" s="4" t="s">
        <v>51</v>
      </c>
      <c r="P9" s="4" t="s">
        <v>135</v>
      </c>
    </row>
    <row r="10">
      <c r="A10" s="4" t="s">
        <v>38</v>
      </c>
      <c r="B10" s="4">
        <v>9.0</v>
      </c>
      <c r="F10" s="4" t="s">
        <v>57</v>
      </c>
      <c r="G10" s="4" t="s">
        <v>77</v>
      </c>
      <c r="H10" s="4" t="s">
        <v>43</v>
      </c>
      <c r="I10" s="4">
        <v>39.0</v>
      </c>
      <c r="J10" s="4" t="s">
        <v>43</v>
      </c>
      <c r="K10" s="5" t="str">
        <f>HYPERLINK("https://www.instagram.com/reel/DUQRPyIgrD2/?utm_source=ig_web_copy_link&amp;stkn=MzRlODBiNWFlZA==","Open Reel")</f>
        <v>Open Reel</v>
      </c>
      <c r="L10" s="4" t="s">
        <v>141</v>
      </c>
      <c r="M10" s="4" t="s">
        <v>49</v>
      </c>
      <c r="N10" s="4" t="s">
        <v>142</v>
      </c>
      <c r="O10" s="4" t="s">
        <v>74</v>
      </c>
      <c r="P10" s="4" t="s">
        <v>143</v>
      </c>
    </row>
    <row r="11">
      <c r="A11" s="4" t="s">
        <v>38</v>
      </c>
      <c r="B11" s="4">
        <v>10.0</v>
      </c>
      <c r="F11" s="4" t="s">
        <v>57</v>
      </c>
      <c r="G11" s="4" t="s">
        <v>58</v>
      </c>
      <c r="H11" s="4" t="s">
        <v>43</v>
      </c>
      <c r="I11" s="4">
        <v>14.0</v>
      </c>
      <c r="J11" s="4" t="s">
        <v>43</v>
      </c>
      <c r="K11" s="5" t="str">
        <f>HYPERLINK("https://www.instagram.com/reel/DUAo8GSjdJw/?utm_source=ig_web_copy_link&amp;stkn=MzRlODBiNWFlZA==","Open Reel")</f>
        <v>Open Reel</v>
      </c>
      <c r="L11" s="4" t="s">
        <v>145</v>
      </c>
      <c r="M11" s="4" t="s">
        <v>147</v>
      </c>
      <c r="N11" s="4" t="s">
        <v>149</v>
      </c>
      <c r="O11" s="4" t="s">
        <v>74</v>
      </c>
      <c r="P11" s="4" t="s">
        <v>150</v>
      </c>
    </row>
    <row r="12">
      <c r="A12" s="4" t="s">
        <v>38</v>
      </c>
      <c r="B12" s="4">
        <v>11.0</v>
      </c>
      <c r="F12" s="4" t="s">
        <v>41</v>
      </c>
      <c r="G12" s="4" t="s">
        <v>112</v>
      </c>
      <c r="H12" s="4" t="s">
        <v>43</v>
      </c>
      <c r="I12" s="4" t="s">
        <v>43</v>
      </c>
      <c r="J12" s="4" t="s">
        <v>43</v>
      </c>
      <c r="K12" s="5" t="str">
        <f>HYPERLINK("https://www.instagram.com/p/DSTNuEKkQju/","Open Post")</f>
        <v>Open Post</v>
      </c>
      <c r="L12" s="4" t="s">
        <v>159</v>
      </c>
      <c r="M12" s="4" t="s">
        <v>49</v>
      </c>
      <c r="N12" s="4" t="s">
        <v>160</v>
      </c>
      <c r="O12" s="4" t="s">
        <v>51</v>
      </c>
      <c r="P12" s="4" t="s">
        <v>162</v>
      </c>
    </row>
    <row r="13">
      <c r="A13" s="4" t="s">
        <v>38</v>
      </c>
      <c r="B13" s="4">
        <v>12.0</v>
      </c>
      <c r="F13" s="4" t="s">
        <v>57</v>
      </c>
      <c r="G13" s="4" t="s">
        <v>165</v>
      </c>
      <c r="H13" s="4" t="s">
        <v>43</v>
      </c>
      <c r="I13" s="4">
        <v>5.0</v>
      </c>
      <c r="J13" s="4" t="s">
        <v>43</v>
      </c>
      <c r="K13" s="5" t="str">
        <f>HYPERLINK("https://www.instagram.com/reel/DRwU3ZPgXy9/?utm_source=ig_web_copy_link&amp;stkn=MzRlODBiNWFlZA==","Open Reel")</f>
        <v>Open Reel</v>
      </c>
      <c r="L13" s="4" t="s">
        <v>170</v>
      </c>
      <c r="M13" s="4" t="s">
        <v>171</v>
      </c>
      <c r="N13" s="4" t="s">
        <v>172</v>
      </c>
      <c r="O13" s="4" t="s">
        <v>74</v>
      </c>
      <c r="P13" s="4" t="s">
        <v>173</v>
      </c>
    </row>
    <row r="14">
      <c r="A14" s="4" t="s">
        <v>38</v>
      </c>
      <c r="B14" s="4">
        <v>13.0</v>
      </c>
      <c r="F14" s="4" t="s">
        <v>57</v>
      </c>
      <c r="G14" s="4" t="s">
        <v>165</v>
      </c>
      <c r="H14" s="4" t="s">
        <v>43</v>
      </c>
      <c r="I14" s="4">
        <v>30.0</v>
      </c>
      <c r="J14" s="4" t="s">
        <v>43</v>
      </c>
      <c r="K14" s="5" t="str">
        <f>HYPERLINK("https://www.instagram.com/reel/DRhhmyvjxfe/?utm_source=ig_web_copy_link&amp;stkn=MzRlODBiNWFlZA==","Open Reel")</f>
        <v>Open Reel</v>
      </c>
      <c r="L14" s="4" t="s">
        <v>178</v>
      </c>
      <c r="M14" s="4" t="s">
        <v>179</v>
      </c>
      <c r="N14" s="4" t="s">
        <v>180</v>
      </c>
      <c r="O14" s="4" t="s">
        <v>74</v>
      </c>
      <c r="P14" s="4" t="s">
        <v>181</v>
      </c>
    </row>
    <row r="15">
      <c r="A15" s="4" t="s">
        <v>38</v>
      </c>
      <c r="B15" s="4">
        <v>14.0</v>
      </c>
      <c r="F15" s="4" t="s">
        <v>57</v>
      </c>
      <c r="G15" s="4" t="s">
        <v>185</v>
      </c>
      <c r="H15" s="4" t="s">
        <v>43</v>
      </c>
      <c r="I15" s="4" t="s">
        <v>43</v>
      </c>
      <c r="J15" s="4" t="s">
        <v>43</v>
      </c>
      <c r="K15" s="5" t="str">
        <f>HYPERLINK("https://www.instagram.com/reel/DRnJ4dIgjHf/?utm_source=ig_web_copy_link&amp;stkn=MzRlODBiNWFlZA==","Open Reel")</f>
        <v>Open Reel</v>
      </c>
      <c r="L15" s="4" t="s">
        <v>187</v>
      </c>
      <c r="M15" s="4" t="s">
        <v>188</v>
      </c>
      <c r="N15" s="4" t="s">
        <v>189</v>
      </c>
      <c r="O15" s="4" t="s">
        <v>74</v>
      </c>
      <c r="P15" s="4" t="s">
        <v>190</v>
      </c>
    </row>
    <row r="16">
      <c r="A16" s="4" t="s">
        <v>38</v>
      </c>
      <c r="B16" s="4">
        <v>15.0</v>
      </c>
      <c r="F16" s="4" t="s">
        <v>41</v>
      </c>
      <c r="G16" s="4" t="s">
        <v>192</v>
      </c>
      <c r="H16" s="4" t="s">
        <v>43</v>
      </c>
      <c r="I16" s="4" t="s">
        <v>43</v>
      </c>
      <c r="J16" s="4" t="s">
        <v>43</v>
      </c>
      <c r="K16" s="5" t="str">
        <f>HYPERLINK("https://www.instagram.com/p/DRPmVSUkQTG/","Open Post")</f>
        <v>Open Post</v>
      </c>
      <c r="L16" s="4" t="s">
        <v>194</v>
      </c>
      <c r="M16" s="4" t="s">
        <v>49</v>
      </c>
      <c r="N16" s="4" t="s">
        <v>195</v>
      </c>
      <c r="O16" s="4" t="s">
        <v>51</v>
      </c>
      <c r="P16" s="4" t="s">
        <v>196</v>
      </c>
    </row>
    <row r="17">
      <c r="A17" s="4" t="s">
        <v>38</v>
      </c>
      <c r="B17" s="4">
        <v>16.0</v>
      </c>
      <c r="F17" s="4" t="s">
        <v>41</v>
      </c>
      <c r="G17" s="4" t="s">
        <v>112</v>
      </c>
      <c r="H17" s="4" t="s">
        <v>43</v>
      </c>
      <c r="I17" s="4">
        <v>0.0</v>
      </c>
      <c r="J17" s="4" t="s">
        <v>43</v>
      </c>
      <c r="K17" s="5" t="str">
        <f>HYPERLINK("https://www.instagram.com/p/DROy7HNEcGj/","Open Post")</f>
        <v>Open Post</v>
      </c>
      <c r="L17" s="4" t="s">
        <v>201</v>
      </c>
      <c r="M17" s="4" t="s">
        <v>49</v>
      </c>
      <c r="N17" s="4" t="s">
        <v>202</v>
      </c>
      <c r="O17" s="4" t="s">
        <v>51</v>
      </c>
      <c r="P17" s="4" t="s">
        <v>203</v>
      </c>
    </row>
    <row r="18">
      <c r="A18" s="4" t="s">
        <v>38</v>
      </c>
      <c r="B18" s="4">
        <v>17.0</v>
      </c>
      <c r="F18" s="4" t="s">
        <v>57</v>
      </c>
      <c r="G18" s="4" t="s">
        <v>165</v>
      </c>
      <c r="H18" s="4" t="s">
        <v>43</v>
      </c>
      <c r="I18" s="4">
        <v>4.0</v>
      </c>
      <c r="J18" s="4" t="s">
        <v>43</v>
      </c>
      <c r="K18" s="5" t="str">
        <f>HYPERLINK("https://www.instagram.com/reel/DQ_bXMZjYap/?utm_source=ig_web_copy_link&amp;stkn=MzRlODBiNWFlZA==","Open Reel")</f>
        <v>Open Reel</v>
      </c>
      <c r="L18" s="4" t="s">
        <v>210</v>
      </c>
      <c r="M18" s="4" t="s">
        <v>211</v>
      </c>
      <c r="N18" s="4" t="s">
        <v>212</v>
      </c>
      <c r="O18" s="4" t="s">
        <v>74</v>
      </c>
      <c r="P18" s="4" t="s">
        <v>213</v>
      </c>
    </row>
    <row r="19">
      <c r="A19" s="4" t="s">
        <v>38</v>
      </c>
      <c r="B19" s="4">
        <v>18.0</v>
      </c>
      <c r="F19" s="4" t="s">
        <v>41</v>
      </c>
      <c r="G19" s="4" t="s">
        <v>215</v>
      </c>
      <c r="H19" s="4" t="s">
        <v>43</v>
      </c>
      <c r="I19" s="4">
        <v>15.0</v>
      </c>
      <c r="J19" s="4">
        <v>0.0</v>
      </c>
      <c r="K19" s="5" t="str">
        <f>HYPERLINK("https://www.instagram.com/p/DQMmf7YiD2W/","Open Post")</f>
        <v>Open Post</v>
      </c>
      <c r="L19" s="4" t="s">
        <v>219</v>
      </c>
      <c r="M19" s="4" t="s">
        <v>49</v>
      </c>
      <c r="N19" s="4" t="s">
        <v>222</v>
      </c>
      <c r="O19" s="4" t="s">
        <v>51</v>
      </c>
      <c r="P19" s="4" t="s">
        <v>224</v>
      </c>
    </row>
    <row r="20">
      <c r="A20" s="4" t="s">
        <v>38</v>
      </c>
      <c r="B20" s="4">
        <v>19.0</v>
      </c>
      <c r="F20" s="4" t="s">
        <v>57</v>
      </c>
      <c r="G20" s="4" t="s">
        <v>77</v>
      </c>
      <c r="H20" s="4" t="s">
        <v>43</v>
      </c>
      <c r="I20" s="4">
        <v>15.0</v>
      </c>
      <c r="J20" s="4" t="s">
        <v>43</v>
      </c>
      <c r="K20" s="5" t="str">
        <f>HYPERLINK("https://www.instagram.com/reel/DPgob9KjAVr/?utm_source=ig_web_copy_link&amp;stkn=MzRlODBiNWFlZA==","Open Reel")</f>
        <v>Open Reel</v>
      </c>
      <c r="L20" s="4" t="s">
        <v>227</v>
      </c>
      <c r="M20" s="4" t="s">
        <v>228</v>
      </c>
      <c r="N20" s="4" t="s">
        <v>229</v>
      </c>
      <c r="O20" s="4" t="s">
        <v>74</v>
      </c>
      <c r="P20" s="4" t="s">
        <v>230</v>
      </c>
    </row>
    <row r="21">
      <c r="A21" s="4" t="s">
        <v>38</v>
      </c>
      <c r="B21" s="4">
        <v>20.0</v>
      </c>
      <c r="F21" s="4" t="s">
        <v>41</v>
      </c>
      <c r="G21" s="4" t="s">
        <v>231</v>
      </c>
      <c r="H21" s="4" t="s">
        <v>43</v>
      </c>
      <c r="I21" s="4" t="s">
        <v>43</v>
      </c>
      <c r="J21" s="4" t="s">
        <v>43</v>
      </c>
      <c r="K21" s="5" t="str">
        <f>HYPERLINK("https://www.instagram.com/p/DPXOsuWDKrE/","Open Post")</f>
        <v>Open Post</v>
      </c>
      <c r="L21" s="4" t="s">
        <v>234</v>
      </c>
      <c r="M21" s="4" t="s">
        <v>49</v>
      </c>
      <c r="N21" s="4" t="s">
        <v>235</v>
      </c>
      <c r="O21" s="4" t="s">
        <v>51</v>
      </c>
      <c r="P21" s="4" t="s">
        <v>236</v>
      </c>
    </row>
    <row r="22">
      <c r="A22" s="4" t="s">
        <v>38</v>
      </c>
      <c r="B22" s="4">
        <v>21.0</v>
      </c>
      <c r="F22" s="4" t="s">
        <v>57</v>
      </c>
      <c r="G22" s="4" t="s">
        <v>77</v>
      </c>
      <c r="H22" s="4" t="s">
        <v>43</v>
      </c>
      <c r="I22" s="4">
        <v>14.0</v>
      </c>
      <c r="J22" s="4" t="s">
        <v>43</v>
      </c>
      <c r="K22" s="5" t="str">
        <f>HYPERLINK("https://www.instagram.com/reel/DPTfy74jG7u/","Open Reel")</f>
        <v>Open Reel</v>
      </c>
      <c r="L22" s="4" t="s">
        <v>240</v>
      </c>
      <c r="M22" s="4" t="s">
        <v>241</v>
      </c>
      <c r="N22" s="4" t="s">
        <v>242</v>
      </c>
      <c r="O22" s="4" t="s">
        <v>74</v>
      </c>
      <c r="P22" s="4" t="s">
        <v>243</v>
      </c>
    </row>
    <row r="23">
      <c r="A23" s="4" t="s">
        <v>38</v>
      </c>
      <c r="B23" s="4">
        <v>22.0</v>
      </c>
      <c r="F23" s="4" t="s">
        <v>41</v>
      </c>
      <c r="G23" s="4" t="s">
        <v>244</v>
      </c>
      <c r="H23" s="4" t="s">
        <v>43</v>
      </c>
      <c r="I23" s="4" t="s">
        <v>43</v>
      </c>
      <c r="J23" s="4" t="s">
        <v>43</v>
      </c>
      <c r="K23" s="5" t="str">
        <f>HYPERLINK("https://www.instagram.com/p/DOtZFMXDH6s/","Open Post")</f>
        <v>Open Post</v>
      </c>
      <c r="L23" s="4" t="s">
        <v>250</v>
      </c>
      <c r="M23" s="4" t="s">
        <v>49</v>
      </c>
      <c r="N23" s="4" t="s">
        <v>251</v>
      </c>
      <c r="O23" s="4" t="s">
        <v>51</v>
      </c>
      <c r="P23" s="4" t="s">
        <v>252</v>
      </c>
    </row>
    <row r="25">
      <c r="A25" s="4" t="s">
        <v>253</v>
      </c>
      <c r="B25" s="4">
        <v>1.0</v>
      </c>
      <c r="F25" s="4" t="s">
        <v>57</v>
      </c>
      <c r="G25" s="4" t="s">
        <v>257</v>
      </c>
      <c r="H25" s="4" t="s">
        <v>43</v>
      </c>
      <c r="I25" s="4" t="s">
        <v>258</v>
      </c>
      <c r="J25" s="4" t="s">
        <v>43</v>
      </c>
      <c r="K25" s="5" t="str">
        <f>HYPERLINK("https://www.instagram.com/reel/Dci8ZFkocwy/","Open Reel")</f>
        <v>Open Reel</v>
      </c>
      <c r="L25" s="4" t="s">
        <v>260</v>
      </c>
      <c r="M25" s="4" t="s">
        <v>261</v>
      </c>
      <c r="N25" s="4" t="s">
        <v>262</v>
      </c>
      <c r="O25" s="4" t="s">
        <v>74</v>
      </c>
      <c r="P25" s="4" t="s">
        <v>264</v>
      </c>
    </row>
    <row r="26">
      <c r="A26" s="4" t="s">
        <v>253</v>
      </c>
      <c r="B26" s="4">
        <v>2.0</v>
      </c>
      <c r="F26" s="4" t="s">
        <v>41</v>
      </c>
      <c r="G26" s="4" t="s">
        <v>112</v>
      </c>
      <c r="H26" s="4" t="s">
        <v>43</v>
      </c>
      <c r="I26" s="4">
        <v>2.0</v>
      </c>
      <c r="J26" s="4">
        <v>0.0</v>
      </c>
      <c r="K26" s="5" t="str">
        <f>HYPERLINK("https://www.instagram.com/p/DciwfmVEWnK/","Open Post")</f>
        <v>Open Post</v>
      </c>
      <c r="L26" s="4" t="s">
        <v>267</v>
      </c>
      <c r="M26" s="4" t="s">
        <v>49</v>
      </c>
      <c r="N26" s="4" t="s">
        <v>268</v>
      </c>
      <c r="O26" s="4" t="s">
        <v>51</v>
      </c>
      <c r="P26" s="4" t="s">
        <v>269</v>
      </c>
    </row>
    <row r="27">
      <c r="A27" s="4" t="s">
        <v>253</v>
      </c>
      <c r="B27" s="4">
        <v>3.0</v>
      </c>
      <c r="F27" s="4" t="s">
        <v>41</v>
      </c>
      <c r="G27" s="4" t="s">
        <v>112</v>
      </c>
      <c r="H27" s="4" t="s">
        <v>43</v>
      </c>
      <c r="I27" s="4">
        <v>11.0</v>
      </c>
      <c r="J27" s="4">
        <v>1.0</v>
      </c>
      <c r="K27" s="5" t="str">
        <f>HYPERLINK("https://www.instagram.com/p/DcY-TvAjMvt/","Open Post")</f>
        <v>Open Post</v>
      </c>
      <c r="L27" s="4" t="s">
        <v>272</v>
      </c>
      <c r="M27" s="4" t="s">
        <v>49</v>
      </c>
      <c r="N27" s="4" t="s">
        <v>274</v>
      </c>
      <c r="O27" s="4" t="s">
        <v>51</v>
      </c>
      <c r="P27" s="4" t="s">
        <v>275</v>
      </c>
    </row>
    <row r="28">
      <c r="A28" s="4" t="s">
        <v>253</v>
      </c>
      <c r="B28" s="4">
        <v>4.0</v>
      </c>
      <c r="F28" s="4" t="s">
        <v>41</v>
      </c>
      <c r="G28" s="4" t="s">
        <v>277</v>
      </c>
      <c r="H28" s="4" t="s">
        <v>43</v>
      </c>
      <c r="I28" s="4">
        <v>3.0</v>
      </c>
      <c r="J28" s="4">
        <v>0.0</v>
      </c>
      <c r="K28" s="5" t="str">
        <f>HYPERLINK("https://www.instagram.com/p/Dbue_BSPZdK/","Open Post")</f>
        <v>Open Post</v>
      </c>
      <c r="L28" s="4" t="s">
        <v>282</v>
      </c>
      <c r="M28" s="4" t="s">
        <v>283</v>
      </c>
      <c r="N28" s="4" t="s">
        <v>284</v>
      </c>
      <c r="O28" s="4" t="s">
        <v>51</v>
      </c>
      <c r="P28" s="4" t="s">
        <v>285</v>
      </c>
    </row>
    <row r="29">
      <c r="A29" s="4" t="s">
        <v>253</v>
      </c>
      <c r="B29" s="4">
        <v>5.0</v>
      </c>
      <c r="F29" s="4" t="s">
        <v>57</v>
      </c>
      <c r="G29" s="4" t="s">
        <v>85</v>
      </c>
      <c r="H29" s="4" t="s">
        <v>43</v>
      </c>
      <c r="I29" s="4">
        <v>91.0</v>
      </c>
      <c r="J29" s="4" t="s">
        <v>43</v>
      </c>
      <c r="K29" s="5" t="str">
        <f>HYPERLINK("https://www.instagram.com/reel/DbbHsZ3zCHH/?utm_source=ig_web_copy_link&amp;stkn=MzRlODBiNWFlZA==","Open Reel")</f>
        <v>Open Reel</v>
      </c>
      <c r="L29" s="4" t="s">
        <v>288</v>
      </c>
      <c r="M29" s="4" t="s">
        <v>49</v>
      </c>
      <c r="N29" s="4" t="s">
        <v>290</v>
      </c>
      <c r="O29" s="4" t="s">
        <v>74</v>
      </c>
      <c r="P29" s="4" t="s">
        <v>291</v>
      </c>
    </row>
    <row r="30">
      <c r="A30" s="4" t="s">
        <v>253</v>
      </c>
      <c r="B30" s="4">
        <v>6.0</v>
      </c>
      <c r="F30" s="4" t="s">
        <v>41</v>
      </c>
      <c r="G30" s="4" t="s">
        <v>292</v>
      </c>
      <c r="H30" s="4" t="s">
        <v>43</v>
      </c>
      <c r="I30" s="4">
        <v>33.0</v>
      </c>
      <c r="J30" s="4">
        <v>3.0</v>
      </c>
      <c r="K30" s="5" t="str">
        <f>HYPERLINK("https://www.instagram.com/p/DbbEZQqkVxv/","Open Post")</f>
        <v>Open Post</v>
      </c>
      <c r="L30" s="4" t="s">
        <v>294</v>
      </c>
      <c r="M30" s="4" t="s">
        <v>49</v>
      </c>
      <c r="N30" s="4" t="s">
        <v>296</v>
      </c>
      <c r="O30" s="4" t="s">
        <v>51</v>
      </c>
      <c r="P30" s="4" t="s">
        <v>297</v>
      </c>
    </row>
    <row r="31">
      <c r="A31" s="4" t="s">
        <v>253</v>
      </c>
      <c r="B31" s="4">
        <v>7.0</v>
      </c>
      <c r="F31" s="4" t="s">
        <v>57</v>
      </c>
      <c r="G31" s="4" t="s">
        <v>166</v>
      </c>
      <c r="H31" s="4" t="s">
        <v>43</v>
      </c>
      <c r="I31" s="4">
        <v>28.0</v>
      </c>
      <c r="J31" s="4" t="s">
        <v>43</v>
      </c>
      <c r="K31" s="5" t="str">
        <f>HYPERLINK("https://www.instagram.com/reel/DbGaBfGhnkb/?utm_source=ig_web_copy_link&amp;stkn=MzRlODBiNWFlZA==","Open Reel")</f>
        <v>Open Reel</v>
      </c>
      <c r="L31" s="4" t="s">
        <v>298</v>
      </c>
      <c r="M31" s="4" t="s">
        <v>299</v>
      </c>
      <c r="N31" s="4" t="s">
        <v>300</v>
      </c>
      <c r="O31" s="4" t="s">
        <v>74</v>
      </c>
      <c r="P31" s="4" t="s">
        <v>301</v>
      </c>
    </row>
    <row r="32">
      <c r="A32" s="4" t="s">
        <v>253</v>
      </c>
      <c r="B32" s="4">
        <v>8.0</v>
      </c>
      <c r="F32" s="4" t="s">
        <v>41</v>
      </c>
      <c r="G32" s="4" t="s">
        <v>112</v>
      </c>
      <c r="H32" s="4" t="s">
        <v>43</v>
      </c>
      <c r="I32" s="4">
        <v>87.0</v>
      </c>
      <c r="J32" s="4">
        <v>4.0</v>
      </c>
      <c r="K32" s="5" t="str">
        <f>HYPERLINK("https://www.instagram.com/p/DbD_l-gkZg_/","Open Post")</f>
        <v>Open Post</v>
      </c>
      <c r="L32" s="4" t="s">
        <v>304</v>
      </c>
      <c r="M32" s="4" t="s">
        <v>49</v>
      </c>
      <c r="N32" s="4" t="s">
        <v>133</v>
      </c>
      <c r="O32" s="4" t="s">
        <v>51</v>
      </c>
      <c r="P32" s="4" t="s">
        <v>135</v>
      </c>
    </row>
    <row r="33">
      <c r="A33" s="4" t="s">
        <v>253</v>
      </c>
      <c r="B33" s="4">
        <v>9.0</v>
      </c>
      <c r="F33" s="4" t="s">
        <v>57</v>
      </c>
      <c r="G33" s="4" t="s">
        <v>306</v>
      </c>
      <c r="H33" s="4" t="s">
        <v>43</v>
      </c>
      <c r="I33" s="4">
        <v>62.0</v>
      </c>
      <c r="J33" s="4" t="s">
        <v>43</v>
      </c>
      <c r="K33" s="5" t="str">
        <f>HYPERLINK("https://www.instagram.com/reel/DbD_L5lR3aN/?utm_source=ig_web_copy_link&amp;stkn=MzRlODBiNWFlZA==","Open Reel")</f>
        <v>Open Reel</v>
      </c>
      <c r="L33" s="4" t="s">
        <v>310</v>
      </c>
      <c r="M33" s="4" t="s">
        <v>49</v>
      </c>
      <c r="N33" s="4" t="s">
        <v>142</v>
      </c>
      <c r="O33" s="4" t="s">
        <v>74</v>
      </c>
      <c r="P33" s="4" t="s">
        <v>143</v>
      </c>
    </row>
    <row r="34">
      <c r="A34" s="4" t="s">
        <v>253</v>
      </c>
      <c r="B34" s="4">
        <v>10.0</v>
      </c>
      <c r="F34" s="4" t="s">
        <v>41</v>
      </c>
      <c r="G34" s="4" t="s">
        <v>112</v>
      </c>
      <c r="H34" s="4" t="s">
        <v>43</v>
      </c>
      <c r="I34" s="4">
        <v>92.0</v>
      </c>
      <c r="J34" s="4">
        <v>10.0</v>
      </c>
      <c r="K34" s="5" t="str">
        <f>HYPERLINK("https://www.instagram.com/p/DbBwcftlQVX/","Open Post")</f>
        <v>Open Post</v>
      </c>
      <c r="L34" s="4" t="s">
        <v>314</v>
      </c>
      <c r="M34" s="4" t="s">
        <v>49</v>
      </c>
      <c r="N34" s="4" t="s">
        <v>315</v>
      </c>
      <c r="O34" s="4" t="s">
        <v>51</v>
      </c>
      <c r="P34" s="4" t="s">
        <v>317</v>
      </c>
    </row>
    <row r="35">
      <c r="A35" s="4" t="s">
        <v>253</v>
      </c>
      <c r="B35" s="4">
        <v>11.0</v>
      </c>
      <c r="F35" s="4" t="s">
        <v>57</v>
      </c>
      <c r="G35" s="4" t="s">
        <v>318</v>
      </c>
      <c r="H35" s="4" t="s">
        <v>43</v>
      </c>
      <c r="I35" s="4">
        <v>209.0</v>
      </c>
      <c r="J35" s="4" t="s">
        <v>43</v>
      </c>
      <c r="K35" s="5" t="str">
        <f>HYPERLINK("https://www.instagram.com/reel/DbBC8T1OLXO/?utm_source=ig_web_copy_link&amp;stkn=MzRlODBiNWFlZA==","Open Reel")</f>
        <v>Open Reel</v>
      </c>
      <c r="L35" s="4" t="s">
        <v>322</v>
      </c>
      <c r="M35" s="4" t="s">
        <v>323</v>
      </c>
      <c r="N35" s="4" t="s">
        <v>324</v>
      </c>
      <c r="O35" s="4" t="s">
        <v>74</v>
      </c>
      <c r="P35" s="4" t="s">
        <v>325</v>
      </c>
    </row>
    <row r="36">
      <c r="A36" s="4" t="s">
        <v>253</v>
      </c>
      <c r="B36" s="4">
        <v>12.0</v>
      </c>
      <c r="F36" s="4" t="s">
        <v>57</v>
      </c>
      <c r="G36" s="4" t="s">
        <v>326</v>
      </c>
      <c r="H36" s="4" t="s">
        <v>43</v>
      </c>
      <c r="I36" s="4">
        <v>220.0</v>
      </c>
      <c r="J36" s="4" t="s">
        <v>43</v>
      </c>
      <c r="K36" s="5" t="str">
        <f>HYPERLINK("https://www.instagram.com/reel/Da0FMKlNAly/?utm_source=ig_web_copy_link&amp;stkn=MzRlODBiNWFlZA==","Open Reel")</f>
        <v>Open Reel</v>
      </c>
      <c r="L36" s="4" t="s">
        <v>329</v>
      </c>
      <c r="M36" s="4" t="s">
        <v>299</v>
      </c>
      <c r="N36" s="4" t="s">
        <v>172</v>
      </c>
      <c r="O36" s="4" t="s">
        <v>74</v>
      </c>
      <c r="P36" s="4" t="s">
        <v>173</v>
      </c>
    </row>
    <row r="37">
      <c r="A37" s="4" t="s">
        <v>253</v>
      </c>
      <c r="B37" s="4">
        <v>13.0</v>
      </c>
      <c r="F37" s="4" t="s">
        <v>57</v>
      </c>
      <c r="G37" s="4" t="s">
        <v>257</v>
      </c>
      <c r="H37" s="4" t="s">
        <v>43</v>
      </c>
      <c r="I37" s="4">
        <v>185.0</v>
      </c>
      <c r="J37" s="4" t="s">
        <v>43</v>
      </c>
      <c r="K37" s="5" t="str">
        <f>HYPERLINK("https://www.instagram.com/reel/DavnbAlxO_Z/","Open Reel")</f>
        <v>Open Reel</v>
      </c>
      <c r="L37" s="4" t="s">
        <v>337</v>
      </c>
      <c r="M37" s="4" t="s">
        <v>338</v>
      </c>
      <c r="N37" s="4" t="s">
        <v>180</v>
      </c>
      <c r="O37" s="4" t="s">
        <v>74</v>
      </c>
      <c r="P37" s="4" t="s">
        <v>181</v>
      </c>
    </row>
    <row r="38">
      <c r="A38" s="4" t="s">
        <v>253</v>
      </c>
      <c r="B38" s="4">
        <v>14.0</v>
      </c>
      <c r="F38" s="4" t="s">
        <v>41</v>
      </c>
      <c r="G38" s="4" t="s">
        <v>112</v>
      </c>
      <c r="H38" s="4" t="s">
        <v>43</v>
      </c>
      <c r="I38" s="4">
        <v>62.0</v>
      </c>
      <c r="J38" s="4">
        <v>2.0</v>
      </c>
      <c r="K38" s="5" t="str">
        <f>HYPERLINK("https://www.instagram.com/p/Dad2845HCzh/","Open Post")</f>
        <v>Open Post</v>
      </c>
      <c r="L38" s="4" t="s">
        <v>343</v>
      </c>
      <c r="M38" s="4" t="s">
        <v>49</v>
      </c>
      <c r="N38" s="4" t="s">
        <v>344</v>
      </c>
      <c r="O38" s="4" t="s">
        <v>51</v>
      </c>
      <c r="P38" s="4" t="s">
        <v>345</v>
      </c>
    </row>
    <row r="39">
      <c r="A39" s="4" t="s">
        <v>253</v>
      </c>
      <c r="B39" s="4">
        <v>15.0</v>
      </c>
      <c r="F39" s="4" t="s">
        <v>57</v>
      </c>
      <c r="G39" s="4" t="s">
        <v>346</v>
      </c>
      <c r="H39" s="4" t="s">
        <v>43</v>
      </c>
      <c r="I39" s="4">
        <v>41.0</v>
      </c>
      <c r="J39" s="4" t="s">
        <v>43</v>
      </c>
      <c r="K39" s="5" t="str">
        <f>HYPERLINK("https://www.instagram.com/reel/DZ9g6SZhAuF/?utm_source=ig_web_copy_link&amp;stkn=MzRlODBiNWFlZA==","Open Reel")</f>
        <v>Open Reel</v>
      </c>
      <c r="L39" s="4" t="s">
        <v>350</v>
      </c>
      <c r="M39" s="4" t="s">
        <v>49</v>
      </c>
      <c r="N39" s="4" t="s">
        <v>351</v>
      </c>
      <c r="O39" s="4" t="s">
        <v>74</v>
      </c>
      <c r="P39" s="4" t="s">
        <v>352</v>
      </c>
    </row>
    <row r="40">
      <c r="A40" s="4" t="s">
        <v>253</v>
      </c>
      <c r="B40" s="4">
        <v>16.0</v>
      </c>
      <c r="F40" s="4" t="s">
        <v>57</v>
      </c>
      <c r="G40" s="4" t="s">
        <v>207</v>
      </c>
      <c r="H40" s="4" t="s">
        <v>43</v>
      </c>
      <c r="I40" s="4">
        <v>11.0</v>
      </c>
      <c r="J40" s="4" t="s">
        <v>43</v>
      </c>
      <c r="K40" s="5" t="str">
        <f>HYPERLINK("https://www.instagram.com/reel/DZnbDoEA45I/?utm_source=ig_web_copy_link&amp;stkn=MzRlODBiNWFlZA==","Open Reel")</f>
        <v>Open Reel</v>
      </c>
      <c r="L40" s="4" t="s">
        <v>356</v>
      </c>
      <c r="M40" s="4" t="s">
        <v>357</v>
      </c>
      <c r="N40" s="4" t="s">
        <v>359</v>
      </c>
      <c r="O40" s="4" t="s">
        <v>74</v>
      </c>
      <c r="P40" s="4" t="s">
        <v>360</v>
      </c>
    </row>
    <row r="41">
      <c r="A41" s="4" t="s">
        <v>253</v>
      </c>
      <c r="B41" s="4">
        <v>17.0</v>
      </c>
      <c r="F41" s="4" t="s">
        <v>41</v>
      </c>
      <c r="G41" s="4" t="s">
        <v>112</v>
      </c>
      <c r="H41" s="4" t="s">
        <v>43</v>
      </c>
      <c r="I41" s="4">
        <v>5.0</v>
      </c>
      <c r="J41" s="4">
        <v>0.0</v>
      </c>
      <c r="K41" s="5" t="str">
        <f>HYPERLINK("https://www.instagram.com/p/DZYSMMuktt1/","Open Post")</f>
        <v>Open Post</v>
      </c>
      <c r="L41" s="4" t="s">
        <v>365</v>
      </c>
      <c r="M41" s="4" t="s">
        <v>49</v>
      </c>
      <c r="N41" s="4" t="s">
        <v>366</v>
      </c>
      <c r="O41" s="4" t="s">
        <v>51</v>
      </c>
      <c r="P41" s="4" t="s">
        <v>367</v>
      </c>
    </row>
    <row r="43">
      <c r="A43" s="4" t="s">
        <v>368</v>
      </c>
      <c r="B43" s="4">
        <v>1.0</v>
      </c>
      <c r="F43" s="4" t="s">
        <v>41</v>
      </c>
      <c r="G43" s="4" t="s">
        <v>112</v>
      </c>
      <c r="H43" s="4" t="s">
        <v>43</v>
      </c>
      <c r="I43" s="4">
        <v>0.0</v>
      </c>
      <c r="J43" s="4" t="s">
        <v>43</v>
      </c>
      <c r="K43" s="5" t="str">
        <f>HYPERLINK("https://www.instagram.com/p/DbVYp8_uoCw/","Open Post")</f>
        <v>Open Post</v>
      </c>
      <c r="L43" s="4" t="s">
        <v>370</v>
      </c>
      <c r="M43" s="4" t="s">
        <v>49</v>
      </c>
      <c r="N43" s="4" t="s">
        <v>50</v>
      </c>
      <c r="O43" s="4" t="s">
        <v>51</v>
      </c>
      <c r="P43" s="4" t="s">
        <v>53</v>
      </c>
    </row>
    <row r="44">
      <c r="A44" s="4" t="s">
        <v>368</v>
      </c>
      <c r="B44" s="4">
        <v>2.0</v>
      </c>
      <c r="F44" s="4" t="s">
        <v>57</v>
      </c>
      <c r="G44" s="4" t="s">
        <v>371</v>
      </c>
      <c r="H44" s="4" t="s">
        <v>43</v>
      </c>
      <c r="I44" s="4">
        <v>5.0</v>
      </c>
      <c r="J44" s="4" t="s">
        <v>43</v>
      </c>
      <c r="K44" s="5" t="str">
        <f>HYPERLINK("https://www.instagram.com/reel/DTlM5g2D2Lz/","Open Reel")</f>
        <v>Open Reel</v>
      </c>
      <c r="L44" s="4" t="s">
        <v>374</v>
      </c>
      <c r="M44" s="4" t="s">
        <v>375</v>
      </c>
      <c r="N44" s="4" t="s">
        <v>73</v>
      </c>
      <c r="O44" s="4" t="s">
        <v>74</v>
      </c>
      <c r="P44" s="4" t="s">
        <v>75</v>
      </c>
    </row>
    <row r="45">
      <c r="A45" s="4" t="s">
        <v>368</v>
      </c>
      <c r="B45" s="4">
        <v>3.0</v>
      </c>
      <c r="F45" s="4" t="s">
        <v>57</v>
      </c>
      <c r="G45" s="4" t="s">
        <v>377</v>
      </c>
      <c r="H45" s="4" t="s">
        <v>43</v>
      </c>
      <c r="I45" s="4" t="s">
        <v>43</v>
      </c>
      <c r="J45" s="4" t="s">
        <v>43</v>
      </c>
      <c r="K45" s="5" t="str">
        <f>HYPERLINK("https://www.instagram.com/reel/DTaQ_OgE_Qr/","Open Reel")</f>
        <v>Open Reel</v>
      </c>
      <c r="L45" s="4" t="s">
        <v>378</v>
      </c>
      <c r="M45" s="4" t="s">
        <v>380</v>
      </c>
      <c r="N45" s="4" t="s">
        <v>82</v>
      </c>
      <c r="O45" s="4" t="s">
        <v>74</v>
      </c>
      <c r="P45" s="4" t="s">
        <v>84</v>
      </c>
    </row>
    <row r="46">
      <c r="A46" s="4" t="s">
        <v>368</v>
      </c>
      <c r="B46" s="4">
        <v>4.0</v>
      </c>
      <c r="C46" s="10"/>
      <c r="F46" s="4" t="s">
        <v>57</v>
      </c>
      <c r="G46" s="4" t="s">
        <v>384</v>
      </c>
      <c r="H46" s="4" t="s">
        <v>43</v>
      </c>
      <c r="I46" s="4" t="s">
        <v>43</v>
      </c>
      <c r="J46" s="4" t="s">
        <v>43</v>
      </c>
      <c r="K46" s="5" t="str">
        <f>HYPERLINK("https://www.instagram.com/reel/DTHbNyREz10/?utm_source=ig_web_copy_link&amp;stkn=MzRlODBiNWFlZA==","Open Reel")</f>
        <v>Open Reel</v>
      </c>
      <c r="L46" s="4" t="s">
        <v>385</v>
      </c>
      <c r="M46" s="4" t="s">
        <v>49</v>
      </c>
      <c r="N46" s="4" t="s">
        <v>93</v>
      </c>
      <c r="O46" s="4" t="s">
        <v>74</v>
      </c>
      <c r="P46" s="4" t="s">
        <v>94</v>
      </c>
    </row>
    <row r="47">
      <c r="A47" s="4" t="s">
        <v>368</v>
      </c>
      <c r="B47" s="4">
        <v>5.0</v>
      </c>
      <c r="F47" s="4" t="s">
        <v>41</v>
      </c>
      <c r="G47" s="4" t="s">
        <v>112</v>
      </c>
      <c r="H47" s="4" t="s">
        <v>43</v>
      </c>
      <c r="I47" s="4">
        <v>14.0</v>
      </c>
      <c r="J47" s="4">
        <v>7.0</v>
      </c>
      <c r="K47" s="5" t="str">
        <f>HYPERLINK("https://www.instagram.com/p/DJRJ3SwomQe/","Open Post")</f>
        <v>Open Post</v>
      </c>
      <c r="L47" s="10" t="s">
        <v>387</v>
      </c>
      <c r="M47" s="4" t="s">
        <v>49</v>
      </c>
      <c r="N47" s="4" t="s">
        <v>101</v>
      </c>
      <c r="O47" s="4" t="s">
        <v>51</v>
      </c>
      <c r="P47" s="4" t="s">
        <v>102</v>
      </c>
    </row>
    <row r="48">
      <c r="A48" s="4" t="s">
        <v>368</v>
      </c>
      <c r="B48" s="4">
        <v>6.0</v>
      </c>
      <c r="F48" s="4" t="s">
        <v>57</v>
      </c>
      <c r="G48" s="4" t="s">
        <v>389</v>
      </c>
      <c r="H48" s="4" t="s">
        <v>43</v>
      </c>
      <c r="I48" s="4">
        <v>7.0</v>
      </c>
      <c r="J48" s="4" t="s">
        <v>43</v>
      </c>
      <c r="K48" s="5" t="str">
        <f>HYPERLINK("https://www.instagram.com/reel/DAO07KhgeJc/?utm_source=ig_web_copy_link&amp;stkn=MzRlODBiNWFlZA==","Open Reel")</f>
        <v>Open Reel</v>
      </c>
      <c r="L48" s="4" t="s">
        <v>390</v>
      </c>
      <c r="M48" s="4" t="s">
        <v>391</v>
      </c>
      <c r="N48" s="4" t="s">
        <v>110</v>
      </c>
      <c r="O48" s="4" t="s">
        <v>74</v>
      </c>
      <c r="P48" s="4" t="s">
        <v>111</v>
      </c>
    </row>
    <row r="49">
      <c r="A49" s="4" t="s">
        <v>368</v>
      </c>
      <c r="B49" s="4">
        <v>7.0</v>
      </c>
      <c r="F49" s="4" t="s">
        <v>41</v>
      </c>
      <c r="G49" s="4" t="s">
        <v>392</v>
      </c>
      <c r="H49" s="4" t="s">
        <v>43</v>
      </c>
      <c r="I49" s="4">
        <v>1.0</v>
      </c>
      <c r="J49" s="4">
        <v>0.0</v>
      </c>
      <c r="K49" s="5" t="str">
        <f>HYPERLINK("https://www.instagram.com/p/C_Z9bZfsudl/","Open Post")</f>
        <v>Open Post</v>
      </c>
      <c r="L49" s="4" t="s">
        <v>393</v>
      </c>
      <c r="M49" s="4" t="s">
        <v>394</v>
      </c>
      <c r="N49" s="4" t="s">
        <v>120</v>
      </c>
      <c r="O49" s="4" t="s">
        <v>51</v>
      </c>
      <c r="P49" s="4" t="s">
        <v>122</v>
      </c>
    </row>
    <row r="50">
      <c r="A50" s="4" t="s">
        <v>368</v>
      </c>
      <c r="B50" s="4">
        <v>8.0</v>
      </c>
      <c r="F50" s="4" t="s">
        <v>57</v>
      </c>
      <c r="G50" s="4" t="s">
        <v>397</v>
      </c>
      <c r="H50" s="4" t="s">
        <v>43</v>
      </c>
      <c r="I50" s="4">
        <v>21.0</v>
      </c>
      <c r="J50" s="4" t="s">
        <v>43</v>
      </c>
      <c r="K50" s="5" t="str">
        <f>HYPERLINK("https://www.instagram.com/reel/C7Ll6yBM7Op/?utm_source=ig_web_copy_link&amp;stkn=MzRlODBiNWFlZA==","Open Reel")</f>
        <v>Open Reel</v>
      </c>
      <c r="L50" s="4" t="s">
        <v>399</v>
      </c>
      <c r="M50" s="4" t="s">
        <v>400</v>
      </c>
      <c r="N50" s="4" t="s">
        <v>401</v>
      </c>
      <c r="O50" s="4" t="s">
        <v>74</v>
      </c>
      <c r="P50" s="4" t="s">
        <v>402</v>
      </c>
    </row>
    <row r="51">
      <c r="A51" s="4" t="s">
        <v>368</v>
      </c>
      <c r="B51" s="4">
        <v>9.0</v>
      </c>
      <c r="F51" s="4" t="s">
        <v>41</v>
      </c>
      <c r="G51" s="4" t="s">
        <v>112</v>
      </c>
      <c r="H51" s="4" t="s">
        <v>43</v>
      </c>
      <c r="I51" s="4" t="s">
        <v>43</v>
      </c>
      <c r="J51" s="4" t="s">
        <v>43</v>
      </c>
      <c r="K51" s="5" t="str">
        <f>HYPERLINK("https://www.instagram.com/p/CyHBhGEsk3M/","Open Post")</f>
        <v>Open Post</v>
      </c>
      <c r="L51" s="4" t="s">
        <v>403</v>
      </c>
      <c r="M51" s="4" t="s">
        <v>49</v>
      </c>
      <c r="N51" s="4" t="s">
        <v>405</v>
      </c>
      <c r="O51" s="4" t="s">
        <v>51</v>
      </c>
      <c r="P51" s="4" t="s">
        <v>406</v>
      </c>
    </row>
    <row r="52">
      <c r="A52" s="4" t="s">
        <v>368</v>
      </c>
      <c r="B52" s="4">
        <v>10.0</v>
      </c>
      <c r="F52" s="4" t="s">
        <v>41</v>
      </c>
      <c r="G52" s="4" t="s">
        <v>408</v>
      </c>
      <c r="H52" s="4" t="s">
        <v>43</v>
      </c>
      <c r="I52" s="4">
        <v>13.0</v>
      </c>
      <c r="J52" s="4">
        <v>2.0</v>
      </c>
      <c r="K52" s="5" t="str">
        <f>HYPERLINK("https://www.instagram.com/p/CvZCFSUppsb/","Open Post")</f>
        <v>Open Post</v>
      </c>
      <c r="L52" s="4" t="s">
        <v>413</v>
      </c>
      <c r="M52" s="4" t="s">
        <v>49</v>
      </c>
      <c r="N52" s="4" t="s">
        <v>315</v>
      </c>
      <c r="O52" s="4" t="s">
        <v>51</v>
      </c>
      <c r="P52" s="4" t="s">
        <v>317</v>
      </c>
    </row>
    <row r="53">
      <c r="A53" s="4" t="s">
        <v>368</v>
      </c>
      <c r="B53" s="4">
        <v>11.0</v>
      </c>
      <c r="F53" s="4" t="s">
        <v>41</v>
      </c>
      <c r="G53" s="4" t="s">
        <v>112</v>
      </c>
      <c r="H53" s="4" t="s">
        <v>43</v>
      </c>
      <c r="I53" s="4" t="s">
        <v>43</v>
      </c>
      <c r="J53" s="4" t="s">
        <v>43</v>
      </c>
      <c r="K53" s="5" t="str">
        <f>HYPERLINK("https://www.instagram.com/p/CvHjeApx6Rc/","Open Post")</f>
        <v>Open Post</v>
      </c>
      <c r="L53" s="4" t="s">
        <v>415</v>
      </c>
      <c r="M53" s="4" t="s">
        <v>49</v>
      </c>
      <c r="N53" s="4" t="s">
        <v>160</v>
      </c>
      <c r="O53" s="4" t="s">
        <v>51</v>
      </c>
      <c r="P53" s="4" t="s">
        <v>162</v>
      </c>
    </row>
    <row r="54">
      <c r="A54" s="4" t="s">
        <v>368</v>
      </c>
      <c r="B54" s="4">
        <v>12.0</v>
      </c>
      <c r="F54" s="4" t="s">
        <v>57</v>
      </c>
      <c r="G54" s="4" t="s">
        <v>371</v>
      </c>
      <c r="H54" s="4" t="s">
        <v>43</v>
      </c>
      <c r="I54" s="4">
        <v>15.0</v>
      </c>
      <c r="J54" s="4" t="s">
        <v>43</v>
      </c>
      <c r="K54" s="5" t="str">
        <f>HYPERLINK("https://www.instagram.com/reel/CtJ3-9ypC4e/","Open Reel")</f>
        <v>Open Reel</v>
      </c>
      <c r="L54" s="4" t="s">
        <v>418</v>
      </c>
      <c r="M54" s="4" t="s">
        <v>419</v>
      </c>
      <c r="N54" s="4" t="s">
        <v>172</v>
      </c>
      <c r="O54" s="4" t="s">
        <v>74</v>
      </c>
      <c r="P54" s="4" t="s">
        <v>173</v>
      </c>
    </row>
    <row r="55">
      <c r="A55" s="4" t="s">
        <v>368</v>
      </c>
      <c r="B55" s="4">
        <v>13.0</v>
      </c>
      <c r="F55" s="4" t="s">
        <v>41</v>
      </c>
      <c r="G55" s="4" t="s">
        <v>422</v>
      </c>
      <c r="H55" s="4" t="s">
        <v>43</v>
      </c>
      <c r="I55" s="4">
        <v>131.0</v>
      </c>
      <c r="J55" s="4">
        <v>8.0</v>
      </c>
      <c r="K55" s="5" t="str">
        <f>HYPERLINK("https://www.instagram.com/p/CrJfUR0unIn/","Open Post")</f>
        <v>Open Post</v>
      </c>
      <c r="L55" s="4" t="s">
        <v>423</v>
      </c>
      <c r="M55" s="4" t="s">
        <v>49</v>
      </c>
      <c r="N55" s="4" t="s">
        <v>424</v>
      </c>
      <c r="O55" s="4" t="s">
        <v>51</v>
      </c>
      <c r="P55" s="4" t="s">
        <v>426</v>
      </c>
    </row>
    <row r="56">
      <c r="A56" s="4" t="s">
        <v>368</v>
      </c>
      <c r="B56" s="4">
        <v>14.0</v>
      </c>
      <c r="F56" s="4" t="s">
        <v>41</v>
      </c>
      <c r="G56" s="4" t="s">
        <v>112</v>
      </c>
      <c r="H56" s="4" t="s">
        <v>43</v>
      </c>
      <c r="I56" s="4">
        <v>2.0</v>
      </c>
      <c r="J56" s="4">
        <v>0.0</v>
      </c>
      <c r="K56" s="5" t="str">
        <f>HYPERLINK("https://www.instagram.com/p/Co2h0pLPFIe/","Open Post")</f>
        <v>Open Post</v>
      </c>
      <c r="L56" s="4" t="s">
        <v>427</v>
      </c>
      <c r="M56" s="4" t="s">
        <v>49</v>
      </c>
      <c r="N56" s="4" t="s">
        <v>344</v>
      </c>
      <c r="O56" s="4" t="s">
        <v>51</v>
      </c>
      <c r="P56" s="4" t="s">
        <v>345</v>
      </c>
    </row>
    <row r="57">
      <c r="A57" s="4" t="s">
        <v>368</v>
      </c>
      <c r="B57" s="4">
        <v>15.0</v>
      </c>
      <c r="F57" s="4" t="s">
        <v>57</v>
      </c>
      <c r="G57" s="4" t="s">
        <v>431</v>
      </c>
      <c r="H57" s="4" t="s">
        <v>43</v>
      </c>
      <c r="I57" s="4">
        <v>8.0</v>
      </c>
      <c r="J57" s="4" t="s">
        <v>43</v>
      </c>
      <c r="K57" s="5" t="str">
        <f>HYPERLINK("https://www.instagram.com/reel/CnWwAMHh3Lz/?utm_source=ig_web_copy_link&amp;stkn=MzRlODBiNWFlZA==","Open Reel")</f>
        <v>Open Reel</v>
      </c>
      <c r="L57" s="4" t="s">
        <v>435</v>
      </c>
      <c r="M57" s="4" t="s">
        <v>437</v>
      </c>
      <c r="N57" s="4" t="s">
        <v>351</v>
      </c>
      <c r="O57" s="4" t="s">
        <v>74</v>
      </c>
      <c r="P57" s="4" t="s">
        <v>352</v>
      </c>
    </row>
    <row r="58">
      <c r="A58" s="4" t="s">
        <v>368</v>
      </c>
      <c r="B58" s="4">
        <v>16.0</v>
      </c>
      <c r="F58" s="4" t="s">
        <v>41</v>
      </c>
      <c r="G58" s="4" t="s">
        <v>438</v>
      </c>
      <c r="H58" s="4" t="s">
        <v>43</v>
      </c>
      <c r="I58" s="4">
        <v>20.0</v>
      </c>
      <c r="J58" s="4">
        <v>1.0</v>
      </c>
      <c r="K58" s="5" t="str">
        <f>HYPERLINK("https://www.instagram.com/p/Cmy2ZQytqUq/","Open Post")</f>
        <v>Open Post</v>
      </c>
      <c r="L58" s="4" t="s">
        <v>441</v>
      </c>
      <c r="M58" s="4" t="s">
        <v>49</v>
      </c>
      <c r="N58" s="4" t="s">
        <v>202</v>
      </c>
      <c r="O58" s="4" t="s">
        <v>51</v>
      </c>
      <c r="P58" s="4" t="s">
        <v>203</v>
      </c>
    </row>
    <row r="59">
      <c r="A59" s="4" t="s">
        <v>368</v>
      </c>
      <c r="B59" s="4">
        <v>17.0</v>
      </c>
      <c r="F59" s="4" t="s">
        <v>41</v>
      </c>
      <c r="G59" s="4" t="s">
        <v>442</v>
      </c>
      <c r="H59" s="4" t="s">
        <v>43</v>
      </c>
      <c r="I59" s="4">
        <v>15.0</v>
      </c>
      <c r="J59" s="4">
        <v>6.0</v>
      </c>
      <c r="K59" s="5" t="str">
        <f>HYPERLINK("https://www.instagram.com/p/Clk5ficPp-X/","Open Post")</f>
        <v>Open Post</v>
      </c>
      <c r="L59" s="4" t="s">
        <v>447</v>
      </c>
      <c r="M59" s="4" t="s">
        <v>49</v>
      </c>
      <c r="N59" s="4" t="s">
        <v>366</v>
      </c>
      <c r="O59" s="4" t="s">
        <v>51</v>
      </c>
      <c r="P59" s="4" t="s">
        <v>367</v>
      </c>
    </row>
    <row r="60">
      <c r="A60" s="4" t="s">
        <v>368</v>
      </c>
      <c r="B60" s="4">
        <v>18.0</v>
      </c>
      <c r="F60" s="4" t="s">
        <v>57</v>
      </c>
      <c r="G60" s="4" t="s">
        <v>165</v>
      </c>
      <c r="H60" s="4" t="s">
        <v>43</v>
      </c>
      <c r="I60" s="4">
        <v>3.0</v>
      </c>
      <c r="J60" s="4" t="s">
        <v>43</v>
      </c>
      <c r="K60" s="5" t="str">
        <f>HYPERLINK("https://www.instagram.com/reel/CkjR1Q3gDYo/?utm_source=ig_web_copy_link&amp;stkn=MzRlODBiNWFlZA==","Open Reel")</f>
        <v>Open Reel</v>
      </c>
      <c r="L60" s="4" t="s">
        <v>449</v>
      </c>
      <c r="M60" s="4" t="s">
        <v>451</v>
      </c>
      <c r="N60" s="4" t="s">
        <v>452</v>
      </c>
      <c r="O60" s="4" t="s">
        <v>74</v>
      </c>
      <c r="P60" s="4" t="s">
        <v>454</v>
      </c>
    </row>
    <row r="61">
      <c r="A61" s="4" t="s">
        <v>368</v>
      </c>
      <c r="B61" s="4">
        <v>19.0</v>
      </c>
      <c r="F61" s="4" t="s">
        <v>41</v>
      </c>
      <c r="G61" s="4" t="s">
        <v>455</v>
      </c>
      <c r="H61" s="4" t="s">
        <v>43</v>
      </c>
      <c r="I61" s="4">
        <v>54.0</v>
      </c>
      <c r="J61" s="4">
        <v>0.0</v>
      </c>
      <c r="K61" s="5" t="str">
        <f>HYPERLINK("https://www.instagram.com/p/ChUX395JTQd/","Open Post")</f>
        <v>Open Post</v>
      </c>
      <c r="L61" s="4" t="s">
        <v>456</v>
      </c>
      <c r="M61" s="4" t="s">
        <v>457</v>
      </c>
      <c r="N61" s="4" t="s">
        <v>458</v>
      </c>
      <c r="O61" s="4" t="s">
        <v>51</v>
      </c>
      <c r="P61" s="4" t="s">
        <v>459</v>
      </c>
    </row>
    <row r="62">
      <c r="A62" s="4" t="s">
        <v>368</v>
      </c>
      <c r="B62" s="4">
        <v>20.0</v>
      </c>
      <c r="F62" s="4" t="s">
        <v>41</v>
      </c>
      <c r="G62" s="4" t="s">
        <v>460</v>
      </c>
      <c r="H62" s="4" t="s">
        <v>43</v>
      </c>
      <c r="I62" s="4">
        <v>6.0</v>
      </c>
      <c r="J62" s="4">
        <v>0.0</v>
      </c>
      <c r="K62" s="5" t="str">
        <f>HYPERLINK("https://www.instagram.com/p/CeaeCY4por5/","Open Post")</f>
        <v>Open Post</v>
      </c>
      <c r="L62" s="4" t="s">
        <v>464</v>
      </c>
      <c r="M62" s="4" t="s">
        <v>49</v>
      </c>
      <c r="N62" s="4" t="s">
        <v>235</v>
      </c>
      <c r="O62" s="4" t="s">
        <v>51</v>
      </c>
      <c r="P62" s="4" t="s">
        <v>236</v>
      </c>
    </row>
    <row r="63">
      <c r="A63" s="4" t="s">
        <v>368</v>
      </c>
      <c r="B63" s="4">
        <v>21.0</v>
      </c>
      <c r="F63" s="4" t="s">
        <v>57</v>
      </c>
      <c r="G63" s="4" t="s">
        <v>466</v>
      </c>
      <c r="H63" s="4" t="s">
        <v>43</v>
      </c>
      <c r="I63" s="4">
        <v>9.0</v>
      </c>
      <c r="J63" s="4" t="s">
        <v>43</v>
      </c>
      <c r="K63" s="5" t="str">
        <f>HYPERLINK("https://www.instagram.com/reel/Cdg_VHCKkpx/?utm_source=ig_web_copy_link&amp;stkn=MzRlODBiNWFlZA==","Open Reel")</f>
        <v>Open Reel</v>
      </c>
      <c r="L63" s="4" t="s">
        <v>470</v>
      </c>
      <c r="M63" s="4" t="s">
        <v>471</v>
      </c>
      <c r="N63" s="4" t="s">
        <v>242</v>
      </c>
      <c r="O63" s="4" t="s">
        <v>74</v>
      </c>
      <c r="P63" s="4" t="s">
        <v>243</v>
      </c>
    </row>
    <row r="64">
      <c r="A64" s="4" t="s">
        <v>368</v>
      </c>
      <c r="B64" s="4">
        <v>22.0</v>
      </c>
      <c r="F64" s="4" t="s">
        <v>41</v>
      </c>
      <c r="G64" s="4" t="s">
        <v>472</v>
      </c>
      <c r="H64" s="4" t="s">
        <v>43</v>
      </c>
      <c r="I64" s="4">
        <v>9.0</v>
      </c>
      <c r="J64" s="4">
        <v>0.0</v>
      </c>
      <c r="K64" s="5" t="str">
        <f>HYPERLINK("https://www.instagram.com/p/CdU6WKCM_g2/","Open Post")</f>
        <v>Open Post</v>
      </c>
      <c r="L64" s="4" t="s">
        <v>474</v>
      </c>
      <c r="M64" s="4" t="s">
        <v>475</v>
      </c>
      <c r="N64" s="4" t="s">
        <v>251</v>
      </c>
      <c r="O64" s="4" t="s">
        <v>51</v>
      </c>
      <c r="P64" s="4" t="s">
        <v>252</v>
      </c>
    </row>
    <row r="65">
      <c r="A65" s="4" t="s">
        <v>368</v>
      </c>
      <c r="B65" s="4">
        <v>23.0</v>
      </c>
      <c r="F65" s="4" t="s">
        <v>57</v>
      </c>
      <c r="G65" s="4" t="s">
        <v>389</v>
      </c>
      <c r="H65" s="4" t="s">
        <v>43</v>
      </c>
      <c r="I65" s="4">
        <v>573.0</v>
      </c>
      <c r="J65" s="4" t="s">
        <v>43</v>
      </c>
      <c r="K65" s="5" t="str">
        <f>HYPERLINK("https://www.instagram.com/reel/CaR_IEIjsMg/?utm_source=ig_web_copy_link","Open Reel")</f>
        <v>Open Reel</v>
      </c>
      <c r="L65" s="4" t="s">
        <v>478</v>
      </c>
      <c r="M65" s="4" t="s">
        <v>479</v>
      </c>
      <c r="N65" s="4" t="s">
        <v>480</v>
      </c>
      <c r="O65" s="4" t="s">
        <v>74</v>
      </c>
      <c r="P65" s="4" t="s">
        <v>481</v>
      </c>
    </row>
    <row r="66">
      <c r="A66" s="4" t="s">
        <v>368</v>
      </c>
      <c r="B66" s="4">
        <v>24.0</v>
      </c>
      <c r="F66" s="4" t="s">
        <v>41</v>
      </c>
      <c r="G66" s="4" t="s">
        <v>483</v>
      </c>
      <c r="H66" s="4" t="s">
        <v>43</v>
      </c>
      <c r="I66" s="4">
        <v>9.0</v>
      </c>
      <c r="J66" s="4">
        <v>0.0</v>
      </c>
      <c r="K66" s="5" t="str">
        <f>HYPERLINK("https://www.instagram.com/p/CYI7al5lcPl/","Open Post")</f>
        <v>Open Post</v>
      </c>
      <c r="L66" s="4" t="s">
        <v>486</v>
      </c>
      <c r="M66" s="4" t="s">
        <v>487</v>
      </c>
      <c r="N66" s="4" t="s">
        <v>488</v>
      </c>
      <c r="O66" s="4" t="s">
        <v>51</v>
      </c>
      <c r="P66" s="4" t="s">
        <v>489</v>
      </c>
    </row>
    <row r="67">
      <c r="A67" s="4" t="s">
        <v>368</v>
      </c>
      <c r="B67" s="4">
        <v>25.0</v>
      </c>
      <c r="F67" s="4" t="s">
        <v>41</v>
      </c>
      <c r="G67" s="4" t="s">
        <v>491</v>
      </c>
      <c r="H67" s="4" t="s">
        <v>43</v>
      </c>
      <c r="I67" s="4">
        <v>22.0</v>
      </c>
      <c r="J67" s="4">
        <v>0.0</v>
      </c>
      <c r="K67" s="5" t="str">
        <f>HYPERLINK("https://www.instagram.com/p/CXgXTtxLPC5/","Open Post")</f>
        <v>Open Post</v>
      </c>
      <c r="L67" s="4" t="s">
        <v>495</v>
      </c>
      <c r="M67" s="4" t="s">
        <v>49</v>
      </c>
      <c r="N67" s="4" t="s">
        <v>497</v>
      </c>
      <c r="O67" s="4" t="s">
        <v>51</v>
      </c>
      <c r="P67" s="4" t="s">
        <v>499</v>
      </c>
    </row>
    <row r="68">
      <c r="A68" s="4" t="s">
        <v>368</v>
      </c>
      <c r="B68" s="4">
        <v>26.0</v>
      </c>
      <c r="F68" s="4" t="s">
        <v>57</v>
      </c>
      <c r="G68" s="4" t="s">
        <v>500</v>
      </c>
      <c r="H68" s="4" t="s">
        <v>43</v>
      </c>
      <c r="I68" s="4">
        <v>22.0</v>
      </c>
      <c r="J68" s="4" t="s">
        <v>43</v>
      </c>
      <c r="K68" s="5" t="str">
        <f>HYPERLINK("https://www.instagram.com/reel/CXYoGz2ohJq/?utm_source=ig_web_copy_link&amp;stkn=MzRlODBiNWFlZA==","Open Reel")</f>
        <v>Open Reel</v>
      </c>
      <c r="L68" s="4" t="s">
        <v>502</v>
      </c>
      <c r="M68" s="4" t="s">
        <v>503</v>
      </c>
      <c r="N68" s="4" t="s">
        <v>504</v>
      </c>
      <c r="O68" s="4" t="s">
        <v>74</v>
      </c>
      <c r="P68" s="4" t="s">
        <v>505</v>
      </c>
    </row>
    <row r="69">
      <c r="A69" s="4" t="s">
        <v>368</v>
      </c>
      <c r="B69" s="4">
        <v>27.0</v>
      </c>
      <c r="F69" s="4" t="s">
        <v>41</v>
      </c>
      <c r="G69" s="4" t="s">
        <v>508</v>
      </c>
      <c r="H69" s="4" t="s">
        <v>43</v>
      </c>
      <c r="I69" s="4">
        <v>28.0</v>
      </c>
      <c r="J69" s="4">
        <v>0.0</v>
      </c>
      <c r="K69" s="5" t="str">
        <f>HYPERLINK("https://www.instagram.com/p/CW8SljpFIn8/","Open Post")</f>
        <v>Open Post</v>
      </c>
      <c r="L69" s="4" t="s">
        <v>510</v>
      </c>
      <c r="M69" s="4" t="s">
        <v>49</v>
      </c>
      <c r="N69" s="4" t="s">
        <v>511</v>
      </c>
      <c r="O69" s="4" t="s">
        <v>51</v>
      </c>
      <c r="P69" s="4" t="s">
        <v>512</v>
      </c>
    </row>
    <row r="70">
      <c r="A70" s="4" t="s">
        <v>368</v>
      </c>
      <c r="B70" s="4">
        <v>28.0</v>
      </c>
      <c r="F70" s="4" t="s">
        <v>41</v>
      </c>
      <c r="G70" s="4" t="s">
        <v>513</v>
      </c>
      <c r="H70" s="4" t="s">
        <v>43</v>
      </c>
      <c r="I70" s="4">
        <v>14.0</v>
      </c>
      <c r="J70" s="4">
        <v>1.0</v>
      </c>
      <c r="K70" s="5" t="str">
        <f>HYPERLINK("https://www.instagram.com/p/CU4iOCUo-y5/","Open Post")</f>
        <v>Open Post</v>
      </c>
      <c r="L70" s="4" t="s">
        <v>518</v>
      </c>
      <c r="M70" s="4" t="s">
        <v>49</v>
      </c>
      <c r="N70" s="4" t="s">
        <v>519</v>
      </c>
      <c r="O70" s="4" t="s">
        <v>51</v>
      </c>
      <c r="P70" s="4" t="s">
        <v>520</v>
      </c>
    </row>
    <row r="71">
      <c r="A71" s="4" t="s">
        <v>368</v>
      </c>
      <c r="B71" s="4">
        <v>29.0</v>
      </c>
      <c r="F71" s="4" t="s">
        <v>41</v>
      </c>
      <c r="G71" s="4" t="s">
        <v>521</v>
      </c>
      <c r="H71" s="4" t="s">
        <v>43</v>
      </c>
      <c r="I71" s="4">
        <v>14.0</v>
      </c>
      <c r="J71" s="4">
        <v>3.0</v>
      </c>
      <c r="K71" s="5" t="str">
        <f>HYPERLINK("https://www.instagram.com/p/CTmvuaVDLcm/","Open Post")</f>
        <v>Open Post</v>
      </c>
      <c r="L71" s="4" t="s">
        <v>525</v>
      </c>
      <c r="M71" s="4" t="s">
        <v>526</v>
      </c>
      <c r="N71" s="4" t="s">
        <v>527</v>
      </c>
      <c r="O71" s="4" t="s">
        <v>51</v>
      </c>
      <c r="P71" s="4" t="s">
        <v>528</v>
      </c>
    </row>
    <row r="72">
      <c r="A72" s="4" t="s">
        <v>368</v>
      </c>
      <c r="B72" s="4">
        <v>30.0</v>
      </c>
      <c r="F72" s="4" t="s">
        <v>57</v>
      </c>
      <c r="G72" s="4" t="s">
        <v>389</v>
      </c>
      <c r="H72" s="4" t="s">
        <v>43</v>
      </c>
      <c r="I72" s="4">
        <v>38.0</v>
      </c>
      <c r="J72" s="4" t="s">
        <v>43</v>
      </c>
      <c r="K72" s="5" t="str">
        <f>HYPERLINK("https://www.instagram.com/reel/CTPW3Dlg4XH/?utm_source=ig_web_copy_link&amp;stkn=MzRlODBiNWFlZA==","Open Reel")</f>
        <v>Open Reel</v>
      </c>
      <c r="L72" s="4" t="s">
        <v>532</v>
      </c>
      <c r="M72" s="4" t="s">
        <v>533</v>
      </c>
      <c r="N72" s="4" t="s">
        <v>534</v>
      </c>
      <c r="O72" s="4" t="s">
        <v>74</v>
      </c>
      <c r="P72" s="4" t="s">
        <v>536</v>
      </c>
    </row>
    <row r="73">
      <c r="A73" s="4" t="s">
        <v>368</v>
      </c>
      <c r="B73" s="4">
        <v>31.0</v>
      </c>
      <c r="F73" s="4" t="s">
        <v>57</v>
      </c>
      <c r="G73" s="4" t="s">
        <v>389</v>
      </c>
      <c r="H73" s="4" t="s">
        <v>43</v>
      </c>
      <c r="I73" s="4">
        <v>31.0</v>
      </c>
      <c r="J73" s="4" t="s">
        <v>43</v>
      </c>
      <c r="K73" s="5" t="str">
        <f>HYPERLINK("https://www.instagram.com/reel/CSptAqCJnXW/?utm_source=ig_web_copy_link&amp;stkn=MzRlODBiNWFlZA==","Open Reel")</f>
        <v>Open Reel</v>
      </c>
      <c r="L73" s="4" t="s">
        <v>538</v>
      </c>
      <c r="M73" s="4" t="s">
        <v>539</v>
      </c>
      <c r="N73" s="4" t="s">
        <v>540</v>
      </c>
      <c r="O73" s="4" t="s">
        <v>74</v>
      </c>
      <c r="P73" s="4" t="s">
        <v>541</v>
      </c>
    </row>
    <row r="74">
      <c r="A74" s="4" t="s">
        <v>368</v>
      </c>
      <c r="B74" s="4">
        <v>32.0</v>
      </c>
      <c r="F74" s="4" t="s">
        <v>57</v>
      </c>
      <c r="G74" s="4" t="s">
        <v>544</v>
      </c>
      <c r="H74" s="4" t="s">
        <v>43</v>
      </c>
      <c r="I74" s="4">
        <v>60.0</v>
      </c>
      <c r="J74" s="4" t="s">
        <v>43</v>
      </c>
      <c r="K74" s="5" t="str">
        <f>HYPERLINK("https://www.instagram.com/reel/CRqthtansyJ/?utm_source=ig_web_copy_link&amp;stkn=MzRlODBiNWFlZA==","Open Reel")</f>
        <v>Open Reel</v>
      </c>
      <c r="L74" s="4" t="s">
        <v>546</v>
      </c>
      <c r="M74" s="4" t="s">
        <v>547</v>
      </c>
      <c r="N74" s="4" t="s">
        <v>548</v>
      </c>
      <c r="O74" s="4" t="s">
        <v>74</v>
      </c>
      <c r="P74" s="4" t="s">
        <v>550</v>
      </c>
    </row>
    <row r="75">
      <c r="A75" s="4" t="s">
        <v>368</v>
      </c>
      <c r="B75" s="4">
        <v>33.0</v>
      </c>
      <c r="F75" s="4" t="s">
        <v>41</v>
      </c>
      <c r="G75" s="4" t="s">
        <v>112</v>
      </c>
      <c r="H75" s="4" t="s">
        <v>43</v>
      </c>
      <c r="I75" s="4">
        <v>5.0</v>
      </c>
      <c r="J75" s="4">
        <v>1.0</v>
      </c>
      <c r="K75" s="5" t="str">
        <f>HYPERLINK("https://www.instagram.com/p/CRPZo1bDn3N/","Open Post")</f>
        <v>Open Post</v>
      </c>
      <c r="L75" s="4" t="s">
        <v>554</v>
      </c>
      <c r="M75" s="4" t="s">
        <v>49</v>
      </c>
      <c r="N75" s="4" t="s">
        <v>555</v>
      </c>
      <c r="O75" s="4" t="s">
        <v>51</v>
      </c>
      <c r="P75" s="4" t="s">
        <v>556</v>
      </c>
    </row>
    <row r="76">
      <c r="A76" s="4" t="s">
        <v>368</v>
      </c>
      <c r="B76" s="4">
        <v>34.0</v>
      </c>
      <c r="F76" s="4" t="s">
        <v>41</v>
      </c>
      <c r="G76" s="4" t="s">
        <v>557</v>
      </c>
      <c r="H76" s="4" t="s">
        <v>43</v>
      </c>
      <c r="I76" s="4">
        <v>21.0</v>
      </c>
      <c r="J76" s="4">
        <v>4.0</v>
      </c>
      <c r="K76" s="5" t="str">
        <f>HYPERLINK("https://www.instagram.com/p/CQy3RwjsXmA/","Open Post")</f>
        <v>Open Post</v>
      </c>
      <c r="L76" s="4" t="s">
        <v>561</v>
      </c>
      <c r="M76" s="4" t="s">
        <v>49</v>
      </c>
      <c r="N76" s="4" t="s">
        <v>562</v>
      </c>
      <c r="O76" s="4" t="s">
        <v>51</v>
      </c>
      <c r="P76" s="4" t="s">
        <v>563</v>
      </c>
    </row>
    <row r="77">
      <c r="A77" s="4" t="s">
        <v>368</v>
      </c>
      <c r="B77" s="4">
        <v>35.0</v>
      </c>
      <c r="F77" s="4" t="s">
        <v>57</v>
      </c>
      <c r="G77" s="4" t="s">
        <v>565</v>
      </c>
      <c r="H77" s="4" t="s">
        <v>43</v>
      </c>
      <c r="I77" s="4">
        <v>7.0</v>
      </c>
      <c r="J77" s="4" t="s">
        <v>43</v>
      </c>
      <c r="K77" s="5" t="str">
        <f>HYPERLINK("https://www.instagram.com/reel/COzs5yvhPX3/?utm_source=ig_web_copy_link&amp;stkn=MzRlODBiNWFlZA==","Open Reel")</f>
        <v>Open Reel</v>
      </c>
      <c r="L77" s="4" t="s">
        <v>567</v>
      </c>
      <c r="M77" s="4" t="s">
        <v>569</v>
      </c>
      <c r="N77" s="4" t="s">
        <v>570</v>
      </c>
      <c r="O77" s="4" t="s">
        <v>74</v>
      </c>
      <c r="P77" s="4" t="s">
        <v>571</v>
      </c>
    </row>
    <row r="78">
      <c r="A78" s="4" t="s">
        <v>368</v>
      </c>
      <c r="B78" s="4">
        <v>36.0</v>
      </c>
      <c r="F78" s="4" t="s">
        <v>41</v>
      </c>
      <c r="G78" s="4" t="s">
        <v>574</v>
      </c>
      <c r="H78" s="4" t="s">
        <v>43</v>
      </c>
      <c r="I78" s="4">
        <v>138.0</v>
      </c>
      <c r="J78" s="4">
        <v>12.0</v>
      </c>
      <c r="K78" s="5" t="str">
        <f>HYPERLINK("https://www.instagram.com/p/CLi3fP0pK2X/","Open Post")</f>
        <v>Open Post</v>
      </c>
      <c r="L78" s="8" t="s">
        <v>576</v>
      </c>
      <c r="M78" s="4" t="s">
        <v>49</v>
      </c>
      <c r="N78" s="4" t="s">
        <v>577</v>
      </c>
      <c r="O78" s="4" t="s">
        <v>51</v>
      </c>
      <c r="P78" s="4" t="s">
        <v>578</v>
      </c>
    </row>
    <row r="79">
      <c r="A79" s="4" t="s">
        <v>368</v>
      </c>
      <c r="B79" s="4">
        <v>37.0</v>
      </c>
      <c r="F79" s="4" t="s">
        <v>41</v>
      </c>
      <c r="G79" s="4" t="s">
        <v>521</v>
      </c>
      <c r="H79" s="4" t="s">
        <v>43</v>
      </c>
      <c r="I79" s="4" t="s">
        <v>43</v>
      </c>
      <c r="J79" s="4" t="s">
        <v>43</v>
      </c>
      <c r="K79" s="5" t="str">
        <f>HYPERLINK("https://www.instagram.com/p/CJ9gEBlnDgN/","Open Post")</f>
        <v>Open Post</v>
      </c>
      <c r="L79" s="4" t="s">
        <v>525</v>
      </c>
      <c r="M79" s="4" t="s">
        <v>526</v>
      </c>
      <c r="N79" s="4" t="s">
        <v>582</v>
      </c>
      <c r="O79" s="4" t="s">
        <v>51</v>
      </c>
      <c r="P79" s="4" t="s">
        <v>584</v>
      </c>
    </row>
    <row r="80">
      <c r="A80" s="4" t="s">
        <v>368</v>
      </c>
      <c r="B80" s="4">
        <v>38.0</v>
      </c>
      <c r="F80" s="4" t="s">
        <v>41</v>
      </c>
      <c r="G80" s="4" t="s">
        <v>585</v>
      </c>
      <c r="H80" s="4" t="s">
        <v>43</v>
      </c>
      <c r="I80" s="4">
        <v>9.0</v>
      </c>
      <c r="J80" s="4">
        <v>0.0</v>
      </c>
      <c r="K80" s="5" t="str">
        <f>HYPERLINK("https://www.instagram.com/p/CIaVKGmgXZ8/","Open Post")</f>
        <v>Open Post</v>
      </c>
      <c r="L80" s="4" t="s">
        <v>589</v>
      </c>
      <c r="M80" s="4" t="s">
        <v>590</v>
      </c>
      <c r="N80" s="4" t="s">
        <v>591</v>
      </c>
      <c r="O80" s="4" t="s">
        <v>51</v>
      </c>
      <c r="P80" s="4" t="s">
        <v>592</v>
      </c>
    </row>
    <row r="81">
      <c r="A81" s="4" t="s">
        <v>368</v>
      </c>
      <c r="B81" s="4">
        <v>39.0</v>
      </c>
      <c r="F81" s="4" t="s">
        <v>41</v>
      </c>
      <c r="G81" s="4" t="s">
        <v>594</v>
      </c>
      <c r="H81" s="4" t="s">
        <v>43</v>
      </c>
      <c r="I81" s="4">
        <v>13.0</v>
      </c>
      <c r="J81" s="4">
        <v>0.0</v>
      </c>
      <c r="K81" s="5" t="str">
        <f>HYPERLINK("https://www.instagram.com/p/CIDLxhmja0O/","Open Post")</f>
        <v>Open Post</v>
      </c>
      <c r="L81" s="4" t="s">
        <v>598</v>
      </c>
      <c r="M81" s="4" t="s">
        <v>600</v>
      </c>
      <c r="N81" s="4" t="s">
        <v>601</v>
      </c>
      <c r="O81" s="4" t="s">
        <v>51</v>
      </c>
      <c r="P81" s="4" t="s">
        <v>602</v>
      </c>
    </row>
    <row r="82">
      <c r="A82" s="4" t="s">
        <v>368</v>
      </c>
      <c r="B82" s="4">
        <v>40.0</v>
      </c>
      <c r="F82" s="4" t="s">
        <v>41</v>
      </c>
      <c r="G82" s="4" t="s">
        <v>605</v>
      </c>
      <c r="H82" s="4" t="s">
        <v>43</v>
      </c>
      <c r="I82" s="4">
        <v>19.0</v>
      </c>
      <c r="J82" s="4">
        <v>0.0</v>
      </c>
      <c r="K82" s="5" t="str">
        <f>HYPERLINK("https://www.instagram.com/p/CHGfNlJD4Rc/","Open Post")</f>
        <v>Open Post</v>
      </c>
      <c r="L82" s="4" t="s">
        <v>610</v>
      </c>
      <c r="M82" s="4" t="s">
        <v>611</v>
      </c>
      <c r="N82" s="4" t="s">
        <v>612</v>
      </c>
      <c r="O82" s="4" t="s">
        <v>51</v>
      </c>
      <c r="P82" s="4" t="s">
        <v>613</v>
      </c>
    </row>
    <row r="83">
      <c r="A83" s="4" t="s">
        <v>368</v>
      </c>
      <c r="B83" s="4">
        <v>41.0</v>
      </c>
      <c r="F83" s="4" t="s">
        <v>41</v>
      </c>
      <c r="G83" s="4" t="s">
        <v>616</v>
      </c>
      <c r="H83" s="4" t="s">
        <v>43</v>
      </c>
      <c r="I83" s="4">
        <v>11.0</v>
      </c>
      <c r="J83" s="4">
        <v>0.0</v>
      </c>
      <c r="K83" s="5" t="str">
        <f>HYPERLINK("https://www.instagram.com/p/CFPm5iIjB5K/","Open Post")</f>
        <v>Open Post</v>
      </c>
      <c r="L83" s="4" t="s">
        <v>621</v>
      </c>
      <c r="M83" s="4" t="s">
        <v>49</v>
      </c>
      <c r="N83" s="4" t="s">
        <v>623</v>
      </c>
      <c r="O83" s="4" t="s">
        <v>51</v>
      </c>
      <c r="P83" s="4" t="s">
        <v>624</v>
      </c>
    </row>
    <row r="84">
      <c r="A84" s="4" t="s">
        <v>368</v>
      </c>
      <c r="B84" s="4">
        <v>42.0</v>
      </c>
      <c r="F84" s="4" t="s">
        <v>41</v>
      </c>
      <c r="G84" s="4" t="s">
        <v>616</v>
      </c>
      <c r="H84" s="4" t="s">
        <v>43</v>
      </c>
      <c r="I84" s="4">
        <v>17.0</v>
      </c>
      <c r="J84" s="4">
        <v>1.0</v>
      </c>
      <c r="K84" s="5" t="str">
        <f>HYPERLINK("https://www.instagram.com/p/CFDGhB0DAEw/","Open Post")</f>
        <v>Open Post</v>
      </c>
      <c r="L84" s="4" t="s">
        <v>632</v>
      </c>
      <c r="M84" s="4" t="s">
        <v>49</v>
      </c>
      <c r="N84" s="4" t="s">
        <v>634</v>
      </c>
      <c r="O84" s="4" t="s">
        <v>51</v>
      </c>
      <c r="P84" s="4" t="s">
        <v>636</v>
      </c>
    </row>
    <row r="85">
      <c r="A85" s="4" t="s">
        <v>368</v>
      </c>
      <c r="B85" s="4">
        <v>43.0</v>
      </c>
      <c r="F85" s="4" t="s">
        <v>41</v>
      </c>
      <c r="G85" s="4" t="s">
        <v>637</v>
      </c>
      <c r="H85" s="4" t="s">
        <v>43</v>
      </c>
      <c r="I85" s="4">
        <v>4.0</v>
      </c>
      <c r="J85" s="4">
        <v>0.0</v>
      </c>
      <c r="K85" s="5" t="str">
        <f>HYPERLINK("https://www.instagram.com/p/CFBQ6VyBDOi/","Open Post")</f>
        <v>Open Post</v>
      </c>
      <c r="L85" s="4" t="s">
        <v>642</v>
      </c>
      <c r="M85" s="4" t="s">
        <v>644</v>
      </c>
      <c r="N85" s="4" t="s">
        <v>646</v>
      </c>
      <c r="O85" s="4" t="s">
        <v>51</v>
      </c>
      <c r="P85" s="4" t="s">
        <v>647</v>
      </c>
    </row>
    <row r="86">
      <c r="A86" s="4" t="s">
        <v>368</v>
      </c>
      <c r="B86" s="4">
        <v>44.0</v>
      </c>
      <c r="F86" s="4" t="s">
        <v>41</v>
      </c>
      <c r="G86" s="4" t="s">
        <v>648</v>
      </c>
      <c r="H86" s="4" t="s">
        <v>43</v>
      </c>
      <c r="I86" s="4">
        <v>312.0</v>
      </c>
      <c r="J86" s="4">
        <v>0.0</v>
      </c>
      <c r="K86" s="5" t="str">
        <f>HYPERLINK("https://www.instagram.com/p/CE1TYSfnwyA/","Open Post")</f>
        <v>Open Post</v>
      </c>
      <c r="L86" s="4" t="s">
        <v>654</v>
      </c>
      <c r="M86" s="4" t="s">
        <v>49</v>
      </c>
      <c r="N86" s="4" t="s">
        <v>655</v>
      </c>
      <c r="O86" s="4" t="s">
        <v>51</v>
      </c>
      <c r="P86" s="4" t="s">
        <v>656</v>
      </c>
    </row>
    <row r="87">
      <c r="A87" s="4" t="s">
        <v>368</v>
      </c>
      <c r="B87" s="4">
        <v>45.0</v>
      </c>
      <c r="F87" s="4" t="s">
        <v>41</v>
      </c>
      <c r="G87" s="4" t="s">
        <v>616</v>
      </c>
      <c r="H87" s="4" t="s">
        <v>43</v>
      </c>
      <c r="I87" s="4" t="s">
        <v>43</v>
      </c>
      <c r="J87" s="4" t="s">
        <v>43</v>
      </c>
      <c r="K87" s="5" t="str">
        <f>HYPERLINK("https://www.instagram.com/p/CEv-T1PDrWJ/","Open Post")</f>
        <v>Open Post</v>
      </c>
      <c r="L87" s="4" t="s">
        <v>666</v>
      </c>
      <c r="M87" s="4" t="s">
        <v>49</v>
      </c>
      <c r="N87" s="4" t="s">
        <v>668</v>
      </c>
      <c r="O87" s="4" t="s">
        <v>51</v>
      </c>
      <c r="P87" s="4" t="s">
        <v>669</v>
      </c>
    </row>
    <row r="88">
      <c r="A88" s="4" t="s">
        <v>368</v>
      </c>
      <c r="B88" s="4">
        <v>46.0</v>
      </c>
      <c r="F88" s="4" t="s">
        <v>41</v>
      </c>
      <c r="G88" s="4" t="s">
        <v>670</v>
      </c>
      <c r="H88" s="4" t="s">
        <v>43</v>
      </c>
      <c r="I88" s="4" t="s">
        <v>43</v>
      </c>
      <c r="J88" s="4" t="s">
        <v>43</v>
      </c>
      <c r="K88" s="5" t="str">
        <f>HYPERLINK("https://www.instagram.com/p/B8ycW4CofgG/","Open Post")</f>
        <v>Open Post</v>
      </c>
      <c r="L88" s="4" t="s">
        <v>672</v>
      </c>
      <c r="M88" s="4" t="s">
        <v>673</v>
      </c>
      <c r="N88" s="4" t="s">
        <v>674</v>
      </c>
      <c r="O88" s="4" t="s">
        <v>51</v>
      </c>
      <c r="P88" s="4" t="s">
        <v>676</v>
      </c>
    </row>
    <row r="89">
      <c r="A89" s="4" t="s">
        <v>368</v>
      </c>
      <c r="B89" s="4">
        <v>47.0</v>
      </c>
      <c r="F89" s="4" t="s">
        <v>41</v>
      </c>
      <c r="G89" s="4" t="s">
        <v>677</v>
      </c>
      <c r="H89" s="4" t="s">
        <v>43</v>
      </c>
      <c r="I89" s="4" t="s">
        <v>43</v>
      </c>
      <c r="J89" s="4" t="s">
        <v>43</v>
      </c>
      <c r="K89" s="5" t="str">
        <f>HYPERLINK("https://www.instagram.com/p/CD7L3bujM5b/","Open Post")</f>
        <v>Open Post</v>
      </c>
      <c r="L89" s="4" t="s">
        <v>679</v>
      </c>
      <c r="M89" s="4" t="s">
        <v>49</v>
      </c>
      <c r="N89" s="4" t="s">
        <v>681</v>
      </c>
      <c r="O89" s="4" t="s">
        <v>51</v>
      </c>
      <c r="P89" s="4" t="s">
        <v>683</v>
      </c>
    </row>
    <row r="90">
      <c r="A90" s="4" t="s">
        <v>368</v>
      </c>
      <c r="B90" s="4">
        <v>48.0</v>
      </c>
      <c r="F90" s="4" t="s">
        <v>41</v>
      </c>
      <c r="G90" s="4" t="s">
        <v>684</v>
      </c>
      <c r="H90" s="4" t="s">
        <v>43</v>
      </c>
      <c r="I90" s="4">
        <v>35.0</v>
      </c>
      <c r="J90" s="4">
        <v>1.0</v>
      </c>
      <c r="K90" s="5" t="str">
        <f>HYPERLINK("https://www.instagram.com/p/CD5IMuuDGL1/","Open Post")</f>
        <v>Open Post</v>
      </c>
      <c r="L90" s="4" t="s">
        <v>694</v>
      </c>
      <c r="M90" s="4" t="s">
        <v>611</v>
      </c>
      <c r="N90" s="4" t="s">
        <v>696</v>
      </c>
      <c r="O90" s="4" t="s">
        <v>51</v>
      </c>
      <c r="P90" s="4" t="s">
        <v>697</v>
      </c>
    </row>
    <row r="91">
      <c r="A91" s="4" t="s">
        <v>368</v>
      </c>
      <c r="B91" s="4">
        <v>49.0</v>
      </c>
      <c r="F91" s="4" t="s">
        <v>41</v>
      </c>
      <c r="G91" s="4" t="s">
        <v>616</v>
      </c>
      <c r="H91" s="4" t="s">
        <v>43</v>
      </c>
      <c r="I91" s="4">
        <v>25.0</v>
      </c>
      <c r="J91" s="4">
        <v>3.0</v>
      </c>
      <c r="K91" s="5" t="str">
        <f>HYPERLINK("https://www.instagram.com/p/CD4Zw6ljHtB/","Open Post")</f>
        <v>Open Post</v>
      </c>
      <c r="L91" s="4" t="s">
        <v>701</v>
      </c>
      <c r="M91" s="4" t="s">
        <v>49</v>
      </c>
      <c r="N91" s="4" t="s">
        <v>702</v>
      </c>
      <c r="O91" s="4" t="s">
        <v>51</v>
      </c>
      <c r="P91" s="4" t="s">
        <v>704</v>
      </c>
    </row>
    <row r="92">
      <c r="A92" s="4" t="s">
        <v>368</v>
      </c>
      <c r="B92" s="4">
        <v>50.0</v>
      </c>
      <c r="F92" s="4" t="s">
        <v>41</v>
      </c>
      <c r="G92" s="4" t="s">
        <v>706</v>
      </c>
      <c r="H92" s="4" t="s">
        <v>43</v>
      </c>
      <c r="I92" s="4">
        <v>237.0</v>
      </c>
      <c r="J92" s="4">
        <v>23.0</v>
      </c>
      <c r="K92" s="5" t="str">
        <f>HYPERLINK("https://www.instagram.com/p/CCIMWG7iSHQ/","Open Post")</f>
        <v>Open Post</v>
      </c>
      <c r="L92" s="4" t="s">
        <v>708</v>
      </c>
      <c r="M92" s="4" t="s">
        <v>709</v>
      </c>
      <c r="N92" s="4" t="s">
        <v>710</v>
      </c>
      <c r="O92" s="4" t="s">
        <v>51</v>
      </c>
      <c r="P92" s="4" t="s">
        <v>711</v>
      </c>
    </row>
    <row r="93">
      <c r="A93" s="4" t="s">
        <v>368</v>
      </c>
      <c r="B93" s="4">
        <v>51.0</v>
      </c>
      <c r="F93" s="4" t="s">
        <v>41</v>
      </c>
      <c r="G93" s="4" t="s">
        <v>713</v>
      </c>
      <c r="H93" s="4" t="s">
        <v>43</v>
      </c>
      <c r="I93" s="4">
        <v>211.0</v>
      </c>
      <c r="J93" s="4">
        <v>9.0</v>
      </c>
      <c r="K93" s="5" t="str">
        <f>HYPERLINK("https://www.instagram.com/p/CBpuRp9CZMS/","Open Post")</f>
        <v>Open Post</v>
      </c>
      <c r="L93" s="4" t="s">
        <v>717</v>
      </c>
      <c r="M93" s="4" t="s">
        <v>719</v>
      </c>
      <c r="N93" s="4" t="s">
        <v>720</v>
      </c>
      <c r="O93" s="4" t="s">
        <v>51</v>
      </c>
      <c r="P93" s="4" t="s">
        <v>721</v>
      </c>
    </row>
    <row r="94">
      <c r="A94" s="4" t="s">
        <v>368</v>
      </c>
      <c r="B94" s="4">
        <v>52.0</v>
      </c>
      <c r="F94" s="4" t="s">
        <v>41</v>
      </c>
      <c r="G94" s="4" t="s">
        <v>594</v>
      </c>
      <c r="H94" s="4" t="s">
        <v>43</v>
      </c>
      <c r="I94" s="4" t="s">
        <v>43</v>
      </c>
      <c r="J94" s="4" t="s">
        <v>43</v>
      </c>
      <c r="K94" s="5" t="str">
        <f>HYPERLINK("https://www.instagram.com/p/CBgqJwCjDO7/","Open Post")</f>
        <v>Open Post</v>
      </c>
      <c r="L94" s="4" t="s">
        <v>598</v>
      </c>
      <c r="M94" s="4" t="s">
        <v>600</v>
      </c>
      <c r="N94" s="4" t="s">
        <v>724</v>
      </c>
      <c r="O94" s="4" t="s">
        <v>51</v>
      </c>
      <c r="P94" s="4" t="s">
        <v>726</v>
      </c>
    </row>
    <row r="95">
      <c r="A95" s="4" t="s">
        <v>368</v>
      </c>
      <c r="B95" s="4">
        <v>53.0</v>
      </c>
      <c r="F95" s="4" t="s">
        <v>41</v>
      </c>
      <c r="G95" s="4" t="s">
        <v>727</v>
      </c>
      <c r="H95" s="4" t="s">
        <v>43</v>
      </c>
      <c r="I95" s="4">
        <v>30.0</v>
      </c>
      <c r="J95" s="4">
        <v>0.0</v>
      </c>
      <c r="K95" s="5" t="str">
        <f>HYPERLINK("https://www.instagram.com/p/B_WQa7ej4CO/","Open Post")</f>
        <v>Open Post</v>
      </c>
      <c r="L95" s="4" t="s">
        <v>731</v>
      </c>
      <c r="M95" s="4" t="s">
        <v>49</v>
      </c>
      <c r="N95" s="4" t="s">
        <v>732</v>
      </c>
      <c r="O95" s="4" t="s">
        <v>51</v>
      </c>
      <c r="P95" s="4" t="s">
        <v>734</v>
      </c>
    </row>
    <row r="96">
      <c r="A96" s="4" t="s">
        <v>368</v>
      </c>
      <c r="B96" s="4">
        <v>54.0</v>
      </c>
      <c r="F96" s="4" t="s">
        <v>41</v>
      </c>
      <c r="G96" s="4" t="s">
        <v>616</v>
      </c>
      <c r="H96" s="4" t="s">
        <v>43</v>
      </c>
      <c r="I96" s="4">
        <v>17.0</v>
      </c>
      <c r="J96" s="4">
        <v>1.0</v>
      </c>
      <c r="K96" s="5" t="str">
        <f>HYPERLINK("https://www.instagram.com/p/B-h_Lf7jsXL/","Open Post")</f>
        <v>Open Post</v>
      </c>
      <c r="L96" s="4" t="s">
        <v>666</v>
      </c>
      <c r="M96" s="4" t="s">
        <v>49</v>
      </c>
      <c r="N96" s="4" t="s">
        <v>740</v>
      </c>
      <c r="O96" s="4" t="s">
        <v>51</v>
      </c>
      <c r="P96" s="4" t="s">
        <v>741</v>
      </c>
    </row>
    <row r="97">
      <c r="A97" s="4" t="s">
        <v>368</v>
      </c>
      <c r="B97" s="4">
        <v>55.0</v>
      </c>
      <c r="F97" s="4" t="s">
        <v>41</v>
      </c>
      <c r="G97" s="4" t="s">
        <v>684</v>
      </c>
      <c r="H97" s="4" t="s">
        <v>43</v>
      </c>
      <c r="I97" s="4" t="s">
        <v>43</v>
      </c>
      <c r="J97" s="4" t="s">
        <v>43</v>
      </c>
      <c r="K97" s="5" t="str">
        <f>HYPERLINK("https://www.instagram.com/p/B7ncEYOqcQA/","Open Post")</f>
        <v>Open Post</v>
      </c>
      <c r="L97" s="4" t="s">
        <v>694</v>
      </c>
      <c r="M97" s="4" t="s">
        <v>611</v>
      </c>
      <c r="N97" s="4" t="s">
        <v>745</v>
      </c>
      <c r="O97" s="4" t="s">
        <v>51</v>
      </c>
      <c r="P97" s="4" t="s">
        <v>746</v>
      </c>
    </row>
    <row r="98">
      <c r="A98" s="4" t="s">
        <v>368</v>
      </c>
      <c r="B98" s="4">
        <v>56.0</v>
      </c>
      <c r="F98" s="4" t="s">
        <v>41</v>
      </c>
      <c r="G98" s="4" t="s">
        <v>750</v>
      </c>
      <c r="H98" s="4" t="s">
        <v>43</v>
      </c>
      <c r="I98" s="4">
        <v>11.0</v>
      </c>
      <c r="J98" s="4">
        <v>0.0</v>
      </c>
      <c r="K98" s="5" t="str">
        <f>HYPERLINK("https://www.instagram.com/p/B7eXOFJJWYh/","Open Post")</f>
        <v>Open Post</v>
      </c>
      <c r="L98" s="4" t="s">
        <v>753</v>
      </c>
      <c r="M98" s="4" t="s">
        <v>49</v>
      </c>
      <c r="N98" s="4" t="s">
        <v>754</v>
      </c>
      <c r="O98" s="4" t="s">
        <v>51</v>
      </c>
      <c r="P98" s="4" t="s">
        <v>755</v>
      </c>
    </row>
    <row r="99">
      <c r="A99" s="4" t="s">
        <v>368</v>
      </c>
      <c r="B99" s="4">
        <v>57.0</v>
      </c>
      <c r="F99" s="4" t="s">
        <v>41</v>
      </c>
      <c r="G99" s="4" t="s">
        <v>757</v>
      </c>
      <c r="H99" s="4" t="s">
        <v>43</v>
      </c>
      <c r="I99" s="4">
        <v>131.0</v>
      </c>
      <c r="J99" s="4">
        <v>3.0</v>
      </c>
      <c r="K99" s="5" t="str">
        <f>HYPERLINK("https://www.instagram.com/p/B62yDmYpwBl/","Open Post")</f>
        <v>Open Post</v>
      </c>
      <c r="L99" s="4" t="s">
        <v>759</v>
      </c>
      <c r="M99" s="4" t="s">
        <v>49</v>
      </c>
      <c r="N99" s="4" t="s">
        <v>760</v>
      </c>
      <c r="O99" s="4" t="s">
        <v>51</v>
      </c>
      <c r="P99" s="4" t="s">
        <v>761</v>
      </c>
    </row>
    <row r="100">
      <c r="A100" s="4" t="s">
        <v>368</v>
      </c>
      <c r="B100" s="4">
        <v>58.0</v>
      </c>
      <c r="F100" s="4" t="s">
        <v>41</v>
      </c>
      <c r="G100" s="4" t="s">
        <v>764</v>
      </c>
      <c r="H100" s="4" t="s">
        <v>43</v>
      </c>
      <c r="I100" s="4">
        <v>19.0</v>
      </c>
      <c r="J100" s="4">
        <v>0.0</v>
      </c>
      <c r="K100" s="5" t="str">
        <f>HYPERLINK("https://www.instagram.com/p/B5EBlvijB2y/","Open Post")</f>
        <v>Open Post</v>
      </c>
      <c r="L100" s="4" t="s">
        <v>768</v>
      </c>
      <c r="M100" s="4" t="s">
        <v>49</v>
      </c>
      <c r="N100" s="4" t="s">
        <v>769</v>
      </c>
      <c r="O100" s="4" t="s">
        <v>51</v>
      </c>
      <c r="P100" s="4" t="s">
        <v>770</v>
      </c>
    </row>
    <row r="101">
      <c r="A101" s="4" t="s">
        <v>368</v>
      </c>
      <c r="B101" s="4">
        <v>59.0</v>
      </c>
      <c r="F101" s="4" t="s">
        <v>41</v>
      </c>
      <c r="G101" s="4" t="s">
        <v>771</v>
      </c>
      <c r="H101" s="4" t="s">
        <v>43</v>
      </c>
      <c r="I101" s="4" t="s">
        <v>43</v>
      </c>
      <c r="J101" s="4" t="s">
        <v>43</v>
      </c>
      <c r="K101" s="5" t="str">
        <f>HYPERLINK("https://www.instagram.com/p/B3QC-lxpLmR/","Open Post")</f>
        <v>Open Post</v>
      </c>
      <c r="L101" s="4" t="s">
        <v>774</v>
      </c>
      <c r="M101" s="4" t="s">
        <v>49</v>
      </c>
      <c r="N101" s="4" t="s">
        <v>775</v>
      </c>
      <c r="O101" s="4" t="s">
        <v>51</v>
      </c>
      <c r="P101" s="4" t="s">
        <v>776</v>
      </c>
    </row>
    <row r="102">
      <c r="A102" s="4" t="s">
        <v>368</v>
      </c>
      <c r="B102" s="4">
        <v>60.0</v>
      </c>
      <c r="F102" s="4" t="s">
        <v>41</v>
      </c>
      <c r="G102" s="4" t="s">
        <v>777</v>
      </c>
      <c r="H102" s="4" t="s">
        <v>43</v>
      </c>
      <c r="I102" s="4">
        <v>22.0</v>
      </c>
      <c r="J102" s="4">
        <v>2.0</v>
      </c>
      <c r="K102" s="5" t="str">
        <f>HYPERLINK("https://www.instagram.com/p/B0EoFsqpSon/","Open Post")</f>
        <v>Open Post</v>
      </c>
      <c r="L102" s="4" t="s">
        <v>779</v>
      </c>
      <c r="M102" s="4" t="s">
        <v>49</v>
      </c>
      <c r="N102" s="4" t="s">
        <v>780</v>
      </c>
      <c r="O102" s="4" t="s">
        <v>51</v>
      </c>
      <c r="P102" s="4" t="s">
        <v>781</v>
      </c>
    </row>
    <row r="103">
      <c r="A103" s="4" t="s">
        <v>368</v>
      </c>
      <c r="B103" s="4">
        <v>61.0</v>
      </c>
      <c r="F103" s="4" t="s">
        <v>41</v>
      </c>
      <c r="G103" s="4" t="s">
        <v>783</v>
      </c>
      <c r="H103" s="4" t="s">
        <v>43</v>
      </c>
      <c r="I103" s="4">
        <v>22.0</v>
      </c>
      <c r="J103" s="4">
        <v>0.0</v>
      </c>
      <c r="K103" s="5" t="str">
        <f>HYPERLINK("https://www.instagram.com/p/BzeSjPDp7dA/","Open Post")</f>
        <v>Open Post</v>
      </c>
      <c r="L103" s="4" t="s">
        <v>786</v>
      </c>
      <c r="M103" s="4" t="s">
        <v>788</v>
      </c>
      <c r="N103" s="4" t="s">
        <v>789</v>
      </c>
      <c r="O103" s="4" t="s">
        <v>51</v>
      </c>
      <c r="P103" s="4" t="s">
        <v>790</v>
      </c>
    </row>
    <row r="104">
      <c r="A104" s="4" t="s">
        <v>368</v>
      </c>
      <c r="B104" s="4">
        <v>62.0</v>
      </c>
      <c r="F104" s="4" t="s">
        <v>41</v>
      </c>
      <c r="G104" s="4" t="s">
        <v>670</v>
      </c>
      <c r="H104" s="4" t="s">
        <v>43</v>
      </c>
      <c r="I104" s="4">
        <v>29.0</v>
      </c>
      <c r="J104" s="4">
        <v>1.0</v>
      </c>
      <c r="K104" s="5" t="str">
        <f>HYPERLINK("https://www.instagram.com/p/BprHvCFgmMF/","Open Post")</f>
        <v>Open Post</v>
      </c>
      <c r="L104" s="4" t="s">
        <v>672</v>
      </c>
      <c r="M104" s="4" t="s">
        <v>673</v>
      </c>
      <c r="N104" s="4" t="s">
        <v>796</v>
      </c>
      <c r="O104" s="4" t="s">
        <v>51</v>
      </c>
      <c r="P104" s="4" t="s">
        <v>797</v>
      </c>
    </row>
    <row r="105">
      <c r="A105" s="4" t="s">
        <v>368</v>
      </c>
      <c r="B105" s="4">
        <v>63.0</v>
      </c>
      <c r="F105" s="4" t="s">
        <v>41</v>
      </c>
      <c r="G105" s="4" t="s">
        <v>670</v>
      </c>
      <c r="H105" s="4" t="s">
        <v>43</v>
      </c>
      <c r="I105" s="4">
        <v>28.0</v>
      </c>
      <c r="J105" s="4">
        <v>1.0</v>
      </c>
      <c r="K105" s="5" t="str">
        <f>HYPERLINK("https://www.instagram.com/p/BpUXsKSAY8f/","Open Post")</f>
        <v>Open Post</v>
      </c>
      <c r="L105" s="4" t="s">
        <v>800</v>
      </c>
      <c r="M105" s="4" t="s">
        <v>49</v>
      </c>
      <c r="N105" s="4" t="s">
        <v>801</v>
      </c>
      <c r="O105" s="4" t="s">
        <v>51</v>
      </c>
      <c r="P105" s="4" t="s">
        <v>802</v>
      </c>
    </row>
    <row r="106">
      <c r="A106" s="4" t="s">
        <v>368</v>
      </c>
      <c r="B106" s="4">
        <v>64.0</v>
      </c>
      <c r="F106" s="4" t="s">
        <v>41</v>
      </c>
      <c r="G106" s="4" t="s">
        <v>670</v>
      </c>
      <c r="H106" s="4" t="s">
        <v>43</v>
      </c>
      <c r="I106" s="4">
        <v>36.0</v>
      </c>
      <c r="J106" s="4">
        <v>1.0</v>
      </c>
      <c r="K106" s="5" t="str">
        <f>HYPERLINK("https://www.instagram.com/p/BpHbp_rgMcM/","Open Post")</f>
        <v>Open Post</v>
      </c>
      <c r="L106" s="4" t="s">
        <v>809</v>
      </c>
      <c r="M106" s="4" t="s">
        <v>49</v>
      </c>
      <c r="N106" s="4" t="s">
        <v>810</v>
      </c>
      <c r="O106" s="4" t="s">
        <v>51</v>
      </c>
      <c r="P106" s="4" t="s">
        <v>811</v>
      </c>
    </row>
    <row r="107">
      <c r="A107" s="4" t="s">
        <v>368</v>
      </c>
      <c r="B107" s="4">
        <v>65.0</v>
      </c>
      <c r="F107" s="4" t="s">
        <v>41</v>
      </c>
      <c r="G107" s="4" t="s">
        <v>812</v>
      </c>
      <c r="H107" s="4" t="s">
        <v>43</v>
      </c>
      <c r="I107" s="4">
        <v>37.0</v>
      </c>
      <c r="J107" s="4">
        <v>0.0</v>
      </c>
      <c r="K107" s="5" t="str">
        <f>HYPERLINK("https://www.instagram.com/p/BiPcfu-FP3M/","Open Post")</f>
        <v>Open Post</v>
      </c>
      <c r="L107" s="4" t="s">
        <v>814</v>
      </c>
      <c r="M107" s="4" t="s">
        <v>49</v>
      </c>
      <c r="N107" s="4" t="s">
        <v>816</v>
      </c>
      <c r="O107" s="4" t="s">
        <v>51</v>
      </c>
      <c r="P107" s="4" t="s">
        <v>817</v>
      </c>
    </row>
    <row r="108">
      <c r="A108" s="4" t="s">
        <v>368</v>
      </c>
      <c r="B108" s="4">
        <v>66.0</v>
      </c>
      <c r="F108" s="4" t="s">
        <v>41</v>
      </c>
      <c r="G108" s="4" t="s">
        <v>819</v>
      </c>
      <c r="H108" s="4" t="s">
        <v>43</v>
      </c>
      <c r="I108" s="4">
        <v>48.0</v>
      </c>
      <c r="J108" s="4">
        <v>0.0</v>
      </c>
      <c r="K108" s="5" t="str">
        <f>HYPERLINK("https://www.instagram.com/p/BfEXYuXlw0X/","Open Post")</f>
        <v>Open Post</v>
      </c>
      <c r="L108" s="4" t="s">
        <v>823</v>
      </c>
      <c r="M108" s="4" t="s">
        <v>824</v>
      </c>
      <c r="N108" s="4" t="s">
        <v>825</v>
      </c>
      <c r="O108" s="4" t="s">
        <v>51</v>
      </c>
      <c r="P108" s="4" t="s">
        <v>826</v>
      </c>
    </row>
    <row r="110">
      <c r="A110" s="4" t="s">
        <v>829</v>
      </c>
      <c r="B110" s="4">
        <v>1.0</v>
      </c>
      <c r="F110" s="4" t="s">
        <v>830</v>
      </c>
      <c r="G110" s="4" t="s">
        <v>661</v>
      </c>
      <c r="H110" s="4" t="s">
        <v>43</v>
      </c>
      <c r="I110" s="4" t="s">
        <v>43</v>
      </c>
      <c r="J110" s="4" t="s">
        <v>43</v>
      </c>
      <c r="K110" s="5" t="str">
        <f>HYPERLINK("https://www.instagram.com/p/B6IshWACJSv/","Open Post")</f>
        <v>Open Post</v>
      </c>
      <c r="L110" s="4" t="s">
        <v>833</v>
      </c>
      <c r="M110" s="4" t="s">
        <v>834</v>
      </c>
      <c r="N110" s="4" t="s">
        <v>836</v>
      </c>
      <c r="O110" s="4" t="s">
        <v>51</v>
      </c>
      <c r="P110" s="4" t="s">
        <v>53</v>
      </c>
    </row>
    <row r="111">
      <c r="A111" s="4" t="s">
        <v>829</v>
      </c>
      <c r="B111" s="4">
        <v>2.0</v>
      </c>
      <c r="F111" s="4" t="s">
        <v>57</v>
      </c>
      <c r="G111" s="4" t="s">
        <v>838</v>
      </c>
      <c r="H111" s="4">
        <v>17.0</v>
      </c>
      <c r="I111" s="4" t="s">
        <v>43</v>
      </c>
      <c r="J111" s="4" t="s">
        <v>43</v>
      </c>
      <c r="K111" s="5" t="str">
        <f>HYPERLINK("https://www.instagram.com/p/B6GpJgwlupJ/?utm_source=ig_web_copy_link&amp;stkn=MzRlODBiNWFlZA==","Open Reel")</f>
        <v>Open Reel</v>
      </c>
      <c r="L111" s="4" t="s">
        <v>843</v>
      </c>
      <c r="M111" s="4" t="s">
        <v>49</v>
      </c>
      <c r="N111" s="4" t="s">
        <v>73</v>
      </c>
      <c r="O111" s="4" t="s">
        <v>74</v>
      </c>
      <c r="P111" s="4" t="s">
        <v>75</v>
      </c>
    </row>
    <row r="112">
      <c r="A112" s="4" t="s">
        <v>829</v>
      </c>
      <c r="B112" s="4">
        <v>3.0</v>
      </c>
      <c r="F112" s="4" t="s">
        <v>57</v>
      </c>
      <c r="G112" s="4" t="s">
        <v>166</v>
      </c>
      <c r="H112" s="4">
        <v>25.0</v>
      </c>
      <c r="I112" s="4" t="s">
        <v>43</v>
      </c>
      <c r="J112" s="4" t="s">
        <v>43</v>
      </c>
      <c r="K112" s="5" t="str">
        <f>HYPERLINK("https://www.instagram.com/p/B5zordYn0Jq/?utm_source=ig_web_copy_link&amp;stkn=MzRlODBiNWFlZA==","Open Reel")</f>
        <v>Open Reel</v>
      </c>
      <c r="L112" s="4" t="s">
        <v>848</v>
      </c>
      <c r="M112" s="4" t="s">
        <v>849</v>
      </c>
      <c r="N112" s="4" t="s">
        <v>82</v>
      </c>
      <c r="O112" s="4" t="s">
        <v>74</v>
      </c>
      <c r="P112" s="4" t="s">
        <v>84</v>
      </c>
    </row>
    <row r="113">
      <c r="A113" s="4" t="s">
        <v>829</v>
      </c>
      <c r="B113" s="4">
        <v>4.0</v>
      </c>
      <c r="F113" s="4" t="s">
        <v>57</v>
      </c>
      <c r="G113" s="4" t="s">
        <v>852</v>
      </c>
      <c r="H113" s="4">
        <v>17.0</v>
      </c>
      <c r="I113" s="4" t="s">
        <v>43</v>
      </c>
      <c r="J113" s="4" t="s">
        <v>43</v>
      </c>
      <c r="K113" s="5" t="str">
        <f>HYPERLINK("https://www.instagram.com/p/B5wkN6Pnbwg/?utm_source=ig_web_copy_link&amp;stkn=MzRlODBiNWFlZA==","Open Reel")</f>
        <v>Open Reel</v>
      </c>
      <c r="L113" s="8" t="s">
        <v>859</v>
      </c>
      <c r="M113" s="4" t="s">
        <v>49</v>
      </c>
      <c r="N113" s="4" t="s">
        <v>93</v>
      </c>
      <c r="O113" s="4" t="s">
        <v>74</v>
      </c>
      <c r="P113" s="4" t="s">
        <v>94</v>
      </c>
    </row>
    <row r="114">
      <c r="A114" s="4" t="s">
        <v>829</v>
      </c>
      <c r="B114" s="4">
        <v>5.0</v>
      </c>
      <c r="F114" s="4" t="s">
        <v>830</v>
      </c>
      <c r="G114" s="4" t="s">
        <v>862</v>
      </c>
      <c r="H114" s="4" t="s">
        <v>43</v>
      </c>
      <c r="I114" s="4" t="s">
        <v>43</v>
      </c>
      <c r="J114" s="4" t="s">
        <v>43</v>
      </c>
      <c r="K114" s="5" t="str">
        <f>HYPERLINK("https://www.instagram.com/p/B5sFoJ7nQjb/","Open Post")</f>
        <v>Open Post</v>
      </c>
      <c r="L114" s="4" t="s">
        <v>865</v>
      </c>
      <c r="M114" s="4" t="s">
        <v>49</v>
      </c>
      <c r="N114" s="4" t="s">
        <v>867</v>
      </c>
      <c r="O114" s="4" t="s">
        <v>51</v>
      </c>
      <c r="P114" s="4" t="s">
        <v>102</v>
      </c>
    </row>
    <row r="115">
      <c r="A115" s="4" t="s">
        <v>829</v>
      </c>
      <c r="B115" s="4">
        <v>6.0</v>
      </c>
      <c r="F115" s="4" t="s">
        <v>869</v>
      </c>
      <c r="G115" s="4" t="s">
        <v>871</v>
      </c>
      <c r="H115" s="4" t="s">
        <v>43</v>
      </c>
      <c r="I115" s="4" t="s">
        <v>43</v>
      </c>
      <c r="J115" s="4" t="s">
        <v>43</v>
      </c>
      <c r="K115" s="5" t="str">
        <f>HYPERLINK("https://www.instagram.com/p/B5sDbPjHxHF/","Open Post")</f>
        <v>Open Post</v>
      </c>
      <c r="L115" s="4" t="s">
        <v>878</v>
      </c>
      <c r="M115" s="4" t="s">
        <v>880</v>
      </c>
      <c r="N115" s="4" t="s">
        <v>881</v>
      </c>
      <c r="O115" s="4" t="s">
        <v>51</v>
      </c>
      <c r="P115" s="4" t="s">
        <v>297</v>
      </c>
    </row>
    <row r="116">
      <c r="A116" s="4" t="s">
        <v>829</v>
      </c>
      <c r="B116" s="4">
        <v>7.0</v>
      </c>
      <c r="F116" s="4" t="s">
        <v>830</v>
      </c>
      <c r="G116" s="4" t="s">
        <v>257</v>
      </c>
      <c r="H116" s="4" t="s">
        <v>43</v>
      </c>
      <c r="I116" s="4" t="s">
        <v>43</v>
      </c>
      <c r="J116" s="4" t="s">
        <v>43</v>
      </c>
      <c r="K116" s="5" t="str">
        <f>HYPERLINK("https://www.instagram.com/p/B5rcrojnx99/","Open Post")</f>
        <v>Open Post</v>
      </c>
      <c r="L116" s="4" t="s">
        <v>887</v>
      </c>
      <c r="M116" s="4" t="s">
        <v>889</v>
      </c>
      <c r="N116" s="4" t="s">
        <v>890</v>
      </c>
      <c r="O116" s="4" t="s">
        <v>51</v>
      </c>
      <c r="P116" s="4" t="s">
        <v>122</v>
      </c>
    </row>
    <row r="117">
      <c r="A117" s="4" t="s">
        <v>829</v>
      </c>
      <c r="B117" s="4">
        <v>8.0</v>
      </c>
      <c r="F117" s="4" t="s">
        <v>830</v>
      </c>
      <c r="G117" s="4" t="s">
        <v>165</v>
      </c>
      <c r="H117" s="4" t="s">
        <v>43</v>
      </c>
      <c r="I117" s="4" t="s">
        <v>43</v>
      </c>
      <c r="J117" s="4" t="s">
        <v>43</v>
      </c>
      <c r="K117" s="5" t="str">
        <f>HYPERLINK("https://www.instagram.com/p/B5qdjJvhVZo/","Open Post")</f>
        <v>Open Post</v>
      </c>
      <c r="L117" s="4" t="s">
        <v>897</v>
      </c>
      <c r="M117" s="4" t="s">
        <v>899</v>
      </c>
      <c r="N117" s="4" t="s">
        <v>900</v>
      </c>
      <c r="O117" s="4" t="s">
        <v>51</v>
      </c>
      <c r="P117" s="4" t="s">
        <v>135</v>
      </c>
    </row>
    <row r="118">
      <c r="A118" s="4" t="s">
        <v>829</v>
      </c>
      <c r="B118" s="4">
        <v>9.0</v>
      </c>
      <c r="F118" s="4" t="s">
        <v>830</v>
      </c>
      <c r="G118" s="4" t="s">
        <v>852</v>
      </c>
      <c r="H118" s="4" t="s">
        <v>43</v>
      </c>
      <c r="I118" s="4" t="s">
        <v>43</v>
      </c>
      <c r="J118" s="4" t="s">
        <v>43</v>
      </c>
      <c r="K118" s="5" t="str">
        <f>HYPERLINK("https://www.instagram.com/p/B5picBsHKpM/","Open Post")</f>
        <v>Open Post</v>
      </c>
      <c r="L118" s="4" t="s">
        <v>907</v>
      </c>
      <c r="M118" s="4" t="s">
        <v>910</v>
      </c>
      <c r="N118" s="4" t="s">
        <v>911</v>
      </c>
      <c r="O118" s="4" t="s">
        <v>51</v>
      </c>
      <c r="P118" s="4" t="s">
        <v>406</v>
      </c>
    </row>
    <row r="119">
      <c r="A119" s="4" t="s">
        <v>829</v>
      </c>
      <c r="B119" s="4">
        <v>10.0</v>
      </c>
      <c r="F119" s="4" t="s">
        <v>830</v>
      </c>
      <c r="G119" s="4" t="s">
        <v>326</v>
      </c>
      <c r="H119" s="4" t="s">
        <v>43</v>
      </c>
      <c r="I119" s="4" t="s">
        <v>43</v>
      </c>
      <c r="J119" s="4" t="s">
        <v>43</v>
      </c>
      <c r="K119" s="5" t="str">
        <f>HYPERLINK("https://www.instagram.com/p/B5nMNAQBHSh/","Open Post")</f>
        <v>Open Post</v>
      </c>
      <c r="L119" s="4" t="s">
        <v>915</v>
      </c>
      <c r="M119" s="4" t="s">
        <v>916</v>
      </c>
      <c r="N119" s="4" t="s">
        <v>917</v>
      </c>
      <c r="O119" s="4" t="s">
        <v>51</v>
      </c>
      <c r="P119" s="4" t="s">
        <v>317</v>
      </c>
    </row>
    <row r="120">
      <c r="A120" s="4" t="s">
        <v>829</v>
      </c>
      <c r="B120" s="4">
        <v>11.0</v>
      </c>
      <c r="F120" s="4" t="s">
        <v>830</v>
      </c>
      <c r="G120" s="4" t="s">
        <v>165</v>
      </c>
      <c r="H120" s="4" t="s">
        <v>43</v>
      </c>
      <c r="I120" s="4" t="s">
        <v>43</v>
      </c>
      <c r="J120" s="4" t="s">
        <v>43</v>
      </c>
      <c r="K120" s="5" t="str">
        <f>HYPERLINK("https://www.instagram.com/p/B5korr0BsKA/","Open Post")</f>
        <v>Open Post</v>
      </c>
      <c r="L120" s="4" t="s">
        <v>920</v>
      </c>
      <c r="M120" s="4" t="s">
        <v>922</v>
      </c>
      <c r="N120" s="4" t="s">
        <v>923</v>
      </c>
      <c r="O120" s="4" t="s">
        <v>51</v>
      </c>
      <c r="P120" s="4" t="s">
        <v>162</v>
      </c>
    </row>
    <row r="121">
      <c r="A121" s="4" t="s">
        <v>829</v>
      </c>
      <c r="B121" s="4">
        <v>12.0</v>
      </c>
      <c r="F121" s="4" t="s">
        <v>830</v>
      </c>
      <c r="G121" s="4" t="s">
        <v>544</v>
      </c>
      <c r="H121" s="4" t="s">
        <v>43</v>
      </c>
      <c r="I121" s="4" t="s">
        <v>43</v>
      </c>
      <c r="J121" s="4" t="s">
        <v>43</v>
      </c>
      <c r="K121" s="5" t="str">
        <f>HYPERLINK("https://www.instagram.com/p/B5fclm6hVaD/","Open Post")</f>
        <v>Open Post</v>
      </c>
      <c r="L121" s="4" t="s">
        <v>928</v>
      </c>
      <c r="M121" s="4" t="s">
        <v>929</v>
      </c>
      <c r="N121" s="4" t="s">
        <v>930</v>
      </c>
      <c r="O121" s="4" t="s">
        <v>51</v>
      </c>
      <c r="P121" s="4" t="s">
        <v>931</v>
      </c>
    </row>
    <row r="122">
      <c r="A122" s="4" t="s">
        <v>829</v>
      </c>
      <c r="B122" s="4">
        <v>13.0</v>
      </c>
      <c r="F122" s="4" t="s">
        <v>830</v>
      </c>
      <c r="G122" s="4" t="s">
        <v>431</v>
      </c>
      <c r="H122" s="4" t="s">
        <v>43</v>
      </c>
      <c r="I122" s="4" t="s">
        <v>43</v>
      </c>
      <c r="J122" s="4" t="s">
        <v>43</v>
      </c>
      <c r="K122" s="5" t="str">
        <f>HYPERLINK("https://www.instagram.com/p/B5fGv3tHsOP/","Open Post")</f>
        <v>Open Post</v>
      </c>
      <c r="L122" s="4" t="s">
        <v>935</v>
      </c>
      <c r="M122" s="4" t="s">
        <v>936</v>
      </c>
      <c r="N122" s="4" t="s">
        <v>937</v>
      </c>
      <c r="O122" s="4" t="s">
        <v>51</v>
      </c>
      <c r="P122" s="4" t="s">
        <v>426</v>
      </c>
    </row>
    <row r="123">
      <c r="A123" s="4" t="s">
        <v>829</v>
      </c>
      <c r="B123" s="4">
        <v>14.0</v>
      </c>
      <c r="F123" s="4" t="s">
        <v>830</v>
      </c>
      <c r="G123" s="4" t="s">
        <v>544</v>
      </c>
      <c r="H123" s="4" t="s">
        <v>43</v>
      </c>
      <c r="I123" s="4" t="s">
        <v>43</v>
      </c>
      <c r="J123" s="4" t="s">
        <v>43</v>
      </c>
      <c r="K123" s="5" t="str">
        <f>HYPERLINK("https://www.instagram.com/p/B5fDz84lKq0/","Open Post")</f>
        <v>Open Post</v>
      </c>
      <c r="L123" s="4" t="s">
        <v>944</v>
      </c>
      <c r="M123" s="4" t="s">
        <v>946</v>
      </c>
      <c r="N123" s="4" t="s">
        <v>947</v>
      </c>
      <c r="O123" s="4" t="s">
        <v>51</v>
      </c>
      <c r="P123" s="4" t="s">
        <v>345</v>
      </c>
    </row>
    <row r="124">
      <c r="A124" s="4" t="s">
        <v>829</v>
      </c>
      <c r="B124" s="4">
        <v>15.0</v>
      </c>
      <c r="F124" s="4" t="s">
        <v>57</v>
      </c>
      <c r="G124" s="4" t="s">
        <v>951</v>
      </c>
      <c r="H124" s="4">
        <v>21.0</v>
      </c>
      <c r="I124" s="4" t="s">
        <v>43</v>
      </c>
      <c r="J124" s="4" t="s">
        <v>43</v>
      </c>
      <c r="K124" s="5" t="str">
        <f>HYPERLINK("https://www.instagram.com/p/B5c-dlblOwF/?utm_source=ig_web_copy_link&amp;stkn=MzRlODBiNWFlZA==","Open Reel")</f>
        <v>Open Reel</v>
      </c>
      <c r="L124" s="4" t="s">
        <v>954</v>
      </c>
      <c r="M124" s="4" t="s">
        <v>955</v>
      </c>
      <c r="N124" s="4" t="s">
        <v>351</v>
      </c>
      <c r="O124" s="4" t="s">
        <v>74</v>
      </c>
      <c r="P124" s="4" t="s">
        <v>352</v>
      </c>
    </row>
    <row r="125">
      <c r="A125" s="4" t="s">
        <v>829</v>
      </c>
      <c r="B125" s="4">
        <v>16.0</v>
      </c>
      <c r="F125" s="4" t="s">
        <v>869</v>
      </c>
      <c r="G125" s="4" t="s">
        <v>166</v>
      </c>
      <c r="H125" s="4" t="s">
        <v>43</v>
      </c>
      <c r="I125" s="4" t="s">
        <v>43</v>
      </c>
      <c r="J125" s="4" t="s">
        <v>43</v>
      </c>
      <c r="K125" s="5" t="str">
        <f>HYPERLINK("https://www.instagram.com/p/B5ZpmXRAArB/","Open Post")</f>
        <v>Open Post</v>
      </c>
      <c r="L125" s="4" t="s">
        <v>963</v>
      </c>
      <c r="M125" s="4" t="s">
        <v>965</v>
      </c>
      <c r="N125" s="4" t="s">
        <v>966</v>
      </c>
      <c r="O125" s="4" t="s">
        <v>51</v>
      </c>
      <c r="P125" s="4" t="s">
        <v>203</v>
      </c>
    </row>
    <row r="126">
      <c r="A126" s="4" t="s">
        <v>829</v>
      </c>
      <c r="B126" s="4">
        <v>17.0</v>
      </c>
      <c r="F126" s="4" t="s">
        <v>830</v>
      </c>
      <c r="G126" s="4" t="s">
        <v>951</v>
      </c>
      <c r="H126" s="4" t="s">
        <v>43</v>
      </c>
      <c r="I126" s="4" t="s">
        <v>43</v>
      </c>
      <c r="J126" s="4" t="s">
        <v>43</v>
      </c>
      <c r="K126" s="5" t="str">
        <f>HYPERLINK("https://www.instagram.com/p/B5Xu4oVhEKO/","Open Post")</f>
        <v>Open Post</v>
      </c>
      <c r="L126" s="4" t="s">
        <v>971</v>
      </c>
      <c r="M126" s="4" t="s">
        <v>974</v>
      </c>
      <c r="N126" s="4" t="s">
        <v>976</v>
      </c>
      <c r="O126" s="4" t="s">
        <v>51</v>
      </c>
      <c r="P126" s="4" t="s">
        <v>367</v>
      </c>
    </row>
    <row r="127">
      <c r="A127" s="4" t="s">
        <v>829</v>
      </c>
      <c r="B127" s="4">
        <v>18.0</v>
      </c>
      <c r="F127" s="4" t="s">
        <v>57</v>
      </c>
      <c r="G127" s="4" t="s">
        <v>661</v>
      </c>
      <c r="H127" s="4">
        <v>964.0</v>
      </c>
      <c r="I127" s="4" t="s">
        <v>43</v>
      </c>
      <c r="J127" s="4" t="s">
        <v>43</v>
      </c>
      <c r="K127" s="5" t="str">
        <f>HYPERLINK("https://www.instagram.com/p/B5XZrRkgaP2/?utm_source=ig_web_copy_link&amp;stkn=MzRlODBiNWFlZA==","Open Reel")</f>
        <v>Open Reel</v>
      </c>
      <c r="L127" s="4" t="s">
        <v>981</v>
      </c>
      <c r="M127" s="4" t="s">
        <v>982</v>
      </c>
      <c r="N127" s="4" t="s">
        <v>452</v>
      </c>
      <c r="O127" s="4" t="s">
        <v>74</v>
      </c>
      <c r="P127" s="4" t="s">
        <v>454</v>
      </c>
    </row>
    <row r="128">
      <c r="A128" s="4" t="s">
        <v>829</v>
      </c>
      <c r="B128" s="4">
        <v>19.0</v>
      </c>
      <c r="F128" s="4" t="s">
        <v>830</v>
      </c>
      <c r="G128" s="4" t="s">
        <v>371</v>
      </c>
      <c r="H128" s="4" t="s">
        <v>43</v>
      </c>
      <c r="I128" s="4" t="s">
        <v>43</v>
      </c>
      <c r="J128" s="4" t="s">
        <v>43</v>
      </c>
      <c r="K128" s="5" t="str">
        <f>HYPERLINK("https://www.instagram.com/p/B5VLiTrBr08/","Open Post")</f>
        <v>Open Post</v>
      </c>
      <c r="L128" s="4" t="s">
        <v>987</v>
      </c>
      <c r="M128" s="4" t="s">
        <v>988</v>
      </c>
      <c r="N128" s="4" t="s">
        <v>989</v>
      </c>
      <c r="O128" s="4" t="s">
        <v>51</v>
      </c>
      <c r="P128" s="4" t="s">
        <v>459</v>
      </c>
    </row>
    <row r="129">
      <c r="A129" s="4" t="s">
        <v>829</v>
      </c>
      <c r="B129" s="4">
        <v>20.0</v>
      </c>
      <c r="F129" s="4" t="s">
        <v>869</v>
      </c>
      <c r="G129" s="4" t="s">
        <v>993</v>
      </c>
      <c r="H129" s="4" t="s">
        <v>43</v>
      </c>
      <c r="I129" s="4" t="s">
        <v>43</v>
      </c>
      <c r="J129" s="4" t="s">
        <v>43</v>
      </c>
      <c r="K129" s="5" t="str">
        <f>HYPERLINK("https://www.instagram.com/p/B5UuRALnrSO/","Open Post")</f>
        <v>Open Post</v>
      </c>
      <c r="L129" s="4" t="s">
        <v>998</v>
      </c>
      <c r="M129" s="4" t="s">
        <v>1001</v>
      </c>
      <c r="N129" s="4" t="s">
        <v>1002</v>
      </c>
      <c r="O129" s="4" t="s">
        <v>51</v>
      </c>
      <c r="P129" s="4" t="s">
        <v>236</v>
      </c>
    </row>
    <row r="130">
      <c r="A130" s="4" t="s">
        <v>829</v>
      </c>
      <c r="B130" s="4">
        <v>21.0</v>
      </c>
      <c r="F130" s="4" t="s">
        <v>830</v>
      </c>
      <c r="G130" s="4" t="s">
        <v>165</v>
      </c>
      <c r="H130" s="4" t="s">
        <v>43</v>
      </c>
      <c r="I130" s="4" t="s">
        <v>43</v>
      </c>
      <c r="J130" s="4" t="s">
        <v>43</v>
      </c>
      <c r="K130" s="5" t="str">
        <f>HYPERLINK("https://www.instagram.com/p/B5SpsPIBuZL/","Open Post")</f>
        <v>Open Post</v>
      </c>
      <c r="L130" s="4" t="s">
        <v>1007</v>
      </c>
      <c r="M130" s="4" t="s">
        <v>1008</v>
      </c>
      <c r="N130" s="4" t="s">
        <v>1010</v>
      </c>
      <c r="O130" s="4" t="s">
        <v>51</v>
      </c>
      <c r="P130" s="4" t="s">
        <v>1014</v>
      </c>
    </row>
    <row r="131">
      <c r="A131" s="4" t="s">
        <v>829</v>
      </c>
      <c r="B131" s="4">
        <v>22.0</v>
      </c>
      <c r="F131" s="4" t="s">
        <v>830</v>
      </c>
      <c r="G131" s="4" t="s">
        <v>431</v>
      </c>
      <c r="H131" s="4" t="s">
        <v>43</v>
      </c>
      <c r="I131" s="4" t="s">
        <v>43</v>
      </c>
      <c r="J131" s="4" t="s">
        <v>43</v>
      </c>
      <c r="K131" s="5" t="str">
        <f>HYPERLINK("https://www.instagram.com/p/B5SlEN2B-4V/","Open Post")</f>
        <v>Open Post</v>
      </c>
      <c r="L131" s="4" t="s">
        <v>1018</v>
      </c>
      <c r="M131" s="4" t="s">
        <v>1019</v>
      </c>
      <c r="N131" s="4" t="s">
        <v>1020</v>
      </c>
      <c r="O131" s="4" t="s">
        <v>51</v>
      </c>
      <c r="P131" s="4" t="s">
        <v>252</v>
      </c>
    </row>
    <row r="132">
      <c r="A132" s="4" t="s">
        <v>829</v>
      </c>
      <c r="B132" s="4">
        <v>23.0</v>
      </c>
      <c r="F132" s="4" t="s">
        <v>830</v>
      </c>
      <c r="G132" s="4" t="s">
        <v>951</v>
      </c>
      <c r="H132" s="4" t="s">
        <v>43</v>
      </c>
      <c r="I132" s="4" t="s">
        <v>43</v>
      </c>
      <c r="J132" s="4" t="s">
        <v>43</v>
      </c>
      <c r="K132" s="5" t="str">
        <f>HYPERLINK("https://www.instagram.com/p/B5R0bhfhZE7/","Open Post")</f>
        <v>Open Post</v>
      </c>
      <c r="L132" s="4" t="s">
        <v>1029</v>
      </c>
      <c r="M132" s="4" t="s">
        <v>1030</v>
      </c>
      <c r="N132" s="4" t="s">
        <v>1031</v>
      </c>
      <c r="O132" s="4" t="s">
        <v>51</v>
      </c>
      <c r="P132" s="4" t="s">
        <v>1032</v>
      </c>
    </row>
    <row r="133">
      <c r="A133" s="4" t="s">
        <v>829</v>
      </c>
      <c r="B133" s="4">
        <v>24.0</v>
      </c>
      <c r="F133" s="4" t="s">
        <v>830</v>
      </c>
      <c r="G133" s="4" t="s">
        <v>871</v>
      </c>
      <c r="H133" s="4" t="s">
        <v>43</v>
      </c>
      <c r="I133" s="4" t="s">
        <v>43</v>
      </c>
      <c r="J133" s="4" t="s">
        <v>43</v>
      </c>
      <c r="K133" s="5" t="str">
        <f>HYPERLINK("https://www.instagram.com/p/B5QMVHjhvpu/","Open Post")</f>
        <v>Open Post</v>
      </c>
      <c r="L133" s="4" t="s">
        <v>1037</v>
      </c>
      <c r="M133" s="4" t="s">
        <v>1038</v>
      </c>
      <c r="N133" s="4" t="s">
        <v>1039</v>
      </c>
      <c r="O133" s="4" t="s">
        <v>51</v>
      </c>
      <c r="P133" s="4" t="s">
        <v>489</v>
      </c>
    </row>
    <row r="134">
      <c r="A134" s="4" t="s">
        <v>829</v>
      </c>
      <c r="B134" s="4">
        <v>25.0</v>
      </c>
      <c r="F134" s="4" t="s">
        <v>830</v>
      </c>
      <c r="G134" s="4" t="s">
        <v>1041</v>
      </c>
      <c r="H134" s="4" t="s">
        <v>43</v>
      </c>
      <c r="I134" s="4" t="s">
        <v>43</v>
      </c>
      <c r="J134" s="4" t="s">
        <v>43</v>
      </c>
      <c r="K134" s="5" t="str">
        <f>HYPERLINK("https://www.instagram.com/p/B5Nvv9FhEv4/","Open Post")</f>
        <v>Open Post</v>
      </c>
      <c r="L134" s="4" t="s">
        <v>1044</v>
      </c>
      <c r="M134" s="4" t="s">
        <v>49</v>
      </c>
      <c r="N134" s="4" t="s">
        <v>1045</v>
      </c>
      <c r="O134" s="4" t="s">
        <v>51</v>
      </c>
      <c r="P134" s="4" t="s">
        <v>499</v>
      </c>
    </row>
    <row r="135">
      <c r="A135" s="4" t="s">
        <v>829</v>
      </c>
      <c r="B135" s="4">
        <v>26.0</v>
      </c>
      <c r="F135" s="4" t="s">
        <v>830</v>
      </c>
      <c r="G135" s="4" t="s">
        <v>1047</v>
      </c>
      <c r="H135" s="4" t="s">
        <v>43</v>
      </c>
      <c r="I135" s="4" t="s">
        <v>43</v>
      </c>
      <c r="J135" s="4" t="s">
        <v>43</v>
      </c>
      <c r="K135" s="5" t="str">
        <f>HYPERLINK("https://www.instagram.com/p/B5LHPMUHc4O/","Open Post")</f>
        <v>Open Post</v>
      </c>
      <c r="L135" s="4" t="s">
        <v>1052</v>
      </c>
      <c r="M135" s="4" t="s">
        <v>1053</v>
      </c>
      <c r="N135" s="4" t="s">
        <v>1054</v>
      </c>
      <c r="O135" s="4" t="s">
        <v>51</v>
      </c>
      <c r="P135" s="4" t="s">
        <v>1055</v>
      </c>
    </row>
    <row r="136">
      <c r="A136" s="4" t="s">
        <v>829</v>
      </c>
      <c r="B136" s="4">
        <v>27.0</v>
      </c>
      <c r="F136" s="4" t="s">
        <v>830</v>
      </c>
      <c r="G136" s="4" t="s">
        <v>306</v>
      </c>
      <c r="H136" s="4" t="s">
        <v>43</v>
      </c>
      <c r="I136" s="4" t="s">
        <v>43</v>
      </c>
      <c r="J136" s="4" t="s">
        <v>43</v>
      </c>
      <c r="K136" s="5" t="str">
        <f>HYPERLINK("https://www.instagram.com/p/B5K3JaSBMRR/","Open Post")</f>
        <v>Open Post</v>
      </c>
      <c r="L136" s="4" t="s">
        <v>1059</v>
      </c>
      <c r="M136" s="4" t="s">
        <v>49</v>
      </c>
      <c r="N136" s="4" t="s">
        <v>1060</v>
      </c>
      <c r="O136" s="4" t="s">
        <v>51</v>
      </c>
      <c r="P136" s="4" t="s">
        <v>512</v>
      </c>
    </row>
    <row r="137">
      <c r="A137" s="4" t="s">
        <v>829</v>
      </c>
      <c r="B137" s="4">
        <v>28.0</v>
      </c>
      <c r="F137" s="4" t="s">
        <v>830</v>
      </c>
      <c r="G137" s="4" t="s">
        <v>957</v>
      </c>
      <c r="H137" s="4" t="s">
        <v>43</v>
      </c>
      <c r="I137" s="4" t="s">
        <v>43</v>
      </c>
      <c r="J137" s="4" t="s">
        <v>43</v>
      </c>
      <c r="K137" s="5" t="str">
        <f>HYPERLINK("https://www.instagram.com/p/B5ImJRuh5rd/","Open Post")</f>
        <v>Open Post</v>
      </c>
      <c r="L137" s="4" t="s">
        <v>1066</v>
      </c>
      <c r="M137" s="4" t="s">
        <v>49</v>
      </c>
      <c r="N137" s="4" t="s">
        <v>1068</v>
      </c>
      <c r="O137" s="4" t="s">
        <v>51</v>
      </c>
      <c r="P137" s="4" t="s">
        <v>520</v>
      </c>
    </row>
    <row r="138">
      <c r="A138" s="4" t="s">
        <v>829</v>
      </c>
      <c r="B138" s="4">
        <v>29.0</v>
      </c>
      <c r="F138" s="4" t="s">
        <v>830</v>
      </c>
      <c r="G138" s="4" t="s">
        <v>1075</v>
      </c>
      <c r="H138" s="4" t="s">
        <v>43</v>
      </c>
      <c r="I138" s="4" t="s">
        <v>43</v>
      </c>
      <c r="J138" s="4" t="s">
        <v>43</v>
      </c>
      <c r="K138" s="5" t="str">
        <f>HYPERLINK("https://www.instagram.com/p/B5H3j5uiC-q/","Open Post")</f>
        <v>Open Post</v>
      </c>
      <c r="L138" s="4" t="s">
        <v>1078</v>
      </c>
      <c r="M138" s="4" t="s">
        <v>1079</v>
      </c>
      <c r="N138" s="4" t="s">
        <v>1081</v>
      </c>
      <c r="O138" s="4" t="s">
        <v>51</v>
      </c>
      <c r="P138" s="4" t="s">
        <v>528</v>
      </c>
    </row>
    <row r="139">
      <c r="A139" s="4" t="s">
        <v>829</v>
      </c>
      <c r="B139" s="4">
        <v>30.0</v>
      </c>
      <c r="F139" s="4" t="s">
        <v>830</v>
      </c>
      <c r="G139" s="4" t="s">
        <v>871</v>
      </c>
      <c r="H139" s="4" t="s">
        <v>43</v>
      </c>
      <c r="I139" s="4" t="s">
        <v>43</v>
      </c>
      <c r="J139" s="4" t="s">
        <v>43</v>
      </c>
      <c r="K139" s="5" t="str">
        <f>HYPERLINK("https://www.instagram.com/p/B5A1ulaqVmX/","Open Post")</f>
        <v>Open Post</v>
      </c>
      <c r="L139" s="4" t="s">
        <v>1090</v>
      </c>
      <c r="M139" s="4" t="s">
        <v>1092</v>
      </c>
      <c r="N139" s="4" t="s">
        <v>1094</v>
      </c>
      <c r="O139" s="4" t="s">
        <v>51</v>
      </c>
      <c r="P139" s="4" t="s">
        <v>1096</v>
      </c>
    </row>
    <row r="140">
      <c r="A140" s="4" t="s">
        <v>829</v>
      </c>
      <c r="B140" s="4">
        <v>31.0</v>
      </c>
      <c r="F140" s="4" t="s">
        <v>869</v>
      </c>
      <c r="G140" s="4" t="s">
        <v>871</v>
      </c>
      <c r="H140" s="4" t="s">
        <v>43</v>
      </c>
      <c r="I140" s="4" t="s">
        <v>43</v>
      </c>
      <c r="J140" s="4" t="s">
        <v>43</v>
      </c>
      <c r="K140" s="5" t="str">
        <f>HYPERLINK("https://www.instagram.com/p/B5FeKSgILd-/","Open Post")</f>
        <v>Open Post</v>
      </c>
      <c r="L140" s="4" t="s">
        <v>1100</v>
      </c>
      <c r="M140" s="4" t="s">
        <v>1102</v>
      </c>
      <c r="N140" s="4" t="s">
        <v>1103</v>
      </c>
      <c r="O140" s="4" t="s">
        <v>51</v>
      </c>
      <c r="P140" s="4" t="s">
        <v>1105</v>
      </c>
    </row>
    <row r="141">
      <c r="A141" s="4" t="s">
        <v>829</v>
      </c>
      <c r="B141" s="4">
        <v>32.0</v>
      </c>
      <c r="F141" s="4" t="s">
        <v>830</v>
      </c>
      <c r="G141" s="4" t="s">
        <v>431</v>
      </c>
      <c r="H141" s="4" t="s">
        <v>43</v>
      </c>
      <c r="I141" s="4" t="s">
        <v>43</v>
      </c>
      <c r="J141" s="4" t="s">
        <v>43</v>
      </c>
      <c r="K141" s="5" t="str">
        <f>HYPERLINK("https://www.instagram.com/p/B5FBa_5Btjp/","Open Post")</f>
        <v>Open Post</v>
      </c>
      <c r="L141" s="4" t="s">
        <v>1114</v>
      </c>
      <c r="M141" s="4" t="s">
        <v>1030</v>
      </c>
      <c r="N141" s="4" t="s">
        <v>1115</v>
      </c>
      <c r="O141" s="4" t="s">
        <v>51</v>
      </c>
      <c r="P141" s="4" t="s">
        <v>1117</v>
      </c>
    </row>
    <row r="142">
      <c r="A142" s="4" t="s">
        <v>829</v>
      </c>
      <c r="B142" s="4">
        <v>33.0</v>
      </c>
      <c r="F142" s="4" t="s">
        <v>830</v>
      </c>
      <c r="G142" s="4" t="s">
        <v>389</v>
      </c>
      <c r="H142" s="4" t="s">
        <v>43</v>
      </c>
      <c r="I142" s="4" t="s">
        <v>43</v>
      </c>
      <c r="J142" s="4" t="s">
        <v>43</v>
      </c>
      <c r="K142" s="5" t="str">
        <f>HYPERLINK("https://www.instagram.com/p/B5EBlvijB2y/","Open Post")</f>
        <v>Open Post</v>
      </c>
      <c r="L142" s="4" t="s">
        <v>1123</v>
      </c>
      <c r="M142" s="4" t="s">
        <v>1125</v>
      </c>
      <c r="N142" s="4" t="s">
        <v>1128</v>
      </c>
      <c r="O142" s="4" t="s">
        <v>51</v>
      </c>
      <c r="P142" s="4" t="s">
        <v>556</v>
      </c>
    </row>
    <row r="143">
      <c r="A143" s="4" t="s">
        <v>829</v>
      </c>
      <c r="B143" s="4">
        <v>34.0</v>
      </c>
      <c r="F143" s="4" t="s">
        <v>869</v>
      </c>
      <c r="G143" s="4" t="s">
        <v>165</v>
      </c>
      <c r="H143" s="4" t="s">
        <v>43</v>
      </c>
      <c r="I143" s="4" t="s">
        <v>43</v>
      </c>
      <c r="J143" s="4" t="s">
        <v>43</v>
      </c>
      <c r="K143" s="5" t="str">
        <f>HYPERLINK("https://www.instagram.com/p/B5A95fPhU17/","Open Post")</f>
        <v>Open Post</v>
      </c>
      <c r="L143" s="4" t="s">
        <v>1132</v>
      </c>
      <c r="M143" s="4" t="s">
        <v>1134</v>
      </c>
      <c r="N143" s="4" t="s">
        <v>1137</v>
      </c>
      <c r="O143" s="4" t="s">
        <v>51</v>
      </c>
      <c r="P143" s="4" t="s">
        <v>563</v>
      </c>
    </row>
    <row r="144">
      <c r="A144" s="4" t="s">
        <v>829</v>
      </c>
      <c r="B144" s="4">
        <v>35.0</v>
      </c>
      <c r="F144" s="4" t="s">
        <v>830</v>
      </c>
      <c r="G144" s="4" t="s">
        <v>871</v>
      </c>
      <c r="H144" s="4" t="s">
        <v>43</v>
      </c>
      <c r="I144" s="4" t="s">
        <v>43</v>
      </c>
      <c r="J144" s="4" t="s">
        <v>43</v>
      </c>
      <c r="K144" s="5" t="str">
        <f>HYPERLINK("https://www.instagram.com/p/B4-WunMl1AT/","Open Post")</f>
        <v>Open Post</v>
      </c>
      <c r="L144" s="4" t="s">
        <v>1148</v>
      </c>
      <c r="M144" s="4" t="s">
        <v>1150</v>
      </c>
      <c r="N144" s="4" t="s">
        <v>1152</v>
      </c>
      <c r="O144" s="4" t="s">
        <v>51</v>
      </c>
      <c r="P144" s="4" t="s">
        <v>1154</v>
      </c>
    </row>
    <row r="145">
      <c r="A145" s="4" t="s">
        <v>829</v>
      </c>
      <c r="B145" s="4">
        <v>36.0</v>
      </c>
      <c r="F145" s="4" t="s">
        <v>830</v>
      </c>
      <c r="G145" s="4" t="s">
        <v>957</v>
      </c>
      <c r="H145" s="4" t="s">
        <v>43</v>
      </c>
      <c r="I145" s="4" t="s">
        <v>43</v>
      </c>
      <c r="J145" s="4" t="s">
        <v>43</v>
      </c>
      <c r="K145" s="5" t="str">
        <f>HYPERLINK("https://www.instagram.com/p/B477z_ogIt_/","Open Post")</f>
        <v>Open Post</v>
      </c>
      <c r="L145" s="4" t="s">
        <v>1162</v>
      </c>
      <c r="M145" s="4" t="s">
        <v>49</v>
      </c>
      <c r="N145" s="4" t="s">
        <v>1164</v>
      </c>
      <c r="O145" s="4" t="s">
        <v>51</v>
      </c>
      <c r="P145" s="4" t="s">
        <v>578</v>
      </c>
    </row>
    <row r="146">
      <c r="A146" s="4" t="s">
        <v>829</v>
      </c>
      <c r="B146" s="4">
        <v>37.0</v>
      </c>
      <c r="F146" s="4" t="s">
        <v>830</v>
      </c>
      <c r="G146" s="4" t="s">
        <v>1047</v>
      </c>
      <c r="H146" s="4" t="s">
        <v>43</v>
      </c>
      <c r="I146" s="4" t="s">
        <v>43</v>
      </c>
      <c r="J146" s="4" t="s">
        <v>43</v>
      </c>
      <c r="K146" s="5" t="str">
        <f>HYPERLINK("https://www.instagram.com/p/B44gq2unyxi/","Open Post")</f>
        <v>Open Post</v>
      </c>
      <c r="L146" s="4" t="s">
        <v>1172</v>
      </c>
      <c r="M146" s="4" t="s">
        <v>1174</v>
      </c>
      <c r="N146" s="4" t="s">
        <v>1177</v>
      </c>
      <c r="O146" s="4" t="s">
        <v>51</v>
      </c>
      <c r="P146" s="4" t="s">
        <v>584</v>
      </c>
    </row>
    <row r="147">
      <c r="A147" s="4" t="s">
        <v>829</v>
      </c>
      <c r="B147" s="4">
        <v>38.0</v>
      </c>
      <c r="F147" s="4" t="s">
        <v>830</v>
      </c>
      <c r="G147" s="4" t="s">
        <v>306</v>
      </c>
      <c r="H147" s="4" t="s">
        <v>43</v>
      </c>
      <c r="I147" s="4" t="s">
        <v>43</v>
      </c>
      <c r="J147" s="4" t="s">
        <v>43</v>
      </c>
      <c r="K147" s="5" t="str">
        <f>HYPERLINK("https://www.instagram.com/p/B44CyuapV-d/","Open Post")</f>
        <v>Open Post</v>
      </c>
      <c r="L147" s="4" t="s">
        <v>1185</v>
      </c>
      <c r="M147" s="4" t="s">
        <v>49</v>
      </c>
      <c r="N147" s="4" t="s">
        <v>1187</v>
      </c>
      <c r="O147" s="4" t="s">
        <v>51</v>
      </c>
      <c r="P147" s="4" t="s">
        <v>592</v>
      </c>
    </row>
    <row r="148">
      <c r="A148" s="4" t="s">
        <v>829</v>
      </c>
      <c r="B148" s="4">
        <v>39.0</v>
      </c>
      <c r="F148" s="4" t="s">
        <v>830</v>
      </c>
      <c r="G148" s="4" t="s">
        <v>1047</v>
      </c>
      <c r="H148" s="4" t="s">
        <v>43</v>
      </c>
      <c r="I148" s="4" t="s">
        <v>43</v>
      </c>
      <c r="J148" s="4" t="s">
        <v>43</v>
      </c>
      <c r="K148" s="5" t="str">
        <f>HYPERLINK("https://www.instagram.com/p/B439xm5AaVJ/","Open Post")</f>
        <v>Open Post</v>
      </c>
      <c r="L148" s="4" t="s">
        <v>1193</v>
      </c>
      <c r="M148" s="4" t="s">
        <v>1194</v>
      </c>
      <c r="N148" s="4" t="s">
        <v>1195</v>
      </c>
      <c r="O148" s="4" t="s">
        <v>51</v>
      </c>
      <c r="P148" s="4" t="s">
        <v>602</v>
      </c>
    </row>
    <row r="149">
      <c r="A149" s="4" t="s">
        <v>829</v>
      </c>
      <c r="B149" s="4">
        <v>40.0</v>
      </c>
      <c r="F149" s="4" t="s">
        <v>830</v>
      </c>
      <c r="G149" s="4" t="s">
        <v>862</v>
      </c>
      <c r="H149" s="4" t="s">
        <v>43</v>
      </c>
      <c r="I149" s="4" t="s">
        <v>43</v>
      </c>
      <c r="J149" s="4" t="s">
        <v>43</v>
      </c>
      <c r="K149" s="5" t="str">
        <f>HYPERLINK("https://www.instagram.com/p/B436inXJg0I/","Open Post")</f>
        <v>Open Post</v>
      </c>
      <c r="L149" s="4" t="s">
        <v>1200</v>
      </c>
      <c r="M149" s="4" t="s">
        <v>1202</v>
      </c>
      <c r="N149" s="4" t="s">
        <v>1203</v>
      </c>
      <c r="O149" s="4" t="s">
        <v>51</v>
      </c>
      <c r="P149" s="4" t="s">
        <v>613</v>
      </c>
    </row>
    <row r="150">
      <c r="A150" s="4" t="s">
        <v>829</v>
      </c>
      <c r="B150" s="4">
        <v>41.0</v>
      </c>
      <c r="F150" s="4" t="s">
        <v>830</v>
      </c>
      <c r="G150" s="4" t="s">
        <v>661</v>
      </c>
      <c r="H150" s="4" t="s">
        <v>43</v>
      </c>
      <c r="I150" s="4" t="s">
        <v>43</v>
      </c>
      <c r="J150" s="4" t="s">
        <v>43</v>
      </c>
      <c r="K150" s="5" t="str">
        <f>HYPERLINK("https://www.instagram.com/p/B43t74lgpKV/","Open Post")</f>
        <v>Open Post</v>
      </c>
      <c r="L150" s="4" t="s">
        <v>1211</v>
      </c>
      <c r="M150" s="4" t="s">
        <v>1215</v>
      </c>
      <c r="N150" s="4" t="s">
        <v>1216</v>
      </c>
      <c r="O150" s="4" t="s">
        <v>51</v>
      </c>
      <c r="P150" s="4" t="s">
        <v>624</v>
      </c>
    </row>
    <row r="151">
      <c r="A151" s="4" t="s">
        <v>829</v>
      </c>
      <c r="B151" s="4">
        <v>42.0</v>
      </c>
      <c r="F151" s="4" t="s">
        <v>830</v>
      </c>
      <c r="G151" s="4" t="s">
        <v>661</v>
      </c>
      <c r="H151" s="4" t="s">
        <v>43</v>
      </c>
      <c r="I151" s="4" t="s">
        <v>43</v>
      </c>
      <c r="J151" s="4" t="s">
        <v>43</v>
      </c>
      <c r="K151" s="5" t="str">
        <f>HYPERLINK("https://www.instagram.com/p/B42lW3FHJYO/","Open Post")</f>
        <v>Open Post</v>
      </c>
      <c r="L151" s="4" t="s">
        <v>1225</v>
      </c>
      <c r="M151" s="4" t="s">
        <v>1226</v>
      </c>
      <c r="N151" s="4" t="s">
        <v>1228</v>
      </c>
      <c r="O151" s="4" t="s">
        <v>51</v>
      </c>
      <c r="P151" s="4" t="s">
        <v>636</v>
      </c>
    </row>
    <row r="152">
      <c r="A152" s="4" t="s">
        <v>829</v>
      </c>
      <c r="B152" s="4">
        <v>43.0</v>
      </c>
      <c r="F152" s="4" t="s">
        <v>830</v>
      </c>
      <c r="G152" s="4" t="s">
        <v>58</v>
      </c>
      <c r="H152" s="4" t="s">
        <v>43</v>
      </c>
      <c r="I152" s="4" t="s">
        <v>43</v>
      </c>
      <c r="J152" s="4" t="s">
        <v>43</v>
      </c>
      <c r="K152" s="5" t="str">
        <f>HYPERLINK("https://www.instagram.com/p/B4y5RxHhg8G/","Open Post")</f>
        <v>Open Post</v>
      </c>
      <c r="L152" s="4" t="s">
        <v>1238</v>
      </c>
      <c r="M152" s="4" t="s">
        <v>1030</v>
      </c>
      <c r="N152" s="4" t="s">
        <v>1240</v>
      </c>
      <c r="O152" s="4" t="s">
        <v>51</v>
      </c>
      <c r="P152" s="4" t="s">
        <v>647</v>
      </c>
    </row>
    <row r="153">
      <c r="A153" s="4" t="s">
        <v>829</v>
      </c>
      <c r="B153" s="4">
        <v>44.0</v>
      </c>
      <c r="F153" s="4" t="s">
        <v>830</v>
      </c>
      <c r="G153" s="4" t="s">
        <v>1245</v>
      </c>
      <c r="H153" s="4" t="s">
        <v>43</v>
      </c>
      <c r="I153" s="4" t="s">
        <v>43</v>
      </c>
      <c r="J153" s="4" t="s">
        <v>43</v>
      </c>
      <c r="K153" s="5" t="str">
        <f>HYPERLINK("https://www.instagram.com/p/B4wZqrqgHC2/","Open Post")</f>
        <v>Open Post</v>
      </c>
      <c r="L153" s="4" t="s">
        <v>1250</v>
      </c>
      <c r="M153" s="4" t="s">
        <v>1252</v>
      </c>
      <c r="N153" s="4" t="s">
        <v>1253</v>
      </c>
      <c r="O153" s="4" t="s">
        <v>51</v>
      </c>
      <c r="P153" s="4" t="s">
        <v>656</v>
      </c>
    </row>
    <row r="154">
      <c r="A154" s="4" t="s">
        <v>829</v>
      </c>
      <c r="B154" s="4">
        <v>45.0</v>
      </c>
      <c r="F154" s="4" t="s">
        <v>869</v>
      </c>
      <c r="G154" s="4" t="s">
        <v>165</v>
      </c>
      <c r="H154" s="4" t="s">
        <v>43</v>
      </c>
      <c r="I154" s="4" t="s">
        <v>43</v>
      </c>
      <c r="J154" s="4" t="s">
        <v>43</v>
      </c>
      <c r="K154" s="5" t="str">
        <f>HYPERLINK("https://www.instagram.com/p/B4uvmuRqpCM/","Open Post")</f>
        <v>Open Post</v>
      </c>
      <c r="L154" s="4" t="s">
        <v>1261</v>
      </c>
      <c r="M154" s="4" t="s">
        <v>1263</v>
      </c>
      <c r="N154" s="4" t="s">
        <v>1264</v>
      </c>
      <c r="O154" s="4" t="s">
        <v>51</v>
      </c>
      <c r="P154" s="4" t="s">
        <v>669</v>
      </c>
    </row>
    <row r="155">
      <c r="A155" s="4" t="s">
        <v>829</v>
      </c>
      <c r="B155" s="4">
        <v>46.0</v>
      </c>
      <c r="F155" s="4" t="s">
        <v>830</v>
      </c>
      <c r="G155" s="4" t="s">
        <v>1268</v>
      </c>
      <c r="H155" s="4" t="s">
        <v>43</v>
      </c>
      <c r="I155" s="4" t="s">
        <v>43</v>
      </c>
      <c r="J155" s="4" t="s">
        <v>43</v>
      </c>
      <c r="K155" s="5" t="str">
        <f>HYPERLINK("https://www.instagram.com/p/B4rcDiaFE0L/","Open Post")</f>
        <v>Open Post</v>
      </c>
      <c r="L155" s="4" t="s">
        <v>1273</v>
      </c>
      <c r="M155" s="4" t="s">
        <v>1274</v>
      </c>
      <c r="N155" s="4" t="s">
        <v>1275</v>
      </c>
      <c r="O155" s="4" t="s">
        <v>51</v>
      </c>
      <c r="P155" s="4" t="s">
        <v>676</v>
      </c>
    </row>
    <row r="156">
      <c r="A156" s="4" t="s">
        <v>829</v>
      </c>
      <c r="B156" s="4">
        <v>47.0</v>
      </c>
      <c r="F156" s="4" t="s">
        <v>830</v>
      </c>
      <c r="G156" s="4" t="s">
        <v>951</v>
      </c>
      <c r="H156" s="4" t="s">
        <v>43</v>
      </c>
      <c r="I156" s="4" t="s">
        <v>43</v>
      </c>
      <c r="J156" s="4" t="s">
        <v>43</v>
      </c>
      <c r="K156" s="5" t="str">
        <f>HYPERLINK("https://www.instagram.com/p/B4jskBfH1SU/","Open Post")</f>
        <v>Open Post</v>
      </c>
      <c r="L156" s="4" t="s">
        <v>1285</v>
      </c>
      <c r="M156" s="4" t="s">
        <v>1286</v>
      </c>
      <c r="N156" s="4" t="s">
        <v>1287</v>
      </c>
      <c r="O156" s="4" t="s">
        <v>51</v>
      </c>
      <c r="P156" s="4" t="s">
        <v>683</v>
      </c>
    </row>
    <row r="157">
      <c r="A157" s="4" t="s">
        <v>829</v>
      </c>
      <c r="B157" s="4">
        <v>48.0</v>
      </c>
      <c r="F157" s="4" t="s">
        <v>869</v>
      </c>
      <c r="G157" s="4" t="s">
        <v>165</v>
      </c>
      <c r="H157" s="4" t="s">
        <v>43</v>
      </c>
      <c r="I157" s="4" t="s">
        <v>43</v>
      </c>
      <c r="J157" s="4" t="s">
        <v>43</v>
      </c>
      <c r="K157" s="5" t="str">
        <f>HYPERLINK("https://www.instagram.com/p/B4jrNIRDCum/","Open Post")</f>
        <v>Open Post</v>
      </c>
      <c r="L157" s="4" t="s">
        <v>1292</v>
      </c>
      <c r="M157" s="4" t="s">
        <v>1295</v>
      </c>
      <c r="N157" s="4" t="s">
        <v>1296</v>
      </c>
      <c r="O157" s="4" t="s">
        <v>51</v>
      </c>
      <c r="P157" s="4" t="s">
        <v>697</v>
      </c>
    </row>
    <row r="158">
      <c r="A158" s="4" t="s">
        <v>829</v>
      </c>
      <c r="B158" s="4">
        <v>49.0</v>
      </c>
      <c r="F158" s="4" t="s">
        <v>830</v>
      </c>
      <c r="G158" s="4" t="s">
        <v>661</v>
      </c>
      <c r="H158" s="4" t="s">
        <v>43</v>
      </c>
      <c r="I158" s="4" t="s">
        <v>43</v>
      </c>
      <c r="J158" s="4" t="s">
        <v>43</v>
      </c>
      <c r="K158" s="5" t="str">
        <f>HYPERLINK("https://www.instagram.com/p/B4gHkJzAkVl/","Open Post")</f>
        <v>Open Post</v>
      </c>
      <c r="L158" s="4" t="s">
        <v>1299</v>
      </c>
      <c r="M158" s="4" t="s">
        <v>1300</v>
      </c>
      <c r="N158" s="4" t="s">
        <v>1301</v>
      </c>
      <c r="O158" s="4" t="s">
        <v>51</v>
      </c>
      <c r="P158" s="4" t="s">
        <v>704</v>
      </c>
    </row>
    <row r="159">
      <c r="A159" s="4" t="s">
        <v>829</v>
      </c>
      <c r="B159" s="4">
        <v>50.0</v>
      </c>
      <c r="F159" s="4" t="s">
        <v>830</v>
      </c>
      <c r="G159" s="4" t="s">
        <v>58</v>
      </c>
      <c r="H159" s="4" t="s">
        <v>43</v>
      </c>
      <c r="I159" s="4" t="s">
        <v>43</v>
      </c>
      <c r="J159" s="4" t="s">
        <v>43</v>
      </c>
      <c r="K159" s="5" t="str">
        <f>HYPERLINK("https://www.instagram.com/p/B4bupubBHdH/","Open Post")</f>
        <v>Open Post</v>
      </c>
      <c r="L159" s="4" t="s">
        <v>1308</v>
      </c>
      <c r="M159" s="4" t="s">
        <v>1309</v>
      </c>
      <c r="N159" s="4" t="s">
        <v>1310</v>
      </c>
      <c r="O159" s="4" t="s">
        <v>51</v>
      </c>
      <c r="P159" s="4" t="s">
        <v>711</v>
      </c>
    </row>
    <row r="160">
      <c r="A160" s="4" t="s">
        <v>829</v>
      </c>
      <c r="B160" s="4">
        <v>51.0</v>
      </c>
      <c r="F160" s="4" t="s">
        <v>869</v>
      </c>
      <c r="G160" s="4" t="s">
        <v>257</v>
      </c>
      <c r="H160" s="4" t="s">
        <v>43</v>
      </c>
      <c r="I160" s="4" t="s">
        <v>43</v>
      </c>
      <c r="J160" s="4" t="s">
        <v>43</v>
      </c>
      <c r="K160" s="5" t="str">
        <f>HYPERLINK("https://www.instagram.com/p/B4X2vb-Js4l/","Open Post")</f>
        <v>Open Post</v>
      </c>
      <c r="L160" s="4" t="s">
        <v>1318</v>
      </c>
      <c r="M160" s="4" t="s">
        <v>1319</v>
      </c>
      <c r="N160" s="4" t="s">
        <v>1320</v>
      </c>
      <c r="O160" s="4" t="s">
        <v>51</v>
      </c>
      <c r="P160" s="4" t="s">
        <v>721</v>
      </c>
    </row>
    <row r="161">
      <c r="A161" s="4" t="s">
        <v>829</v>
      </c>
      <c r="B161" s="4">
        <v>52.0</v>
      </c>
      <c r="F161" s="4" t="s">
        <v>869</v>
      </c>
      <c r="G161" s="4" t="s">
        <v>862</v>
      </c>
      <c r="H161" s="4" t="s">
        <v>43</v>
      </c>
      <c r="I161" s="4" t="s">
        <v>43</v>
      </c>
      <c r="J161" s="4" t="s">
        <v>43</v>
      </c>
      <c r="K161" s="5" t="str">
        <f>HYPERLINK("https://www.instagram.com/p/B4UNjbQhCcM/","Open Post")</f>
        <v>Open Post</v>
      </c>
      <c r="L161" s="4" t="s">
        <v>1328</v>
      </c>
      <c r="M161" s="4" t="s">
        <v>1329</v>
      </c>
      <c r="N161" s="4" t="s">
        <v>1330</v>
      </c>
      <c r="O161" s="4" t="s">
        <v>51</v>
      </c>
      <c r="P161" s="4" t="s">
        <v>726</v>
      </c>
    </row>
    <row r="162">
      <c r="A162" s="4" t="s">
        <v>829</v>
      </c>
      <c r="B162" s="4">
        <v>53.0</v>
      </c>
      <c r="F162" s="4" t="s">
        <v>830</v>
      </c>
      <c r="G162" s="4" t="s">
        <v>661</v>
      </c>
      <c r="H162" s="4" t="s">
        <v>43</v>
      </c>
      <c r="I162" s="4" t="s">
        <v>43</v>
      </c>
      <c r="J162" s="4" t="s">
        <v>43</v>
      </c>
      <c r="K162" s="5" t="str">
        <f>HYPERLINK("https://www.instagram.com/p/B4ScmS_hbAq/","Open Post")</f>
        <v>Open Post</v>
      </c>
      <c r="L162" s="4" t="s">
        <v>1341</v>
      </c>
      <c r="M162" s="4" t="s">
        <v>1342</v>
      </c>
      <c r="N162" s="4" t="s">
        <v>1343</v>
      </c>
      <c r="O162" s="4" t="s">
        <v>51</v>
      </c>
      <c r="P162" s="4" t="s">
        <v>734</v>
      </c>
    </row>
    <row r="163">
      <c r="A163" s="4" t="s">
        <v>829</v>
      </c>
      <c r="B163" s="4">
        <v>54.0</v>
      </c>
      <c r="F163" s="4" t="s">
        <v>830</v>
      </c>
      <c r="G163" s="4" t="s">
        <v>951</v>
      </c>
      <c r="H163" s="4" t="s">
        <v>43</v>
      </c>
      <c r="I163" s="4" t="s">
        <v>43</v>
      </c>
      <c r="J163" s="4" t="s">
        <v>43</v>
      </c>
      <c r="K163" s="5" t="str">
        <f>HYPERLINK("https://www.instagram.com/p/B4SNBYMnrlR/","Open Post")</f>
        <v>Open Post</v>
      </c>
      <c r="L163" s="4" t="s">
        <v>1354</v>
      </c>
      <c r="M163" s="4" t="s">
        <v>1355</v>
      </c>
      <c r="N163" s="4" t="s">
        <v>1356</v>
      </c>
      <c r="O163" s="4" t="s">
        <v>51</v>
      </c>
      <c r="P163" s="4" t="s">
        <v>741</v>
      </c>
    </row>
    <row r="164">
      <c r="A164" s="4" t="s">
        <v>829</v>
      </c>
      <c r="B164" s="4">
        <v>55.0</v>
      </c>
      <c r="F164" s="4" t="s">
        <v>830</v>
      </c>
      <c r="G164" s="4" t="s">
        <v>951</v>
      </c>
      <c r="H164" s="4" t="s">
        <v>43</v>
      </c>
      <c r="I164" s="4" t="s">
        <v>43</v>
      </c>
      <c r="J164" s="4" t="s">
        <v>43</v>
      </c>
      <c r="K164" s="5" t="str">
        <f>HYPERLINK("https://www.instagram.com/p/B4SM77cnHmi/","Open Post")</f>
        <v>Open Post</v>
      </c>
      <c r="L164" s="4" t="s">
        <v>1362</v>
      </c>
      <c r="M164" s="4" t="s">
        <v>1355</v>
      </c>
      <c r="N164" s="4" t="s">
        <v>1363</v>
      </c>
      <c r="O164" s="4" t="s">
        <v>51</v>
      </c>
      <c r="P164" s="4" t="s">
        <v>746</v>
      </c>
    </row>
    <row r="165">
      <c r="A165" s="4" t="s">
        <v>829</v>
      </c>
      <c r="B165" s="4">
        <v>56.0</v>
      </c>
      <c r="F165" s="4" t="s">
        <v>830</v>
      </c>
      <c r="G165" s="4" t="s">
        <v>661</v>
      </c>
      <c r="H165" s="4" t="s">
        <v>43</v>
      </c>
      <c r="I165" s="4" t="s">
        <v>43</v>
      </c>
      <c r="J165" s="4" t="s">
        <v>43</v>
      </c>
      <c r="K165" s="5" t="str">
        <f>HYPERLINK("https://www.instagram.com/p/B4QGFZwhG1t/","Open Post")</f>
        <v>Open Post</v>
      </c>
      <c r="L165" s="4" t="s">
        <v>1370</v>
      </c>
      <c r="M165" s="4" t="s">
        <v>1372</v>
      </c>
      <c r="N165" s="4" t="s">
        <v>1375</v>
      </c>
      <c r="O165" s="4" t="s">
        <v>51</v>
      </c>
      <c r="P165" s="4" t="s">
        <v>755</v>
      </c>
    </row>
    <row r="166">
      <c r="A166" s="4" t="s">
        <v>829</v>
      </c>
      <c r="B166" s="4">
        <v>57.0</v>
      </c>
      <c r="F166" s="4" t="s">
        <v>830</v>
      </c>
      <c r="G166" s="4" t="s">
        <v>661</v>
      </c>
      <c r="H166" s="4" t="s">
        <v>43</v>
      </c>
      <c r="I166" s="4" t="s">
        <v>43</v>
      </c>
      <c r="J166" s="4" t="s">
        <v>43</v>
      </c>
      <c r="K166" s="5" t="str">
        <f>HYPERLINK("https://www.instagram.com/p/B4QCKNwpYpq/","Open Post")</f>
        <v>Open Post</v>
      </c>
      <c r="L166" s="4" t="s">
        <v>1379</v>
      </c>
      <c r="M166" s="4" t="s">
        <v>1380</v>
      </c>
      <c r="N166" s="4" t="s">
        <v>1381</v>
      </c>
      <c r="O166" s="4" t="s">
        <v>51</v>
      </c>
      <c r="P166" s="4" t="s">
        <v>761</v>
      </c>
    </row>
    <row r="167">
      <c r="A167" s="4" t="s">
        <v>829</v>
      </c>
      <c r="B167" s="4">
        <v>58.0</v>
      </c>
      <c r="F167" s="4" t="s">
        <v>830</v>
      </c>
      <c r="G167" s="4" t="s">
        <v>431</v>
      </c>
      <c r="H167" s="4" t="s">
        <v>43</v>
      </c>
      <c r="I167" s="4" t="s">
        <v>43</v>
      </c>
      <c r="J167" s="4" t="s">
        <v>43</v>
      </c>
      <c r="K167" s="5" t="str">
        <f>HYPERLINK("https://www.instagram.com/p/B4P_b0YpxBt/","Open Post")</f>
        <v>Open Post</v>
      </c>
      <c r="L167" s="4" t="s">
        <v>1390</v>
      </c>
      <c r="M167" s="4" t="s">
        <v>1391</v>
      </c>
      <c r="N167" s="4" t="s">
        <v>1393</v>
      </c>
      <c r="O167" s="4" t="s">
        <v>51</v>
      </c>
      <c r="P167" s="4" t="s">
        <v>770</v>
      </c>
    </row>
    <row r="168">
      <c r="A168" s="4" t="s">
        <v>829</v>
      </c>
      <c r="B168" s="4">
        <v>59.0</v>
      </c>
      <c r="F168" s="4" t="s">
        <v>869</v>
      </c>
      <c r="G168" s="4" t="s">
        <v>862</v>
      </c>
      <c r="H168" s="4" t="s">
        <v>43</v>
      </c>
      <c r="I168" s="4" t="s">
        <v>43</v>
      </c>
      <c r="J168" s="4" t="s">
        <v>43</v>
      </c>
      <c r="K168" s="5" t="str">
        <f>HYPERLINK("https://www.instagram.com/p/B4P-8oPI9Z-/","Open Post")</f>
        <v>Open Post</v>
      </c>
      <c r="L168" s="4" t="s">
        <v>1396</v>
      </c>
      <c r="M168" s="4" t="s">
        <v>1397</v>
      </c>
      <c r="N168" s="4" t="s">
        <v>1398</v>
      </c>
      <c r="O168" s="4" t="s">
        <v>51</v>
      </c>
      <c r="P168" s="4" t="s">
        <v>776</v>
      </c>
    </row>
    <row r="169">
      <c r="A169" s="4" t="s">
        <v>829</v>
      </c>
      <c r="B169" s="4">
        <v>60.0</v>
      </c>
      <c r="F169" s="4" t="s">
        <v>830</v>
      </c>
      <c r="G169" s="4" t="s">
        <v>1403</v>
      </c>
      <c r="H169" s="4" t="s">
        <v>43</v>
      </c>
      <c r="I169" s="4" t="s">
        <v>43</v>
      </c>
      <c r="J169" s="4" t="s">
        <v>43</v>
      </c>
      <c r="K169" s="5" t="str">
        <f>HYPERLINK("https://www.instagram.com/p/B4P6QogHYuQ/","Open Post")</f>
        <v>Open Post</v>
      </c>
      <c r="L169" s="4" t="s">
        <v>1410</v>
      </c>
      <c r="M169" s="4" t="s">
        <v>1411</v>
      </c>
      <c r="N169" s="4" t="s">
        <v>1412</v>
      </c>
      <c r="O169" s="4" t="s">
        <v>51</v>
      </c>
      <c r="P169" s="4" t="s">
        <v>781</v>
      </c>
    </row>
    <row r="170">
      <c r="A170" s="4" t="s">
        <v>829</v>
      </c>
      <c r="B170" s="4">
        <v>61.0</v>
      </c>
      <c r="F170" s="4" t="s">
        <v>830</v>
      </c>
      <c r="G170" s="4" t="s">
        <v>1047</v>
      </c>
      <c r="H170" s="4" t="s">
        <v>43</v>
      </c>
      <c r="I170" s="4" t="s">
        <v>43</v>
      </c>
      <c r="J170" s="4" t="s">
        <v>43</v>
      </c>
      <c r="K170" s="5" t="str">
        <f>HYPERLINK("https://www.instagram.com/p/B4Pyy1_j1CU/","Open Post")</f>
        <v>Open Post</v>
      </c>
      <c r="L170" s="4" t="s">
        <v>1420</v>
      </c>
      <c r="M170" s="4" t="s">
        <v>1421</v>
      </c>
      <c r="N170" s="4" t="s">
        <v>1423</v>
      </c>
      <c r="O170" s="4" t="s">
        <v>51</v>
      </c>
      <c r="P170" s="4" t="s">
        <v>790</v>
      </c>
    </row>
    <row r="171">
      <c r="A171" s="4" t="s">
        <v>829</v>
      </c>
      <c r="B171" s="4">
        <v>62.0</v>
      </c>
      <c r="F171" s="4" t="s">
        <v>830</v>
      </c>
      <c r="G171" s="4" t="s">
        <v>661</v>
      </c>
      <c r="H171" s="4" t="s">
        <v>43</v>
      </c>
      <c r="I171" s="4" t="s">
        <v>43</v>
      </c>
      <c r="J171" s="4" t="s">
        <v>43</v>
      </c>
      <c r="K171" s="5" t="str">
        <f>HYPERLINK("https://www.instagram.com/p/B4PxwJ9h7f6/","Open Post")</f>
        <v>Open Post</v>
      </c>
      <c r="L171" s="4" t="s">
        <v>1432</v>
      </c>
      <c r="M171" s="4" t="s">
        <v>1433</v>
      </c>
      <c r="N171" s="4" t="s">
        <v>1434</v>
      </c>
      <c r="O171" s="4" t="s">
        <v>51</v>
      </c>
      <c r="P171" s="4" t="s">
        <v>797</v>
      </c>
    </row>
    <row r="172">
      <c r="A172" s="4" t="s">
        <v>829</v>
      </c>
      <c r="B172" s="4">
        <v>63.0</v>
      </c>
      <c r="F172" s="4" t="s">
        <v>830</v>
      </c>
      <c r="G172" s="4" t="s">
        <v>306</v>
      </c>
      <c r="H172" s="4" t="s">
        <v>43</v>
      </c>
      <c r="I172" s="4" t="s">
        <v>43</v>
      </c>
      <c r="J172" s="4" t="s">
        <v>43</v>
      </c>
      <c r="K172" s="5" t="str">
        <f>HYPERLINK("https://www.instagram.com/p/B4Pn39poiil/","Open Post")</f>
        <v>Open Post</v>
      </c>
      <c r="L172" s="4" t="s">
        <v>1442</v>
      </c>
      <c r="M172" s="4" t="s">
        <v>49</v>
      </c>
      <c r="N172" s="4" t="s">
        <v>1443</v>
      </c>
      <c r="O172" s="4" t="s">
        <v>51</v>
      </c>
      <c r="P172" s="4" t="s">
        <v>802</v>
      </c>
    </row>
    <row r="173">
      <c r="A173" s="4" t="s">
        <v>829</v>
      </c>
      <c r="B173" s="4">
        <v>64.0</v>
      </c>
      <c r="F173" s="4" t="s">
        <v>830</v>
      </c>
      <c r="G173" s="4" t="s">
        <v>661</v>
      </c>
      <c r="H173" s="4" t="s">
        <v>43</v>
      </c>
      <c r="I173" s="4" t="s">
        <v>43</v>
      </c>
      <c r="J173" s="4" t="s">
        <v>43</v>
      </c>
      <c r="K173" s="5" t="str">
        <f>HYPERLINK("https://www.instagram.com/p/B4Pj7E6Hjen/","Open Post")</f>
        <v>Open Post</v>
      </c>
      <c r="L173" s="4" t="s">
        <v>1447</v>
      </c>
      <c r="M173" s="4" t="s">
        <v>1448</v>
      </c>
      <c r="N173" s="4" t="s">
        <v>1449</v>
      </c>
      <c r="O173" s="4" t="s">
        <v>51</v>
      </c>
      <c r="P173" s="4" t="s">
        <v>811</v>
      </c>
    </row>
    <row r="174">
      <c r="A174" s="4" t="s">
        <v>829</v>
      </c>
      <c r="B174" s="4">
        <v>65.0</v>
      </c>
      <c r="F174" s="4" t="s">
        <v>830</v>
      </c>
      <c r="G174" s="4" t="s">
        <v>852</v>
      </c>
      <c r="H174" s="4" t="s">
        <v>43</v>
      </c>
      <c r="I174" s="4" t="s">
        <v>43</v>
      </c>
      <c r="J174" s="4" t="s">
        <v>43</v>
      </c>
      <c r="K174" s="5" t="str">
        <f>HYPERLINK("https://www.instagram.com/p/B4Pi2jHnzHb/","Open Post")</f>
        <v>Open Post</v>
      </c>
      <c r="L174" s="4" t="s">
        <v>1454</v>
      </c>
      <c r="M174" s="4" t="s">
        <v>1456</v>
      </c>
      <c r="N174" s="4" t="s">
        <v>1457</v>
      </c>
      <c r="O174" s="4" t="s">
        <v>51</v>
      </c>
      <c r="P174" s="4" t="s">
        <v>817</v>
      </c>
    </row>
    <row r="175">
      <c r="A175" s="4" t="s">
        <v>829</v>
      </c>
      <c r="B175" s="4">
        <v>66.0</v>
      </c>
      <c r="F175" s="4" t="s">
        <v>57</v>
      </c>
      <c r="G175" s="4" t="s">
        <v>862</v>
      </c>
      <c r="H175" s="4" t="s">
        <v>43</v>
      </c>
      <c r="I175" s="4" t="s">
        <v>43</v>
      </c>
      <c r="J175" s="4" t="s">
        <v>43</v>
      </c>
      <c r="K175" s="5" t="str">
        <f>HYPERLINK("https://www.instagram.com/reel/B4PXeOxp9P8/","Open Reel")</f>
        <v>Open Reel</v>
      </c>
      <c r="L175" s="4" t="s">
        <v>1460</v>
      </c>
      <c r="M175" s="4" t="s">
        <v>1461</v>
      </c>
      <c r="N175" s="4" t="s">
        <v>1463</v>
      </c>
      <c r="O175" s="4" t="s">
        <v>51</v>
      </c>
      <c r="P175" s="4" t="s">
        <v>826</v>
      </c>
    </row>
    <row r="176">
      <c r="A176" s="4" t="s">
        <v>829</v>
      </c>
      <c r="B176" s="4">
        <v>67.0</v>
      </c>
      <c r="F176" s="4" t="s">
        <v>830</v>
      </c>
      <c r="G176" s="4" t="s">
        <v>1467</v>
      </c>
      <c r="H176" s="4" t="s">
        <v>43</v>
      </c>
      <c r="I176" s="4" t="s">
        <v>43</v>
      </c>
      <c r="J176" s="4" t="s">
        <v>43</v>
      </c>
      <c r="K176" s="5" t="str">
        <f>HYPERLINK("https://www.instagram.com/p/B4PWj8ShtPb/","Open Post")</f>
        <v>Open Post</v>
      </c>
      <c r="L176" s="4" t="s">
        <v>1468</v>
      </c>
      <c r="M176" s="4" t="s">
        <v>1469</v>
      </c>
      <c r="N176" s="4" t="s">
        <v>1470</v>
      </c>
      <c r="O176" s="4" t="s">
        <v>51</v>
      </c>
      <c r="P176" s="4" t="s">
        <v>1471</v>
      </c>
    </row>
    <row r="177">
      <c r="A177" s="4" t="s">
        <v>829</v>
      </c>
      <c r="B177" s="4">
        <v>68.0</v>
      </c>
      <c r="F177" s="4" t="s">
        <v>830</v>
      </c>
      <c r="G177" s="4" t="s">
        <v>852</v>
      </c>
      <c r="H177" s="4" t="s">
        <v>43</v>
      </c>
      <c r="I177" s="4" t="s">
        <v>43</v>
      </c>
      <c r="J177" s="4" t="s">
        <v>43</v>
      </c>
      <c r="K177" s="5" t="str">
        <f>HYPERLINK("https://www.instagram.com/p/B4PVNC9JabO/","Open Post")</f>
        <v>Open Post</v>
      </c>
      <c r="L177" s="4" t="s">
        <v>1473</v>
      </c>
      <c r="M177" s="4" t="s">
        <v>1474</v>
      </c>
      <c r="N177" s="4" t="s">
        <v>1475</v>
      </c>
      <c r="O177" s="4" t="s">
        <v>51</v>
      </c>
      <c r="P177" s="4" t="s">
        <v>1477</v>
      </c>
    </row>
    <row r="178">
      <c r="A178" s="4" t="s">
        <v>829</v>
      </c>
      <c r="B178" s="4">
        <v>69.0</v>
      </c>
      <c r="F178" s="4" t="s">
        <v>830</v>
      </c>
      <c r="G178" s="4" t="s">
        <v>165</v>
      </c>
      <c r="H178" s="4" t="s">
        <v>43</v>
      </c>
      <c r="I178" s="4" t="s">
        <v>43</v>
      </c>
      <c r="J178" s="4" t="s">
        <v>43</v>
      </c>
      <c r="K178" s="5" t="str">
        <f>HYPERLINK("https://www.instagram.com/p/B4PB2idjLKF/","Open Post")</f>
        <v>Open Post</v>
      </c>
      <c r="L178" s="4" t="s">
        <v>1481</v>
      </c>
      <c r="M178" s="4" t="s">
        <v>1484</v>
      </c>
      <c r="N178" s="4" t="s">
        <v>1485</v>
      </c>
      <c r="O178" s="4" t="s">
        <v>51</v>
      </c>
      <c r="P178" s="4" t="s">
        <v>1487</v>
      </c>
    </row>
    <row r="179">
      <c r="A179" s="4" t="s">
        <v>829</v>
      </c>
      <c r="B179" s="4">
        <v>70.0</v>
      </c>
      <c r="F179" s="4" t="s">
        <v>830</v>
      </c>
      <c r="G179" s="4" t="s">
        <v>257</v>
      </c>
      <c r="H179" s="4" t="s">
        <v>43</v>
      </c>
      <c r="I179" s="4" t="s">
        <v>43</v>
      </c>
      <c r="J179" s="4" t="s">
        <v>43</v>
      </c>
      <c r="K179" s="5" t="str">
        <f>HYPERLINK("https://www.instagram.com/p/B4O34FwhzeB/","Open Post")</f>
        <v>Open Post</v>
      </c>
      <c r="L179" s="4" t="s">
        <v>1493</v>
      </c>
      <c r="M179" s="4" t="s">
        <v>1494</v>
      </c>
      <c r="N179" s="4" t="s">
        <v>1495</v>
      </c>
      <c r="O179" s="4" t="s">
        <v>51</v>
      </c>
      <c r="P179" s="4" t="s">
        <v>1496</v>
      </c>
    </row>
    <row r="180">
      <c r="A180" s="4" t="s">
        <v>829</v>
      </c>
      <c r="B180" s="4">
        <v>71.0</v>
      </c>
      <c r="F180" s="4" t="s">
        <v>830</v>
      </c>
      <c r="G180" s="4" t="s">
        <v>661</v>
      </c>
      <c r="H180" s="4" t="s">
        <v>43</v>
      </c>
      <c r="I180" s="4" t="s">
        <v>43</v>
      </c>
      <c r="J180" s="4" t="s">
        <v>43</v>
      </c>
      <c r="K180" s="5" t="str">
        <f>HYPERLINK("https://www.instagram.com/p/B4OZ86XBBDj/","Open Post")</f>
        <v>Open Post</v>
      </c>
      <c r="L180" s="4" t="s">
        <v>1504</v>
      </c>
      <c r="M180" s="4" t="s">
        <v>1505</v>
      </c>
      <c r="N180" s="4" t="s">
        <v>1506</v>
      </c>
      <c r="O180" s="4" t="s">
        <v>51</v>
      </c>
      <c r="P180" s="4" t="s">
        <v>1507</v>
      </c>
    </row>
    <row r="181">
      <c r="A181" s="4" t="s">
        <v>829</v>
      </c>
      <c r="B181" s="4">
        <v>72.0</v>
      </c>
      <c r="F181" s="4" t="s">
        <v>830</v>
      </c>
      <c r="G181" s="4" t="s">
        <v>1509</v>
      </c>
      <c r="H181" s="4" t="s">
        <v>43</v>
      </c>
      <c r="I181" s="4" t="s">
        <v>43</v>
      </c>
      <c r="J181" s="4" t="s">
        <v>43</v>
      </c>
      <c r="K181" s="5" t="str">
        <f>HYPERLINK("https://www.instagram.com/p/B4MbHB0AudV/","Open Post")</f>
        <v>Open Post</v>
      </c>
      <c r="L181" s="4" t="s">
        <v>1516</v>
      </c>
      <c r="M181" s="4" t="s">
        <v>1517</v>
      </c>
      <c r="N181" s="4" t="s">
        <v>1518</v>
      </c>
      <c r="O181" s="4" t="s">
        <v>51</v>
      </c>
      <c r="P181" s="4" t="s">
        <v>1519</v>
      </c>
    </row>
    <row r="182">
      <c r="A182" s="4" t="s">
        <v>829</v>
      </c>
      <c r="B182" s="4">
        <v>73.0</v>
      </c>
      <c r="F182" s="4" t="s">
        <v>830</v>
      </c>
      <c r="G182" s="4" t="s">
        <v>852</v>
      </c>
      <c r="H182" s="4" t="s">
        <v>43</v>
      </c>
      <c r="I182" s="4" t="s">
        <v>43</v>
      </c>
      <c r="J182" s="4" t="s">
        <v>43</v>
      </c>
      <c r="K182" s="5" t="str">
        <f>HYPERLINK("https://www.instagram.com/p/B4KhRIRAJ6M/","Open Post")</f>
        <v>Open Post</v>
      </c>
      <c r="L182" s="4" t="s">
        <v>1526</v>
      </c>
      <c r="M182" s="4" t="s">
        <v>1527</v>
      </c>
      <c r="N182" s="4" t="s">
        <v>1529</v>
      </c>
      <c r="O182" s="4" t="s">
        <v>51</v>
      </c>
      <c r="P182" s="4" t="s">
        <v>1532</v>
      </c>
    </row>
    <row r="183">
      <c r="A183" s="4" t="s">
        <v>829</v>
      </c>
      <c r="B183" s="4">
        <v>74.0</v>
      </c>
      <c r="F183" s="4" t="s">
        <v>830</v>
      </c>
      <c r="G183" s="4" t="s">
        <v>1047</v>
      </c>
      <c r="H183" s="4" t="s">
        <v>43</v>
      </c>
      <c r="I183" s="4" t="s">
        <v>43</v>
      </c>
      <c r="J183" s="4" t="s">
        <v>43</v>
      </c>
      <c r="K183" s="5" t="str">
        <f>HYPERLINK("https://www.instagram.com/p/B39Yk9xlAtq/","Open Post")</f>
        <v>Open Post</v>
      </c>
      <c r="L183" s="4" t="s">
        <v>1536</v>
      </c>
      <c r="M183" s="4" t="s">
        <v>1537</v>
      </c>
      <c r="N183" s="4" t="s">
        <v>1538</v>
      </c>
      <c r="O183" s="4" t="s">
        <v>51</v>
      </c>
      <c r="P183" s="4" t="s">
        <v>1539</v>
      </c>
    </row>
    <row r="184">
      <c r="A184" s="4" t="s">
        <v>829</v>
      </c>
      <c r="B184" s="4">
        <v>75.0</v>
      </c>
      <c r="F184" s="4" t="s">
        <v>830</v>
      </c>
      <c r="G184" s="4" t="s">
        <v>661</v>
      </c>
      <c r="H184" s="4" t="s">
        <v>43</v>
      </c>
      <c r="I184" s="4" t="s">
        <v>43</v>
      </c>
      <c r="J184" s="4" t="s">
        <v>43</v>
      </c>
      <c r="K184" s="5" t="str">
        <f>HYPERLINK("https://www.instagram.com/p/B32GxWFBw4H/","Open Post")</f>
        <v>Open Post</v>
      </c>
      <c r="L184" s="4" t="s">
        <v>1545</v>
      </c>
      <c r="M184" s="4" t="s">
        <v>1546</v>
      </c>
      <c r="N184" s="4" t="s">
        <v>1547</v>
      </c>
      <c r="O184" s="4" t="s">
        <v>51</v>
      </c>
      <c r="P184" s="4" t="s">
        <v>1548</v>
      </c>
    </row>
    <row r="185">
      <c r="A185" s="4" t="s">
        <v>829</v>
      </c>
      <c r="B185" s="4">
        <v>76.0</v>
      </c>
      <c r="F185" s="4" t="s">
        <v>830</v>
      </c>
      <c r="G185" s="4" t="s">
        <v>306</v>
      </c>
      <c r="H185" s="4" t="s">
        <v>43</v>
      </c>
      <c r="I185" s="4" t="s">
        <v>43</v>
      </c>
      <c r="J185" s="4" t="s">
        <v>43</v>
      </c>
      <c r="K185" s="5" t="str">
        <f>HYPERLINK("https://www.instagram.com/p/B3zEoK7A8Oa/","Open Post")</f>
        <v>Open Post</v>
      </c>
      <c r="L185" s="4" t="s">
        <v>1552</v>
      </c>
      <c r="M185" s="4" t="s">
        <v>49</v>
      </c>
      <c r="N185" s="4" t="s">
        <v>1553</v>
      </c>
      <c r="O185" s="4" t="s">
        <v>51</v>
      </c>
      <c r="P185" s="4" t="s">
        <v>1554</v>
      </c>
    </row>
    <row r="186">
      <c r="A186" s="4" t="s">
        <v>829</v>
      </c>
      <c r="B186" s="4">
        <v>77.0</v>
      </c>
      <c r="F186" s="4" t="s">
        <v>830</v>
      </c>
      <c r="G186" s="4" t="s">
        <v>326</v>
      </c>
      <c r="H186" s="4" t="s">
        <v>43</v>
      </c>
      <c r="I186" s="4" t="s">
        <v>43</v>
      </c>
      <c r="J186" s="4" t="s">
        <v>43</v>
      </c>
      <c r="K186" s="5" t="str">
        <f>HYPERLINK("https://www.instagram.com/p/B3sGjlqhEbE/","Open Post")</f>
        <v>Open Post</v>
      </c>
      <c r="L186" s="4" t="s">
        <v>1557</v>
      </c>
      <c r="M186" s="4" t="s">
        <v>1558</v>
      </c>
      <c r="N186" s="4" t="s">
        <v>1559</v>
      </c>
      <c r="O186" s="4" t="s">
        <v>51</v>
      </c>
      <c r="P186" s="4" t="s">
        <v>1560</v>
      </c>
    </row>
    <row r="187">
      <c r="A187" s="4" t="s">
        <v>829</v>
      </c>
      <c r="B187" s="4">
        <v>78.0</v>
      </c>
      <c r="F187" s="4" t="s">
        <v>869</v>
      </c>
      <c r="G187" s="4" t="s">
        <v>306</v>
      </c>
      <c r="H187" s="4" t="s">
        <v>43</v>
      </c>
      <c r="I187" s="4" t="s">
        <v>43</v>
      </c>
      <c r="J187" s="4" t="s">
        <v>43</v>
      </c>
      <c r="K187" s="5" t="str">
        <f>HYPERLINK("https://www.instagram.com/p/B3rxy-Gn2Rk/","Open Post")</f>
        <v>Open Post</v>
      </c>
      <c r="L187" s="4" t="s">
        <v>1567</v>
      </c>
      <c r="M187" s="4" t="s">
        <v>49</v>
      </c>
      <c r="N187" s="4" t="s">
        <v>1568</v>
      </c>
      <c r="O187" s="4" t="s">
        <v>51</v>
      </c>
      <c r="P187" s="4" t="s">
        <v>1569</v>
      </c>
    </row>
    <row r="188">
      <c r="A188" s="4" t="s">
        <v>829</v>
      </c>
      <c r="B188" s="4">
        <v>79.0</v>
      </c>
      <c r="F188" s="4" t="s">
        <v>830</v>
      </c>
      <c r="G188" s="4" t="s">
        <v>326</v>
      </c>
      <c r="H188" s="4" t="s">
        <v>43</v>
      </c>
      <c r="I188" s="4" t="s">
        <v>43</v>
      </c>
      <c r="J188" s="4" t="s">
        <v>43</v>
      </c>
      <c r="K188" s="5" t="str">
        <f>HYPERLINK("https://www.instagram.com/p/B3peeiqgqkP/","Open Post")</f>
        <v>Open Post</v>
      </c>
      <c r="L188" s="4" t="s">
        <v>1573</v>
      </c>
      <c r="M188" s="4" t="s">
        <v>1574</v>
      </c>
      <c r="N188" s="4" t="s">
        <v>1575</v>
      </c>
      <c r="O188" s="4" t="s">
        <v>51</v>
      </c>
      <c r="P188" s="4" t="s">
        <v>1577</v>
      </c>
    </row>
    <row r="189">
      <c r="A189" s="4" t="s">
        <v>829</v>
      </c>
      <c r="B189" s="4">
        <v>80.0</v>
      </c>
      <c r="F189" s="4" t="s">
        <v>830</v>
      </c>
      <c r="G189" s="4" t="s">
        <v>544</v>
      </c>
      <c r="H189" s="4" t="s">
        <v>43</v>
      </c>
      <c r="I189" s="4" t="s">
        <v>43</v>
      </c>
      <c r="J189" s="4" t="s">
        <v>43</v>
      </c>
      <c r="K189" s="5" t="str">
        <f>HYPERLINK("https://www.instagram.com/p/B3pBLeRDmUZ/","Open Post")</f>
        <v>Open Post</v>
      </c>
      <c r="L189" s="4" t="s">
        <v>1579</v>
      </c>
      <c r="M189" s="4" t="s">
        <v>946</v>
      </c>
      <c r="N189" s="4" t="s">
        <v>1580</v>
      </c>
      <c r="O189" s="4" t="s">
        <v>51</v>
      </c>
      <c r="P189" s="4" t="s">
        <v>1581</v>
      </c>
    </row>
    <row r="190">
      <c r="A190" s="4" t="s">
        <v>829</v>
      </c>
      <c r="B190" s="4">
        <v>81.0</v>
      </c>
      <c r="F190" s="4" t="s">
        <v>830</v>
      </c>
      <c r="G190" s="4" t="s">
        <v>951</v>
      </c>
      <c r="H190" s="4" t="s">
        <v>43</v>
      </c>
      <c r="I190" s="4" t="s">
        <v>43</v>
      </c>
      <c r="J190" s="4" t="s">
        <v>43</v>
      </c>
      <c r="K190" s="5" t="str">
        <f>HYPERLINK("https://www.instagram.com/p/B3oseJNHzWz/","Open Post")</f>
        <v>Open Post</v>
      </c>
      <c r="L190" s="4" t="s">
        <v>1584</v>
      </c>
      <c r="M190" s="4" t="s">
        <v>1585</v>
      </c>
      <c r="N190" s="4" t="s">
        <v>1586</v>
      </c>
      <c r="O190" s="4" t="s">
        <v>51</v>
      </c>
      <c r="P190" s="4" t="s">
        <v>1587</v>
      </c>
    </row>
    <row r="191">
      <c r="A191" s="4" t="s">
        <v>829</v>
      </c>
      <c r="B191" s="4">
        <v>82.0</v>
      </c>
      <c r="F191" s="4" t="s">
        <v>830</v>
      </c>
      <c r="G191" s="4" t="s">
        <v>257</v>
      </c>
      <c r="H191" s="4" t="s">
        <v>43</v>
      </c>
      <c r="I191" s="4" t="s">
        <v>43</v>
      </c>
      <c r="J191" s="4" t="s">
        <v>43</v>
      </c>
      <c r="K191" s="5" t="str">
        <f>HYPERLINK("https://www.instagram.com/p/B3j4gqKh6Dl/","Open Post")</f>
        <v>Open Post</v>
      </c>
      <c r="L191" s="4" t="s">
        <v>1590</v>
      </c>
      <c r="M191" s="4" t="s">
        <v>1591</v>
      </c>
      <c r="N191" s="4" t="s">
        <v>1592</v>
      </c>
      <c r="O191" s="4" t="s">
        <v>51</v>
      </c>
      <c r="P191" s="4" t="s">
        <v>1593</v>
      </c>
    </row>
    <row r="192">
      <c r="A192" s="4" t="s">
        <v>829</v>
      </c>
      <c r="B192" s="4">
        <v>83.0</v>
      </c>
      <c r="F192" s="4" t="s">
        <v>830</v>
      </c>
      <c r="G192" s="4" t="s">
        <v>207</v>
      </c>
      <c r="H192" s="4" t="s">
        <v>43</v>
      </c>
      <c r="I192" s="4" t="s">
        <v>43</v>
      </c>
      <c r="J192" s="4" t="s">
        <v>43</v>
      </c>
      <c r="K192" s="5" t="str">
        <f>HYPERLINK("https://www.instagram.com/p/B3gDFDzJUAi/","Open Post")</f>
        <v>Open Post</v>
      </c>
      <c r="L192" s="4" t="s">
        <v>1598</v>
      </c>
      <c r="M192" s="4" t="s">
        <v>1599</v>
      </c>
      <c r="N192" s="4" t="s">
        <v>1601</v>
      </c>
      <c r="O192" s="4" t="s">
        <v>51</v>
      </c>
      <c r="P192" s="4" t="s">
        <v>1602</v>
      </c>
    </row>
    <row r="193">
      <c r="A193" s="4" t="s">
        <v>829</v>
      </c>
      <c r="B193" s="4">
        <v>84.0</v>
      </c>
      <c r="F193" s="4" t="s">
        <v>830</v>
      </c>
      <c r="G193" s="4" t="s">
        <v>371</v>
      </c>
      <c r="H193" s="4" t="s">
        <v>43</v>
      </c>
      <c r="I193" s="4" t="s">
        <v>43</v>
      </c>
      <c r="J193" s="4" t="s">
        <v>43</v>
      </c>
      <c r="K193" s="5" t="str">
        <f>HYPERLINK("https://www.instagram.com/p/B3e-Nm9gcVD/","Open Post")</f>
        <v>Open Post</v>
      </c>
      <c r="L193" s="4" t="s">
        <v>1607</v>
      </c>
      <c r="M193" s="4" t="s">
        <v>1608</v>
      </c>
      <c r="N193" s="4" t="s">
        <v>1611</v>
      </c>
      <c r="O193" s="4" t="s">
        <v>51</v>
      </c>
      <c r="P193" s="4" t="s">
        <v>1613</v>
      </c>
    </row>
    <row r="194">
      <c r="A194" s="4" t="s">
        <v>829</v>
      </c>
      <c r="B194" s="4">
        <v>85.0</v>
      </c>
      <c r="F194" s="4" t="s">
        <v>57</v>
      </c>
      <c r="G194" s="4" t="s">
        <v>1041</v>
      </c>
      <c r="H194" s="4" t="s">
        <v>43</v>
      </c>
      <c r="I194" s="4" t="s">
        <v>43</v>
      </c>
      <c r="J194" s="4" t="s">
        <v>43</v>
      </c>
      <c r="K194" s="5" t="str">
        <f>HYPERLINK("https://www.instagram.com/reel/B3eVKLrnoYJ/","Open Reel")</f>
        <v>Open Reel</v>
      </c>
      <c r="L194" s="4" t="s">
        <v>1616</v>
      </c>
      <c r="M194" s="4" t="s">
        <v>1618</v>
      </c>
      <c r="N194" s="4" t="s">
        <v>1619</v>
      </c>
      <c r="O194" s="4" t="s">
        <v>51</v>
      </c>
      <c r="P194" s="4" t="s">
        <v>1621</v>
      </c>
    </row>
    <row r="195">
      <c r="A195" s="4" t="s">
        <v>829</v>
      </c>
      <c r="B195" s="4">
        <v>86.0</v>
      </c>
      <c r="F195" s="4" t="s">
        <v>57</v>
      </c>
      <c r="G195" s="4" t="s">
        <v>862</v>
      </c>
      <c r="H195" s="4" t="s">
        <v>43</v>
      </c>
      <c r="I195" s="4" t="s">
        <v>43</v>
      </c>
      <c r="J195" s="4" t="s">
        <v>43</v>
      </c>
      <c r="K195" s="5" t="str">
        <f>HYPERLINK("https://www.instagram.com/reel/B3cDFlCh_f9/","Open Reel")</f>
        <v>Open Reel</v>
      </c>
      <c r="L195" s="4" t="s">
        <v>1624</v>
      </c>
      <c r="M195" s="4" t="s">
        <v>49</v>
      </c>
      <c r="N195" s="4" t="s">
        <v>1625</v>
      </c>
      <c r="O195" s="4" t="s">
        <v>51</v>
      </c>
      <c r="P195" s="4" t="s">
        <v>1626</v>
      </c>
    </row>
    <row r="196">
      <c r="A196" s="4" t="s">
        <v>829</v>
      </c>
      <c r="B196" s="4">
        <v>87.0</v>
      </c>
      <c r="F196" s="4" t="s">
        <v>57</v>
      </c>
      <c r="G196" s="4" t="s">
        <v>326</v>
      </c>
      <c r="H196" s="4" t="s">
        <v>43</v>
      </c>
      <c r="I196" s="4" t="s">
        <v>43</v>
      </c>
      <c r="J196" s="4" t="s">
        <v>43</v>
      </c>
      <c r="K196" s="5" t="str">
        <f>HYPERLINK("https://www.instagram.com/reel/B3b8zvKp-zK/","Open Reel")</f>
        <v>Open Reel</v>
      </c>
      <c r="L196" s="4" t="s">
        <v>1630</v>
      </c>
      <c r="M196" s="4" t="s">
        <v>1474</v>
      </c>
      <c r="N196" s="4" t="s">
        <v>1631</v>
      </c>
      <c r="O196" s="4" t="s">
        <v>51</v>
      </c>
      <c r="P196" s="4" t="s">
        <v>1632</v>
      </c>
    </row>
    <row r="197">
      <c r="A197" s="4" t="s">
        <v>829</v>
      </c>
      <c r="B197" s="4">
        <v>88.0</v>
      </c>
      <c r="F197" s="4" t="s">
        <v>57</v>
      </c>
      <c r="G197" s="4" t="s">
        <v>838</v>
      </c>
      <c r="H197" s="4" t="s">
        <v>43</v>
      </c>
      <c r="I197" s="4" t="s">
        <v>43</v>
      </c>
      <c r="J197" s="4" t="s">
        <v>43</v>
      </c>
      <c r="K197" s="5" t="str">
        <f>HYPERLINK("https://www.instagram.com/reel/B3aU59Lpxh5/","Open Reel")</f>
        <v>Open Reel</v>
      </c>
      <c r="L197" s="4" t="s">
        <v>1633</v>
      </c>
      <c r="M197" s="4" t="s">
        <v>1634</v>
      </c>
      <c r="N197" s="4" t="s">
        <v>1635</v>
      </c>
      <c r="O197" s="4" t="s">
        <v>51</v>
      </c>
      <c r="P197" s="4" t="s">
        <v>1636</v>
      </c>
    </row>
    <row r="198">
      <c r="A198" s="4" t="s">
        <v>829</v>
      </c>
      <c r="B198" s="4">
        <v>89.0</v>
      </c>
      <c r="F198" s="4" t="s">
        <v>830</v>
      </c>
      <c r="G198" s="4" t="s">
        <v>1637</v>
      </c>
      <c r="H198" s="4" t="s">
        <v>43</v>
      </c>
      <c r="I198" s="4" t="s">
        <v>43</v>
      </c>
      <c r="J198" s="4" t="s">
        <v>43</v>
      </c>
      <c r="K198" s="5" t="str">
        <f>HYPERLINK("https://www.instagram.com/p/B3aS5ylJqjw/","Open Post")</f>
        <v>Open Post</v>
      </c>
      <c r="L198" s="4" t="s">
        <v>1639</v>
      </c>
      <c r="M198" s="4" t="s">
        <v>1634</v>
      </c>
      <c r="N198" s="4" t="s">
        <v>1640</v>
      </c>
      <c r="O198" s="4" t="s">
        <v>51</v>
      </c>
      <c r="P198" s="4" t="s">
        <v>1642</v>
      </c>
    </row>
    <row r="199">
      <c r="A199" s="4" t="s">
        <v>829</v>
      </c>
      <c r="B199" s="4">
        <v>90.0</v>
      </c>
      <c r="F199" s="4" t="s">
        <v>830</v>
      </c>
      <c r="G199" s="4" t="s">
        <v>1637</v>
      </c>
      <c r="H199" s="4" t="s">
        <v>43</v>
      </c>
      <c r="I199" s="4" t="s">
        <v>43</v>
      </c>
      <c r="J199" s="4" t="s">
        <v>43</v>
      </c>
      <c r="K199" s="5" t="str">
        <f>HYPERLINK("https://www.instagram.com/p/B3aALlLJ3BT/","Open Post")</f>
        <v>Open Post</v>
      </c>
      <c r="L199" s="4" t="s">
        <v>1646</v>
      </c>
      <c r="M199" s="4" t="s">
        <v>1634</v>
      </c>
      <c r="N199" s="4" t="s">
        <v>1648</v>
      </c>
      <c r="O199" s="4" t="s">
        <v>51</v>
      </c>
      <c r="P199" s="4" t="s">
        <v>1649</v>
      </c>
    </row>
    <row r="200">
      <c r="A200" s="4" t="s">
        <v>829</v>
      </c>
      <c r="B200" s="4">
        <v>91.0</v>
      </c>
      <c r="F200" s="4" t="s">
        <v>830</v>
      </c>
      <c r="G200" s="4" t="s">
        <v>1041</v>
      </c>
      <c r="H200" s="4" t="s">
        <v>43</v>
      </c>
      <c r="I200" s="4" t="s">
        <v>43</v>
      </c>
      <c r="J200" s="4" t="s">
        <v>43</v>
      </c>
      <c r="K200" s="5" t="str">
        <f>HYPERLINK("https://www.instagram.com/p/B3ZneF-AWwc/","Open Post")</f>
        <v>Open Post</v>
      </c>
      <c r="L200" s="4" t="s">
        <v>1650</v>
      </c>
      <c r="M200" s="4" t="s">
        <v>1651</v>
      </c>
      <c r="N200" s="4" t="s">
        <v>1652</v>
      </c>
      <c r="O200" s="4" t="s">
        <v>51</v>
      </c>
      <c r="P200" s="4" t="s">
        <v>1653</v>
      </c>
    </row>
    <row r="201">
      <c r="A201" s="4" t="s">
        <v>829</v>
      </c>
      <c r="B201" s="4">
        <v>92.0</v>
      </c>
      <c r="F201" s="4" t="s">
        <v>830</v>
      </c>
      <c r="G201" s="4" t="s">
        <v>871</v>
      </c>
      <c r="H201" s="4" t="s">
        <v>43</v>
      </c>
      <c r="I201" s="4" t="s">
        <v>43</v>
      </c>
      <c r="J201" s="4" t="s">
        <v>43</v>
      </c>
      <c r="K201" s="5" t="str">
        <f>HYPERLINK("https://www.instagram.com/p/B3Zi5Ueh0Wc/","Open Post")</f>
        <v>Open Post</v>
      </c>
      <c r="L201" s="4" t="s">
        <v>1655</v>
      </c>
      <c r="M201" s="4" t="s">
        <v>1656</v>
      </c>
      <c r="N201" s="4" t="s">
        <v>1658</v>
      </c>
      <c r="O201" s="4" t="s">
        <v>51</v>
      </c>
      <c r="P201" s="4" t="s">
        <v>1660</v>
      </c>
    </row>
    <row r="202">
      <c r="A202" s="4" t="s">
        <v>829</v>
      </c>
      <c r="B202" s="4">
        <v>93.0</v>
      </c>
      <c r="F202" s="4" t="s">
        <v>830</v>
      </c>
      <c r="G202" s="4" t="s">
        <v>257</v>
      </c>
      <c r="H202" s="4" t="s">
        <v>43</v>
      </c>
      <c r="I202" s="4" t="s">
        <v>43</v>
      </c>
      <c r="J202" s="4" t="s">
        <v>43</v>
      </c>
      <c r="K202" s="5" t="str">
        <f>HYPERLINK("https://www.instagram.com/p/B3W6BI0F1LA/","Open Post")</f>
        <v>Open Post</v>
      </c>
      <c r="L202" s="4" t="s">
        <v>1661</v>
      </c>
      <c r="M202" s="4" t="s">
        <v>1662</v>
      </c>
      <c r="N202" s="4" t="s">
        <v>1663</v>
      </c>
      <c r="O202" s="4" t="s">
        <v>51</v>
      </c>
      <c r="P202" s="4" t="s">
        <v>1664</v>
      </c>
    </row>
    <row r="203">
      <c r="A203" s="4" t="s">
        <v>829</v>
      </c>
      <c r="B203" s="4">
        <v>94.0</v>
      </c>
      <c r="F203" s="4" t="s">
        <v>869</v>
      </c>
      <c r="G203" s="4" t="s">
        <v>166</v>
      </c>
      <c r="H203" s="4" t="s">
        <v>43</v>
      </c>
      <c r="I203" s="4" t="s">
        <v>43</v>
      </c>
      <c r="J203" s="4" t="s">
        <v>43</v>
      </c>
      <c r="K203" s="5" t="str">
        <f>HYPERLINK("https://www.instagram.com/p/B3UqXG0H7eW/","Open Post")</f>
        <v>Open Post</v>
      </c>
      <c r="L203" s="4" t="s">
        <v>1667</v>
      </c>
      <c r="M203" s="4" t="s">
        <v>1668</v>
      </c>
      <c r="N203" s="4" t="s">
        <v>1669</v>
      </c>
      <c r="O203" s="4" t="s">
        <v>51</v>
      </c>
      <c r="P203" s="4" t="s">
        <v>1670</v>
      </c>
    </row>
    <row r="204">
      <c r="A204" s="4" t="s">
        <v>829</v>
      </c>
      <c r="B204" s="4">
        <v>95.0</v>
      </c>
      <c r="F204" s="4" t="s">
        <v>869</v>
      </c>
      <c r="G204" s="4" t="s">
        <v>207</v>
      </c>
      <c r="H204" s="4" t="s">
        <v>43</v>
      </c>
      <c r="I204" s="4" t="s">
        <v>43</v>
      </c>
      <c r="J204" s="4" t="s">
        <v>43</v>
      </c>
      <c r="K204" s="5" t="str">
        <f>HYPERLINK("https://www.instagram.com/p/B3ResyaJd5n/","Open Post")</f>
        <v>Open Post</v>
      </c>
      <c r="L204" s="4" t="s">
        <v>1673</v>
      </c>
      <c r="M204" s="4" t="s">
        <v>1674</v>
      </c>
      <c r="N204" s="4" t="s">
        <v>1675</v>
      </c>
      <c r="O204" s="4" t="s">
        <v>51</v>
      </c>
      <c r="P204" s="4" t="s">
        <v>1676</v>
      </c>
    </row>
    <row r="205">
      <c r="A205" s="4" t="s">
        <v>829</v>
      </c>
      <c r="B205" s="4">
        <v>96.0</v>
      </c>
      <c r="F205" s="4" t="s">
        <v>830</v>
      </c>
      <c r="G205" s="4" t="s">
        <v>165</v>
      </c>
      <c r="H205" s="4" t="s">
        <v>43</v>
      </c>
      <c r="I205" s="4" t="s">
        <v>43</v>
      </c>
      <c r="J205" s="4" t="s">
        <v>43</v>
      </c>
      <c r="K205" s="5" t="str">
        <f>HYPERLINK("https://www.instagram.com/p/B3QPWrWB-9y/","Open Post")</f>
        <v>Open Post</v>
      </c>
      <c r="L205" s="4" t="s">
        <v>1679</v>
      </c>
      <c r="M205" s="4" t="s">
        <v>1680</v>
      </c>
      <c r="N205" s="4" t="s">
        <v>1681</v>
      </c>
      <c r="O205" s="4" t="s">
        <v>51</v>
      </c>
      <c r="P205" s="4" t="s">
        <v>1682</v>
      </c>
    </row>
    <row r="206">
      <c r="A206" s="4" t="s">
        <v>829</v>
      </c>
      <c r="B206" s="4">
        <v>97.0</v>
      </c>
      <c r="F206" s="4" t="s">
        <v>57</v>
      </c>
      <c r="G206" s="4" t="s">
        <v>871</v>
      </c>
      <c r="H206" s="4" t="s">
        <v>43</v>
      </c>
      <c r="I206" s="4" t="s">
        <v>43</v>
      </c>
      <c r="J206" s="4" t="s">
        <v>43</v>
      </c>
      <c r="K206" s="5" t="str">
        <f>HYPERLINK("https://www.instagram.com/reel/B3MXTHIhiLr/","Open Reel")</f>
        <v>Open Reel</v>
      </c>
      <c r="L206" s="4" t="s">
        <v>1655</v>
      </c>
      <c r="M206" s="4" t="s">
        <v>1656</v>
      </c>
      <c r="N206" s="4" t="s">
        <v>1684</v>
      </c>
      <c r="O206" s="4" t="s">
        <v>51</v>
      </c>
      <c r="P206" s="4" t="s">
        <v>1685</v>
      </c>
    </row>
    <row r="207">
      <c r="A207" s="4" t="s">
        <v>829</v>
      </c>
      <c r="B207" s="4">
        <v>98.0</v>
      </c>
      <c r="F207" s="4" t="s">
        <v>830</v>
      </c>
      <c r="G207" s="4" t="s">
        <v>326</v>
      </c>
      <c r="H207" s="4" t="s">
        <v>43</v>
      </c>
      <c r="I207" s="4" t="s">
        <v>43</v>
      </c>
      <c r="J207" s="4" t="s">
        <v>43</v>
      </c>
      <c r="K207" s="5" t="str">
        <f>HYPERLINK("https://www.instagram.com/p/B3KxghDp6As/","Open Post")</f>
        <v>Open Post</v>
      </c>
      <c r="L207" s="4" t="s">
        <v>1686</v>
      </c>
      <c r="M207" s="4" t="s">
        <v>1687</v>
      </c>
      <c r="N207" s="4" t="s">
        <v>1688</v>
      </c>
      <c r="O207" s="4" t="s">
        <v>51</v>
      </c>
      <c r="P207" s="4" t="s">
        <v>1690</v>
      </c>
    </row>
    <row r="208">
      <c r="A208" s="4" t="s">
        <v>829</v>
      </c>
      <c r="B208" s="4">
        <v>99.0</v>
      </c>
      <c r="F208" s="4" t="s">
        <v>830</v>
      </c>
      <c r="G208" s="4" t="s">
        <v>1509</v>
      </c>
      <c r="H208" s="4" t="s">
        <v>43</v>
      </c>
      <c r="I208" s="4" t="s">
        <v>43</v>
      </c>
      <c r="J208" s="4" t="s">
        <v>43</v>
      </c>
      <c r="K208" s="5" t="str">
        <f>HYPERLINK("https://www.instagram.com/p/B3KafikF4uV/","Open Post")</f>
        <v>Open Post</v>
      </c>
      <c r="L208" s="4" t="s">
        <v>1694</v>
      </c>
      <c r="M208" s="4" t="s">
        <v>1696</v>
      </c>
      <c r="N208" s="4" t="s">
        <v>1697</v>
      </c>
      <c r="O208" s="4" t="s">
        <v>51</v>
      </c>
      <c r="P208" s="4" t="s">
        <v>1698</v>
      </c>
    </row>
    <row r="209">
      <c r="A209" s="4" t="s">
        <v>829</v>
      </c>
      <c r="B209" s="4">
        <v>100.0</v>
      </c>
      <c r="F209" s="4" t="s">
        <v>830</v>
      </c>
      <c r="G209" s="4" t="s">
        <v>326</v>
      </c>
      <c r="H209" s="4" t="s">
        <v>43</v>
      </c>
      <c r="I209" s="4" t="s">
        <v>43</v>
      </c>
      <c r="J209" s="4" t="s">
        <v>43</v>
      </c>
      <c r="K209" s="5" t="str">
        <f>HYPERLINK("https://www.instagram.com/p/B3J5G6tFPX0/","Open Post")</f>
        <v>Open Post</v>
      </c>
      <c r="L209" s="4" t="s">
        <v>1700</v>
      </c>
      <c r="M209" s="4" t="s">
        <v>1701</v>
      </c>
      <c r="N209" s="4" t="s">
        <v>1702</v>
      </c>
      <c r="O209" s="4" t="s">
        <v>51</v>
      </c>
      <c r="P209" s="4" t="s">
        <v>1704</v>
      </c>
    </row>
    <row r="210">
      <c r="A210" s="4" t="s">
        <v>829</v>
      </c>
      <c r="B210" s="4">
        <v>101.0</v>
      </c>
      <c r="F210" s="4" t="s">
        <v>830</v>
      </c>
      <c r="G210" s="4" t="s">
        <v>326</v>
      </c>
      <c r="H210" s="4" t="s">
        <v>43</v>
      </c>
      <c r="I210" s="4" t="s">
        <v>43</v>
      </c>
      <c r="J210" s="4" t="s">
        <v>43</v>
      </c>
      <c r="K210" s="5" t="str">
        <f>HYPERLINK("https://www.instagram.com/p/B3AipSpJtyr/","Open Post")</f>
        <v>Open Post</v>
      </c>
      <c r="L210" s="4" t="s">
        <v>1706</v>
      </c>
      <c r="M210" s="4" t="s">
        <v>1707</v>
      </c>
      <c r="N210" s="4" t="s">
        <v>1709</v>
      </c>
      <c r="O210" s="4" t="s">
        <v>51</v>
      </c>
      <c r="P210" s="4" t="s">
        <v>1710</v>
      </c>
    </row>
    <row r="211">
      <c r="A211" s="4" t="s">
        <v>829</v>
      </c>
      <c r="B211" s="4">
        <v>102.0</v>
      </c>
      <c r="F211" s="4" t="s">
        <v>830</v>
      </c>
      <c r="G211" s="4" t="s">
        <v>431</v>
      </c>
      <c r="H211" s="4" t="s">
        <v>43</v>
      </c>
      <c r="I211" s="4" t="s">
        <v>43</v>
      </c>
      <c r="J211" s="4" t="s">
        <v>43</v>
      </c>
      <c r="K211" s="5" t="str">
        <f>HYPERLINK("https://www.instagram.com/p/B2_VWYQlqpA/","Open Post")</f>
        <v>Open Post</v>
      </c>
      <c r="L211" s="4" t="s">
        <v>1711</v>
      </c>
      <c r="M211" s="4" t="s">
        <v>1712</v>
      </c>
      <c r="N211" s="4" t="s">
        <v>1713</v>
      </c>
      <c r="O211" s="4" t="s">
        <v>51</v>
      </c>
      <c r="P211" s="4" t="s">
        <v>1714</v>
      </c>
    </row>
    <row r="212">
      <c r="A212" s="4" t="s">
        <v>829</v>
      </c>
      <c r="B212" s="4">
        <v>103.0</v>
      </c>
      <c r="F212" s="4" t="s">
        <v>830</v>
      </c>
      <c r="G212" s="4" t="s">
        <v>544</v>
      </c>
      <c r="H212" s="4" t="s">
        <v>43</v>
      </c>
      <c r="I212" s="4" t="s">
        <v>43</v>
      </c>
      <c r="J212" s="4" t="s">
        <v>43</v>
      </c>
      <c r="K212" s="5" t="str">
        <f>HYPERLINK("https://www.instagram.com/p/B25oaRpAnyC/","Open Post")</f>
        <v>Open Post</v>
      </c>
      <c r="L212" s="4" t="s">
        <v>1716</v>
      </c>
      <c r="M212" s="4" t="s">
        <v>1717</v>
      </c>
      <c r="N212" s="4" t="s">
        <v>1718</v>
      </c>
      <c r="O212" s="4" t="s">
        <v>51</v>
      </c>
      <c r="P212" s="4" t="s">
        <v>1719</v>
      </c>
    </row>
    <row r="213">
      <c r="A213" s="4" t="s">
        <v>829</v>
      </c>
      <c r="B213" s="4">
        <v>104.0</v>
      </c>
      <c r="F213" s="4" t="s">
        <v>830</v>
      </c>
      <c r="G213" s="4" t="s">
        <v>957</v>
      </c>
      <c r="H213" s="4" t="s">
        <v>43</v>
      </c>
      <c r="I213" s="4" t="s">
        <v>43</v>
      </c>
      <c r="J213" s="4" t="s">
        <v>43</v>
      </c>
      <c r="K213" s="5" t="str">
        <f>HYPERLINK("https://www.instagram.com/p/B21vvY7At84/","Open Post")</f>
        <v>Open Post</v>
      </c>
      <c r="L213" s="4" t="s">
        <v>1721</v>
      </c>
      <c r="M213" s="4" t="s">
        <v>49</v>
      </c>
      <c r="N213" s="4" t="s">
        <v>1722</v>
      </c>
      <c r="O213" s="4" t="s">
        <v>51</v>
      </c>
      <c r="P213" s="4" t="s">
        <v>1723</v>
      </c>
    </row>
    <row r="214">
      <c r="A214" s="4" t="s">
        <v>829</v>
      </c>
      <c r="B214" s="4">
        <v>105.0</v>
      </c>
      <c r="F214" s="4" t="s">
        <v>830</v>
      </c>
      <c r="G214" s="4" t="s">
        <v>993</v>
      </c>
      <c r="H214" s="4" t="s">
        <v>43</v>
      </c>
      <c r="I214" s="4" t="s">
        <v>43</v>
      </c>
      <c r="J214" s="4" t="s">
        <v>43</v>
      </c>
      <c r="K214" s="5" t="str">
        <f>HYPERLINK("https://www.instagram.com/p/B21rvBwgj52/","Open Post")</f>
        <v>Open Post</v>
      </c>
      <c r="L214" s="4" t="s">
        <v>1725</v>
      </c>
      <c r="M214" s="4" t="s">
        <v>1726</v>
      </c>
      <c r="N214" s="4" t="s">
        <v>1727</v>
      </c>
      <c r="O214" s="4" t="s">
        <v>51</v>
      </c>
      <c r="P214" s="4" t="s">
        <v>1728</v>
      </c>
    </row>
    <row r="215">
      <c r="A215" s="4" t="s">
        <v>829</v>
      </c>
      <c r="B215" s="4">
        <v>106.0</v>
      </c>
      <c r="F215" s="4" t="s">
        <v>869</v>
      </c>
      <c r="G215" s="4" t="s">
        <v>207</v>
      </c>
      <c r="H215" s="4" t="s">
        <v>43</v>
      </c>
      <c r="I215" s="4" t="s">
        <v>43</v>
      </c>
      <c r="J215" s="4" t="s">
        <v>43</v>
      </c>
      <c r="K215" s="5" t="str">
        <f>HYPERLINK("https://www.instagram.com/p/B21TvWXhR3V/","Open Post")</f>
        <v>Open Post</v>
      </c>
      <c r="L215" s="4" t="s">
        <v>1729</v>
      </c>
      <c r="M215" s="4" t="s">
        <v>1730</v>
      </c>
      <c r="N215" s="4" t="s">
        <v>1731</v>
      </c>
      <c r="O215" s="4" t="s">
        <v>51</v>
      </c>
      <c r="P215" s="4" t="s">
        <v>1733</v>
      </c>
    </row>
    <row r="216">
      <c r="A216" s="4" t="s">
        <v>829</v>
      </c>
      <c r="B216" s="4">
        <v>107.0</v>
      </c>
      <c r="F216" s="4" t="s">
        <v>830</v>
      </c>
      <c r="G216" s="4" t="s">
        <v>862</v>
      </c>
      <c r="H216" s="4" t="s">
        <v>43</v>
      </c>
      <c r="I216" s="4" t="s">
        <v>43</v>
      </c>
      <c r="J216" s="4" t="s">
        <v>43</v>
      </c>
      <c r="K216" s="5" t="str">
        <f>HYPERLINK("https://www.instagram.com/p/B2yio76p1OK/","Open Post")</f>
        <v>Open Post</v>
      </c>
      <c r="L216" s="4" t="s">
        <v>1736</v>
      </c>
      <c r="M216" s="4" t="s">
        <v>1737</v>
      </c>
      <c r="N216" s="4" t="s">
        <v>1738</v>
      </c>
      <c r="O216" s="4" t="s">
        <v>51</v>
      </c>
      <c r="P216" s="4" t="s">
        <v>1739</v>
      </c>
    </row>
    <row r="217">
      <c r="A217" s="4" t="s">
        <v>829</v>
      </c>
      <c r="B217" s="4">
        <v>108.0</v>
      </c>
      <c r="F217" s="4" t="s">
        <v>830</v>
      </c>
      <c r="G217" s="4" t="s">
        <v>1740</v>
      </c>
      <c r="H217" s="4" t="s">
        <v>43</v>
      </c>
      <c r="I217" s="4" t="s">
        <v>43</v>
      </c>
      <c r="J217" s="4" t="s">
        <v>43</v>
      </c>
      <c r="K217" s="5" t="str">
        <f>HYPERLINK("https://www.instagram.com/p/B2wdNnDobP4/","Open Post")</f>
        <v>Open Post</v>
      </c>
      <c r="L217" s="4" t="s">
        <v>1741</v>
      </c>
      <c r="M217" s="4" t="s">
        <v>1742</v>
      </c>
      <c r="N217" s="4" t="s">
        <v>1743</v>
      </c>
      <c r="O217" s="4" t="s">
        <v>51</v>
      </c>
      <c r="P217" s="4" t="s">
        <v>1745</v>
      </c>
    </row>
    <row r="218">
      <c r="A218" s="4" t="s">
        <v>829</v>
      </c>
      <c r="B218" s="4">
        <v>109.0</v>
      </c>
      <c r="F218" s="4" t="s">
        <v>830</v>
      </c>
      <c r="G218" s="4" t="s">
        <v>1746</v>
      </c>
      <c r="H218" s="4" t="s">
        <v>43</v>
      </c>
      <c r="I218" s="4" t="s">
        <v>43</v>
      </c>
      <c r="J218" s="4" t="s">
        <v>43</v>
      </c>
      <c r="K218" s="5" t="str">
        <f>HYPERLINK("https://www.instagram.com/p/B2uyf0oFpET/","Open Post")</f>
        <v>Open Post</v>
      </c>
      <c r="L218" s="4" t="s">
        <v>1747</v>
      </c>
      <c r="M218" s="4" t="s">
        <v>1748</v>
      </c>
      <c r="N218" s="4" t="s">
        <v>1749</v>
      </c>
      <c r="O218" s="4" t="s">
        <v>51</v>
      </c>
      <c r="P218" s="4" t="s">
        <v>1750</v>
      </c>
    </row>
    <row r="219">
      <c r="A219" s="4" t="s">
        <v>829</v>
      </c>
      <c r="B219" s="4">
        <v>110.0</v>
      </c>
      <c r="F219" s="4" t="s">
        <v>869</v>
      </c>
      <c r="G219" s="4" t="s">
        <v>306</v>
      </c>
      <c r="H219" s="4" t="s">
        <v>43</v>
      </c>
      <c r="I219" s="4" t="s">
        <v>43</v>
      </c>
      <c r="J219" s="4" t="s">
        <v>43</v>
      </c>
      <c r="K219" s="5" t="str">
        <f>HYPERLINK("https://www.instagram.com/p/B2lh-BHC1XJ/","Open Post")</f>
        <v>Open Post</v>
      </c>
      <c r="L219" s="4" t="s">
        <v>1751</v>
      </c>
      <c r="M219" s="4" t="s">
        <v>49</v>
      </c>
      <c r="N219" s="4" t="s">
        <v>1752</v>
      </c>
      <c r="O219" s="4" t="s">
        <v>51</v>
      </c>
      <c r="P219" s="4" t="s">
        <v>1753</v>
      </c>
    </row>
    <row r="220">
      <c r="A220" s="4" t="s">
        <v>829</v>
      </c>
      <c r="B220" s="4">
        <v>111.0</v>
      </c>
      <c r="F220" s="4" t="s">
        <v>869</v>
      </c>
      <c r="G220" s="4" t="s">
        <v>871</v>
      </c>
      <c r="H220" s="4" t="s">
        <v>43</v>
      </c>
      <c r="I220" s="4" t="s">
        <v>43</v>
      </c>
      <c r="J220" s="4" t="s">
        <v>43</v>
      </c>
      <c r="K220" s="5" t="str">
        <f>HYPERLINK("https://www.instagram.com/p/B2jdXKXoGi2/","Open Post")</f>
        <v>Open Post</v>
      </c>
      <c r="L220" s="4" t="s">
        <v>1756</v>
      </c>
      <c r="M220" s="4" t="s">
        <v>1757</v>
      </c>
      <c r="N220" s="4" t="s">
        <v>1758</v>
      </c>
      <c r="O220" s="4" t="s">
        <v>51</v>
      </c>
      <c r="P220" s="4" t="s">
        <v>1759</v>
      </c>
    </row>
    <row r="221">
      <c r="A221" s="4" t="s">
        <v>829</v>
      </c>
      <c r="B221" s="4">
        <v>112.0</v>
      </c>
      <c r="F221" s="4" t="s">
        <v>830</v>
      </c>
      <c r="G221" s="4" t="s">
        <v>661</v>
      </c>
      <c r="H221" s="4" t="s">
        <v>43</v>
      </c>
      <c r="I221" s="4" t="s">
        <v>43</v>
      </c>
      <c r="J221" s="4" t="s">
        <v>43</v>
      </c>
      <c r="K221" s="5" t="str">
        <f>HYPERLINK("https://www.instagram.com/p/B2heKy0ojyR/","Open Post")</f>
        <v>Open Post</v>
      </c>
      <c r="L221" s="4" t="s">
        <v>1760</v>
      </c>
      <c r="M221" s="4" t="s">
        <v>1761</v>
      </c>
      <c r="N221" s="4" t="s">
        <v>1762</v>
      </c>
      <c r="O221" s="4" t="s">
        <v>51</v>
      </c>
      <c r="P221" s="4" t="s">
        <v>1763</v>
      </c>
    </row>
    <row r="222">
      <c r="A222" s="4" t="s">
        <v>829</v>
      </c>
      <c r="B222" s="4">
        <v>113.0</v>
      </c>
      <c r="F222" s="4" t="s">
        <v>830</v>
      </c>
      <c r="G222" s="4" t="s">
        <v>326</v>
      </c>
      <c r="H222" s="4" t="s">
        <v>43</v>
      </c>
      <c r="I222" s="4" t="s">
        <v>43</v>
      </c>
      <c r="J222" s="4" t="s">
        <v>43</v>
      </c>
      <c r="K222" s="5" t="str">
        <f>HYPERLINK("https://www.instagram.com/p/B2eJ2_rnv_f/","Open Post")</f>
        <v>Open Post</v>
      </c>
      <c r="L222" s="4" t="s">
        <v>1765</v>
      </c>
      <c r="M222" s="4" t="s">
        <v>49</v>
      </c>
      <c r="N222" s="4" t="s">
        <v>1766</v>
      </c>
      <c r="O222" s="4" t="s">
        <v>51</v>
      </c>
      <c r="P222" s="4" t="s">
        <v>1767</v>
      </c>
    </row>
    <row r="223">
      <c r="A223" s="4" t="s">
        <v>829</v>
      </c>
      <c r="B223" s="4">
        <v>114.0</v>
      </c>
      <c r="F223" s="4" t="s">
        <v>830</v>
      </c>
      <c r="G223" s="4" t="s">
        <v>1768</v>
      </c>
      <c r="H223" s="4" t="s">
        <v>43</v>
      </c>
      <c r="I223" s="4" t="s">
        <v>43</v>
      </c>
      <c r="J223" s="4" t="s">
        <v>43</v>
      </c>
      <c r="K223" s="5" t="str">
        <f>HYPERLINK("https://www.instagram.com/p/B2W1bgmnr6s/","Open Post")</f>
        <v>Open Post</v>
      </c>
      <c r="L223" s="4" t="s">
        <v>1770</v>
      </c>
      <c r="M223" s="4" t="s">
        <v>1771</v>
      </c>
      <c r="N223" s="4" t="s">
        <v>1772</v>
      </c>
      <c r="O223" s="4" t="s">
        <v>51</v>
      </c>
      <c r="P223" s="4" t="s">
        <v>1773</v>
      </c>
    </row>
    <row r="224">
      <c r="A224" s="4" t="s">
        <v>829</v>
      </c>
      <c r="B224" s="4">
        <v>115.0</v>
      </c>
      <c r="F224" s="4" t="s">
        <v>830</v>
      </c>
      <c r="G224" s="4" t="s">
        <v>957</v>
      </c>
      <c r="H224" s="4" t="s">
        <v>43</v>
      </c>
      <c r="I224" s="4" t="s">
        <v>43</v>
      </c>
      <c r="J224" s="4" t="s">
        <v>43</v>
      </c>
      <c r="K224" s="5" t="str">
        <f>HYPERLINK("https://www.instagram.com/p/B2WmBkgAvmn/","Open Post")</f>
        <v>Open Post</v>
      </c>
      <c r="L224" s="4" t="s">
        <v>1775</v>
      </c>
      <c r="M224" s="4" t="s">
        <v>1776</v>
      </c>
      <c r="N224" s="4" t="s">
        <v>1777</v>
      </c>
      <c r="O224" s="4" t="s">
        <v>51</v>
      </c>
      <c r="P224" s="4" t="s">
        <v>1778</v>
      </c>
    </row>
    <row r="225">
      <c r="A225" s="4" t="s">
        <v>829</v>
      </c>
      <c r="B225" s="4">
        <v>116.0</v>
      </c>
      <c r="F225" s="4" t="s">
        <v>869</v>
      </c>
      <c r="G225" s="4" t="s">
        <v>1509</v>
      </c>
      <c r="H225" s="4" t="s">
        <v>43</v>
      </c>
      <c r="I225" s="4" t="s">
        <v>43</v>
      </c>
      <c r="J225" s="4" t="s">
        <v>43</v>
      </c>
      <c r="K225" s="5" t="str">
        <f>HYPERLINK("https://www.instagram.com/p/B2WWvPxlV-L/","Open Post")</f>
        <v>Open Post</v>
      </c>
      <c r="L225" s="4" t="s">
        <v>1780</v>
      </c>
      <c r="M225" s="4" t="s">
        <v>1781</v>
      </c>
      <c r="N225" s="4" t="s">
        <v>1782</v>
      </c>
      <c r="O225" s="4" t="s">
        <v>51</v>
      </c>
      <c r="P225" s="4" t="s">
        <v>1783</v>
      </c>
    </row>
    <row r="226">
      <c r="A226" s="4" t="s">
        <v>829</v>
      </c>
      <c r="B226" s="4">
        <v>117.0</v>
      </c>
      <c r="F226" s="4" t="s">
        <v>830</v>
      </c>
      <c r="G226" s="4" t="s">
        <v>431</v>
      </c>
      <c r="H226" s="4" t="s">
        <v>43</v>
      </c>
      <c r="I226" s="4" t="s">
        <v>43</v>
      </c>
      <c r="J226" s="4" t="s">
        <v>43</v>
      </c>
      <c r="K226" s="5" t="str">
        <f>HYPERLINK("https://www.instagram.com/p/B2ULrYaHc_O/","Open Post")</f>
        <v>Open Post</v>
      </c>
      <c r="L226" s="4" t="s">
        <v>1784</v>
      </c>
      <c r="M226" s="4" t="s">
        <v>1785</v>
      </c>
      <c r="N226" s="4" t="s">
        <v>1786</v>
      </c>
      <c r="O226" s="4" t="s">
        <v>51</v>
      </c>
      <c r="P226" s="4" t="s">
        <v>1788</v>
      </c>
    </row>
    <row r="227">
      <c r="A227" s="4" t="s">
        <v>829</v>
      </c>
      <c r="B227" s="4">
        <v>118.0</v>
      </c>
      <c r="F227" s="4" t="s">
        <v>830</v>
      </c>
      <c r="G227" s="4" t="s">
        <v>661</v>
      </c>
      <c r="H227" s="4" t="s">
        <v>43</v>
      </c>
      <c r="I227" s="4" t="s">
        <v>43</v>
      </c>
      <c r="J227" s="4" t="s">
        <v>43</v>
      </c>
      <c r="K227" s="5" t="str">
        <f>HYPERLINK("https://www.instagram.com/p/B2TutEehihD/","Open Post")</f>
        <v>Open Post</v>
      </c>
      <c r="L227" s="4" t="s">
        <v>1789</v>
      </c>
      <c r="M227" s="4" t="s">
        <v>1790</v>
      </c>
      <c r="N227" s="4" t="s">
        <v>1791</v>
      </c>
      <c r="O227" s="4" t="s">
        <v>51</v>
      </c>
      <c r="P227" s="4" t="s">
        <v>1792</v>
      </c>
    </row>
    <row r="228">
      <c r="A228" s="4" t="s">
        <v>829</v>
      </c>
      <c r="B228" s="4">
        <v>119.0</v>
      </c>
      <c r="F228" s="4" t="s">
        <v>830</v>
      </c>
      <c r="G228" s="4" t="s">
        <v>661</v>
      </c>
      <c r="H228" s="4" t="s">
        <v>43</v>
      </c>
      <c r="I228" s="4" t="s">
        <v>43</v>
      </c>
      <c r="J228" s="4" t="s">
        <v>43</v>
      </c>
      <c r="K228" s="5" t="str">
        <f>HYPERLINK("https://www.instagram.com/p/B2MY6cEnelg/","Open Post")</f>
        <v>Open Post</v>
      </c>
      <c r="L228" s="4" t="s">
        <v>1795</v>
      </c>
      <c r="M228" s="4" t="s">
        <v>1796</v>
      </c>
      <c r="N228" s="4" t="s">
        <v>1797</v>
      </c>
      <c r="O228" s="4" t="s">
        <v>51</v>
      </c>
      <c r="P228" s="4" t="s">
        <v>1798</v>
      </c>
    </row>
    <row r="229">
      <c r="A229" s="4" t="s">
        <v>829</v>
      </c>
      <c r="B229" s="4">
        <v>120.0</v>
      </c>
      <c r="F229" s="4" t="s">
        <v>869</v>
      </c>
      <c r="G229" s="4" t="s">
        <v>852</v>
      </c>
      <c r="H229" s="4" t="s">
        <v>43</v>
      </c>
      <c r="I229" s="4" t="s">
        <v>43</v>
      </c>
      <c r="J229" s="4" t="s">
        <v>43</v>
      </c>
      <c r="K229" s="5" t="str">
        <f>HYPERLINK("https://www.instagram.com/p/B2H7yfspYat/","Open Post")</f>
        <v>Open Post</v>
      </c>
      <c r="L229" s="4" t="s">
        <v>1799</v>
      </c>
      <c r="M229" s="4" t="s">
        <v>1800</v>
      </c>
      <c r="N229" s="4" t="s">
        <v>1801</v>
      </c>
      <c r="O229" s="4" t="s">
        <v>51</v>
      </c>
      <c r="P229" s="4" t="s">
        <v>1802</v>
      </c>
    </row>
    <row r="230">
      <c r="A230" s="4" t="s">
        <v>829</v>
      </c>
      <c r="B230" s="4">
        <v>121.0</v>
      </c>
      <c r="F230" s="4" t="s">
        <v>830</v>
      </c>
      <c r="G230" s="4" t="s">
        <v>1041</v>
      </c>
      <c r="H230" s="4" t="s">
        <v>43</v>
      </c>
      <c r="I230" s="4" t="s">
        <v>43</v>
      </c>
      <c r="J230" s="4" t="s">
        <v>43</v>
      </c>
      <c r="K230" s="5" t="str">
        <f>HYPERLINK("https://www.instagram.com/p/B2EhJh3Hwx4/","Open Post")</f>
        <v>Open Post</v>
      </c>
      <c r="L230" s="4" t="s">
        <v>1803</v>
      </c>
      <c r="M230" s="4" t="s">
        <v>1804</v>
      </c>
      <c r="N230" s="4" t="s">
        <v>1805</v>
      </c>
      <c r="O230" s="4" t="s">
        <v>51</v>
      </c>
      <c r="P230" s="4" t="s">
        <v>1806</v>
      </c>
    </row>
    <row r="231">
      <c r="A231" s="4" t="s">
        <v>829</v>
      </c>
      <c r="B231" s="4">
        <v>122.0</v>
      </c>
      <c r="F231" s="4" t="s">
        <v>830</v>
      </c>
      <c r="G231" s="4" t="s">
        <v>1047</v>
      </c>
      <c r="H231" s="4" t="s">
        <v>43</v>
      </c>
      <c r="I231" s="4" t="s">
        <v>43</v>
      </c>
      <c r="J231" s="4" t="s">
        <v>43</v>
      </c>
      <c r="K231" s="5" t="str">
        <f>HYPERLINK("https://www.instagram.com/p/B2EMyPAgwsc/","Open Post")</f>
        <v>Open Post</v>
      </c>
      <c r="L231" s="4" t="s">
        <v>1808</v>
      </c>
      <c r="M231" s="4" t="s">
        <v>1809</v>
      </c>
      <c r="N231" s="4" t="s">
        <v>1810</v>
      </c>
      <c r="O231" s="4" t="s">
        <v>51</v>
      </c>
      <c r="P231" s="4" t="s">
        <v>1811</v>
      </c>
    </row>
    <row r="232">
      <c r="A232" s="4" t="s">
        <v>829</v>
      </c>
      <c r="B232" s="4">
        <v>123.0</v>
      </c>
      <c r="F232" s="4" t="s">
        <v>830</v>
      </c>
      <c r="G232" s="4" t="s">
        <v>661</v>
      </c>
      <c r="H232" s="4" t="s">
        <v>43</v>
      </c>
      <c r="I232" s="4" t="s">
        <v>43</v>
      </c>
      <c r="J232" s="4" t="s">
        <v>43</v>
      </c>
      <c r="K232" s="5" t="str">
        <f>HYPERLINK("https://www.instagram.com/p/B2EN9BEAw8E/","Open Post")</f>
        <v>Open Post</v>
      </c>
      <c r="L232" s="4" t="s">
        <v>1813</v>
      </c>
      <c r="M232" s="4" t="s">
        <v>1809</v>
      </c>
      <c r="N232" s="4" t="s">
        <v>1814</v>
      </c>
      <c r="O232" s="4" t="s">
        <v>51</v>
      </c>
      <c r="P232" s="4" t="s">
        <v>1815</v>
      </c>
    </row>
    <row r="233">
      <c r="A233" s="4" t="s">
        <v>829</v>
      </c>
      <c r="B233" s="4">
        <v>124.0</v>
      </c>
      <c r="F233" s="4" t="s">
        <v>830</v>
      </c>
      <c r="G233" s="4" t="s">
        <v>661</v>
      </c>
      <c r="H233" s="4" t="s">
        <v>43</v>
      </c>
      <c r="I233" s="4" t="s">
        <v>43</v>
      </c>
      <c r="J233" s="4" t="s">
        <v>43</v>
      </c>
      <c r="K233" s="5" t="str">
        <f>HYPERLINK("https://www.instagram.com/p/B2B6ktiH2kk/","Open Post")</f>
        <v>Open Post</v>
      </c>
      <c r="L233" s="4" t="s">
        <v>1817</v>
      </c>
      <c r="M233" s="4" t="s">
        <v>1818</v>
      </c>
      <c r="N233" s="4" t="s">
        <v>1819</v>
      </c>
      <c r="O233" s="4" t="s">
        <v>51</v>
      </c>
      <c r="P233" s="4" t="s">
        <v>1820</v>
      </c>
    </row>
    <row r="234">
      <c r="A234" s="4" t="s">
        <v>829</v>
      </c>
      <c r="B234" s="4">
        <v>125.0</v>
      </c>
      <c r="F234" s="4" t="s">
        <v>830</v>
      </c>
      <c r="G234" s="4" t="s">
        <v>1821</v>
      </c>
      <c r="H234" s="4" t="s">
        <v>43</v>
      </c>
      <c r="I234" s="4" t="s">
        <v>43</v>
      </c>
      <c r="J234" s="4" t="s">
        <v>43</v>
      </c>
      <c r="K234" s="5" t="str">
        <f>HYPERLINK("https://www.instagram.com/p/B2B5_6wHNJn/","Open Post")</f>
        <v>Open Post</v>
      </c>
      <c r="L234" s="4" t="s">
        <v>1823</v>
      </c>
      <c r="M234" s="4" t="s">
        <v>1824</v>
      </c>
      <c r="N234" s="4" t="s">
        <v>1825</v>
      </c>
      <c r="O234" s="4" t="s">
        <v>51</v>
      </c>
      <c r="P234" s="4" t="s">
        <v>1826</v>
      </c>
    </row>
    <row r="235">
      <c r="A235" s="4" t="s">
        <v>829</v>
      </c>
      <c r="B235" s="4">
        <v>126.0</v>
      </c>
      <c r="F235" s="4" t="s">
        <v>830</v>
      </c>
      <c r="G235" s="4" t="s">
        <v>257</v>
      </c>
      <c r="H235" s="4" t="s">
        <v>43</v>
      </c>
      <c r="I235" s="4" t="s">
        <v>43</v>
      </c>
      <c r="J235" s="4" t="s">
        <v>43</v>
      </c>
      <c r="K235" s="5" t="str">
        <f>HYPERLINK("https://www.instagram.com/p/B2B52GqHzId/","Open Post")</f>
        <v>Open Post</v>
      </c>
      <c r="L235" s="4" t="s">
        <v>1828</v>
      </c>
      <c r="M235" s="4" t="s">
        <v>1829</v>
      </c>
      <c r="N235" s="4" t="s">
        <v>1830</v>
      </c>
      <c r="O235" s="4" t="s">
        <v>51</v>
      </c>
      <c r="P235" s="4" t="s">
        <v>1831</v>
      </c>
    </row>
    <row r="236">
      <c r="A236" s="4" t="s">
        <v>829</v>
      </c>
      <c r="B236" s="4">
        <v>127.0</v>
      </c>
      <c r="F236" s="4" t="s">
        <v>869</v>
      </c>
      <c r="G236" s="4" t="s">
        <v>1832</v>
      </c>
      <c r="H236" s="4" t="s">
        <v>43</v>
      </c>
      <c r="I236" s="4" t="s">
        <v>43</v>
      </c>
      <c r="J236" s="4" t="s">
        <v>43</v>
      </c>
      <c r="K236" s="5" t="str">
        <f>HYPERLINK("https://www.instagram.com/p/B1-Pw_0AT8N/","Open Post")</f>
        <v>Open Post</v>
      </c>
      <c r="L236" s="4" t="s">
        <v>1834</v>
      </c>
      <c r="M236" s="4" t="s">
        <v>1835</v>
      </c>
      <c r="N236" s="4" t="s">
        <v>1836</v>
      </c>
      <c r="O236" s="4" t="s">
        <v>51</v>
      </c>
      <c r="P236" s="4" t="s">
        <v>1837</v>
      </c>
    </row>
    <row r="237">
      <c r="A237" s="4" t="s">
        <v>829</v>
      </c>
      <c r="B237" s="4">
        <v>128.0</v>
      </c>
      <c r="F237" s="4" t="s">
        <v>869</v>
      </c>
      <c r="G237" s="4" t="s">
        <v>326</v>
      </c>
      <c r="H237" s="4" t="s">
        <v>43</v>
      </c>
      <c r="I237" s="4" t="s">
        <v>43</v>
      </c>
      <c r="J237" s="4" t="s">
        <v>43</v>
      </c>
      <c r="K237" s="5" t="str">
        <f>HYPERLINK("https://www.instagram.com/p/B19UhlbJ68x/","Open Post")</f>
        <v>Open Post</v>
      </c>
      <c r="L237" s="4" t="s">
        <v>1839</v>
      </c>
      <c r="M237" s="4" t="s">
        <v>1840</v>
      </c>
      <c r="N237" s="4" t="s">
        <v>1842</v>
      </c>
      <c r="O237" s="4" t="s">
        <v>51</v>
      </c>
      <c r="P237" s="4" t="s">
        <v>1843</v>
      </c>
    </row>
    <row r="238">
      <c r="A238" s="4" t="s">
        <v>829</v>
      </c>
      <c r="B238" s="4">
        <v>129.0</v>
      </c>
      <c r="F238" s="4" t="s">
        <v>830</v>
      </c>
      <c r="G238" s="4" t="s">
        <v>957</v>
      </c>
      <c r="H238" s="4" t="s">
        <v>43</v>
      </c>
      <c r="I238" s="4" t="s">
        <v>43</v>
      </c>
      <c r="J238" s="4" t="s">
        <v>43</v>
      </c>
      <c r="K238" s="5" t="str">
        <f>HYPERLINK("https://www.instagram.com/p/B18t6VKgujT/","Open Post")</f>
        <v>Open Post</v>
      </c>
      <c r="L238" s="4" t="s">
        <v>1844</v>
      </c>
      <c r="M238" s="4" t="s">
        <v>1846</v>
      </c>
      <c r="N238" s="4" t="s">
        <v>1847</v>
      </c>
      <c r="O238" s="4" t="s">
        <v>51</v>
      </c>
      <c r="P238" s="4" t="s">
        <v>1848</v>
      </c>
    </row>
    <row r="239">
      <c r="A239" s="4" t="s">
        <v>829</v>
      </c>
      <c r="B239" s="4">
        <v>130.0</v>
      </c>
      <c r="F239" s="4" t="s">
        <v>57</v>
      </c>
      <c r="G239" s="4" t="s">
        <v>466</v>
      </c>
      <c r="H239" s="4" t="s">
        <v>43</v>
      </c>
      <c r="I239" s="4" t="s">
        <v>43</v>
      </c>
      <c r="J239" s="4" t="s">
        <v>43</v>
      </c>
      <c r="K239" s="5" t="str">
        <f>HYPERLINK("https://www.instagram.com/reel/B12tBxRFdy2/","Open Reel")</f>
        <v>Open Reel</v>
      </c>
      <c r="L239" s="4" t="s">
        <v>1850</v>
      </c>
      <c r="M239" s="4" t="s">
        <v>1851</v>
      </c>
      <c r="N239" s="4" t="s">
        <v>1853</v>
      </c>
      <c r="O239" s="4" t="s">
        <v>51</v>
      </c>
      <c r="P239" s="4" t="s">
        <v>1855</v>
      </c>
    </row>
    <row r="240">
      <c r="A240" s="4" t="s">
        <v>829</v>
      </c>
      <c r="B240" s="4">
        <v>131.0</v>
      </c>
      <c r="F240" s="4" t="s">
        <v>830</v>
      </c>
      <c r="G240" s="4" t="s">
        <v>1856</v>
      </c>
      <c r="H240" s="4" t="s">
        <v>43</v>
      </c>
      <c r="I240" s="4" t="s">
        <v>43</v>
      </c>
      <c r="J240" s="4" t="s">
        <v>43</v>
      </c>
      <c r="K240" s="5" t="str">
        <f>HYPERLINK("https://www.instagram.com/p/B10VvBIHd_C/","Open Post")</f>
        <v>Open Post</v>
      </c>
      <c r="L240" s="4" t="s">
        <v>1859</v>
      </c>
      <c r="M240" s="4" t="s">
        <v>1860</v>
      </c>
      <c r="N240" s="4" t="s">
        <v>1861</v>
      </c>
      <c r="O240" s="4" t="s">
        <v>51</v>
      </c>
      <c r="P240" s="4" t="s">
        <v>1862</v>
      </c>
    </row>
    <row r="241">
      <c r="A241" s="4" t="s">
        <v>829</v>
      </c>
      <c r="B241" s="4">
        <v>132.0</v>
      </c>
      <c r="F241" s="4" t="s">
        <v>830</v>
      </c>
      <c r="G241" s="4" t="s">
        <v>661</v>
      </c>
      <c r="H241" s="4" t="s">
        <v>43</v>
      </c>
      <c r="I241" s="4" t="s">
        <v>43</v>
      </c>
      <c r="J241" s="4" t="s">
        <v>43</v>
      </c>
      <c r="K241" s="5" t="str">
        <f>HYPERLINK("https://www.instagram.com/p/B10Vl-fniAt/","Open Post")</f>
        <v>Open Post</v>
      </c>
      <c r="L241" s="4" t="s">
        <v>1863</v>
      </c>
      <c r="M241" s="4" t="s">
        <v>1864</v>
      </c>
      <c r="N241" s="4" t="s">
        <v>1865</v>
      </c>
      <c r="O241" s="4" t="s">
        <v>51</v>
      </c>
      <c r="P241" s="4" t="s">
        <v>1867</v>
      </c>
    </row>
    <row r="242">
      <c r="A242" s="4" t="s">
        <v>829</v>
      </c>
      <c r="B242" s="4">
        <v>133.0</v>
      </c>
      <c r="F242" s="4" t="s">
        <v>830</v>
      </c>
      <c r="G242" s="4" t="s">
        <v>207</v>
      </c>
      <c r="H242" s="4" t="s">
        <v>43</v>
      </c>
      <c r="I242" s="4" t="s">
        <v>43</v>
      </c>
      <c r="J242" s="4" t="s">
        <v>43</v>
      </c>
      <c r="K242" s="5" t="str">
        <f>HYPERLINK("https://www.instagram.com/p/B1y4TP8HAzt/","Open Post")</f>
        <v>Open Post</v>
      </c>
      <c r="L242" s="4" t="s">
        <v>1871</v>
      </c>
      <c r="M242" s="4" t="s">
        <v>49</v>
      </c>
      <c r="N242" s="4" t="s">
        <v>1872</v>
      </c>
      <c r="O242" s="4" t="s">
        <v>51</v>
      </c>
      <c r="P242" s="4" t="s">
        <v>1873</v>
      </c>
    </row>
    <row r="243">
      <c r="A243" s="4" t="s">
        <v>829</v>
      </c>
      <c r="B243" s="4">
        <v>134.0</v>
      </c>
      <c r="F243" s="4" t="s">
        <v>830</v>
      </c>
      <c r="G243" s="4" t="s">
        <v>852</v>
      </c>
      <c r="H243" s="4" t="s">
        <v>43</v>
      </c>
      <c r="I243" s="4" t="s">
        <v>43</v>
      </c>
      <c r="J243" s="4" t="s">
        <v>43</v>
      </c>
      <c r="K243" s="5" t="str">
        <f>HYPERLINK("https://www.instagram.com/p/B1x00isA7jg/","Open Post")</f>
        <v>Open Post</v>
      </c>
      <c r="L243" s="4" t="s">
        <v>1875</v>
      </c>
      <c r="M243" s="4" t="s">
        <v>1876</v>
      </c>
      <c r="N243" s="4" t="s">
        <v>1877</v>
      </c>
      <c r="O243" s="4" t="s">
        <v>51</v>
      </c>
      <c r="P243" s="4" t="s">
        <v>1878</v>
      </c>
    </row>
    <row r="244">
      <c r="A244" s="4" t="s">
        <v>829</v>
      </c>
      <c r="B244" s="4">
        <v>135.0</v>
      </c>
      <c r="F244" s="4" t="s">
        <v>830</v>
      </c>
      <c r="G244" s="4" t="s">
        <v>326</v>
      </c>
      <c r="H244" s="4" t="s">
        <v>43</v>
      </c>
      <c r="I244" s="4" t="s">
        <v>43</v>
      </c>
      <c r="J244" s="4" t="s">
        <v>43</v>
      </c>
      <c r="K244" s="5" t="str">
        <f>HYPERLINK("https://www.instagram.com/p/B1rVfM8nOK5/","Open Post")</f>
        <v>Open Post</v>
      </c>
      <c r="L244" s="4" t="s">
        <v>1879</v>
      </c>
      <c r="M244" s="4" t="s">
        <v>1818</v>
      </c>
      <c r="N244" s="4" t="s">
        <v>1880</v>
      </c>
      <c r="O244" s="4" t="s">
        <v>51</v>
      </c>
      <c r="P244" s="4" t="s">
        <v>1882</v>
      </c>
    </row>
    <row r="245">
      <c r="A245" s="4" t="s">
        <v>829</v>
      </c>
      <c r="B245" s="4">
        <v>136.0</v>
      </c>
      <c r="F245" s="4" t="s">
        <v>830</v>
      </c>
      <c r="G245" s="4" t="s">
        <v>951</v>
      </c>
      <c r="H245" s="4" t="s">
        <v>43</v>
      </c>
      <c r="I245" s="4" t="s">
        <v>43</v>
      </c>
      <c r="J245" s="4" t="s">
        <v>43</v>
      </c>
      <c r="K245" s="5" t="str">
        <f>HYPERLINK("https://www.instagram.com/p/B1q1_xjAloM/","Open Post")</f>
        <v>Open Post</v>
      </c>
      <c r="L245" s="4" t="s">
        <v>1884</v>
      </c>
      <c r="M245" s="4" t="s">
        <v>1885</v>
      </c>
      <c r="N245" s="4" t="s">
        <v>1886</v>
      </c>
      <c r="O245" s="4" t="s">
        <v>51</v>
      </c>
      <c r="P245" s="4" t="s">
        <v>1887</v>
      </c>
    </row>
    <row r="246">
      <c r="A246" s="4" t="s">
        <v>829</v>
      </c>
      <c r="B246" s="4">
        <v>137.0</v>
      </c>
      <c r="F246" s="4" t="s">
        <v>830</v>
      </c>
      <c r="G246" s="4" t="s">
        <v>165</v>
      </c>
      <c r="H246" s="4" t="s">
        <v>43</v>
      </c>
      <c r="I246" s="4" t="s">
        <v>43</v>
      </c>
      <c r="J246" s="4" t="s">
        <v>43</v>
      </c>
      <c r="K246" s="5" t="str">
        <f>HYPERLINK("https://www.instagram.com/p/B1ei1pVnu2X/","Open Post")</f>
        <v>Open Post</v>
      </c>
      <c r="L246" s="4" t="s">
        <v>1890</v>
      </c>
      <c r="M246" s="4" t="s">
        <v>1891</v>
      </c>
      <c r="N246" s="4" t="s">
        <v>1892</v>
      </c>
      <c r="O246" s="4" t="s">
        <v>51</v>
      </c>
      <c r="P246" s="4" t="s">
        <v>1893</v>
      </c>
    </row>
    <row r="247">
      <c r="A247" s="4" t="s">
        <v>829</v>
      </c>
      <c r="B247" s="4">
        <v>138.0</v>
      </c>
      <c r="F247" s="4" t="s">
        <v>869</v>
      </c>
      <c r="G247" s="4" t="s">
        <v>371</v>
      </c>
      <c r="H247" s="4" t="s">
        <v>43</v>
      </c>
      <c r="I247" s="4" t="s">
        <v>43</v>
      </c>
      <c r="J247" s="4" t="s">
        <v>43</v>
      </c>
      <c r="K247" s="5" t="str">
        <f>HYPERLINK("https://www.instagram.com/p/B1cYbcoJPBl/","Open Post")</f>
        <v>Open Post</v>
      </c>
      <c r="L247" s="4" t="s">
        <v>1894</v>
      </c>
      <c r="M247" s="4" t="s">
        <v>1895</v>
      </c>
      <c r="N247" s="4" t="s">
        <v>1896</v>
      </c>
      <c r="O247" s="4" t="s">
        <v>51</v>
      </c>
      <c r="P247" s="4" t="s">
        <v>1897</v>
      </c>
    </row>
    <row r="248">
      <c r="A248" s="4" t="s">
        <v>829</v>
      </c>
      <c r="B248" s="4">
        <v>139.0</v>
      </c>
      <c r="F248" s="4" t="s">
        <v>830</v>
      </c>
      <c r="G248" s="4" t="s">
        <v>1856</v>
      </c>
      <c r="H248" s="4" t="s">
        <v>43</v>
      </c>
      <c r="I248" s="4" t="s">
        <v>43</v>
      </c>
      <c r="J248" s="4" t="s">
        <v>43</v>
      </c>
      <c r="K248" s="5" t="str">
        <f>HYPERLINK("https://www.instagram.com/p/B06l5pFBS4H/","Open Post")</f>
        <v>Open Post</v>
      </c>
      <c r="L248" s="4" t="s">
        <v>1900</v>
      </c>
      <c r="M248" s="4" t="s">
        <v>1901</v>
      </c>
      <c r="N248" s="4" t="s">
        <v>1903</v>
      </c>
      <c r="O248" s="4" t="s">
        <v>51</v>
      </c>
      <c r="P248" s="4" t="s">
        <v>1904</v>
      </c>
    </row>
    <row r="249">
      <c r="A249" s="4" t="s">
        <v>829</v>
      </c>
      <c r="B249" s="4">
        <v>140.0</v>
      </c>
      <c r="F249" s="4" t="s">
        <v>830</v>
      </c>
      <c r="G249" s="4" t="s">
        <v>852</v>
      </c>
      <c r="H249" s="4" t="s">
        <v>43</v>
      </c>
      <c r="I249" s="4" t="s">
        <v>43</v>
      </c>
      <c r="J249" s="4" t="s">
        <v>43</v>
      </c>
      <c r="K249" s="5" t="str">
        <f>HYPERLINK("https://www.instagram.com/p/B1Vv5d8IlkL/","Open Post")</f>
        <v>Open Post</v>
      </c>
      <c r="L249" s="4" t="s">
        <v>1905</v>
      </c>
      <c r="M249" s="4" t="s">
        <v>1906</v>
      </c>
      <c r="N249" s="4" t="s">
        <v>1907</v>
      </c>
      <c r="O249" s="4" t="s">
        <v>51</v>
      </c>
      <c r="P249" s="4" t="s">
        <v>1908</v>
      </c>
    </row>
    <row r="250">
      <c r="A250" s="4" t="s">
        <v>829</v>
      </c>
      <c r="B250" s="4">
        <v>141.0</v>
      </c>
      <c r="F250" s="4" t="s">
        <v>830</v>
      </c>
      <c r="G250" s="4" t="s">
        <v>852</v>
      </c>
      <c r="H250" s="4" t="s">
        <v>43</v>
      </c>
      <c r="I250" s="4" t="s">
        <v>43</v>
      </c>
      <c r="J250" s="4" t="s">
        <v>43</v>
      </c>
      <c r="K250" s="5" t="str">
        <f>HYPERLINK("https://www.instagram.com/p/B1O8KzBnjW-/","Open Post")</f>
        <v>Open Post</v>
      </c>
      <c r="L250" s="4" t="s">
        <v>1910</v>
      </c>
      <c r="M250" s="4" t="s">
        <v>1912</v>
      </c>
      <c r="N250" s="4" t="s">
        <v>1913</v>
      </c>
      <c r="O250" s="4" t="s">
        <v>51</v>
      </c>
      <c r="P250" s="4" t="s">
        <v>1914</v>
      </c>
    </row>
    <row r="251">
      <c r="A251" s="4" t="s">
        <v>829</v>
      </c>
      <c r="B251" s="4">
        <v>142.0</v>
      </c>
      <c r="F251" s="4" t="s">
        <v>830</v>
      </c>
      <c r="G251" s="4" t="s">
        <v>431</v>
      </c>
      <c r="H251" s="4" t="s">
        <v>43</v>
      </c>
      <c r="I251" s="4" t="s">
        <v>43</v>
      </c>
      <c r="J251" s="4" t="s">
        <v>43</v>
      </c>
      <c r="K251" s="5" t="str">
        <f>HYPERLINK("https://www.instagram.com/p/B1JytvwgUJx/","Open Post")</f>
        <v>Open Post</v>
      </c>
      <c r="L251" s="4" t="s">
        <v>1916</v>
      </c>
      <c r="M251" s="4" t="s">
        <v>1917</v>
      </c>
      <c r="N251" s="4" t="s">
        <v>1918</v>
      </c>
      <c r="O251" s="4" t="s">
        <v>51</v>
      </c>
      <c r="P251" s="4" t="s">
        <v>1919</v>
      </c>
    </row>
    <row r="252">
      <c r="A252" s="4" t="s">
        <v>829</v>
      </c>
      <c r="B252" s="4">
        <v>143.0</v>
      </c>
      <c r="F252" s="4" t="s">
        <v>869</v>
      </c>
      <c r="G252" s="4" t="s">
        <v>871</v>
      </c>
      <c r="H252" s="4" t="s">
        <v>43</v>
      </c>
      <c r="I252" s="4" t="s">
        <v>43</v>
      </c>
      <c r="J252" s="4" t="s">
        <v>43</v>
      </c>
      <c r="K252" s="5" t="str">
        <f>HYPERLINK("https://www.instagram.com/p/B09zX7QDOID/","Open Post")</f>
        <v>Open Post</v>
      </c>
      <c r="L252" s="4" t="s">
        <v>1920</v>
      </c>
      <c r="M252" s="4" t="s">
        <v>1921</v>
      </c>
      <c r="N252" s="4" t="s">
        <v>1922</v>
      </c>
      <c r="O252" s="4" t="s">
        <v>51</v>
      </c>
      <c r="P252" s="4" t="s">
        <v>1923</v>
      </c>
    </row>
    <row r="253">
      <c r="A253" s="4" t="s">
        <v>829</v>
      </c>
      <c r="B253" s="4">
        <v>144.0</v>
      </c>
      <c r="F253" s="4" t="s">
        <v>830</v>
      </c>
      <c r="G253" s="4" t="s">
        <v>431</v>
      </c>
      <c r="H253" s="4" t="s">
        <v>43</v>
      </c>
      <c r="I253" s="4" t="s">
        <v>43</v>
      </c>
      <c r="J253" s="4" t="s">
        <v>43</v>
      </c>
      <c r="K253" s="5" t="str">
        <f>HYPERLINK("https://www.instagram.com/p/B08whMwgVkS/","Open Post")</f>
        <v>Open Post</v>
      </c>
      <c r="L253" s="4" t="s">
        <v>1925</v>
      </c>
      <c r="M253" s="4" t="s">
        <v>1926</v>
      </c>
      <c r="N253" s="4" t="s">
        <v>1927</v>
      </c>
      <c r="O253" s="4" t="s">
        <v>51</v>
      </c>
      <c r="P253" s="4" t="s">
        <v>1929</v>
      </c>
    </row>
    <row r="254">
      <c r="A254" s="4" t="s">
        <v>829</v>
      </c>
      <c r="B254" s="4">
        <v>145.0</v>
      </c>
      <c r="F254" s="4" t="s">
        <v>830</v>
      </c>
      <c r="G254" s="4" t="s">
        <v>661</v>
      </c>
      <c r="H254" s="4" t="s">
        <v>43</v>
      </c>
      <c r="I254" s="4" t="s">
        <v>43</v>
      </c>
      <c r="J254" s="4" t="s">
        <v>43</v>
      </c>
      <c r="K254" s="5" t="str">
        <f>HYPERLINK("https://www.instagram.com/p/B056J_igDOa/","Open Post")</f>
        <v>Open Post</v>
      </c>
      <c r="L254" s="4" t="s">
        <v>1930</v>
      </c>
      <c r="M254" s="4" t="s">
        <v>1932</v>
      </c>
      <c r="N254" s="4" t="s">
        <v>1933</v>
      </c>
      <c r="O254" s="4" t="s">
        <v>51</v>
      </c>
      <c r="P254" s="4" t="s">
        <v>1934</v>
      </c>
    </row>
    <row r="255">
      <c r="A255" s="4" t="s">
        <v>829</v>
      </c>
      <c r="B255" s="4">
        <v>146.0</v>
      </c>
      <c r="F255" s="4" t="s">
        <v>830</v>
      </c>
      <c r="G255" s="4" t="s">
        <v>852</v>
      </c>
      <c r="H255" s="4" t="s">
        <v>43</v>
      </c>
      <c r="I255" s="4" t="s">
        <v>43</v>
      </c>
      <c r="J255" s="4" t="s">
        <v>43</v>
      </c>
      <c r="K255" s="5" t="str">
        <f>HYPERLINK("https://www.instagram.com/p/B0364iGph_u/","Open Post")</f>
        <v>Open Post</v>
      </c>
      <c r="L255" s="4" t="s">
        <v>1936</v>
      </c>
      <c r="M255" s="4" t="s">
        <v>1937</v>
      </c>
      <c r="N255" s="4" t="s">
        <v>1938</v>
      </c>
      <c r="O255" s="4" t="s">
        <v>51</v>
      </c>
      <c r="P255" s="4" t="s">
        <v>1939</v>
      </c>
    </row>
    <row r="256">
      <c r="A256" s="4" t="s">
        <v>829</v>
      </c>
      <c r="B256" s="4">
        <v>147.0</v>
      </c>
      <c r="F256" s="4" t="s">
        <v>869</v>
      </c>
      <c r="G256" s="4" t="s">
        <v>166</v>
      </c>
      <c r="H256" s="4" t="s">
        <v>43</v>
      </c>
      <c r="I256" s="4" t="s">
        <v>43</v>
      </c>
      <c r="J256" s="4" t="s">
        <v>43</v>
      </c>
      <c r="K256" s="5" t="str">
        <f>HYPERLINK("https://www.instagram.com/p/B03WaNhDs7X/","Open Post")</f>
        <v>Open Post</v>
      </c>
      <c r="L256" s="4" t="s">
        <v>1941</v>
      </c>
      <c r="M256" s="4" t="s">
        <v>1942</v>
      </c>
      <c r="N256" s="4" t="s">
        <v>1943</v>
      </c>
      <c r="O256" s="4" t="s">
        <v>51</v>
      </c>
      <c r="P256" s="4" t="s">
        <v>1944</v>
      </c>
    </row>
    <row r="257">
      <c r="A257" s="4" t="s">
        <v>829</v>
      </c>
      <c r="B257" s="4">
        <v>148.0</v>
      </c>
      <c r="F257" s="4" t="s">
        <v>830</v>
      </c>
      <c r="G257" s="4" t="s">
        <v>431</v>
      </c>
      <c r="H257" s="4" t="s">
        <v>43</v>
      </c>
      <c r="I257" s="4" t="s">
        <v>43</v>
      </c>
      <c r="J257" s="4" t="s">
        <v>43</v>
      </c>
      <c r="K257" s="5" t="str">
        <f>HYPERLINK("https://www.instagram.com/p/B01CsG_HRlN/","Open Post")</f>
        <v>Open Post</v>
      </c>
      <c r="L257" s="4" t="s">
        <v>1945</v>
      </c>
      <c r="M257" s="4" t="s">
        <v>1946</v>
      </c>
      <c r="N257" s="4" t="s">
        <v>1947</v>
      </c>
      <c r="O257" s="4" t="s">
        <v>51</v>
      </c>
      <c r="P257" s="4" t="s">
        <v>1949</v>
      </c>
    </row>
    <row r="258">
      <c r="A258" s="4" t="s">
        <v>829</v>
      </c>
      <c r="B258" s="4">
        <v>149.0</v>
      </c>
      <c r="F258" s="4" t="s">
        <v>869</v>
      </c>
      <c r="G258" s="4" t="s">
        <v>951</v>
      </c>
      <c r="H258" s="4" t="s">
        <v>43</v>
      </c>
      <c r="I258" s="4" t="s">
        <v>43</v>
      </c>
      <c r="J258" s="4" t="s">
        <v>43</v>
      </c>
      <c r="K258" s="5" t="str">
        <f>HYPERLINK("https://www.instagram.com/p/B000TmIlB0d/","Open Post")</f>
        <v>Open Post</v>
      </c>
      <c r="L258" s="4" t="s">
        <v>1950</v>
      </c>
      <c r="M258" s="4" t="s">
        <v>1951</v>
      </c>
      <c r="N258" s="4" t="s">
        <v>1952</v>
      </c>
      <c r="O258" s="4" t="s">
        <v>51</v>
      </c>
      <c r="P258" s="4" t="s">
        <v>1953</v>
      </c>
    </row>
    <row r="259">
      <c r="A259" s="4" t="s">
        <v>829</v>
      </c>
      <c r="B259" s="4">
        <v>150.0</v>
      </c>
      <c r="F259" s="4" t="s">
        <v>830</v>
      </c>
      <c r="G259" s="4" t="s">
        <v>257</v>
      </c>
      <c r="H259" s="4" t="s">
        <v>43</v>
      </c>
      <c r="I259" s="4" t="s">
        <v>43</v>
      </c>
      <c r="J259" s="4" t="s">
        <v>43</v>
      </c>
      <c r="K259" s="5" t="str">
        <f>HYPERLINK("https://www.instagram.com/p/B0w-_fjAbKH/","Open Post")</f>
        <v>Open Post</v>
      </c>
      <c r="L259" s="4" t="s">
        <v>1955</v>
      </c>
      <c r="M259" s="4" t="s">
        <v>1956</v>
      </c>
      <c r="N259" s="4" t="s">
        <v>1957</v>
      </c>
      <c r="O259" s="4" t="s">
        <v>51</v>
      </c>
      <c r="P259" s="4" t="s">
        <v>1958</v>
      </c>
    </row>
    <row r="260">
      <c r="A260" s="4" t="s">
        <v>829</v>
      </c>
      <c r="B260" s="4">
        <v>151.0</v>
      </c>
      <c r="F260" s="4" t="s">
        <v>830</v>
      </c>
      <c r="G260" s="4" t="s">
        <v>371</v>
      </c>
      <c r="H260" s="4" t="s">
        <v>43</v>
      </c>
      <c r="I260" s="4" t="s">
        <v>43</v>
      </c>
      <c r="J260" s="4" t="s">
        <v>43</v>
      </c>
      <c r="K260" s="5" t="str">
        <f>HYPERLINK("https://www.instagram.com/p/B0j9ZfOJMyV/","Open Post")</f>
        <v>Open Post</v>
      </c>
      <c r="L260" s="4" t="s">
        <v>1960</v>
      </c>
      <c r="M260" s="4" t="s">
        <v>1961</v>
      </c>
      <c r="N260" s="4" t="s">
        <v>1962</v>
      </c>
      <c r="O260" s="4" t="s">
        <v>51</v>
      </c>
      <c r="P260" s="4" t="s">
        <v>1963</v>
      </c>
    </row>
    <row r="261">
      <c r="A261" s="4" t="s">
        <v>829</v>
      </c>
      <c r="B261" s="4">
        <v>152.0</v>
      </c>
      <c r="F261" s="4" t="s">
        <v>830</v>
      </c>
      <c r="G261" s="4" t="s">
        <v>957</v>
      </c>
      <c r="H261" s="4" t="s">
        <v>43</v>
      </c>
      <c r="I261" s="4" t="s">
        <v>43</v>
      </c>
      <c r="J261" s="4" t="s">
        <v>43</v>
      </c>
      <c r="K261" s="5" t="str">
        <f>HYPERLINK("https://www.instagram.com/p/B0jX90aA3Y3/","Open Post")</f>
        <v>Open Post</v>
      </c>
      <c r="L261" s="4" t="s">
        <v>1966</v>
      </c>
      <c r="M261" s="4" t="s">
        <v>1967</v>
      </c>
      <c r="N261" s="4" t="s">
        <v>1968</v>
      </c>
      <c r="O261" s="4" t="s">
        <v>51</v>
      </c>
      <c r="P261" s="4" t="s">
        <v>1969</v>
      </c>
    </row>
    <row r="262">
      <c r="A262" s="4" t="s">
        <v>829</v>
      </c>
      <c r="B262" s="4">
        <v>153.0</v>
      </c>
      <c r="F262" s="4" t="s">
        <v>830</v>
      </c>
      <c r="G262" s="4" t="s">
        <v>1047</v>
      </c>
      <c r="H262" s="4" t="s">
        <v>43</v>
      </c>
      <c r="I262" s="4" t="s">
        <v>43</v>
      </c>
      <c r="J262" s="4" t="s">
        <v>43</v>
      </c>
      <c r="K262" s="5" t="str">
        <f>HYPERLINK("https://www.instagram.com/p/B0grAPohFwe/","Open Post")</f>
        <v>Open Post</v>
      </c>
      <c r="L262" s="4" t="s">
        <v>1971</v>
      </c>
      <c r="M262" s="4" t="s">
        <v>1972</v>
      </c>
      <c r="N262" s="4" t="s">
        <v>1973</v>
      </c>
      <c r="O262" s="4" t="s">
        <v>51</v>
      </c>
      <c r="P262" s="4" t="s">
        <v>1974</v>
      </c>
    </row>
    <row r="263">
      <c r="A263" s="4" t="s">
        <v>829</v>
      </c>
      <c r="B263" s="4">
        <v>154.0</v>
      </c>
      <c r="F263" s="4" t="s">
        <v>830</v>
      </c>
      <c r="G263" s="4" t="s">
        <v>1975</v>
      </c>
      <c r="H263" s="4" t="s">
        <v>43</v>
      </c>
      <c r="I263" s="4" t="s">
        <v>43</v>
      </c>
      <c r="J263" s="4" t="s">
        <v>43</v>
      </c>
      <c r="K263" s="5" t="str">
        <f>HYPERLINK("https://www.instagram.com/p/B0as6Scgu5k/","Open Post")</f>
        <v>Open Post</v>
      </c>
      <c r="L263" s="4" t="s">
        <v>1976</v>
      </c>
      <c r="M263" s="4" t="s">
        <v>1977</v>
      </c>
      <c r="N263" s="4" t="s">
        <v>1978</v>
      </c>
      <c r="O263" s="4" t="s">
        <v>51</v>
      </c>
      <c r="P263" s="4" t="s">
        <v>1979</v>
      </c>
    </row>
    <row r="264">
      <c r="A264" s="4" t="s">
        <v>829</v>
      </c>
      <c r="B264" s="4">
        <v>155.0</v>
      </c>
      <c r="F264" s="4" t="s">
        <v>830</v>
      </c>
      <c r="G264" s="4" t="s">
        <v>871</v>
      </c>
      <c r="H264" s="4" t="s">
        <v>43</v>
      </c>
      <c r="I264" s="4" t="s">
        <v>43</v>
      </c>
      <c r="J264" s="4" t="s">
        <v>43</v>
      </c>
      <c r="K264" s="5" t="str">
        <f>HYPERLINK("https://www.instagram.com/p/B0ZNbiGJdQo/","Open Post")</f>
        <v>Open Post</v>
      </c>
      <c r="L264" s="4" t="s">
        <v>1982</v>
      </c>
      <c r="M264" s="4" t="s">
        <v>1983</v>
      </c>
      <c r="N264" s="4" t="s">
        <v>1984</v>
      </c>
      <c r="O264" s="4" t="s">
        <v>51</v>
      </c>
      <c r="P264" s="4" t="s">
        <v>1985</v>
      </c>
    </row>
    <row r="265">
      <c r="A265" s="4" t="s">
        <v>829</v>
      </c>
      <c r="B265" s="4">
        <v>156.0</v>
      </c>
      <c r="F265" s="4" t="s">
        <v>830</v>
      </c>
      <c r="G265" s="4" t="s">
        <v>661</v>
      </c>
      <c r="H265" s="4" t="s">
        <v>43</v>
      </c>
      <c r="I265" s="4" t="s">
        <v>43</v>
      </c>
      <c r="J265" s="4" t="s">
        <v>43</v>
      </c>
      <c r="K265" s="5" t="str">
        <f>HYPERLINK("https://www.instagram.com/p/B0Y9o1YnZ4o/","Open Post")</f>
        <v>Open Post</v>
      </c>
      <c r="L265" s="4" t="s">
        <v>1987</v>
      </c>
      <c r="M265" s="4" t="s">
        <v>1988</v>
      </c>
      <c r="N265" s="4" t="s">
        <v>1989</v>
      </c>
      <c r="O265" s="4" t="s">
        <v>51</v>
      </c>
      <c r="P265" s="4" t="s">
        <v>1990</v>
      </c>
    </row>
    <row r="266">
      <c r="A266" s="4" t="s">
        <v>829</v>
      </c>
      <c r="B266" s="4">
        <v>157.0</v>
      </c>
      <c r="F266" s="4" t="s">
        <v>830</v>
      </c>
      <c r="G266" s="4" t="s">
        <v>165</v>
      </c>
      <c r="H266" s="4" t="s">
        <v>43</v>
      </c>
      <c r="I266" s="4" t="s">
        <v>43</v>
      </c>
      <c r="J266" s="4" t="s">
        <v>43</v>
      </c>
      <c r="K266" s="5" t="str">
        <f>HYPERLINK("https://www.instagram.com/p/B0EoFsqpSon/","Open Post")</f>
        <v>Open Post</v>
      </c>
      <c r="L266" s="4" t="s">
        <v>1991</v>
      </c>
      <c r="M266" s="4" t="s">
        <v>1992</v>
      </c>
      <c r="N266" s="4" t="s">
        <v>1993</v>
      </c>
      <c r="O266" s="4" t="s">
        <v>51</v>
      </c>
      <c r="P266" s="4" t="s">
        <v>1994</v>
      </c>
    </row>
    <row r="267">
      <c r="A267" s="4" t="s">
        <v>829</v>
      </c>
      <c r="B267" s="4">
        <v>158.0</v>
      </c>
      <c r="F267" s="4" t="s">
        <v>830</v>
      </c>
      <c r="G267" s="4" t="s">
        <v>957</v>
      </c>
      <c r="H267" s="4" t="s">
        <v>43</v>
      </c>
      <c r="I267" s="4" t="s">
        <v>43</v>
      </c>
      <c r="J267" s="4" t="s">
        <v>43</v>
      </c>
      <c r="K267" s="5" t="str">
        <f>HYPERLINK("https://www.instagram.com/p/B0EnRFdAYgG/","Open Post")</f>
        <v>Open Post</v>
      </c>
      <c r="L267" s="4" t="s">
        <v>1996</v>
      </c>
      <c r="M267" s="4" t="s">
        <v>1997</v>
      </c>
      <c r="N267" s="4" t="s">
        <v>1998</v>
      </c>
      <c r="O267" s="4" t="s">
        <v>51</v>
      </c>
      <c r="P267" s="4" t="s">
        <v>1999</v>
      </c>
    </row>
    <row r="268">
      <c r="A268" s="4" t="s">
        <v>829</v>
      </c>
      <c r="B268" s="4">
        <v>159.0</v>
      </c>
      <c r="F268" s="4" t="s">
        <v>830</v>
      </c>
      <c r="G268" s="4" t="s">
        <v>306</v>
      </c>
      <c r="H268" s="4" t="s">
        <v>43</v>
      </c>
      <c r="I268" s="4" t="s">
        <v>43</v>
      </c>
      <c r="J268" s="4" t="s">
        <v>43</v>
      </c>
      <c r="K268" s="5" t="str">
        <f>HYPERLINK("https://www.instagram.com/p/B0B86eIlCGB/","Open Post")</f>
        <v>Open Post</v>
      </c>
      <c r="L268" s="4" t="s">
        <v>2001</v>
      </c>
      <c r="M268" s="4" t="s">
        <v>49</v>
      </c>
      <c r="N268" s="4" t="s">
        <v>2002</v>
      </c>
      <c r="O268" s="4" t="s">
        <v>51</v>
      </c>
      <c r="P268" s="4" t="s">
        <v>2004</v>
      </c>
    </row>
    <row r="269">
      <c r="A269" s="4" t="s">
        <v>829</v>
      </c>
      <c r="B269" s="4">
        <v>160.0</v>
      </c>
      <c r="F269" s="4" t="s">
        <v>830</v>
      </c>
      <c r="G269" s="4" t="s">
        <v>306</v>
      </c>
      <c r="H269" s="4" t="s">
        <v>43</v>
      </c>
      <c r="I269" s="4" t="s">
        <v>43</v>
      </c>
      <c r="J269" s="4" t="s">
        <v>43</v>
      </c>
      <c r="K269" s="5" t="str">
        <f>HYPERLINK("https://www.instagram.com/p/B0B85wppZNM/","Open Post")</f>
        <v>Open Post</v>
      </c>
      <c r="L269" s="4" t="s">
        <v>2001</v>
      </c>
      <c r="M269" s="4" t="s">
        <v>49</v>
      </c>
      <c r="N269" s="4" t="s">
        <v>2005</v>
      </c>
      <c r="O269" s="4" t="s">
        <v>51</v>
      </c>
      <c r="P269" s="4" t="s">
        <v>2006</v>
      </c>
    </row>
    <row r="270">
      <c r="A270" s="4" t="s">
        <v>829</v>
      </c>
      <c r="B270" s="4">
        <v>161.0</v>
      </c>
      <c r="F270" s="4" t="s">
        <v>869</v>
      </c>
      <c r="G270" s="4" t="s">
        <v>105</v>
      </c>
      <c r="H270" s="4" t="s">
        <v>43</v>
      </c>
      <c r="I270" s="4" t="s">
        <v>43</v>
      </c>
      <c r="J270" s="4" t="s">
        <v>43</v>
      </c>
      <c r="K270" s="5" t="str">
        <f>HYPERLINK("https://www.instagram.com/p/B0BmziYCWr_/","Open Post")</f>
        <v>Open Post</v>
      </c>
      <c r="L270" s="4" t="s">
        <v>2008</v>
      </c>
      <c r="M270" s="4" t="s">
        <v>2009</v>
      </c>
      <c r="N270" s="4" t="s">
        <v>2010</v>
      </c>
      <c r="O270" s="4" t="s">
        <v>51</v>
      </c>
      <c r="P270" s="4" t="s">
        <v>2011</v>
      </c>
    </row>
    <row r="271">
      <c r="A271" s="4" t="s">
        <v>829</v>
      </c>
      <c r="B271" s="4">
        <v>162.0</v>
      </c>
      <c r="F271" s="4" t="s">
        <v>869</v>
      </c>
      <c r="G271" s="4" t="s">
        <v>257</v>
      </c>
      <c r="H271" s="4" t="s">
        <v>43</v>
      </c>
      <c r="I271" s="4" t="s">
        <v>43</v>
      </c>
      <c r="J271" s="4" t="s">
        <v>43</v>
      </c>
      <c r="K271" s="5" t="str">
        <f>HYPERLINK("https://www.instagram.com/p/Bz2wVh5A55G/","Open Post")</f>
        <v>Open Post</v>
      </c>
      <c r="L271" s="4" t="s">
        <v>2012</v>
      </c>
      <c r="M271" s="4" t="s">
        <v>2013</v>
      </c>
      <c r="N271" s="4" t="s">
        <v>2014</v>
      </c>
      <c r="O271" s="4" t="s">
        <v>51</v>
      </c>
      <c r="P271" s="4" t="s">
        <v>2015</v>
      </c>
    </row>
    <row r="272">
      <c r="A272" s="4" t="s">
        <v>829</v>
      </c>
      <c r="B272" s="4">
        <v>163.0</v>
      </c>
      <c r="F272" s="4" t="s">
        <v>830</v>
      </c>
      <c r="G272" s="4" t="s">
        <v>340</v>
      </c>
      <c r="H272" s="4" t="s">
        <v>43</v>
      </c>
      <c r="I272" s="4" t="s">
        <v>43</v>
      </c>
      <c r="J272" s="4" t="s">
        <v>43</v>
      </c>
      <c r="K272" s="5" t="str">
        <f>HYPERLINK("https://www.instagram.com/p/Bzz4CWuCHKr/","Open Post")</f>
        <v>Open Post</v>
      </c>
      <c r="L272" s="4" t="s">
        <v>2017</v>
      </c>
      <c r="M272" s="4" t="s">
        <v>2019</v>
      </c>
      <c r="N272" s="4" t="s">
        <v>2020</v>
      </c>
      <c r="O272" s="4" t="s">
        <v>51</v>
      </c>
      <c r="P272" s="4" t="s">
        <v>2021</v>
      </c>
    </row>
    <row r="273">
      <c r="A273" s="4" t="s">
        <v>829</v>
      </c>
      <c r="B273" s="4">
        <v>164.0</v>
      </c>
      <c r="F273" s="4" t="s">
        <v>830</v>
      </c>
      <c r="G273" s="4" t="s">
        <v>661</v>
      </c>
      <c r="H273" s="4" t="s">
        <v>43</v>
      </c>
      <c r="I273" s="4" t="s">
        <v>43</v>
      </c>
      <c r="J273" s="4" t="s">
        <v>43</v>
      </c>
      <c r="K273" s="5" t="str">
        <f>HYPERLINK("https://www.instagram.com/p/Bzxxz07gQme/","Open Post")</f>
        <v>Open Post</v>
      </c>
      <c r="L273" s="4" t="s">
        <v>2022</v>
      </c>
      <c r="M273" s="4" t="s">
        <v>2023</v>
      </c>
      <c r="N273" s="4" t="s">
        <v>2024</v>
      </c>
      <c r="O273" s="4" t="s">
        <v>51</v>
      </c>
      <c r="P273" s="4" t="s">
        <v>2025</v>
      </c>
    </row>
    <row r="274">
      <c r="A274" s="4" t="s">
        <v>829</v>
      </c>
      <c r="B274" s="4">
        <v>165.0</v>
      </c>
      <c r="F274" s="4" t="s">
        <v>869</v>
      </c>
      <c r="G274" s="4" t="s">
        <v>371</v>
      </c>
      <c r="H274" s="4" t="s">
        <v>43</v>
      </c>
      <c r="I274" s="4" t="s">
        <v>43</v>
      </c>
      <c r="J274" s="4" t="s">
        <v>43</v>
      </c>
      <c r="K274" s="5" t="str">
        <f>HYPERLINK("https://www.instagram.com/p/BzvossVFtrA/","Open Post")</f>
        <v>Open Post</v>
      </c>
      <c r="L274" s="4" t="s">
        <v>2027</v>
      </c>
      <c r="M274" s="4" t="s">
        <v>2028</v>
      </c>
      <c r="N274" s="4" t="s">
        <v>2029</v>
      </c>
      <c r="O274" s="4" t="s">
        <v>51</v>
      </c>
      <c r="P274" s="4" t="s">
        <v>2030</v>
      </c>
    </row>
    <row r="275">
      <c r="A275" s="4" t="s">
        <v>829</v>
      </c>
      <c r="B275" s="4">
        <v>166.0</v>
      </c>
      <c r="F275" s="4" t="s">
        <v>869</v>
      </c>
      <c r="G275" s="4" t="s">
        <v>2032</v>
      </c>
      <c r="H275" s="4" t="s">
        <v>43</v>
      </c>
      <c r="I275" s="4" t="s">
        <v>43</v>
      </c>
      <c r="J275" s="4" t="s">
        <v>43</v>
      </c>
      <c r="K275" s="5" t="str">
        <f>HYPERLINK("https://www.instagram.com/p/BzpaQBylVmN/","Open Post")</f>
        <v>Open Post</v>
      </c>
      <c r="L275" s="4" t="s">
        <v>2033</v>
      </c>
      <c r="M275" s="4" t="s">
        <v>2034</v>
      </c>
      <c r="N275" s="4" t="s">
        <v>2035</v>
      </c>
      <c r="O275" s="4" t="s">
        <v>51</v>
      </c>
      <c r="P275" s="4" t="s">
        <v>2036</v>
      </c>
    </row>
    <row r="276">
      <c r="A276" s="4" t="s">
        <v>829</v>
      </c>
      <c r="B276" s="4">
        <v>167.0</v>
      </c>
      <c r="F276" s="4" t="s">
        <v>869</v>
      </c>
      <c r="G276" s="4" t="s">
        <v>661</v>
      </c>
      <c r="H276" s="4" t="s">
        <v>43</v>
      </c>
      <c r="I276" s="4" t="s">
        <v>43</v>
      </c>
      <c r="J276" s="4" t="s">
        <v>43</v>
      </c>
      <c r="K276" s="5" t="str">
        <f>HYPERLINK("https://www.instagram.com/p/BzlPQwNF8u0/","Open Post")</f>
        <v>Open Post</v>
      </c>
      <c r="L276" s="4" t="s">
        <v>2040</v>
      </c>
      <c r="M276" s="4" t="s">
        <v>2041</v>
      </c>
      <c r="N276" s="4" t="s">
        <v>2042</v>
      </c>
      <c r="O276" s="4" t="s">
        <v>51</v>
      </c>
      <c r="P276" s="4" t="s">
        <v>2043</v>
      </c>
    </row>
    <row r="277">
      <c r="A277" s="4" t="s">
        <v>829</v>
      </c>
      <c r="B277" s="4">
        <v>168.0</v>
      </c>
      <c r="F277" s="4" t="s">
        <v>869</v>
      </c>
      <c r="G277" s="4" t="s">
        <v>2044</v>
      </c>
      <c r="H277" s="4" t="s">
        <v>43</v>
      </c>
      <c r="I277" s="4" t="s">
        <v>43</v>
      </c>
      <c r="J277" s="4" t="s">
        <v>43</v>
      </c>
      <c r="K277" s="5" t="str">
        <f>HYPERLINK("https://www.instagram.com/p/BzlA3wBlXXP/","Open Post")</f>
        <v>Open Post</v>
      </c>
      <c r="L277" s="4" t="s">
        <v>2045</v>
      </c>
      <c r="M277" s="4" t="s">
        <v>2046</v>
      </c>
      <c r="N277" s="4" t="s">
        <v>2047</v>
      </c>
      <c r="O277" s="4" t="s">
        <v>51</v>
      </c>
      <c r="P277" s="4" t="s">
        <v>2048</v>
      </c>
    </row>
    <row r="278">
      <c r="A278" s="4" t="s">
        <v>829</v>
      </c>
      <c r="B278" s="4">
        <v>169.0</v>
      </c>
      <c r="F278" s="4" t="s">
        <v>869</v>
      </c>
      <c r="G278" s="4" t="s">
        <v>2049</v>
      </c>
      <c r="H278" s="4" t="s">
        <v>43</v>
      </c>
      <c r="I278" s="4" t="s">
        <v>43</v>
      </c>
      <c r="J278" s="4" t="s">
        <v>43</v>
      </c>
      <c r="K278" s="5" t="str">
        <f>HYPERLINK("https://www.instagram.com/p/Bzjs-HkFBMV/","Open Post")</f>
        <v>Open Post</v>
      </c>
      <c r="L278" s="4" t="s">
        <v>2051</v>
      </c>
      <c r="M278" s="4" t="s">
        <v>2052</v>
      </c>
      <c r="N278" s="4" t="s">
        <v>2053</v>
      </c>
      <c r="O278" s="4" t="s">
        <v>51</v>
      </c>
      <c r="P278" s="4" t="s">
        <v>2054</v>
      </c>
    </row>
    <row r="279">
      <c r="A279" s="4" t="s">
        <v>829</v>
      </c>
      <c r="B279" s="4">
        <v>170.0</v>
      </c>
      <c r="F279" s="4" t="s">
        <v>830</v>
      </c>
      <c r="G279" s="4" t="s">
        <v>957</v>
      </c>
      <c r="H279" s="4" t="s">
        <v>43</v>
      </c>
      <c r="I279" s="4" t="s">
        <v>43</v>
      </c>
      <c r="J279" s="4" t="s">
        <v>43</v>
      </c>
      <c r="K279" s="5" t="str">
        <f>HYPERLINK("https://www.instagram.com/p/BzjKC-Mlzzg/","Open Post")</f>
        <v>Open Post</v>
      </c>
      <c r="L279" s="4" t="s">
        <v>2057</v>
      </c>
      <c r="M279" s="4" t="s">
        <v>2058</v>
      </c>
      <c r="N279" s="4" t="s">
        <v>2059</v>
      </c>
      <c r="O279" s="4" t="s">
        <v>51</v>
      </c>
      <c r="P279" s="4" t="s">
        <v>2060</v>
      </c>
    </row>
    <row r="280">
      <c r="A280" s="4" t="s">
        <v>829</v>
      </c>
      <c r="B280" s="4">
        <v>171.0</v>
      </c>
      <c r="F280" s="4" t="s">
        <v>869</v>
      </c>
      <c r="G280" s="4" t="s">
        <v>661</v>
      </c>
      <c r="H280" s="4" t="s">
        <v>43</v>
      </c>
      <c r="I280" s="4" t="s">
        <v>43</v>
      </c>
      <c r="J280" s="4" t="s">
        <v>43</v>
      </c>
      <c r="K280" s="5" t="str">
        <f>HYPERLINK("https://www.instagram.com/p/BziTVULlQOX/","Open Post")</f>
        <v>Open Post</v>
      </c>
      <c r="L280" s="4" t="s">
        <v>2064</v>
      </c>
      <c r="M280" s="4" t="s">
        <v>2065</v>
      </c>
      <c r="N280" s="4" t="s">
        <v>2066</v>
      </c>
      <c r="O280" s="4" t="s">
        <v>51</v>
      </c>
      <c r="P280" s="4" t="s">
        <v>2067</v>
      </c>
    </row>
    <row r="281">
      <c r="A281" s="4" t="s">
        <v>829</v>
      </c>
      <c r="B281" s="4">
        <v>172.0</v>
      </c>
      <c r="F281" s="4" t="s">
        <v>830</v>
      </c>
      <c r="G281" s="4" t="s">
        <v>326</v>
      </c>
      <c r="H281" s="4" t="s">
        <v>43</v>
      </c>
      <c r="I281" s="4" t="s">
        <v>43</v>
      </c>
      <c r="J281" s="4" t="s">
        <v>43</v>
      </c>
      <c r="K281" s="5" t="str">
        <f>HYPERLINK("https://www.instagram.com/p/BziQYHSBD49/","Open Post")</f>
        <v>Open Post</v>
      </c>
      <c r="L281" s="4" t="s">
        <v>2070</v>
      </c>
      <c r="M281" s="4" t="s">
        <v>2071</v>
      </c>
      <c r="N281" s="4" t="s">
        <v>2072</v>
      </c>
      <c r="O281" s="4" t="s">
        <v>51</v>
      </c>
      <c r="P281" s="4" t="s">
        <v>2073</v>
      </c>
    </row>
    <row r="282">
      <c r="A282" s="4" t="s">
        <v>829</v>
      </c>
      <c r="B282" s="4">
        <v>173.0</v>
      </c>
      <c r="F282" s="4" t="s">
        <v>869</v>
      </c>
      <c r="G282" s="4" t="s">
        <v>957</v>
      </c>
      <c r="H282" s="4" t="s">
        <v>43</v>
      </c>
      <c r="I282" s="4" t="s">
        <v>43</v>
      </c>
      <c r="J282" s="4" t="s">
        <v>43</v>
      </c>
      <c r="K282" s="5" t="str">
        <f>HYPERLINK("https://www.instagram.com/p/BziO4FaFWBU/","Open Post")</f>
        <v>Open Post</v>
      </c>
      <c r="L282" s="4" t="s">
        <v>2075</v>
      </c>
      <c r="M282" s="4" t="s">
        <v>2076</v>
      </c>
      <c r="N282" s="4" t="s">
        <v>2077</v>
      </c>
      <c r="O282" s="4" t="s">
        <v>51</v>
      </c>
      <c r="P282" s="4" t="s">
        <v>2078</v>
      </c>
    </row>
    <row r="283">
      <c r="A283" s="4" t="s">
        <v>829</v>
      </c>
      <c r="B283" s="4">
        <v>174.0</v>
      </c>
      <c r="F283" s="4" t="s">
        <v>869</v>
      </c>
      <c r="G283" s="4" t="s">
        <v>306</v>
      </c>
      <c r="H283" s="4" t="s">
        <v>43</v>
      </c>
      <c r="I283" s="4" t="s">
        <v>43</v>
      </c>
      <c r="J283" s="4" t="s">
        <v>43</v>
      </c>
      <c r="K283" s="5" t="str">
        <f>HYPERLINK("https://www.instagram.com/p/Bzgf1wylzeo/","Open Post")</f>
        <v>Open Post</v>
      </c>
      <c r="L283" s="4" t="s">
        <v>2081</v>
      </c>
      <c r="M283" s="4" t="s">
        <v>49</v>
      </c>
      <c r="N283" s="4" t="s">
        <v>2082</v>
      </c>
      <c r="O283" s="4" t="s">
        <v>51</v>
      </c>
      <c r="P283" s="4" t="s">
        <v>2083</v>
      </c>
    </row>
    <row r="284">
      <c r="A284" s="4" t="s">
        <v>829</v>
      </c>
      <c r="B284" s="4">
        <v>175.0</v>
      </c>
      <c r="F284" s="4" t="s">
        <v>830</v>
      </c>
      <c r="G284" s="4" t="s">
        <v>306</v>
      </c>
      <c r="H284" s="4" t="s">
        <v>43</v>
      </c>
      <c r="I284" s="4" t="s">
        <v>43</v>
      </c>
      <c r="J284" s="4" t="s">
        <v>43</v>
      </c>
      <c r="K284" s="5" t="str">
        <f>HYPERLINK("https://www.instagram.com/p/BzfjV36FEFR/","Open Post")</f>
        <v>Open Post</v>
      </c>
      <c r="L284" s="4" t="s">
        <v>2081</v>
      </c>
      <c r="M284" s="4" t="s">
        <v>49</v>
      </c>
      <c r="N284" s="4" t="s">
        <v>2085</v>
      </c>
      <c r="O284" s="4" t="s">
        <v>51</v>
      </c>
      <c r="P284" s="4" t="s">
        <v>2087</v>
      </c>
    </row>
    <row r="285">
      <c r="A285" s="4" t="s">
        <v>829</v>
      </c>
      <c r="B285" s="4">
        <v>176.0</v>
      </c>
      <c r="F285" s="4" t="s">
        <v>830</v>
      </c>
      <c r="G285" s="4" t="s">
        <v>306</v>
      </c>
      <c r="H285" s="4" t="s">
        <v>43</v>
      </c>
      <c r="I285" s="4" t="s">
        <v>43</v>
      </c>
      <c r="J285" s="4" t="s">
        <v>43</v>
      </c>
      <c r="K285" s="5" t="str">
        <f>HYPERLINK("https://www.instagram.com/p/BzfWfR1Fss8/","Open Post")</f>
        <v>Open Post</v>
      </c>
      <c r="L285" s="4" t="s">
        <v>2088</v>
      </c>
      <c r="M285" s="4" t="s">
        <v>49</v>
      </c>
      <c r="N285" s="4" t="s">
        <v>2089</v>
      </c>
      <c r="O285" s="4" t="s">
        <v>51</v>
      </c>
      <c r="P285" s="4" t="s">
        <v>2090</v>
      </c>
    </row>
    <row r="286">
      <c r="A286" s="4" t="s">
        <v>829</v>
      </c>
      <c r="B286" s="4">
        <v>177.0</v>
      </c>
      <c r="F286" s="4" t="s">
        <v>830</v>
      </c>
      <c r="G286" s="4" t="s">
        <v>257</v>
      </c>
      <c r="H286" s="4" t="s">
        <v>43</v>
      </c>
      <c r="I286" s="4" t="s">
        <v>43</v>
      </c>
      <c r="J286" s="4" t="s">
        <v>43</v>
      </c>
      <c r="K286" s="5" t="str">
        <f>HYPERLINK("https://www.instagram.com/p/BzfDWwUgwVO/","Open Post")</f>
        <v>Open Post</v>
      </c>
      <c r="L286" s="4" t="s">
        <v>2091</v>
      </c>
      <c r="M286" s="4" t="s">
        <v>2092</v>
      </c>
      <c r="N286" s="4" t="s">
        <v>2093</v>
      </c>
      <c r="O286" s="4" t="s">
        <v>51</v>
      </c>
      <c r="P286" s="4" t="s">
        <v>2094</v>
      </c>
    </row>
    <row r="287">
      <c r="A287" s="4" t="s">
        <v>829</v>
      </c>
      <c r="B287" s="4">
        <v>178.0</v>
      </c>
      <c r="F287" s="4" t="s">
        <v>830</v>
      </c>
      <c r="G287" s="4" t="s">
        <v>389</v>
      </c>
      <c r="H287" s="4" t="s">
        <v>43</v>
      </c>
      <c r="I287" s="4" t="s">
        <v>43</v>
      </c>
      <c r="J287" s="4" t="s">
        <v>43</v>
      </c>
      <c r="K287" s="5" t="str">
        <f>HYPERLINK("https://www.instagram.com/p/BzeSjPDp7dA/","Open Post")</f>
        <v>Open Post</v>
      </c>
      <c r="L287" s="4" t="s">
        <v>2097</v>
      </c>
      <c r="M287" s="4" t="s">
        <v>2098</v>
      </c>
      <c r="N287" s="4" t="s">
        <v>2099</v>
      </c>
      <c r="O287" s="4" t="s">
        <v>51</v>
      </c>
      <c r="P287" s="4" t="s">
        <v>2100</v>
      </c>
    </row>
    <row r="288">
      <c r="A288" s="4" t="s">
        <v>829</v>
      </c>
      <c r="B288" s="4">
        <v>179.0</v>
      </c>
      <c r="F288" s="4" t="s">
        <v>830</v>
      </c>
      <c r="G288" s="4" t="s">
        <v>257</v>
      </c>
      <c r="H288" s="4" t="s">
        <v>43</v>
      </c>
      <c r="I288" s="4" t="s">
        <v>43</v>
      </c>
      <c r="J288" s="4" t="s">
        <v>43</v>
      </c>
      <c r="K288" s="5" t="str">
        <f>HYPERLINK("https://www.instagram.com/p/BzUV5oUgLAd/","Open Post")</f>
        <v>Open Post</v>
      </c>
      <c r="L288" s="4" t="s">
        <v>2102</v>
      </c>
      <c r="M288" s="4" t="s">
        <v>2104</v>
      </c>
      <c r="N288" s="4" t="s">
        <v>2105</v>
      </c>
      <c r="O288" s="4" t="s">
        <v>51</v>
      </c>
      <c r="P288" s="4" t="s">
        <v>2106</v>
      </c>
    </row>
    <row r="289">
      <c r="A289" s="4" t="s">
        <v>829</v>
      </c>
      <c r="B289" s="4">
        <v>180.0</v>
      </c>
      <c r="F289" s="4" t="s">
        <v>830</v>
      </c>
      <c r="G289" s="4" t="s">
        <v>993</v>
      </c>
      <c r="H289" s="4" t="s">
        <v>43</v>
      </c>
      <c r="I289" s="4" t="s">
        <v>43</v>
      </c>
      <c r="J289" s="4" t="s">
        <v>43</v>
      </c>
      <c r="K289" s="5" t="str">
        <f>HYPERLINK("https://www.instagram.com/p/BzTXFPJpeau/","Open Post")</f>
        <v>Open Post</v>
      </c>
      <c r="L289" s="4" t="s">
        <v>2109</v>
      </c>
      <c r="M289" s="4" t="s">
        <v>2110</v>
      </c>
      <c r="N289" s="4" t="s">
        <v>2111</v>
      </c>
      <c r="O289" s="4" t="s">
        <v>51</v>
      </c>
      <c r="P289" s="4" t="s">
        <v>2112</v>
      </c>
    </row>
    <row r="290">
      <c r="A290" s="4" t="s">
        <v>829</v>
      </c>
      <c r="B290" s="4">
        <v>181.0</v>
      </c>
      <c r="F290" s="4" t="s">
        <v>830</v>
      </c>
      <c r="G290" s="4" t="s">
        <v>957</v>
      </c>
      <c r="H290" s="4" t="s">
        <v>43</v>
      </c>
      <c r="I290" s="4" t="s">
        <v>43</v>
      </c>
      <c r="J290" s="4" t="s">
        <v>43</v>
      </c>
      <c r="K290" s="5" t="str">
        <f>HYPERLINK("https://www.instagram.com/p/BzQkxmhlF6Y/","Open Post")</f>
        <v>Open Post</v>
      </c>
      <c r="L290" s="4" t="s">
        <v>2114</v>
      </c>
      <c r="M290" s="4" t="s">
        <v>2115</v>
      </c>
      <c r="N290" s="4" t="s">
        <v>2116</v>
      </c>
      <c r="O290" s="4" t="s">
        <v>51</v>
      </c>
      <c r="P290" s="4" t="s">
        <v>2117</v>
      </c>
    </row>
    <row r="291">
      <c r="A291" s="4" t="s">
        <v>829</v>
      </c>
      <c r="B291" s="4">
        <v>182.0</v>
      </c>
      <c r="F291" s="4" t="s">
        <v>830</v>
      </c>
      <c r="G291" s="4" t="s">
        <v>2118</v>
      </c>
      <c r="H291" s="4" t="s">
        <v>43</v>
      </c>
      <c r="I291" s="4" t="s">
        <v>43</v>
      </c>
      <c r="J291" s="4" t="s">
        <v>43</v>
      </c>
      <c r="K291" s="5" t="str">
        <f>HYPERLINK("https://www.instagram.com/p/BzJoX9ngb2-/","Open Post")</f>
        <v>Open Post</v>
      </c>
      <c r="L291" s="4" t="s">
        <v>2120</v>
      </c>
      <c r="M291" s="4" t="s">
        <v>2121</v>
      </c>
      <c r="N291" s="4" t="s">
        <v>2122</v>
      </c>
      <c r="O291" s="4" t="s">
        <v>51</v>
      </c>
      <c r="P291" s="4" t="s">
        <v>2123</v>
      </c>
    </row>
    <row r="292">
      <c r="A292" s="4" t="s">
        <v>829</v>
      </c>
      <c r="B292" s="4">
        <v>183.0</v>
      </c>
      <c r="F292" s="4" t="s">
        <v>830</v>
      </c>
      <c r="G292" s="4" t="s">
        <v>306</v>
      </c>
      <c r="H292" s="4" t="s">
        <v>43</v>
      </c>
      <c r="I292" s="4" t="s">
        <v>43</v>
      </c>
      <c r="J292" s="4" t="s">
        <v>43</v>
      </c>
      <c r="K292" s="5" t="str">
        <f>HYPERLINK("https://www.instagram.com/p/BzAzn33idUD/","Open Post")</f>
        <v>Open Post</v>
      </c>
      <c r="L292" s="4" t="s">
        <v>2125</v>
      </c>
      <c r="M292" s="4" t="s">
        <v>49</v>
      </c>
      <c r="N292" s="4" t="s">
        <v>2126</v>
      </c>
      <c r="O292" s="4" t="s">
        <v>51</v>
      </c>
      <c r="P292" s="4" t="s">
        <v>2127</v>
      </c>
    </row>
    <row r="293">
      <c r="A293" s="4" t="s">
        <v>829</v>
      </c>
      <c r="B293" s="4">
        <v>184.0</v>
      </c>
      <c r="F293" s="4" t="s">
        <v>869</v>
      </c>
      <c r="G293" s="4" t="s">
        <v>852</v>
      </c>
      <c r="H293" s="4" t="s">
        <v>43</v>
      </c>
      <c r="I293" s="4" t="s">
        <v>43</v>
      </c>
      <c r="J293" s="4" t="s">
        <v>43</v>
      </c>
      <c r="K293" s="5" t="str">
        <f>HYPERLINK("https://www.instagram.com/p/BzAU7hfFvUS/","Open Post")</f>
        <v>Open Post</v>
      </c>
      <c r="L293" s="4" t="s">
        <v>2129</v>
      </c>
      <c r="M293" s="4" t="s">
        <v>2130</v>
      </c>
      <c r="N293" s="4" t="s">
        <v>2131</v>
      </c>
      <c r="O293" s="4" t="s">
        <v>51</v>
      </c>
      <c r="P293" s="4" t="s">
        <v>2132</v>
      </c>
    </row>
    <row r="294">
      <c r="A294" s="4" t="s">
        <v>829</v>
      </c>
      <c r="B294" s="4">
        <v>185.0</v>
      </c>
      <c r="F294" s="4" t="s">
        <v>830</v>
      </c>
      <c r="G294" s="4" t="s">
        <v>957</v>
      </c>
      <c r="H294" s="4" t="s">
        <v>43</v>
      </c>
      <c r="I294" s="4" t="s">
        <v>43</v>
      </c>
      <c r="J294" s="4" t="s">
        <v>43</v>
      </c>
      <c r="K294" s="5" t="str">
        <f>HYPERLINK("https://www.instagram.com/p/By-QV3GlGkN/","Open Post")</f>
        <v>Open Post</v>
      </c>
      <c r="L294" s="4" t="s">
        <v>2133</v>
      </c>
      <c r="M294" s="4" t="s">
        <v>2134</v>
      </c>
      <c r="N294" s="4" t="s">
        <v>2135</v>
      </c>
      <c r="O294" s="4" t="s">
        <v>51</v>
      </c>
      <c r="P294" s="4" t="s">
        <v>2136</v>
      </c>
    </row>
    <row r="295">
      <c r="A295" s="4" t="s">
        <v>829</v>
      </c>
      <c r="B295" s="4">
        <v>186.0</v>
      </c>
      <c r="F295" s="4" t="s">
        <v>830</v>
      </c>
      <c r="G295" s="4" t="s">
        <v>2137</v>
      </c>
      <c r="H295" s="4" t="s">
        <v>43</v>
      </c>
      <c r="I295" s="4" t="s">
        <v>43</v>
      </c>
      <c r="J295" s="4" t="s">
        <v>43</v>
      </c>
      <c r="K295" s="5" t="str">
        <f>HYPERLINK("https://www.instagram.com/p/BywiR7Nl09o/","Open Post")</f>
        <v>Open Post</v>
      </c>
      <c r="L295" s="4" t="s">
        <v>2139</v>
      </c>
      <c r="M295" s="4" t="s">
        <v>2140</v>
      </c>
      <c r="N295" s="4" t="s">
        <v>2141</v>
      </c>
      <c r="O295" s="4" t="s">
        <v>51</v>
      </c>
      <c r="P295" s="4" t="s">
        <v>2142</v>
      </c>
    </row>
    <row r="296">
      <c r="A296" s="4" t="s">
        <v>829</v>
      </c>
      <c r="B296" s="4">
        <v>187.0</v>
      </c>
      <c r="F296" s="4" t="s">
        <v>830</v>
      </c>
      <c r="G296" s="4" t="s">
        <v>871</v>
      </c>
      <c r="H296" s="4" t="s">
        <v>43</v>
      </c>
      <c r="I296" s="4" t="s">
        <v>43</v>
      </c>
      <c r="J296" s="4" t="s">
        <v>43</v>
      </c>
      <c r="K296" s="5" t="str">
        <f>HYPERLINK("https://www.instagram.com/p/Bys_aE8pftz/","Open Post")</f>
        <v>Open Post</v>
      </c>
      <c r="L296" s="4" t="s">
        <v>2143</v>
      </c>
      <c r="M296" s="4" t="s">
        <v>2146</v>
      </c>
      <c r="N296" s="4" t="s">
        <v>2147</v>
      </c>
      <c r="O296" s="4" t="s">
        <v>51</v>
      </c>
      <c r="P296" s="4" t="s">
        <v>2148</v>
      </c>
    </row>
    <row r="297">
      <c r="A297" s="4" t="s">
        <v>829</v>
      </c>
      <c r="B297" s="4">
        <v>188.0</v>
      </c>
      <c r="F297" s="4" t="s">
        <v>830</v>
      </c>
      <c r="G297" s="4" t="s">
        <v>1041</v>
      </c>
      <c r="H297" s="4" t="s">
        <v>43</v>
      </c>
      <c r="I297" s="4" t="s">
        <v>43</v>
      </c>
      <c r="J297" s="4" t="s">
        <v>43</v>
      </c>
      <c r="K297" s="5" t="str">
        <f>HYPERLINK("https://www.instagram.com/p/BynXrGBHMz2/","Open Post")</f>
        <v>Open Post</v>
      </c>
      <c r="L297" s="4" t="s">
        <v>2149</v>
      </c>
      <c r="M297" s="4" t="s">
        <v>2150</v>
      </c>
      <c r="N297" s="4" t="s">
        <v>2151</v>
      </c>
      <c r="O297" s="4" t="s">
        <v>51</v>
      </c>
      <c r="P297" s="4" t="s">
        <v>2152</v>
      </c>
    </row>
    <row r="298">
      <c r="A298" s="4" t="s">
        <v>829</v>
      </c>
      <c r="B298" s="4">
        <v>189.0</v>
      </c>
      <c r="F298" s="4" t="s">
        <v>869</v>
      </c>
      <c r="G298" s="4" t="s">
        <v>306</v>
      </c>
      <c r="H298" s="4" t="s">
        <v>43</v>
      </c>
      <c r="I298" s="4" t="s">
        <v>43</v>
      </c>
      <c r="J298" s="4" t="s">
        <v>43</v>
      </c>
      <c r="K298" s="5" t="str">
        <f>HYPERLINK("https://www.instagram.com/p/Bykal5dAtX_/","Open Post")</f>
        <v>Open Post</v>
      </c>
      <c r="L298" s="4" t="s">
        <v>2154</v>
      </c>
      <c r="M298" s="4" t="s">
        <v>49</v>
      </c>
      <c r="N298" s="4" t="s">
        <v>2155</v>
      </c>
      <c r="O298" s="4" t="s">
        <v>51</v>
      </c>
      <c r="P298" s="4" t="s">
        <v>2156</v>
      </c>
    </row>
    <row r="299">
      <c r="A299" s="4" t="s">
        <v>829</v>
      </c>
      <c r="B299" s="4">
        <v>190.0</v>
      </c>
      <c r="F299" s="4" t="s">
        <v>869</v>
      </c>
      <c r="G299" s="4" t="s">
        <v>1047</v>
      </c>
      <c r="H299" s="4" t="s">
        <v>43</v>
      </c>
      <c r="I299" s="4" t="s">
        <v>43</v>
      </c>
      <c r="J299" s="4" t="s">
        <v>43</v>
      </c>
      <c r="K299" s="5" t="str">
        <f>HYPERLINK("https://www.instagram.com/p/BydNY5li1e9/","Open Post")</f>
        <v>Open Post</v>
      </c>
      <c r="L299" s="4" t="s">
        <v>2157</v>
      </c>
      <c r="M299" s="4" t="s">
        <v>2158</v>
      </c>
      <c r="N299" s="4" t="s">
        <v>2159</v>
      </c>
      <c r="O299" s="4" t="s">
        <v>51</v>
      </c>
      <c r="P299" s="4" t="s">
        <v>2160</v>
      </c>
    </row>
    <row r="300">
      <c r="A300" s="4" t="s">
        <v>829</v>
      </c>
      <c r="B300" s="4">
        <v>191.0</v>
      </c>
      <c r="F300" s="4" t="s">
        <v>830</v>
      </c>
      <c r="G300" s="4" t="s">
        <v>257</v>
      </c>
      <c r="H300" s="4" t="s">
        <v>43</v>
      </c>
      <c r="I300" s="4" t="s">
        <v>43</v>
      </c>
      <c r="J300" s="4" t="s">
        <v>43</v>
      </c>
      <c r="K300" s="5" t="str">
        <f>HYPERLINK("https://www.instagram.com/p/BycOXddgQnv/","Open Post")</f>
        <v>Open Post</v>
      </c>
      <c r="L300" s="4" t="s">
        <v>2162</v>
      </c>
      <c r="M300" s="4" t="s">
        <v>2092</v>
      </c>
      <c r="N300" s="4" t="s">
        <v>2163</v>
      </c>
      <c r="O300" s="4" t="s">
        <v>51</v>
      </c>
      <c r="P300" s="4" t="s">
        <v>2164</v>
      </c>
    </row>
    <row r="301">
      <c r="A301" s="4" t="s">
        <v>829</v>
      </c>
      <c r="B301" s="4">
        <v>192.0</v>
      </c>
      <c r="F301" s="4" t="s">
        <v>830</v>
      </c>
      <c r="G301" s="4" t="s">
        <v>318</v>
      </c>
      <c r="H301" s="4" t="s">
        <v>43</v>
      </c>
      <c r="I301" s="4" t="s">
        <v>43</v>
      </c>
      <c r="J301" s="4" t="s">
        <v>43</v>
      </c>
      <c r="K301" s="5" t="str">
        <f>HYPERLINK("https://www.instagram.com/p/ByaCUgqiwMG/","Open Post")</f>
        <v>Open Post</v>
      </c>
      <c r="L301" s="4" t="s">
        <v>2167</v>
      </c>
      <c r="M301" s="4" t="s">
        <v>2168</v>
      </c>
      <c r="N301" s="4" t="s">
        <v>2169</v>
      </c>
      <c r="O301" s="4" t="s">
        <v>51</v>
      </c>
      <c r="P301" s="4" t="s">
        <v>2170</v>
      </c>
    </row>
    <row r="302">
      <c r="A302" s="4" t="s">
        <v>829</v>
      </c>
      <c r="B302" s="4">
        <v>193.0</v>
      </c>
      <c r="F302" s="4" t="s">
        <v>830</v>
      </c>
      <c r="G302" s="4" t="s">
        <v>257</v>
      </c>
      <c r="H302" s="4" t="s">
        <v>43</v>
      </c>
      <c r="I302" s="4" t="s">
        <v>43</v>
      </c>
      <c r="J302" s="4" t="s">
        <v>43</v>
      </c>
      <c r="K302" s="5" t="str">
        <f>HYPERLINK("https://www.instagram.com/p/ByWxaeBACL1/","Open Post")</f>
        <v>Open Post</v>
      </c>
      <c r="L302" s="4" t="s">
        <v>2171</v>
      </c>
      <c r="M302" s="4" t="s">
        <v>2092</v>
      </c>
      <c r="N302" s="4" t="s">
        <v>2173</v>
      </c>
      <c r="O302" s="4" t="s">
        <v>51</v>
      </c>
      <c r="P302" s="4" t="s">
        <v>2174</v>
      </c>
    </row>
    <row r="303">
      <c r="A303" s="4" t="s">
        <v>829</v>
      </c>
      <c r="B303" s="4">
        <v>194.0</v>
      </c>
      <c r="F303" s="4" t="s">
        <v>830</v>
      </c>
      <c r="G303" s="4" t="s">
        <v>871</v>
      </c>
      <c r="H303" s="4" t="s">
        <v>43</v>
      </c>
      <c r="I303" s="4" t="s">
        <v>43</v>
      </c>
      <c r="J303" s="4" t="s">
        <v>43</v>
      </c>
      <c r="K303" s="5" t="str">
        <f>HYPERLINK("https://www.instagram.com/p/ByU1z13gXG5/","Open Post")</f>
        <v>Open Post</v>
      </c>
      <c r="L303" s="4" t="s">
        <v>2175</v>
      </c>
      <c r="M303" s="4" t="s">
        <v>2176</v>
      </c>
      <c r="N303" s="4" t="s">
        <v>2177</v>
      </c>
      <c r="O303" s="4" t="s">
        <v>51</v>
      </c>
      <c r="P303" s="4" t="s">
        <v>2178</v>
      </c>
    </row>
    <row r="304">
      <c r="A304" s="4" t="s">
        <v>829</v>
      </c>
      <c r="B304" s="4">
        <v>195.0</v>
      </c>
      <c r="F304" s="4" t="s">
        <v>869</v>
      </c>
      <c r="G304" s="4" t="s">
        <v>165</v>
      </c>
      <c r="H304" s="4" t="s">
        <v>43</v>
      </c>
      <c r="I304" s="4" t="s">
        <v>43</v>
      </c>
      <c r="J304" s="4" t="s">
        <v>43</v>
      </c>
      <c r="K304" s="5" t="str">
        <f>HYPERLINK("https://www.instagram.com/p/ByUcjRFijgi/","Open Post")</f>
        <v>Open Post</v>
      </c>
      <c r="L304" s="4" t="s">
        <v>2180</v>
      </c>
      <c r="M304" s="4" t="s">
        <v>2181</v>
      </c>
      <c r="N304" s="4" t="s">
        <v>2182</v>
      </c>
      <c r="O304" s="4" t="s">
        <v>51</v>
      </c>
      <c r="P304" s="4" t="s">
        <v>2184</v>
      </c>
    </row>
    <row r="305">
      <c r="A305" s="4" t="s">
        <v>829</v>
      </c>
      <c r="B305" s="4">
        <v>196.0</v>
      </c>
      <c r="F305" s="4" t="s">
        <v>869</v>
      </c>
      <c r="G305" s="4" t="s">
        <v>951</v>
      </c>
      <c r="H305" s="4" t="s">
        <v>43</v>
      </c>
      <c r="I305" s="4" t="s">
        <v>43</v>
      </c>
      <c r="J305" s="4" t="s">
        <v>43</v>
      </c>
      <c r="K305" s="5" t="str">
        <f>HYPERLINK("https://www.instagram.com/p/ByS9ucLigVZ/","Open Post")</f>
        <v>Open Post</v>
      </c>
      <c r="L305" s="4" t="s">
        <v>2185</v>
      </c>
      <c r="M305" s="4" t="s">
        <v>2186</v>
      </c>
      <c r="N305" s="4" t="s">
        <v>2187</v>
      </c>
      <c r="O305" s="4" t="s">
        <v>51</v>
      </c>
      <c r="P305" s="4" t="s">
        <v>2189</v>
      </c>
    </row>
    <row r="306">
      <c r="A306" s="4" t="s">
        <v>829</v>
      </c>
      <c r="B306" s="4">
        <v>197.0</v>
      </c>
      <c r="F306" s="4" t="s">
        <v>830</v>
      </c>
      <c r="G306" s="4" t="s">
        <v>371</v>
      </c>
      <c r="H306" s="4" t="s">
        <v>43</v>
      </c>
      <c r="I306" s="4" t="s">
        <v>43</v>
      </c>
      <c r="J306" s="4" t="s">
        <v>43</v>
      </c>
      <c r="K306" s="5" t="str">
        <f>HYPERLINK("https://www.instagram.com/p/ByQEVwIANFb/","Open Post")</f>
        <v>Open Post</v>
      </c>
      <c r="L306" s="4" t="s">
        <v>2190</v>
      </c>
      <c r="M306" s="4" t="s">
        <v>2191</v>
      </c>
      <c r="N306" s="4" t="s">
        <v>2192</v>
      </c>
      <c r="O306" s="4" t="s">
        <v>51</v>
      </c>
      <c r="P306" s="4" t="s">
        <v>2193</v>
      </c>
    </row>
    <row r="307">
      <c r="A307" s="4" t="s">
        <v>829</v>
      </c>
      <c r="B307" s="4">
        <v>198.0</v>
      </c>
      <c r="F307" s="4" t="s">
        <v>830</v>
      </c>
      <c r="G307" s="4" t="s">
        <v>306</v>
      </c>
      <c r="H307" s="4" t="s">
        <v>43</v>
      </c>
      <c r="I307" s="4" t="s">
        <v>43</v>
      </c>
      <c r="J307" s="4" t="s">
        <v>43</v>
      </c>
      <c r="K307" s="5" t="str">
        <f>HYPERLINK("https://www.instagram.com/p/ByOaxeBA6iW/","Open Post")</f>
        <v>Open Post</v>
      </c>
      <c r="L307" s="4" t="s">
        <v>2195</v>
      </c>
      <c r="M307" s="4" t="s">
        <v>49</v>
      </c>
      <c r="N307" s="4" t="s">
        <v>2196</v>
      </c>
      <c r="O307" s="4" t="s">
        <v>51</v>
      </c>
      <c r="P307" s="4" t="s">
        <v>2197</v>
      </c>
    </row>
    <row r="308">
      <c r="A308" s="4" t="s">
        <v>829</v>
      </c>
      <c r="B308" s="4">
        <v>199.0</v>
      </c>
      <c r="F308" s="4" t="s">
        <v>57</v>
      </c>
      <c r="G308" s="4" t="s">
        <v>957</v>
      </c>
      <c r="H308" s="4" t="s">
        <v>43</v>
      </c>
      <c r="I308" s="4" t="s">
        <v>43</v>
      </c>
      <c r="J308" s="4" t="s">
        <v>43</v>
      </c>
      <c r="K308" s="5" t="str">
        <f>HYPERLINK("https://www.instagram.com/reel/ByKcYL3FG4U/","Open Reel")</f>
        <v>Open Reel</v>
      </c>
      <c r="L308" s="4" t="s">
        <v>2201</v>
      </c>
      <c r="M308" s="4" t="s">
        <v>2202</v>
      </c>
      <c r="N308" s="4" t="s">
        <v>2203</v>
      </c>
      <c r="O308" s="4" t="s">
        <v>51</v>
      </c>
      <c r="P308" s="4" t="s">
        <v>2205</v>
      </c>
    </row>
    <row r="309">
      <c r="A309" s="4" t="s">
        <v>829</v>
      </c>
      <c r="B309" s="4">
        <v>200.0</v>
      </c>
      <c r="F309" s="4" t="s">
        <v>869</v>
      </c>
      <c r="G309" s="4" t="s">
        <v>166</v>
      </c>
      <c r="H309" s="4" t="s">
        <v>43</v>
      </c>
      <c r="I309" s="4" t="s">
        <v>43</v>
      </c>
      <c r="J309" s="4" t="s">
        <v>43</v>
      </c>
      <c r="K309" s="5" t="str">
        <f>HYPERLINK("https://www.instagram.com/p/ByGk9o4BXa9/","Open Post")</f>
        <v>Open Post</v>
      </c>
      <c r="L309" s="4" t="s">
        <v>2208</v>
      </c>
      <c r="M309" s="4" t="s">
        <v>49</v>
      </c>
      <c r="N309" s="4" t="s">
        <v>2209</v>
      </c>
      <c r="O309" s="4" t="s">
        <v>51</v>
      </c>
      <c r="P309" s="4" t="s">
        <v>2210</v>
      </c>
    </row>
    <row r="310">
      <c r="A310" s="4" t="s">
        <v>829</v>
      </c>
      <c r="B310" s="4">
        <v>201.0</v>
      </c>
      <c r="F310" s="4" t="s">
        <v>830</v>
      </c>
      <c r="G310" s="4" t="s">
        <v>957</v>
      </c>
      <c r="H310" s="4" t="s">
        <v>43</v>
      </c>
      <c r="I310" s="4" t="s">
        <v>43</v>
      </c>
      <c r="J310" s="4" t="s">
        <v>43</v>
      </c>
      <c r="K310" s="5" t="str">
        <f>HYPERLINK("https://www.instagram.com/p/ByGXKD8iWzB/","Open Post")</f>
        <v>Open Post</v>
      </c>
      <c r="L310" s="4" t="s">
        <v>2211</v>
      </c>
      <c r="M310" s="4" t="s">
        <v>2212</v>
      </c>
      <c r="N310" s="4" t="s">
        <v>2214</v>
      </c>
      <c r="O310" s="4" t="s">
        <v>51</v>
      </c>
      <c r="P310" s="4" t="s">
        <v>2215</v>
      </c>
    </row>
    <row r="311">
      <c r="A311" s="4" t="s">
        <v>829</v>
      </c>
      <c r="B311" s="4">
        <v>202.0</v>
      </c>
      <c r="F311" s="4" t="s">
        <v>830</v>
      </c>
      <c r="G311" s="4" t="s">
        <v>852</v>
      </c>
      <c r="H311" s="4" t="s">
        <v>43</v>
      </c>
      <c r="I311" s="4" t="s">
        <v>43</v>
      </c>
      <c r="J311" s="4" t="s">
        <v>43</v>
      </c>
      <c r="K311" s="5" t="str">
        <f>HYPERLINK("https://www.instagram.com/p/ByDY4TfoP01/","Open Post")</f>
        <v>Open Post</v>
      </c>
      <c r="L311" s="4" t="s">
        <v>2216</v>
      </c>
      <c r="M311" s="4" t="s">
        <v>2217</v>
      </c>
      <c r="N311" s="4" t="s">
        <v>2218</v>
      </c>
      <c r="O311" s="4" t="s">
        <v>51</v>
      </c>
      <c r="P311" s="4" t="s">
        <v>2219</v>
      </c>
    </row>
    <row r="312">
      <c r="A312" s="4" t="s">
        <v>829</v>
      </c>
      <c r="B312" s="4">
        <v>203.0</v>
      </c>
      <c r="F312" s="4" t="s">
        <v>869</v>
      </c>
      <c r="G312" s="4" t="s">
        <v>661</v>
      </c>
      <c r="H312" s="4" t="s">
        <v>43</v>
      </c>
      <c r="I312" s="4" t="s">
        <v>43</v>
      </c>
      <c r="J312" s="4" t="s">
        <v>43</v>
      </c>
      <c r="K312" s="5" t="str">
        <f>HYPERLINK("https://www.instagram.com/p/Bx-FCZYFm2U/","Open Post")</f>
        <v>Open Post</v>
      </c>
      <c r="L312" s="4" t="s">
        <v>2222</v>
      </c>
      <c r="M312" s="4" t="s">
        <v>49</v>
      </c>
      <c r="N312" s="4" t="s">
        <v>2223</v>
      </c>
      <c r="O312" s="4" t="s">
        <v>51</v>
      </c>
      <c r="P312" s="4" t="s">
        <v>2224</v>
      </c>
    </row>
    <row r="313">
      <c r="A313" s="4" t="s">
        <v>829</v>
      </c>
      <c r="B313" s="4">
        <v>204.0</v>
      </c>
      <c r="F313" s="4" t="s">
        <v>830</v>
      </c>
      <c r="G313" s="4" t="s">
        <v>1821</v>
      </c>
      <c r="H313" s="4" t="s">
        <v>43</v>
      </c>
      <c r="I313" s="4" t="s">
        <v>43</v>
      </c>
      <c r="J313" s="4" t="s">
        <v>43</v>
      </c>
      <c r="K313" s="5" t="str">
        <f>HYPERLINK("https://www.instagram.com/p/Bx2OwU3F0v3/","Open Post")</f>
        <v>Open Post</v>
      </c>
      <c r="L313" s="4" t="s">
        <v>2225</v>
      </c>
      <c r="M313" s="4" t="s">
        <v>2226</v>
      </c>
      <c r="N313" s="4" t="s">
        <v>2227</v>
      </c>
      <c r="O313" s="4" t="s">
        <v>51</v>
      </c>
      <c r="P313" s="4" t="s">
        <v>2228</v>
      </c>
    </row>
    <row r="314">
      <c r="A314" s="4" t="s">
        <v>829</v>
      </c>
      <c r="B314" s="4">
        <v>205.0</v>
      </c>
      <c r="F314" s="4" t="s">
        <v>830</v>
      </c>
      <c r="G314" s="4" t="s">
        <v>852</v>
      </c>
      <c r="H314" s="4" t="s">
        <v>43</v>
      </c>
      <c r="I314" s="4" t="s">
        <v>43</v>
      </c>
      <c r="J314" s="4" t="s">
        <v>43</v>
      </c>
      <c r="K314" s="5" t="str">
        <f>HYPERLINK("https://www.instagram.com/p/Bx1nr9jpGPd/","Open Post")</f>
        <v>Open Post</v>
      </c>
      <c r="L314" s="4" t="s">
        <v>2230</v>
      </c>
      <c r="M314" s="4" t="s">
        <v>2232</v>
      </c>
      <c r="N314" s="4" t="s">
        <v>2233</v>
      </c>
      <c r="O314" s="4" t="s">
        <v>51</v>
      </c>
      <c r="P314" s="4" t="s">
        <v>2234</v>
      </c>
    </row>
    <row r="315">
      <c r="A315" s="4" t="s">
        <v>829</v>
      </c>
      <c r="B315" s="4">
        <v>206.0</v>
      </c>
      <c r="F315" s="4" t="s">
        <v>830</v>
      </c>
      <c r="G315" s="4" t="s">
        <v>58</v>
      </c>
      <c r="H315" s="4" t="s">
        <v>43</v>
      </c>
      <c r="I315" s="4" t="s">
        <v>43</v>
      </c>
      <c r="J315" s="4" t="s">
        <v>43</v>
      </c>
      <c r="K315" s="5" t="str">
        <f>HYPERLINK("https://www.instagram.com/p/Bxu7uGqisI-/","Open Post")</f>
        <v>Open Post</v>
      </c>
      <c r="L315" s="4" t="s">
        <v>2236</v>
      </c>
      <c r="M315" s="4" t="s">
        <v>2238</v>
      </c>
      <c r="N315" s="4" t="s">
        <v>2239</v>
      </c>
      <c r="O315" s="4" t="s">
        <v>51</v>
      </c>
      <c r="P315" s="4" t="s">
        <v>2240</v>
      </c>
    </row>
    <row r="316">
      <c r="A316" s="4" t="s">
        <v>829</v>
      </c>
      <c r="B316" s="4">
        <v>207.0</v>
      </c>
      <c r="F316" s="4" t="s">
        <v>830</v>
      </c>
      <c r="G316" s="4" t="s">
        <v>431</v>
      </c>
      <c r="H316" s="4" t="s">
        <v>43</v>
      </c>
      <c r="I316" s="4" t="s">
        <v>43</v>
      </c>
      <c r="J316" s="4" t="s">
        <v>43</v>
      </c>
      <c r="K316" s="5" t="str">
        <f>HYPERLINK("https://www.instagram.com/p/BxvaohuC-_a/","Open Post")</f>
        <v>Open Post</v>
      </c>
      <c r="L316" s="4" t="s">
        <v>2242</v>
      </c>
      <c r="M316" s="4" t="s">
        <v>2243</v>
      </c>
      <c r="N316" s="4" t="s">
        <v>2244</v>
      </c>
      <c r="O316" s="4" t="s">
        <v>51</v>
      </c>
      <c r="P316" s="4" t="s">
        <v>2245</v>
      </c>
    </row>
    <row r="317">
      <c r="A317" s="4" t="s">
        <v>829</v>
      </c>
      <c r="B317" s="4">
        <v>208.0</v>
      </c>
      <c r="F317" s="4" t="s">
        <v>830</v>
      </c>
      <c r="G317" s="4" t="s">
        <v>957</v>
      </c>
      <c r="H317" s="4" t="s">
        <v>43</v>
      </c>
      <c r="I317" s="4" t="s">
        <v>43</v>
      </c>
      <c r="J317" s="4" t="s">
        <v>43</v>
      </c>
      <c r="K317" s="5" t="str">
        <f>HYPERLINK("https://www.instagram.com/p/BxvXYr9C0T_/","Open Post")</f>
        <v>Open Post</v>
      </c>
      <c r="L317" s="4" t="s">
        <v>2248</v>
      </c>
      <c r="M317" s="4" t="s">
        <v>2249</v>
      </c>
      <c r="N317" s="4" t="s">
        <v>2250</v>
      </c>
      <c r="O317" s="4" t="s">
        <v>51</v>
      </c>
      <c r="P317" s="4" t="s">
        <v>2251</v>
      </c>
    </row>
    <row r="318">
      <c r="A318" s="4" t="s">
        <v>829</v>
      </c>
      <c r="B318" s="4">
        <v>209.0</v>
      </c>
      <c r="F318" s="4" t="s">
        <v>869</v>
      </c>
      <c r="G318" s="4" t="s">
        <v>852</v>
      </c>
      <c r="H318" s="4" t="s">
        <v>43</v>
      </c>
      <c r="I318" s="4" t="s">
        <v>43</v>
      </c>
      <c r="J318" s="4" t="s">
        <v>43</v>
      </c>
      <c r="K318" s="5" t="str">
        <f>HYPERLINK("https://www.instagram.com/p/BxuerJdjHbH/","Open Post")</f>
        <v>Open Post</v>
      </c>
      <c r="L318" s="4" t="s">
        <v>2252</v>
      </c>
      <c r="M318" s="4" t="s">
        <v>2253</v>
      </c>
      <c r="N318" s="4" t="s">
        <v>2254</v>
      </c>
      <c r="O318" s="4" t="s">
        <v>51</v>
      </c>
      <c r="P318" s="4" t="s">
        <v>2256</v>
      </c>
    </row>
    <row r="319">
      <c r="A319" s="4" t="s">
        <v>829</v>
      </c>
      <c r="B319" s="4">
        <v>210.0</v>
      </c>
      <c r="F319" s="4" t="s">
        <v>830</v>
      </c>
      <c r="G319" s="4" t="s">
        <v>2257</v>
      </c>
      <c r="H319" s="4" t="s">
        <v>43</v>
      </c>
      <c r="I319" s="4" t="s">
        <v>43</v>
      </c>
      <c r="J319" s="4" t="s">
        <v>43</v>
      </c>
      <c r="K319" s="5" t="str">
        <f>HYPERLINK("https://www.instagram.com/p/BxiP1g2gwe2/","Open Post")</f>
        <v>Open Post</v>
      </c>
      <c r="L319" s="4" t="s">
        <v>2259</v>
      </c>
      <c r="M319" s="4" t="s">
        <v>2260</v>
      </c>
      <c r="N319" s="4" t="s">
        <v>2261</v>
      </c>
      <c r="O319" s="4" t="s">
        <v>51</v>
      </c>
      <c r="P319" s="4" t="s">
        <v>2262</v>
      </c>
    </row>
    <row r="320">
      <c r="A320" s="4" t="s">
        <v>829</v>
      </c>
      <c r="B320" s="4">
        <v>211.0</v>
      </c>
      <c r="F320" s="4" t="s">
        <v>830</v>
      </c>
      <c r="G320" s="4" t="s">
        <v>165</v>
      </c>
      <c r="H320" s="4" t="s">
        <v>43</v>
      </c>
      <c r="I320" s="4" t="s">
        <v>43</v>
      </c>
      <c r="J320" s="4" t="s">
        <v>43</v>
      </c>
      <c r="K320" s="5" t="str">
        <f>HYPERLINK("https://www.instagram.com/p/Bxhl5kLH3MS/","Open Post")</f>
        <v>Open Post</v>
      </c>
      <c r="L320" s="4" t="s">
        <v>2265</v>
      </c>
      <c r="M320" s="4" t="s">
        <v>2266</v>
      </c>
      <c r="N320" s="4" t="s">
        <v>2267</v>
      </c>
      <c r="O320" s="4" t="s">
        <v>51</v>
      </c>
      <c r="P320" s="4" t="s">
        <v>2269</v>
      </c>
    </row>
    <row r="321">
      <c r="A321" s="4" t="s">
        <v>829</v>
      </c>
      <c r="B321" s="4">
        <v>212.0</v>
      </c>
      <c r="F321" s="4" t="s">
        <v>830</v>
      </c>
      <c r="G321" s="4" t="s">
        <v>993</v>
      </c>
      <c r="H321" s="4" t="s">
        <v>43</v>
      </c>
      <c r="I321" s="4" t="s">
        <v>43</v>
      </c>
      <c r="J321" s="4" t="s">
        <v>43</v>
      </c>
      <c r="K321" s="5" t="str">
        <f>HYPERLINK("https://www.instagram.com/p/BxWhD0mAILZ/","Open Post")</f>
        <v>Open Post</v>
      </c>
      <c r="L321" s="4" t="s">
        <v>2270</v>
      </c>
      <c r="M321" s="4" t="s">
        <v>2271</v>
      </c>
      <c r="N321" s="4" t="s">
        <v>2273</v>
      </c>
      <c r="O321" s="4" t="s">
        <v>51</v>
      </c>
      <c r="P321" s="4" t="s">
        <v>2275</v>
      </c>
    </row>
    <row r="322">
      <c r="A322" s="4" t="s">
        <v>829</v>
      </c>
      <c r="B322" s="4">
        <v>213.0</v>
      </c>
      <c r="F322" s="4" t="s">
        <v>830</v>
      </c>
      <c r="G322" s="4" t="s">
        <v>165</v>
      </c>
      <c r="H322" s="4" t="s">
        <v>43</v>
      </c>
      <c r="I322" s="4" t="s">
        <v>43</v>
      </c>
      <c r="J322" s="4" t="s">
        <v>43</v>
      </c>
      <c r="K322" s="5" t="str">
        <f>HYPERLINK("https://www.instagram.com/p/BxScMN2AE8f/","Open Post")</f>
        <v>Open Post</v>
      </c>
      <c r="L322" s="4" t="s">
        <v>2276</v>
      </c>
      <c r="M322" s="4" t="s">
        <v>2277</v>
      </c>
      <c r="N322" s="4" t="s">
        <v>2278</v>
      </c>
      <c r="O322" s="4" t="s">
        <v>51</v>
      </c>
      <c r="P322" s="4" t="s">
        <v>2279</v>
      </c>
    </row>
    <row r="323">
      <c r="A323" s="4" t="s">
        <v>829</v>
      </c>
      <c r="B323" s="4">
        <v>214.0</v>
      </c>
      <c r="F323" s="4" t="s">
        <v>830</v>
      </c>
      <c r="G323" s="4" t="s">
        <v>871</v>
      </c>
      <c r="H323" s="4" t="s">
        <v>43</v>
      </c>
      <c r="I323" s="4" t="s">
        <v>43</v>
      </c>
      <c r="J323" s="4" t="s">
        <v>43</v>
      </c>
      <c r="K323" s="5" t="str">
        <f>HYPERLINK("https://www.instagram.com/p/BxPYMS6pS_r/","Open Post")</f>
        <v>Open Post</v>
      </c>
      <c r="L323" s="4" t="s">
        <v>2281</v>
      </c>
      <c r="M323" s="4" t="s">
        <v>2282</v>
      </c>
      <c r="N323" s="4" t="s">
        <v>2283</v>
      </c>
      <c r="O323" s="4" t="s">
        <v>51</v>
      </c>
      <c r="P323" s="4" t="s">
        <v>2285</v>
      </c>
    </row>
    <row r="324">
      <c r="A324" s="4" t="s">
        <v>829</v>
      </c>
      <c r="B324" s="4">
        <v>215.0</v>
      </c>
      <c r="F324" s="4" t="s">
        <v>830</v>
      </c>
      <c r="G324" s="4" t="s">
        <v>661</v>
      </c>
      <c r="H324" s="4" t="s">
        <v>43</v>
      </c>
      <c r="I324" s="4" t="s">
        <v>43</v>
      </c>
      <c r="J324" s="4" t="s">
        <v>43</v>
      </c>
      <c r="K324" s="5" t="str">
        <f>HYPERLINK("https://www.instagram.com/p/BxMkjaKgIoW/","Open Post")</f>
        <v>Open Post</v>
      </c>
      <c r="L324" s="4" t="s">
        <v>2286</v>
      </c>
      <c r="M324" s="4" t="s">
        <v>2287</v>
      </c>
      <c r="N324" s="4" t="s">
        <v>2288</v>
      </c>
      <c r="O324" s="4" t="s">
        <v>51</v>
      </c>
      <c r="P324" s="4" t="s">
        <v>2289</v>
      </c>
    </row>
    <row r="325">
      <c r="A325" s="4" t="s">
        <v>829</v>
      </c>
      <c r="B325" s="4">
        <v>216.0</v>
      </c>
      <c r="F325" s="4" t="s">
        <v>869</v>
      </c>
      <c r="G325" s="4" t="s">
        <v>257</v>
      </c>
      <c r="H325" s="4" t="s">
        <v>43</v>
      </c>
      <c r="I325" s="4" t="s">
        <v>43</v>
      </c>
      <c r="J325" s="4" t="s">
        <v>43</v>
      </c>
      <c r="K325" s="5" t="str">
        <f>HYPERLINK("https://www.instagram.com/p/BxIhB1dB3Bh/","Open Post")</f>
        <v>Open Post</v>
      </c>
      <c r="L325" s="4" t="s">
        <v>2292</v>
      </c>
      <c r="M325" s="4" t="s">
        <v>2293</v>
      </c>
      <c r="N325" s="4" t="s">
        <v>2294</v>
      </c>
      <c r="O325" s="4" t="s">
        <v>51</v>
      </c>
      <c r="P325" s="4" t="s">
        <v>2295</v>
      </c>
    </row>
    <row r="326">
      <c r="A326" s="4" t="s">
        <v>829</v>
      </c>
      <c r="B326" s="4">
        <v>217.0</v>
      </c>
      <c r="F326" s="4" t="s">
        <v>57</v>
      </c>
      <c r="G326" s="4" t="s">
        <v>2296</v>
      </c>
      <c r="H326" s="4" t="s">
        <v>43</v>
      </c>
      <c r="I326" s="4" t="s">
        <v>43</v>
      </c>
      <c r="J326" s="4" t="s">
        <v>43</v>
      </c>
      <c r="K326" s="5" t="str">
        <f>HYPERLINK("https://www.instagram.com/reel/BxGSyXTA-Xw/","Open Reel")</f>
        <v>Open Reel</v>
      </c>
      <c r="L326" s="4" t="s">
        <v>2298</v>
      </c>
      <c r="M326" s="4" t="s">
        <v>2299</v>
      </c>
      <c r="N326" s="4" t="s">
        <v>2300</v>
      </c>
      <c r="O326" s="4" t="s">
        <v>51</v>
      </c>
      <c r="P326" s="4" t="s">
        <v>2301</v>
      </c>
    </row>
    <row r="327">
      <c r="A327" s="4" t="s">
        <v>829</v>
      </c>
      <c r="B327" s="4">
        <v>218.0</v>
      </c>
      <c r="F327" s="4" t="s">
        <v>830</v>
      </c>
      <c r="G327" s="4" t="s">
        <v>306</v>
      </c>
      <c r="H327" s="4" t="s">
        <v>43</v>
      </c>
      <c r="I327" s="4" t="s">
        <v>43</v>
      </c>
      <c r="J327" s="4" t="s">
        <v>43</v>
      </c>
      <c r="K327" s="5" t="str">
        <f>HYPERLINK("https://www.instagram.com/p/BxF2eDrnIwo/","Open Post")</f>
        <v>Open Post</v>
      </c>
      <c r="L327" s="4" t="s">
        <v>2302</v>
      </c>
      <c r="M327" s="4" t="s">
        <v>49</v>
      </c>
      <c r="N327" s="4" t="s">
        <v>2303</v>
      </c>
      <c r="O327" s="4" t="s">
        <v>51</v>
      </c>
      <c r="P327" s="4" t="s">
        <v>2305</v>
      </c>
    </row>
    <row r="328">
      <c r="A328" s="4" t="s">
        <v>829</v>
      </c>
      <c r="B328" s="4">
        <v>219.0</v>
      </c>
      <c r="F328" s="4" t="s">
        <v>830</v>
      </c>
      <c r="G328" s="4" t="s">
        <v>166</v>
      </c>
      <c r="H328" s="4" t="s">
        <v>43</v>
      </c>
      <c r="I328" s="4" t="s">
        <v>43</v>
      </c>
      <c r="J328" s="4" t="s">
        <v>43</v>
      </c>
      <c r="K328" s="5" t="str">
        <f>HYPERLINK("https://www.instagram.com/p/BxCcYOUAk4i/","Open Post")</f>
        <v>Open Post</v>
      </c>
      <c r="L328" s="4" t="s">
        <v>2307</v>
      </c>
      <c r="M328" s="4" t="s">
        <v>2308</v>
      </c>
      <c r="N328" s="4" t="s">
        <v>2309</v>
      </c>
      <c r="O328" s="4" t="s">
        <v>51</v>
      </c>
      <c r="P328" s="4" t="s">
        <v>2310</v>
      </c>
    </row>
    <row r="329">
      <c r="A329" s="4" t="s">
        <v>829</v>
      </c>
      <c r="B329" s="4">
        <v>220.0</v>
      </c>
      <c r="F329" s="4" t="s">
        <v>869</v>
      </c>
      <c r="G329" s="4" t="s">
        <v>2312</v>
      </c>
      <c r="H329" s="4" t="s">
        <v>43</v>
      </c>
      <c r="I329" s="4" t="s">
        <v>43</v>
      </c>
      <c r="J329" s="4" t="s">
        <v>43</v>
      </c>
      <c r="K329" s="5" t="str">
        <f>HYPERLINK("https://www.instagram.com/p/BxAt4Y0JWGj/","Open Post")</f>
        <v>Open Post</v>
      </c>
      <c r="L329" s="4" t="s">
        <v>2314</v>
      </c>
      <c r="M329" s="4" t="s">
        <v>2315</v>
      </c>
      <c r="N329" s="4" t="s">
        <v>2317</v>
      </c>
      <c r="O329" s="4" t="s">
        <v>51</v>
      </c>
      <c r="P329" s="4" t="s">
        <v>2319</v>
      </c>
    </row>
    <row r="330">
      <c r="A330" s="4" t="s">
        <v>829</v>
      </c>
      <c r="B330" s="4">
        <v>221.0</v>
      </c>
      <c r="F330" s="4" t="s">
        <v>830</v>
      </c>
      <c r="G330" s="4" t="s">
        <v>871</v>
      </c>
      <c r="H330" s="4" t="s">
        <v>43</v>
      </c>
      <c r="I330" s="4" t="s">
        <v>43</v>
      </c>
      <c r="J330" s="4" t="s">
        <v>43</v>
      </c>
      <c r="K330" s="5" t="str">
        <f>HYPERLINK("https://www.instagram.com/p/Bwr1dyzgLPy/","Open Post")</f>
        <v>Open Post</v>
      </c>
      <c r="L330" s="4" t="s">
        <v>2320</v>
      </c>
      <c r="M330" s="4" t="s">
        <v>2322</v>
      </c>
      <c r="N330" s="4" t="s">
        <v>2324</v>
      </c>
      <c r="O330" s="4" t="s">
        <v>51</v>
      </c>
      <c r="P330" s="4" t="s">
        <v>2326</v>
      </c>
    </row>
    <row r="331">
      <c r="A331" s="4" t="s">
        <v>829</v>
      </c>
      <c r="B331" s="4">
        <v>222.0</v>
      </c>
      <c r="F331" s="4" t="s">
        <v>830</v>
      </c>
      <c r="G331" s="4" t="s">
        <v>852</v>
      </c>
      <c r="H331" s="4" t="s">
        <v>43</v>
      </c>
      <c r="I331" s="4" t="s">
        <v>43</v>
      </c>
      <c r="J331" s="4" t="s">
        <v>43</v>
      </c>
      <c r="K331" s="5" t="str">
        <f>HYPERLINK("https://www.instagram.com/p/Bw9UbVUnH2M/","Open Post")</f>
        <v>Open Post</v>
      </c>
      <c r="L331" s="4" t="s">
        <v>2327</v>
      </c>
      <c r="M331" s="4" t="s">
        <v>2328</v>
      </c>
      <c r="N331" s="4" t="s">
        <v>2329</v>
      </c>
      <c r="O331" s="4" t="s">
        <v>51</v>
      </c>
      <c r="P331" s="4" t="s">
        <v>2330</v>
      </c>
    </row>
    <row r="332">
      <c r="A332" s="4" t="s">
        <v>829</v>
      </c>
      <c r="B332" s="4">
        <v>223.0</v>
      </c>
      <c r="F332" s="4" t="s">
        <v>830</v>
      </c>
      <c r="G332" s="4" t="s">
        <v>2332</v>
      </c>
      <c r="H332" s="4" t="s">
        <v>43</v>
      </c>
      <c r="I332" s="4" t="s">
        <v>43</v>
      </c>
      <c r="J332" s="4" t="s">
        <v>43</v>
      </c>
      <c r="K332" s="5" t="str">
        <f>HYPERLINK("https://www.instagram.com/p/Bw82In-JPaS/","Open Post")</f>
        <v>Open Post</v>
      </c>
      <c r="L332" s="4" t="s">
        <v>2334</v>
      </c>
      <c r="M332" s="4" t="s">
        <v>2335</v>
      </c>
      <c r="N332" s="4" t="s">
        <v>2336</v>
      </c>
      <c r="O332" s="4" t="s">
        <v>51</v>
      </c>
      <c r="P332" s="4" t="s">
        <v>2337</v>
      </c>
    </row>
    <row r="333">
      <c r="A333" s="4" t="s">
        <v>829</v>
      </c>
      <c r="B333" s="4">
        <v>224.0</v>
      </c>
      <c r="F333" s="4" t="s">
        <v>869</v>
      </c>
      <c r="G333" s="4" t="s">
        <v>2338</v>
      </c>
      <c r="H333" s="4" t="s">
        <v>43</v>
      </c>
      <c r="I333" s="4" t="s">
        <v>43</v>
      </c>
      <c r="J333" s="4" t="s">
        <v>43</v>
      </c>
      <c r="K333" s="5" t="str">
        <f>HYPERLINK("https://www.instagram.com/p/Bwy_3aKBgS7/","Open Post")</f>
        <v>Open Post</v>
      </c>
      <c r="L333" s="4" t="s">
        <v>2339</v>
      </c>
      <c r="M333" s="4" t="s">
        <v>2340</v>
      </c>
      <c r="N333" s="4" t="s">
        <v>2341</v>
      </c>
      <c r="O333" s="4" t="s">
        <v>51</v>
      </c>
      <c r="P333" s="4" t="s">
        <v>2342</v>
      </c>
    </row>
    <row r="334">
      <c r="A334" s="4" t="s">
        <v>829</v>
      </c>
      <c r="B334" s="4">
        <v>225.0</v>
      </c>
      <c r="F334" s="4" t="s">
        <v>830</v>
      </c>
      <c r="G334" s="4" t="s">
        <v>326</v>
      </c>
      <c r="H334" s="4" t="s">
        <v>43</v>
      </c>
      <c r="I334" s="4" t="s">
        <v>43</v>
      </c>
      <c r="J334" s="4" t="s">
        <v>43</v>
      </c>
      <c r="K334" s="5" t="str">
        <f>HYPERLINK("https://www.instagram.com/p/BwtqhLeg-Q8/","Open Post")</f>
        <v>Open Post</v>
      </c>
      <c r="L334" s="4" t="s">
        <v>2345</v>
      </c>
      <c r="M334" s="4" t="s">
        <v>2346</v>
      </c>
      <c r="N334" s="4" t="s">
        <v>2347</v>
      </c>
      <c r="O334" s="4" t="s">
        <v>51</v>
      </c>
      <c r="P334" s="4" t="s">
        <v>2348</v>
      </c>
    </row>
    <row r="335">
      <c r="A335" s="4" t="s">
        <v>829</v>
      </c>
      <c r="B335" s="4">
        <v>226.0</v>
      </c>
      <c r="F335" s="4" t="s">
        <v>869</v>
      </c>
      <c r="G335" s="4" t="s">
        <v>165</v>
      </c>
      <c r="H335" s="4" t="s">
        <v>43</v>
      </c>
      <c r="I335" s="4" t="s">
        <v>43</v>
      </c>
      <c r="J335" s="4" t="s">
        <v>43</v>
      </c>
      <c r="K335" s="5" t="str">
        <f>HYPERLINK("https://www.instagram.com/p/BwtlBNxFNWr/","Open Post")</f>
        <v>Open Post</v>
      </c>
      <c r="L335" s="4" t="s">
        <v>2349</v>
      </c>
      <c r="M335" s="4" t="s">
        <v>2350</v>
      </c>
      <c r="N335" s="4" t="s">
        <v>2352</v>
      </c>
      <c r="O335" s="4" t="s">
        <v>51</v>
      </c>
      <c r="P335" s="4" t="s">
        <v>2353</v>
      </c>
    </row>
    <row r="336">
      <c r="A336" s="4" t="s">
        <v>829</v>
      </c>
      <c r="B336" s="4">
        <v>227.0</v>
      </c>
      <c r="F336" s="4" t="s">
        <v>869</v>
      </c>
      <c r="G336" s="4" t="s">
        <v>661</v>
      </c>
      <c r="H336" s="4" t="s">
        <v>43</v>
      </c>
      <c r="I336" s="4" t="s">
        <v>43</v>
      </c>
      <c r="J336" s="4" t="s">
        <v>43</v>
      </c>
      <c r="K336" s="5" t="str">
        <f>HYPERLINK("https://www.instagram.com/p/BwsYJHHpVoM/","Open Post")</f>
        <v>Open Post</v>
      </c>
      <c r="L336" s="4" t="s">
        <v>2354</v>
      </c>
      <c r="M336" s="4" t="s">
        <v>2355</v>
      </c>
      <c r="N336" s="4" t="s">
        <v>2356</v>
      </c>
      <c r="O336" s="4" t="s">
        <v>51</v>
      </c>
      <c r="P336" s="4" t="s">
        <v>2357</v>
      </c>
    </row>
    <row r="337">
      <c r="A337" s="4" t="s">
        <v>829</v>
      </c>
      <c r="B337" s="4">
        <v>228.0</v>
      </c>
      <c r="F337" s="4" t="s">
        <v>869</v>
      </c>
      <c r="G337" s="4" t="s">
        <v>165</v>
      </c>
      <c r="H337" s="4" t="s">
        <v>43</v>
      </c>
      <c r="I337" s="4" t="s">
        <v>43</v>
      </c>
      <c r="J337" s="4" t="s">
        <v>43</v>
      </c>
      <c r="K337" s="5" t="str">
        <f>HYPERLINK("https://www.instagram.com/p/BwsGwA5AbOH/","Open Post")</f>
        <v>Open Post</v>
      </c>
      <c r="L337" s="4" t="s">
        <v>2360</v>
      </c>
      <c r="M337" s="4" t="s">
        <v>2361</v>
      </c>
      <c r="N337" s="4" t="s">
        <v>2362</v>
      </c>
      <c r="O337" s="4" t="s">
        <v>51</v>
      </c>
      <c r="P337" s="4" t="s">
        <v>2364</v>
      </c>
    </row>
    <row r="338">
      <c r="A338" s="4" t="s">
        <v>829</v>
      </c>
      <c r="B338" s="4">
        <v>229.0</v>
      </c>
      <c r="F338" s="4" t="s">
        <v>830</v>
      </c>
      <c r="G338" s="4" t="s">
        <v>165</v>
      </c>
      <c r="H338" s="4" t="s">
        <v>43</v>
      </c>
      <c r="I338" s="4" t="s">
        <v>43</v>
      </c>
      <c r="J338" s="4" t="s">
        <v>43</v>
      </c>
      <c r="K338" s="5" t="str">
        <f>HYPERLINK("https://www.instagram.com/p/BwmNZ9BHGBy/","Open Post")</f>
        <v>Open Post</v>
      </c>
      <c r="L338" s="4" t="s">
        <v>2365</v>
      </c>
      <c r="M338" s="4" t="s">
        <v>2366</v>
      </c>
      <c r="N338" s="4" t="s">
        <v>2367</v>
      </c>
      <c r="O338" s="4" t="s">
        <v>51</v>
      </c>
      <c r="P338" s="4" t="s">
        <v>2369</v>
      </c>
    </row>
    <row r="339">
      <c r="A339" s="4" t="s">
        <v>829</v>
      </c>
      <c r="B339" s="4">
        <v>230.0</v>
      </c>
      <c r="F339" s="4" t="s">
        <v>830</v>
      </c>
      <c r="G339" s="4" t="s">
        <v>165</v>
      </c>
      <c r="H339" s="4" t="s">
        <v>43</v>
      </c>
      <c r="I339" s="4" t="s">
        <v>43</v>
      </c>
      <c r="J339" s="4" t="s">
        <v>43</v>
      </c>
      <c r="K339" s="5" t="str">
        <f>HYPERLINK("https://www.instagram.com/p/BwmNZ9GFB93/","Open Post")</f>
        <v>Open Post</v>
      </c>
      <c r="L339" s="4" t="s">
        <v>2365</v>
      </c>
      <c r="M339" s="4" t="s">
        <v>2366</v>
      </c>
      <c r="N339" s="4" t="s">
        <v>2370</v>
      </c>
      <c r="O339" s="4" t="s">
        <v>51</v>
      </c>
      <c r="P339" s="4" t="s">
        <v>2371</v>
      </c>
    </row>
    <row r="340">
      <c r="A340" s="4" t="s">
        <v>829</v>
      </c>
      <c r="B340" s="4">
        <v>231.0</v>
      </c>
      <c r="F340" s="4" t="s">
        <v>869</v>
      </c>
      <c r="G340" s="4" t="s">
        <v>389</v>
      </c>
      <c r="H340" s="4" t="s">
        <v>43</v>
      </c>
      <c r="I340" s="4" t="s">
        <v>43</v>
      </c>
      <c r="J340" s="4" t="s">
        <v>43</v>
      </c>
      <c r="K340" s="5" t="str">
        <f>HYPERLINK("https://www.instagram.com/p/Bwl2a3lg94M/","Open Post")</f>
        <v>Open Post</v>
      </c>
      <c r="L340" s="4" t="s">
        <v>2374</v>
      </c>
      <c r="M340" s="4" t="s">
        <v>2375</v>
      </c>
      <c r="N340" s="4" t="s">
        <v>2376</v>
      </c>
      <c r="O340" s="4" t="s">
        <v>51</v>
      </c>
      <c r="P340" s="4" t="s">
        <v>2377</v>
      </c>
    </row>
    <row r="341">
      <c r="A341" s="4" t="s">
        <v>829</v>
      </c>
      <c r="B341" s="4">
        <v>232.0</v>
      </c>
      <c r="F341" s="4" t="s">
        <v>830</v>
      </c>
      <c r="G341" s="4" t="s">
        <v>2378</v>
      </c>
      <c r="H341" s="4" t="s">
        <v>43</v>
      </c>
      <c r="I341" s="4" t="s">
        <v>43</v>
      </c>
      <c r="J341" s="4" t="s">
        <v>43</v>
      </c>
      <c r="K341" s="5" t="str">
        <f>HYPERLINK("https://www.instagram.com/p/BwhYA03AnEn/","Open Post")</f>
        <v>Open Post</v>
      </c>
      <c r="L341" s="4" t="s">
        <v>2379</v>
      </c>
      <c r="M341" s="4" t="s">
        <v>2380</v>
      </c>
      <c r="N341" s="4" t="s">
        <v>2381</v>
      </c>
      <c r="O341" s="4" t="s">
        <v>51</v>
      </c>
      <c r="P341" s="4" t="s">
        <v>2382</v>
      </c>
    </row>
    <row r="342">
      <c r="A342" s="4" t="s">
        <v>829</v>
      </c>
      <c r="B342" s="4">
        <v>233.0</v>
      </c>
      <c r="F342" s="4" t="s">
        <v>830</v>
      </c>
      <c r="G342" s="4" t="s">
        <v>838</v>
      </c>
      <c r="H342" s="4" t="s">
        <v>43</v>
      </c>
      <c r="I342" s="4" t="s">
        <v>43</v>
      </c>
      <c r="J342" s="4" t="s">
        <v>43</v>
      </c>
      <c r="K342" s="5" t="str">
        <f>HYPERLINK("https://www.instagram.com/p/Bwb3fyBFp4T/","Open Post")</f>
        <v>Open Post</v>
      </c>
      <c r="L342" s="4" t="s">
        <v>2384</v>
      </c>
      <c r="M342" s="4" t="s">
        <v>2385</v>
      </c>
      <c r="N342" s="4" t="s">
        <v>2386</v>
      </c>
      <c r="O342" s="4" t="s">
        <v>51</v>
      </c>
      <c r="P342" s="4" t="s">
        <v>2387</v>
      </c>
    </row>
    <row r="343">
      <c r="A343" s="4" t="s">
        <v>829</v>
      </c>
      <c r="B343" s="4">
        <v>234.0</v>
      </c>
      <c r="F343" s="4" t="s">
        <v>830</v>
      </c>
      <c r="G343" s="4" t="s">
        <v>466</v>
      </c>
      <c r="H343" s="4" t="s">
        <v>43</v>
      </c>
      <c r="I343" s="4" t="s">
        <v>43</v>
      </c>
      <c r="J343" s="4" t="s">
        <v>43</v>
      </c>
      <c r="K343" s="5" t="str">
        <f>HYPERLINK("https://www.instagram.com/p/BwbkVEtFvCg/","Open Post")</f>
        <v>Open Post</v>
      </c>
      <c r="L343" s="4" t="s">
        <v>2389</v>
      </c>
      <c r="M343" s="4" t="s">
        <v>2390</v>
      </c>
      <c r="N343" s="4" t="s">
        <v>2391</v>
      </c>
      <c r="O343" s="4" t="s">
        <v>51</v>
      </c>
      <c r="P343" s="4" t="s">
        <v>2392</v>
      </c>
    </row>
    <row r="344">
      <c r="A344" s="4" t="s">
        <v>829</v>
      </c>
      <c r="B344" s="4">
        <v>235.0</v>
      </c>
      <c r="F344" s="4" t="s">
        <v>830</v>
      </c>
      <c r="G344" s="4" t="s">
        <v>852</v>
      </c>
      <c r="H344" s="4" t="s">
        <v>43</v>
      </c>
      <c r="I344" s="4" t="s">
        <v>43</v>
      </c>
      <c r="J344" s="4" t="s">
        <v>43</v>
      </c>
      <c r="K344" s="5" t="str">
        <f>HYPERLINK("https://www.instagram.com/p/BwT-PsGgmex/","Open Post")</f>
        <v>Open Post</v>
      </c>
      <c r="L344" s="4" t="s">
        <v>2395</v>
      </c>
      <c r="M344" s="4" t="s">
        <v>2396</v>
      </c>
      <c r="N344" s="4" t="s">
        <v>2397</v>
      </c>
      <c r="O344" s="4" t="s">
        <v>51</v>
      </c>
      <c r="P344" s="4" t="s">
        <v>2398</v>
      </c>
    </row>
    <row r="345">
      <c r="A345" s="4" t="s">
        <v>829</v>
      </c>
      <c r="B345" s="4">
        <v>236.0</v>
      </c>
      <c r="F345" s="4" t="s">
        <v>830</v>
      </c>
      <c r="G345" s="4" t="s">
        <v>951</v>
      </c>
      <c r="H345" s="4" t="s">
        <v>43</v>
      </c>
      <c r="I345" s="4" t="s">
        <v>43</v>
      </c>
      <c r="J345" s="4" t="s">
        <v>43</v>
      </c>
      <c r="K345" s="5" t="str">
        <f>HYPERLINK("https://www.instagram.com/p/BwKeAJUlomz/","Open Post")</f>
        <v>Open Post</v>
      </c>
      <c r="L345" s="4" t="s">
        <v>2400</v>
      </c>
      <c r="M345" s="4" t="s">
        <v>2401</v>
      </c>
      <c r="N345" s="4" t="s">
        <v>2402</v>
      </c>
      <c r="O345" s="4" t="s">
        <v>51</v>
      </c>
      <c r="P345" s="4" t="s">
        <v>2403</v>
      </c>
    </row>
    <row r="346">
      <c r="A346" s="4" t="s">
        <v>829</v>
      </c>
      <c r="B346" s="4">
        <v>237.0</v>
      </c>
      <c r="F346" s="4" t="s">
        <v>57</v>
      </c>
      <c r="G346" s="4" t="s">
        <v>661</v>
      </c>
      <c r="H346" s="4" t="s">
        <v>43</v>
      </c>
      <c r="I346" s="4" t="s">
        <v>43</v>
      </c>
      <c r="J346" s="4" t="s">
        <v>43</v>
      </c>
      <c r="K346" s="5" t="str">
        <f>HYPERLINK("https://www.instagram.com/reel/BwJ7NUYDZn0/","Open Reel")</f>
        <v>Open Reel</v>
      </c>
      <c r="L346" s="4" t="s">
        <v>2406</v>
      </c>
      <c r="M346" s="4" t="s">
        <v>2407</v>
      </c>
      <c r="N346" s="4" t="s">
        <v>2408</v>
      </c>
      <c r="O346" s="4" t="s">
        <v>51</v>
      </c>
      <c r="P346" s="4" t="s">
        <v>2409</v>
      </c>
    </row>
    <row r="347">
      <c r="A347" s="4" t="s">
        <v>829</v>
      </c>
      <c r="B347" s="4">
        <v>238.0</v>
      </c>
      <c r="F347" s="4" t="s">
        <v>830</v>
      </c>
      <c r="G347" s="4" t="s">
        <v>871</v>
      </c>
      <c r="H347" s="4" t="s">
        <v>43</v>
      </c>
      <c r="I347" s="4" t="s">
        <v>43</v>
      </c>
      <c r="J347" s="4" t="s">
        <v>43</v>
      </c>
      <c r="K347" s="5" t="str">
        <f>HYPERLINK("https://www.instagram.com/p/BwHKzrdgqq4/","Open Post")</f>
        <v>Open Post</v>
      </c>
      <c r="L347" s="4" t="s">
        <v>2411</v>
      </c>
      <c r="M347" s="4" t="s">
        <v>2412</v>
      </c>
      <c r="N347" s="4" t="s">
        <v>2413</v>
      </c>
      <c r="O347" s="4" t="s">
        <v>51</v>
      </c>
      <c r="P347" s="4" t="s">
        <v>2414</v>
      </c>
    </row>
    <row r="348">
      <c r="A348" s="4" t="s">
        <v>829</v>
      </c>
      <c r="B348" s="4">
        <v>239.0</v>
      </c>
      <c r="F348" s="4" t="s">
        <v>830</v>
      </c>
      <c r="G348" s="4" t="s">
        <v>431</v>
      </c>
      <c r="H348" s="4" t="s">
        <v>43</v>
      </c>
      <c r="I348" s="4" t="s">
        <v>43</v>
      </c>
      <c r="J348" s="4" t="s">
        <v>43</v>
      </c>
      <c r="K348" s="5" t="str">
        <f>HYPERLINK("https://www.instagram.com/p/BwFzVp7gsK6/","Open Post")</f>
        <v>Open Post</v>
      </c>
      <c r="L348" s="4" t="s">
        <v>2415</v>
      </c>
      <c r="M348" s="4" t="s">
        <v>2416</v>
      </c>
      <c r="N348" s="4" t="s">
        <v>2418</v>
      </c>
      <c r="O348" s="4" t="s">
        <v>51</v>
      </c>
      <c r="P348" s="4" t="s">
        <v>2420</v>
      </c>
    </row>
    <row r="349">
      <c r="A349" s="4" t="s">
        <v>829</v>
      </c>
      <c r="B349" s="4">
        <v>240.0</v>
      </c>
      <c r="F349" s="4" t="s">
        <v>830</v>
      </c>
      <c r="G349" s="4" t="s">
        <v>165</v>
      </c>
      <c r="H349" s="4" t="s">
        <v>43</v>
      </c>
      <c r="I349" s="4" t="s">
        <v>43</v>
      </c>
      <c r="J349" s="4" t="s">
        <v>43</v>
      </c>
      <c r="K349" s="5" t="str">
        <f>HYPERLINK("https://www.instagram.com/p/BwFjcFeAGPT/","Open Post")</f>
        <v>Open Post</v>
      </c>
      <c r="L349" s="4" t="s">
        <v>2421</v>
      </c>
      <c r="M349" s="4" t="s">
        <v>2422</v>
      </c>
      <c r="N349" s="4" t="s">
        <v>2423</v>
      </c>
      <c r="O349" s="4" t="s">
        <v>51</v>
      </c>
      <c r="P349" s="4" t="s">
        <v>2424</v>
      </c>
    </row>
    <row r="350">
      <c r="A350" s="4" t="s">
        <v>829</v>
      </c>
      <c r="B350" s="4">
        <v>241.0</v>
      </c>
      <c r="F350" s="4" t="s">
        <v>830</v>
      </c>
      <c r="G350" s="4" t="s">
        <v>2425</v>
      </c>
      <c r="H350" s="4" t="s">
        <v>43</v>
      </c>
      <c r="I350" s="4" t="s">
        <v>43</v>
      </c>
      <c r="J350" s="4" t="s">
        <v>43</v>
      </c>
      <c r="K350" s="5" t="str">
        <f>HYPERLINK("https://www.instagram.com/p/BwFa3y8DaSW/","Open Post")</f>
        <v>Open Post</v>
      </c>
      <c r="L350" s="4" t="s">
        <v>2427</v>
      </c>
      <c r="M350" s="4" t="s">
        <v>2428</v>
      </c>
      <c r="N350" s="4" t="s">
        <v>2429</v>
      </c>
      <c r="O350" s="4" t="s">
        <v>51</v>
      </c>
      <c r="P350" s="4" t="s">
        <v>2431</v>
      </c>
    </row>
    <row r="351">
      <c r="A351" s="4" t="s">
        <v>829</v>
      </c>
      <c r="B351" s="4">
        <v>242.0</v>
      </c>
      <c r="F351" s="4" t="s">
        <v>830</v>
      </c>
      <c r="G351" s="4" t="s">
        <v>951</v>
      </c>
      <c r="H351" s="4" t="s">
        <v>43</v>
      </c>
      <c r="I351" s="4" t="s">
        <v>43</v>
      </c>
      <c r="J351" s="4" t="s">
        <v>43</v>
      </c>
      <c r="K351" s="5" t="str">
        <f>HYPERLINK("https://www.instagram.com/p/BwEwGbjnJHv/","Open Post")</f>
        <v>Open Post</v>
      </c>
      <c r="L351" s="4" t="s">
        <v>2433</v>
      </c>
      <c r="M351" s="4" t="s">
        <v>2434</v>
      </c>
      <c r="N351" s="4" t="s">
        <v>2435</v>
      </c>
      <c r="O351" s="4" t="s">
        <v>51</v>
      </c>
      <c r="P351" s="4" t="s">
        <v>2436</v>
      </c>
    </row>
    <row r="352">
      <c r="A352" s="4" t="s">
        <v>829</v>
      </c>
      <c r="B352" s="4">
        <v>243.0</v>
      </c>
      <c r="F352" s="4" t="s">
        <v>830</v>
      </c>
      <c r="G352" s="4" t="s">
        <v>544</v>
      </c>
      <c r="H352" s="4" t="s">
        <v>43</v>
      </c>
      <c r="I352" s="4" t="s">
        <v>43</v>
      </c>
      <c r="J352" s="4" t="s">
        <v>43</v>
      </c>
      <c r="K352" s="5" t="str">
        <f>HYPERLINK("https://www.instagram.com/p/BwEkDKMgTVP/","Open Post")</f>
        <v>Open Post</v>
      </c>
      <c r="L352" s="4" t="s">
        <v>2439</v>
      </c>
      <c r="M352" s="4" t="s">
        <v>2440</v>
      </c>
      <c r="N352" s="4" t="s">
        <v>2441</v>
      </c>
      <c r="O352" s="4" t="s">
        <v>51</v>
      </c>
      <c r="P352" s="4" t="s">
        <v>2442</v>
      </c>
    </row>
    <row r="353">
      <c r="A353" s="4" t="s">
        <v>829</v>
      </c>
      <c r="B353" s="4">
        <v>244.0</v>
      </c>
      <c r="F353" s="4" t="s">
        <v>830</v>
      </c>
      <c r="G353" s="4" t="s">
        <v>951</v>
      </c>
      <c r="H353" s="4" t="s">
        <v>43</v>
      </c>
      <c r="I353" s="4" t="s">
        <v>43</v>
      </c>
      <c r="J353" s="4" t="s">
        <v>43</v>
      </c>
      <c r="K353" s="5" t="str">
        <f>HYPERLINK("https://www.instagram.com/p/Bv_iTjsFQ-O/","Open Post")</f>
        <v>Open Post</v>
      </c>
      <c r="L353" s="4" t="s">
        <v>2446</v>
      </c>
      <c r="M353" s="4" t="s">
        <v>2447</v>
      </c>
      <c r="N353" s="4" t="s">
        <v>2448</v>
      </c>
      <c r="O353" s="4" t="s">
        <v>51</v>
      </c>
      <c r="P353" s="4" t="s">
        <v>2449</v>
      </c>
    </row>
    <row r="354">
      <c r="A354" s="4" t="s">
        <v>829</v>
      </c>
      <c r="B354" s="4">
        <v>245.0</v>
      </c>
      <c r="F354" s="4" t="s">
        <v>869</v>
      </c>
      <c r="G354" s="4" t="s">
        <v>2451</v>
      </c>
      <c r="H354" s="4" t="s">
        <v>43</v>
      </c>
      <c r="I354" s="4" t="s">
        <v>43</v>
      </c>
      <c r="J354" s="4" t="s">
        <v>43</v>
      </c>
      <c r="K354" s="5" t="str">
        <f>HYPERLINK("https://www.instagram.com/p/Bv-sc-ngnu6/","Open Post")</f>
        <v>Open Post</v>
      </c>
      <c r="L354" s="4" t="s">
        <v>2452</v>
      </c>
      <c r="M354" s="4" t="s">
        <v>49</v>
      </c>
      <c r="N354" s="4" t="s">
        <v>2454</v>
      </c>
      <c r="O354" s="4" t="s">
        <v>51</v>
      </c>
      <c r="P354" s="4" t="s">
        <v>2455</v>
      </c>
    </row>
    <row r="355">
      <c r="A355" s="4" t="s">
        <v>829</v>
      </c>
      <c r="B355" s="4">
        <v>246.0</v>
      </c>
      <c r="F355" s="4" t="s">
        <v>830</v>
      </c>
      <c r="G355" s="4" t="s">
        <v>951</v>
      </c>
      <c r="H355" s="4" t="s">
        <v>43</v>
      </c>
      <c r="I355" s="4" t="s">
        <v>43</v>
      </c>
      <c r="J355" s="4" t="s">
        <v>43</v>
      </c>
      <c r="K355" s="5" t="str">
        <f>HYPERLINK("https://www.instagram.com/p/Bv76gN2lu0J/","Open Post")</f>
        <v>Open Post</v>
      </c>
      <c r="L355" s="4" t="s">
        <v>2456</v>
      </c>
      <c r="M355" s="4" t="s">
        <v>2457</v>
      </c>
      <c r="N355" s="4" t="s">
        <v>2458</v>
      </c>
      <c r="O355" s="4" t="s">
        <v>51</v>
      </c>
      <c r="P355" s="4" t="s">
        <v>2460</v>
      </c>
    </row>
    <row r="356">
      <c r="A356" s="4" t="s">
        <v>829</v>
      </c>
      <c r="B356" s="4">
        <v>247.0</v>
      </c>
      <c r="F356" s="4" t="s">
        <v>869</v>
      </c>
      <c r="G356" s="4" t="s">
        <v>165</v>
      </c>
      <c r="H356" s="4" t="s">
        <v>43</v>
      </c>
      <c r="I356" s="4" t="s">
        <v>43</v>
      </c>
      <c r="J356" s="4" t="s">
        <v>43</v>
      </c>
      <c r="K356" s="5" t="str">
        <f>HYPERLINK("https://www.instagram.com/p/Bv67RCfnP-V/","Open Post")</f>
        <v>Open Post</v>
      </c>
      <c r="L356" s="4" t="s">
        <v>2463</v>
      </c>
      <c r="M356" s="4" t="s">
        <v>2464</v>
      </c>
      <c r="N356" s="4" t="s">
        <v>2465</v>
      </c>
      <c r="O356" s="4" t="s">
        <v>51</v>
      </c>
      <c r="P356" s="4" t="s">
        <v>2466</v>
      </c>
    </row>
    <row r="357">
      <c r="A357" s="4" t="s">
        <v>829</v>
      </c>
      <c r="B357" s="4">
        <v>248.0</v>
      </c>
      <c r="F357" s="4" t="s">
        <v>830</v>
      </c>
      <c r="G357" s="4" t="s">
        <v>862</v>
      </c>
      <c r="H357" s="4" t="s">
        <v>43</v>
      </c>
      <c r="I357" s="4" t="s">
        <v>43</v>
      </c>
      <c r="J357" s="4" t="s">
        <v>43</v>
      </c>
      <c r="K357" s="5" t="str">
        <f>HYPERLINK("https://www.instagram.com/p/Bv4cMp2Hept/","Open Post")</f>
        <v>Open Post</v>
      </c>
      <c r="L357" s="4" t="s">
        <v>2469</v>
      </c>
      <c r="M357" s="4" t="s">
        <v>2470</v>
      </c>
      <c r="N357" s="4" t="s">
        <v>2471</v>
      </c>
      <c r="O357" s="4" t="s">
        <v>51</v>
      </c>
      <c r="P357" s="4" t="s">
        <v>2473</v>
      </c>
    </row>
    <row r="358">
      <c r="A358" s="4" t="s">
        <v>829</v>
      </c>
      <c r="B358" s="4">
        <v>249.0</v>
      </c>
      <c r="F358" s="4" t="s">
        <v>57</v>
      </c>
      <c r="G358" s="4" t="s">
        <v>862</v>
      </c>
      <c r="H358" s="4" t="s">
        <v>43</v>
      </c>
      <c r="I358" s="4" t="s">
        <v>43</v>
      </c>
      <c r="J358" s="4" t="s">
        <v>43</v>
      </c>
      <c r="K358" s="5" t="str">
        <f>HYPERLINK("https://www.instagram.com/reel/Bv3dSBonF8o/","Open Reel")</f>
        <v>Open Reel</v>
      </c>
      <c r="L358" s="4" t="s">
        <v>2476</v>
      </c>
      <c r="M358" s="4" t="s">
        <v>2477</v>
      </c>
      <c r="N358" s="4" t="s">
        <v>2478</v>
      </c>
      <c r="O358" s="4" t="s">
        <v>51</v>
      </c>
      <c r="P358" s="4" t="s">
        <v>2479</v>
      </c>
    </row>
    <row r="359">
      <c r="A359" s="4" t="s">
        <v>829</v>
      </c>
      <c r="B359" s="4">
        <v>250.0</v>
      </c>
      <c r="F359" s="4" t="s">
        <v>830</v>
      </c>
      <c r="G359" s="4" t="s">
        <v>257</v>
      </c>
      <c r="H359" s="4" t="s">
        <v>43</v>
      </c>
      <c r="I359" s="4" t="s">
        <v>43</v>
      </c>
      <c r="J359" s="4" t="s">
        <v>43</v>
      </c>
      <c r="K359" s="5" t="str">
        <f>HYPERLINK("https://www.instagram.com/p/Bv27GISFaB4/","Open Post")</f>
        <v>Open Post</v>
      </c>
      <c r="L359" s="4" t="s">
        <v>2482</v>
      </c>
      <c r="M359" s="4" t="s">
        <v>2483</v>
      </c>
      <c r="N359" s="4" t="s">
        <v>2484</v>
      </c>
      <c r="O359" s="4" t="s">
        <v>51</v>
      </c>
      <c r="P359" s="4" t="s">
        <v>2485</v>
      </c>
    </row>
    <row r="360">
      <c r="A360" s="4" t="s">
        <v>829</v>
      </c>
      <c r="B360" s="4">
        <v>251.0</v>
      </c>
      <c r="F360" s="4" t="s">
        <v>830</v>
      </c>
      <c r="G360" s="4" t="s">
        <v>306</v>
      </c>
      <c r="H360" s="4" t="s">
        <v>43</v>
      </c>
      <c r="I360" s="4" t="s">
        <v>43</v>
      </c>
      <c r="J360" s="4" t="s">
        <v>43</v>
      </c>
      <c r="K360" s="5" t="str">
        <f>HYPERLINK("https://www.instagram.com/p/Bv2aG_en7tn/","Open Post")</f>
        <v>Open Post</v>
      </c>
      <c r="M360" s="4" t="s">
        <v>49</v>
      </c>
      <c r="N360" s="4" t="s">
        <v>2487</v>
      </c>
      <c r="O360" s="4" t="s">
        <v>51</v>
      </c>
      <c r="P360" s="4" t="s">
        <v>2488</v>
      </c>
    </row>
    <row r="361">
      <c r="A361" s="4" t="s">
        <v>829</v>
      </c>
      <c r="B361" s="4">
        <v>252.0</v>
      </c>
      <c r="F361" s="4" t="s">
        <v>830</v>
      </c>
      <c r="G361" s="4" t="s">
        <v>165</v>
      </c>
      <c r="H361" s="4" t="s">
        <v>43</v>
      </c>
      <c r="I361" s="4" t="s">
        <v>43</v>
      </c>
      <c r="J361" s="4" t="s">
        <v>43</v>
      </c>
      <c r="K361" s="5" t="str">
        <f>HYPERLINK("https://www.instagram.com/p/BvwKSNCFC_6/","Open Post")</f>
        <v>Open Post</v>
      </c>
      <c r="L361" s="4" t="s">
        <v>2489</v>
      </c>
      <c r="M361" s="4" t="s">
        <v>2490</v>
      </c>
      <c r="N361" s="4" t="s">
        <v>2491</v>
      </c>
      <c r="O361" s="4" t="s">
        <v>51</v>
      </c>
      <c r="P361" s="4" t="s">
        <v>2493</v>
      </c>
    </row>
    <row r="362">
      <c r="A362" s="4" t="s">
        <v>829</v>
      </c>
      <c r="B362" s="4">
        <v>253.0</v>
      </c>
      <c r="F362" s="4" t="s">
        <v>830</v>
      </c>
      <c r="G362" s="4" t="s">
        <v>306</v>
      </c>
      <c r="H362" s="4" t="s">
        <v>43</v>
      </c>
      <c r="I362" s="4" t="s">
        <v>43</v>
      </c>
      <c r="J362" s="4" t="s">
        <v>43</v>
      </c>
      <c r="K362" s="5" t="str">
        <f>HYPERLINK("https://www.instagram.com/p/Bvv70fClQXY/","Open Post")</f>
        <v>Open Post</v>
      </c>
      <c r="L362" s="4" t="s">
        <v>2494</v>
      </c>
      <c r="M362" s="4" t="s">
        <v>49</v>
      </c>
      <c r="N362" s="4" t="s">
        <v>2495</v>
      </c>
      <c r="O362" s="4" t="s">
        <v>51</v>
      </c>
      <c r="P362" s="4" t="s">
        <v>2497</v>
      </c>
    </row>
    <row r="363">
      <c r="A363" s="4" t="s">
        <v>829</v>
      </c>
      <c r="B363" s="4">
        <v>254.0</v>
      </c>
      <c r="F363" s="4" t="s">
        <v>830</v>
      </c>
      <c r="G363" s="4" t="s">
        <v>257</v>
      </c>
      <c r="H363" s="4" t="s">
        <v>43</v>
      </c>
      <c r="I363" s="4" t="s">
        <v>43</v>
      </c>
      <c r="J363" s="4" t="s">
        <v>43</v>
      </c>
      <c r="K363" s="5" t="str">
        <f>HYPERLINK("https://www.instagram.com/p/BvtvLuvg4ag/","Open Post")</f>
        <v>Open Post</v>
      </c>
      <c r="L363" s="4" t="s">
        <v>2499</v>
      </c>
      <c r="M363" s="4" t="s">
        <v>2500</v>
      </c>
      <c r="N363" s="4" t="s">
        <v>2501</v>
      </c>
      <c r="O363" s="4" t="s">
        <v>51</v>
      </c>
      <c r="P363" s="4" t="s">
        <v>2502</v>
      </c>
    </row>
    <row r="364">
      <c r="A364" s="4" t="s">
        <v>829</v>
      </c>
      <c r="B364" s="4">
        <v>255.0</v>
      </c>
      <c r="F364" s="4" t="s">
        <v>830</v>
      </c>
      <c r="G364" s="4" t="s">
        <v>871</v>
      </c>
      <c r="H364" s="4" t="s">
        <v>43</v>
      </c>
      <c r="I364" s="4" t="s">
        <v>43</v>
      </c>
      <c r="J364" s="4" t="s">
        <v>43</v>
      </c>
      <c r="K364" s="5" t="str">
        <f>HYPERLINK("https://www.instagram.com/p/Bvscyrvg1Wn/","Open Post")</f>
        <v>Open Post</v>
      </c>
      <c r="L364" s="4" t="s">
        <v>2503</v>
      </c>
      <c r="M364" s="4" t="s">
        <v>2504</v>
      </c>
      <c r="N364" s="4" t="s">
        <v>2505</v>
      </c>
      <c r="O364" s="4" t="s">
        <v>51</v>
      </c>
      <c r="P364" s="4" t="s">
        <v>2506</v>
      </c>
    </row>
    <row r="365">
      <c r="A365" s="4" t="s">
        <v>829</v>
      </c>
      <c r="B365" s="4">
        <v>256.0</v>
      </c>
      <c r="F365" s="4" t="s">
        <v>830</v>
      </c>
      <c r="G365" s="4" t="s">
        <v>661</v>
      </c>
      <c r="H365" s="4" t="s">
        <v>43</v>
      </c>
      <c r="I365" s="4" t="s">
        <v>43</v>
      </c>
      <c r="J365" s="4" t="s">
        <v>43</v>
      </c>
      <c r="K365" s="5" t="str">
        <f>HYPERLINK("https://www.instagram.com/p/BvrgN6vHe5A/","Open Post")</f>
        <v>Open Post</v>
      </c>
      <c r="L365" s="4" t="s">
        <v>2508</v>
      </c>
      <c r="M365" s="4" t="s">
        <v>49</v>
      </c>
      <c r="N365" s="4" t="s">
        <v>2509</v>
      </c>
      <c r="O365" s="4" t="s">
        <v>51</v>
      </c>
      <c r="P365" s="4" t="s">
        <v>2510</v>
      </c>
    </row>
    <row r="366">
      <c r="A366" s="4" t="s">
        <v>829</v>
      </c>
      <c r="B366" s="4">
        <v>257.0</v>
      </c>
      <c r="F366" s="4" t="s">
        <v>830</v>
      </c>
      <c r="G366" s="4" t="s">
        <v>1047</v>
      </c>
      <c r="H366" s="4" t="s">
        <v>43</v>
      </c>
      <c r="I366" s="4" t="s">
        <v>43</v>
      </c>
      <c r="J366" s="4" t="s">
        <v>43</v>
      </c>
      <c r="K366" s="5" t="str">
        <f>HYPERLINK("https://www.instagram.com/p/BvhIO-VF0bt/","Open Post")</f>
        <v>Open Post</v>
      </c>
      <c r="L366" s="4" t="s">
        <v>2513</v>
      </c>
      <c r="M366" s="4" t="s">
        <v>2514</v>
      </c>
      <c r="N366" s="4" t="s">
        <v>2515</v>
      </c>
      <c r="O366" s="4" t="s">
        <v>51</v>
      </c>
      <c r="P366" s="4" t="s">
        <v>2516</v>
      </c>
    </row>
    <row r="367">
      <c r="A367" s="4" t="s">
        <v>829</v>
      </c>
      <c r="B367" s="4">
        <v>258.0</v>
      </c>
      <c r="F367" s="4" t="s">
        <v>830</v>
      </c>
      <c r="G367" s="4" t="s">
        <v>838</v>
      </c>
      <c r="H367" s="4" t="s">
        <v>43</v>
      </c>
      <c r="I367" s="4" t="s">
        <v>43</v>
      </c>
      <c r="J367" s="4" t="s">
        <v>43</v>
      </c>
      <c r="K367" s="5" t="str">
        <f>HYPERLINK("https://www.instagram.com/p/BvdoqbCHq_b/","Open Post")</f>
        <v>Open Post</v>
      </c>
      <c r="L367" s="4" t="s">
        <v>2517</v>
      </c>
      <c r="M367" s="4" t="s">
        <v>2518</v>
      </c>
      <c r="N367" s="4" t="s">
        <v>2519</v>
      </c>
      <c r="O367" s="4" t="s">
        <v>51</v>
      </c>
      <c r="P367" s="4" t="s">
        <v>2521</v>
      </c>
    </row>
    <row r="368">
      <c r="A368" s="4" t="s">
        <v>829</v>
      </c>
      <c r="B368" s="4">
        <v>259.0</v>
      </c>
      <c r="F368" s="4" t="s">
        <v>869</v>
      </c>
      <c r="G368" s="4" t="s">
        <v>852</v>
      </c>
      <c r="H368" s="4" t="s">
        <v>43</v>
      </c>
      <c r="I368" s="4" t="s">
        <v>43</v>
      </c>
      <c r="J368" s="4" t="s">
        <v>43</v>
      </c>
      <c r="K368" s="5" t="str">
        <f>HYPERLINK("https://www.instagram.com/p/BvcCAS1AXmI/","Open Post")</f>
        <v>Open Post</v>
      </c>
      <c r="L368" s="4" t="s">
        <v>2522</v>
      </c>
      <c r="M368" s="4" t="s">
        <v>2523</v>
      </c>
      <c r="N368" s="4" t="s">
        <v>2525</v>
      </c>
      <c r="O368" s="4" t="s">
        <v>51</v>
      </c>
      <c r="P368" s="4" t="s">
        <v>2526</v>
      </c>
    </row>
    <row r="369">
      <c r="A369" s="4" t="s">
        <v>829</v>
      </c>
      <c r="B369" s="4">
        <v>260.0</v>
      </c>
      <c r="F369" s="4" t="s">
        <v>869</v>
      </c>
      <c r="G369" s="4" t="s">
        <v>2527</v>
      </c>
      <c r="H369" s="4" t="s">
        <v>43</v>
      </c>
      <c r="I369" s="4" t="s">
        <v>43</v>
      </c>
      <c r="J369" s="4" t="s">
        <v>43</v>
      </c>
      <c r="K369" s="5" t="str">
        <f>HYPERLINK("https://www.instagram.com/p/BvSA8yaHKDf/","Open Post")</f>
        <v>Open Post</v>
      </c>
      <c r="L369" s="4" t="s">
        <v>2529</v>
      </c>
      <c r="M369" s="4" t="s">
        <v>2530</v>
      </c>
      <c r="N369" s="4" t="s">
        <v>2531</v>
      </c>
      <c r="O369" s="4" t="s">
        <v>51</v>
      </c>
      <c r="P369" s="4" t="s">
        <v>2532</v>
      </c>
    </row>
    <row r="370">
      <c r="A370" s="4" t="s">
        <v>829</v>
      </c>
      <c r="B370" s="4">
        <v>261.0</v>
      </c>
      <c r="F370" s="4" t="s">
        <v>830</v>
      </c>
      <c r="G370" s="4" t="s">
        <v>2451</v>
      </c>
      <c r="H370" s="4" t="s">
        <v>43</v>
      </c>
      <c r="I370" s="4" t="s">
        <v>43</v>
      </c>
      <c r="J370" s="4" t="s">
        <v>43</v>
      </c>
      <c r="K370" s="5" t="str">
        <f>HYPERLINK("https://www.instagram.com/p/BvU-tETgX1y/","Open Post")</f>
        <v>Open Post</v>
      </c>
      <c r="L370" s="4" t="s">
        <v>2535</v>
      </c>
      <c r="M370" s="4" t="s">
        <v>2536</v>
      </c>
      <c r="N370" s="4" t="s">
        <v>2537</v>
      </c>
      <c r="O370" s="4" t="s">
        <v>51</v>
      </c>
      <c r="P370" s="4" t="s">
        <v>2538</v>
      </c>
    </row>
    <row r="371">
      <c r="A371" s="4" t="s">
        <v>829</v>
      </c>
      <c r="B371" s="4">
        <v>262.0</v>
      </c>
      <c r="F371" s="4" t="s">
        <v>830</v>
      </c>
      <c r="G371" s="4" t="s">
        <v>2540</v>
      </c>
      <c r="H371" s="4" t="s">
        <v>43</v>
      </c>
      <c r="I371" s="4" t="s">
        <v>43</v>
      </c>
      <c r="J371" s="4" t="s">
        <v>43</v>
      </c>
      <c r="K371" s="5" t="str">
        <f>HYPERLINK("https://www.instagram.com/p/BvU4upKnrpY/","Open Post")</f>
        <v>Open Post</v>
      </c>
      <c r="L371" s="4" t="s">
        <v>2542</v>
      </c>
      <c r="M371" s="4" t="s">
        <v>2543</v>
      </c>
      <c r="N371" s="4" t="s">
        <v>2544</v>
      </c>
      <c r="O371" s="4" t="s">
        <v>51</v>
      </c>
      <c r="P371" s="4" t="s">
        <v>2545</v>
      </c>
    </row>
    <row r="372">
      <c r="A372" s="4" t="s">
        <v>829</v>
      </c>
      <c r="B372" s="4">
        <v>263.0</v>
      </c>
      <c r="F372" s="4" t="s">
        <v>830</v>
      </c>
      <c r="G372" s="4" t="s">
        <v>2546</v>
      </c>
      <c r="H372" s="4" t="s">
        <v>43</v>
      </c>
      <c r="I372" s="4" t="s">
        <v>43</v>
      </c>
      <c r="J372" s="4" t="s">
        <v>43</v>
      </c>
      <c r="K372" s="5" t="str">
        <f>HYPERLINK("https://www.instagram.com/p/BvUsVQPAMQG/","Open Post")</f>
        <v>Open Post</v>
      </c>
      <c r="L372" s="4" t="s">
        <v>2548</v>
      </c>
      <c r="M372" s="4" t="s">
        <v>2549</v>
      </c>
      <c r="N372" s="4" t="s">
        <v>2550</v>
      </c>
      <c r="O372" s="4" t="s">
        <v>51</v>
      </c>
      <c r="P372" s="4" t="s">
        <v>2551</v>
      </c>
    </row>
    <row r="373">
      <c r="A373" s="4" t="s">
        <v>829</v>
      </c>
      <c r="B373" s="4">
        <v>264.0</v>
      </c>
      <c r="F373" s="4" t="s">
        <v>830</v>
      </c>
      <c r="G373" s="4" t="s">
        <v>1041</v>
      </c>
      <c r="H373" s="4" t="s">
        <v>43</v>
      </c>
      <c r="I373" s="4" t="s">
        <v>43</v>
      </c>
      <c r="J373" s="4" t="s">
        <v>43</v>
      </c>
      <c r="K373" s="5" t="str">
        <f>HYPERLINK("https://www.instagram.com/p/BvUrkEdAWLc/","Open Post")</f>
        <v>Open Post</v>
      </c>
      <c r="L373" s="4" t="s">
        <v>2552</v>
      </c>
      <c r="M373" s="4" t="s">
        <v>2549</v>
      </c>
      <c r="N373" s="4" t="s">
        <v>2553</v>
      </c>
      <c r="O373" s="4" t="s">
        <v>51</v>
      </c>
      <c r="P373" s="4" t="s">
        <v>2554</v>
      </c>
    </row>
    <row r="374">
      <c r="A374" s="4" t="s">
        <v>829</v>
      </c>
      <c r="B374" s="4">
        <v>265.0</v>
      </c>
      <c r="F374" s="4" t="s">
        <v>830</v>
      </c>
      <c r="G374" s="4" t="s">
        <v>1041</v>
      </c>
      <c r="H374" s="4" t="s">
        <v>43</v>
      </c>
      <c r="I374" s="4" t="s">
        <v>43</v>
      </c>
      <c r="J374" s="4" t="s">
        <v>43</v>
      </c>
      <c r="K374" s="5" t="str">
        <f>HYPERLINK("https://www.instagram.com/p/BvUrPxPAoMG/","Open Post")</f>
        <v>Open Post</v>
      </c>
      <c r="L374" s="4" t="s">
        <v>2557</v>
      </c>
      <c r="M374" s="4" t="s">
        <v>2549</v>
      </c>
      <c r="N374" s="4" t="s">
        <v>2558</v>
      </c>
      <c r="O374" s="4" t="s">
        <v>51</v>
      </c>
      <c r="P374" s="4" t="s">
        <v>2559</v>
      </c>
    </row>
    <row r="375">
      <c r="A375" s="4" t="s">
        <v>829</v>
      </c>
      <c r="B375" s="4">
        <v>266.0</v>
      </c>
      <c r="F375" s="4" t="s">
        <v>869</v>
      </c>
      <c r="G375" s="4" t="s">
        <v>871</v>
      </c>
      <c r="H375" s="4" t="s">
        <v>43</v>
      </c>
      <c r="I375" s="4" t="s">
        <v>43</v>
      </c>
      <c r="J375" s="4" t="s">
        <v>43</v>
      </c>
      <c r="K375" s="5" t="str">
        <f>HYPERLINK("https://www.instagram.com/p/BvTHWcQhsaQ/","Open Post")</f>
        <v>Open Post</v>
      </c>
      <c r="L375" s="4" t="s">
        <v>2561</v>
      </c>
      <c r="M375" s="4" t="s">
        <v>2562</v>
      </c>
      <c r="N375" s="4" t="s">
        <v>2564</v>
      </c>
      <c r="O375" s="4" t="s">
        <v>51</v>
      </c>
      <c r="P375" s="4" t="s">
        <v>2566</v>
      </c>
    </row>
    <row r="376">
      <c r="A376" s="4" t="s">
        <v>829</v>
      </c>
      <c r="B376" s="4">
        <v>267.0</v>
      </c>
      <c r="F376" s="4" t="s">
        <v>830</v>
      </c>
      <c r="G376" s="4" t="s">
        <v>166</v>
      </c>
      <c r="H376" s="4" t="s">
        <v>43</v>
      </c>
      <c r="I376" s="4" t="s">
        <v>43</v>
      </c>
      <c r="J376" s="4" t="s">
        <v>43</v>
      </c>
      <c r="K376" s="5" t="str">
        <f>HYPERLINK("https://www.instagram.com/p/BvTDwBGlkh3/","Open Post")</f>
        <v>Open Post</v>
      </c>
      <c r="L376" s="4" t="s">
        <v>2567</v>
      </c>
      <c r="M376" s="4" t="s">
        <v>2568</v>
      </c>
      <c r="N376" s="4" t="s">
        <v>2570</v>
      </c>
      <c r="O376" s="4" t="s">
        <v>51</v>
      </c>
      <c r="P376" s="4" t="s">
        <v>2571</v>
      </c>
    </row>
    <row r="377">
      <c r="A377" s="4" t="s">
        <v>829</v>
      </c>
      <c r="B377" s="4">
        <v>268.0</v>
      </c>
      <c r="F377" s="4" t="s">
        <v>830</v>
      </c>
      <c r="G377" s="4" t="s">
        <v>2572</v>
      </c>
      <c r="H377" s="4" t="s">
        <v>43</v>
      </c>
      <c r="I377" s="4" t="s">
        <v>43</v>
      </c>
      <c r="J377" s="4" t="s">
        <v>43</v>
      </c>
      <c r="K377" s="5" t="str">
        <f>HYPERLINK("https://www.instagram.com/p/BvSUhxnlDw8/","Open Post")</f>
        <v>Open Post</v>
      </c>
      <c r="L377" s="4" t="s">
        <v>2574</v>
      </c>
      <c r="M377" s="4" t="s">
        <v>2575</v>
      </c>
      <c r="N377" s="4" t="s">
        <v>2576</v>
      </c>
      <c r="O377" s="4" t="s">
        <v>51</v>
      </c>
      <c r="P377" s="4" t="s">
        <v>2577</v>
      </c>
    </row>
    <row r="378">
      <c r="A378" s="4" t="s">
        <v>829</v>
      </c>
      <c r="B378" s="4">
        <v>269.0</v>
      </c>
      <c r="F378" s="4" t="s">
        <v>830</v>
      </c>
      <c r="G378" s="4" t="s">
        <v>852</v>
      </c>
      <c r="H378" s="4" t="s">
        <v>43</v>
      </c>
      <c r="I378" s="4" t="s">
        <v>43</v>
      </c>
      <c r="J378" s="4" t="s">
        <v>43</v>
      </c>
      <c r="K378" s="5" t="str">
        <f>HYPERLINK("https://www.instagram.com/p/BvSTdyRhata/","Open Post")</f>
        <v>Open Post</v>
      </c>
      <c r="L378" s="4" t="s">
        <v>2578</v>
      </c>
      <c r="M378" s="4" t="s">
        <v>2579</v>
      </c>
      <c r="N378" s="4" t="s">
        <v>2580</v>
      </c>
      <c r="O378" s="4" t="s">
        <v>51</v>
      </c>
      <c r="P378" s="4" t="s">
        <v>2581</v>
      </c>
    </row>
    <row r="379">
      <c r="A379" s="4" t="s">
        <v>829</v>
      </c>
      <c r="B379" s="4">
        <v>270.0</v>
      </c>
      <c r="F379" s="4" t="s">
        <v>830</v>
      </c>
      <c r="G379" s="4" t="s">
        <v>2546</v>
      </c>
      <c r="H379" s="4" t="s">
        <v>43</v>
      </c>
      <c r="I379" s="4" t="s">
        <v>43</v>
      </c>
      <c r="J379" s="4" t="s">
        <v>43</v>
      </c>
      <c r="K379" s="5" t="str">
        <f>HYPERLINK("https://www.instagram.com/p/BvSST1Zn1OY/","Open Post")</f>
        <v>Open Post</v>
      </c>
      <c r="L379" s="4" t="s">
        <v>2584</v>
      </c>
      <c r="M379" s="4" t="s">
        <v>2549</v>
      </c>
      <c r="N379" s="4" t="s">
        <v>2585</v>
      </c>
      <c r="O379" s="4" t="s">
        <v>51</v>
      </c>
      <c r="P379" s="4" t="s">
        <v>2586</v>
      </c>
    </row>
    <row r="380">
      <c r="A380" s="4" t="s">
        <v>829</v>
      </c>
      <c r="B380" s="4">
        <v>271.0</v>
      </c>
      <c r="F380" s="4" t="s">
        <v>830</v>
      </c>
      <c r="G380" s="4" t="s">
        <v>2546</v>
      </c>
      <c r="H380" s="4" t="s">
        <v>43</v>
      </c>
      <c r="I380" s="4" t="s">
        <v>43</v>
      </c>
      <c r="J380" s="4" t="s">
        <v>43</v>
      </c>
      <c r="K380" s="5" t="str">
        <f>HYPERLINK("https://www.instagram.com/p/BvSHNB9AZDw/","Open Post")</f>
        <v>Open Post</v>
      </c>
      <c r="L380" s="4" t="s">
        <v>2588</v>
      </c>
      <c r="M380" s="4" t="s">
        <v>2549</v>
      </c>
      <c r="N380" s="4" t="s">
        <v>2589</v>
      </c>
      <c r="O380" s="4" t="s">
        <v>51</v>
      </c>
      <c r="P380" s="4" t="s">
        <v>2590</v>
      </c>
    </row>
    <row r="381">
      <c r="A381" s="4" t="s">
        <v>829</v>
      </c>
      <c r="B381" s="4">
        <v>272.0</v>
      </c>
      <c r="F381" s="4" t="s">
        <v>830</v>
      </c>
      <c r="G381" s="4" t="s">
        <v>862</v>
      </c>
      <c r="H381" s="4" t="s">
        <v>43</v>
      </c>
      <c r="I381" s="4" t="s">
        <v>43</v>
      </c>
      <c r="J381" s="4" t="s">
        <v>43</v>
      </c>
      <c r="K381" s="5" t="str">
        <f>HYPERLINK("https://www.instagram.com/p/BvQvmiIAWAY/","Open Post")</f>
        <v>Open Post</v>
      </c>
      <c r="L381" s="4" t="s">
        <v>2592</v>
      </c>
      <c r="M381" s="4" t="s">
        <v>2593</v>
      </c>
      <c r="N381" s="4" t="s">
        <v>2594</v>
      </c>
      <c r="O381" s="4" t="s">
        <v>51</v>
      </c>
      <c r="P381" s="4" t="s">
        <v>2595</v>
      </c>
    </row>
    <row r="382">
      <c r="A382" s="4" t="s">
        <v>829</v>
      </c>
      <c r="B382" s="4">
        <v>273.0</v>
      </c>
      <c r="F382" s="4" t="s">
        <v>830</v>
      </c>
      <c r="G382" s="4" t="s">
        <v>2597</v>
      </c>
      <c r="H382" s="4" t="s">
        <v>43</v>
      </c>
      <c r="I382" s="4" t="s">
        <v>43</v>
      </c>
      <c r="J382" s="4" t="s">
        <v>43</v>
      </c>
      <c r="K382" s="5" t="str">
        <f>HYPERLINK("https://www.instagram.com/p/BvQQuPPneJn/","Open Post")</f>
        <v>Open Post</v>
      </c>
      <c r="L382" s="4" t="s">
        <v>2598</v>
      </c>
      <c r="M382" s="4" t="s">
        <v>2579</v>
      </c>
      <c r="N382" s="4" t="s">
        <v>2599</v>
      </c>
      <c r="O382" s="4" t="s">
        <v>51</v>
      </c>
      <c r="P382" s="4" t="s">
        <v>2600</v>
      </c>
    </row>
    <row r="383">
      <c r="A383" s="4" t="s">
        <v>829</v>
      </c>
      <c r="B383" s="4">
        <v>274.0</v>
      </c>
      <c r="F383" s="4" t="s">
        <v>830</v>
      </c>
      <c r="G383" s="4" t="s">
        <v>2597</v>
      </c>
      <c r="H383" s="4" t="s">
        <v>43</v>
      </c>
      <c r="I383" s="4" t="s">
        <v>43</v>
      </c>
      <c r="J383" s="4" t="s">
        <v>43</v>
      </c>
      <c r="K383" s="5" t="str">
        <f>HYPERLINK("https://www.instagram.com/p/BvQQhSxgBh-/","Open Post")</f>
        <v>Open Post</v>
      </c>
      <c r="L383" s="4" t="s">
        <v>2602</v>
      </c>
      <c r="M383" s="4" t="s">
        <v>2579</v>
      </c>
      <c r="N383" s="4" t="s">
        <v>2603</v>
      </c>
      <c r="O383" s="4" t="s">
        <v>51</v>
      </c>
      <c r="P383" s="4" t="s">
        <v>2604</v>
      </c>
    </row>
    <row r="384">
      <c r="A384" s="4" t="s">
        <v>829</v>
      </c>
      <c r="B384" s="4">
        <v>275.0</v>
      </c>
      <c r="F384" s="4" t="s">
        <v>830</v>
      </c>
      <c r="G384" s="4" t="s">
        <v>2546</v>
      </c>
      <c r="H384" s="4" t="s">
        <v>43</v>
      </c>
      <c r="I384" s="4" t="s">
        <v>43</v>
      </c>
      <c r="J384" s="4" t="s">
        <v>43</v>
      </c>
      <c r="K384" s="5" t="str">
        <f>HYPERLINK("https://www.instagram.com/p/BvQK8eunEhb/","Open Post")</f>
        <v>Open Post</v>
      </c>
      <c r="L384" s="4" t="s">
        <v>2606</v>
      </c>
      <c r="M384" s="4" t="s">
        <v>2549</v>
      </c>
      <c r="N384" s="4" t="s">
        <v>2607</v>
      </c>
      <c r="O384" s="4" t="s">
        <v>51</v>
      </c>
      <c r="P384" s="4" t="s">
        <v>2608</v>
      </c>
    </row>
    <row r="385">
      <c r="A385" s="4" t="s">
        <v>829</v>
      </c>
      <c r="B385" s="4">
        <v>276.0</v>
      </c>
      <c r="F385" s="4" t="s">
        <v>830</v>
      </c>
      <c r="G385" s="4" t="s">
        <v>2546</v>
      </c>
      <c r="H385" s="4" t="s">
        <v>43</v>
      </c>
      <c r="I385" s="4" t="s">
        <v>43</v>
      </c>
      <c r="J385" s="4" t="s">
        <v>43</v>
      </c>
      <c r="K385" s="5" t="str">
        <f>HYPERLINK("https://www.instagram.com/p/BvQDlqYHEXf/","Open Post")</f>
        <v>Open Post</v>
      </c>
      <c r="L385" s="4" t="s">
        <v>2549</v>
      </c>
      <c r="M385" s="4" t="s">
        <v>2549</v>
      </c>
      <c r="N385" s="4" t="s">
        <v>2610</v>
      </c>
      <c r="O385" s="4" t="s">
        <v>51</v>
      </c>
      <c r="P385" s="4" t="s">
        <v>2611</v>
      </c>
    </row>
    <row r="386">
      <c r="A386" s="4" t="s">
        <v>829</v>
      </c>
      <c r="B386" s="4">
        <v>277.0</v>
      </c>
      <c r="F386" s="4" t="s">
        <v>830</v>
      </c>
      <c r="G386" s="4" t="s">
        <v>957</v>
      </c>
      <c r="H386" s="4" t="s">
        <v>43</v>
      </c>
      <c r="I386" s="4" t="s">
        <v>43</v>
      </c>
      <c r="J386" s="4" t="s">
        <v>43</v>
      </c>
      <c r="K386" s="5" t="str">
        <f>HYPERLINK("https://www.instagram.com/p/BvPFEk0HEGv/","Open Post")</f>
        <v>Open Post</v>
      </c>
      <c r="L386" s="4" t="s">
        <v>2613</v>
      </c>
      <c r="M386" s="4" t="s">
        <v>2614</v>
      </c>
      <c r="N386" s="4" t="s">
        <v>2615</v>
      </c>
      <c r="O386" s="4" t="s">
        <v>51</v>
      </c>
      <c r="P386" s="4" t="s">
        <v>2616</v>
      </c>
    </row>
    <row r="387">
      <c r="A387" s="4" t="s">
        <v>829</v>
      </c>
      <c r="B387" s="4">
        <v>278.0</v>
      </c>
      <c r="F387" s="4" t="s">
        <v>57</v>
      </c>
      <c r="G387" s="4" t="s">
        <v>871</v>
      </c>
      <c r="H387" s="4" t="s">
        <v>43</v>
      </c>
      <c r="I387" s="4" t="s">
        <v>43</v>
      </c>
      <c r="J387" s="4" t="s">
        <v>43</v>
      </c>
      <c r="K387" s="5" t="str">
        <f>HYPERLINK("https://www.instagram.com/reel/BvMkIyTFTF4/","Open Reel")</f>
        <v>Open Reel</v>
      </c>
      <c r="L387" s="4" t="s">
        <v>2619</v>
      </c>
      <c r="M387" s="4" t="s">
        <v>2620</v>
      </c>
      <c r="N387" s="4" t="s">
        <v>2621</v>
      </c>
      <c r="O387" s="4" t="s">
        <v>51</v>
      </c>
      <c r="P387" s="4" t="s">
        <v>2622</v>
      </c>
    </row>
    <row r="388">
      <c r="A388" s="4" t="s">
        <v>829</v>
      </c>
      <c r="B388" s="4">
        <v>279.0</v>
      </c>
      <c r="F388" s="4" t="s">
        <v>830</v>
      </c>
      <c r="G388" s="4" t="s">
        <v>2623</v>
      </c>
      <c r="H388" s="4" t="s">
        <v>43</v>
      </c>
      <c r="I388" s="4" t="s">
        <v>43</v>
      </c>
      <c r="J388" s="4" t="s">
        <v>43</v>
      </c>
      <c r="K388" s="5" t="str">
        <f>HYPERLINK("https://www.instagram.com/p/BvHijJYHyt0/","Open Post")</f>
        <v>Open Post</v>
      </c>
      <c r="L388" s="4" t="s">
        <v>2624</v>
      </c>
      <c r="M388" s="4" t="s">
        <v>2626</v>
      </c>
      <c r="N388" s="4" t="s">
        <v>2627</v>
      </c>
      <c r="O388" s="4" t="s">
        <v>51</v>
      </c>
      <c r="P388" s="4" t="s">
        <v>2628</v>
      </c>
    </row>
    <row r="389">
      <c r="A389" s="4" t="s">
        <v>829</v>
      </c>
      <c r="B389" s="4">
        <v>280.0</v>
      </c>
      <c r="F389" s="4" t="s">
        <v>830</v>
      </c>
      <c r="G389" s="4" t="s">
        <v>306</v>
      </c>
      <c r="H389" s="4" t="s">
        <v>43</v>
      </c>
      <c r="I389" s="4" t="s">
        <v>43</v>
      </c>
      <c r="J389" s="4" t="s">
        <v>43</v>
      </c>
      <c r="K389" s="5" t="str">
        <f>HYPERLINK("https://www.instagram.com/p/BvHGh88he1k/","Open Post")</f>
        <v>Open Post</v>
      </c>
      <c r="M389" s="4" t="s">
        <v>49</v>
      </c>
      <c r="N389" s="4" t="s">
        <v>2630</v>
      </c>
      <c r="O389" s="4" t="s">
        <v>51</v>
      </c>
      <c r="P389" s="4" t="s">
        <v>2631</v>
      </c>
    </row>
    <row r="390">
      <c r="A390" s="4" t="s">
        <v>829</v>
      </c>
      <c r="B390" s="4">
        <v>281.0</v>
      </c>
      <c r="F390" s="4" t="s">
        <v>830</v>
      </c>
      <c r="G390" s="4" t="s">
        <v>661</v>
      </c>
      <c r="H390" s="4" t="s">
        <v>43</v>
      </c>
      <c r="I390" s="4" t="s">
        <v>43</v>
      </c>
      <c r="J390" s="4" t="s">
        <v>43</v>
      </c>
      <c r="K390" s="5" t="str">
        <f>HYPERLINK("https://www.instagram.com/p/Bu_gDcDHb4W/","Open Post")</f>
        <v>Open Post</v>
      </c>
      <c r="L390" s="4" t="s">
        <v>2633</v>
      </c>
      <c r="M390" s="4" t="s">
        <v>2634</v>
      </c>
      <c r="N390" s="4" t="s">
        <v>2635</v>
      </c>
      <c r="O390" s="4" t="s">
        <v>51</v>
      </c>
      <c r="P390" s="4" t="s">
        <v>2636</v>
      </c>
    </row>
    <row r="391">
      <c r="A391" s="4" t="s">
        <v>829</v>
      </c>
      <c r="B391" s="4">
        <v>282.0</v>
      </c>
      <c r="F391" s="4" t="s">
        <v>869</v>
      </c>
      <c r="G391" s="4" t="s">
        <v>1768</v>
      </c>
      <c r="H391" s="4" t="s">
        <v>43</v>
      </c>
      <c r="I391" s="4" t="s">
        <v>43</v>
      </c>
      <c r="J391" s="4" t="s">
        <v>43</v>
      </c>
      <c r="K391" s="5" t="str">
        <f>HYPERLINK("https://www.instagram.com/p/Bu-zpb8FzS3/","Open Post")</f>
        <v>Open Post</v>
      </c>
      <c r="L391" s="4" t="s">
        <v>2640</v>
      </c>
      <c r="M391" s="4" t="s">
        <v>2641</v>
      </c>
      <c r="N391" s="4" t="s">
        <v>2642</v>
      </c>
      <c r="O391" s="4" t="s">
        <v>51</v>
      </c>
      <c r="P391" s="4" t="s">
        <v>2643</v>
      </c>
    </row>
    <row r="392">
      <c r="A392" s="4" t="s">
        <v>829</v>
      </c>
      <c r="B392" s="4">
        <v>283.0</v>
      </c>
      <c r="F392" s="4" t="s">
        <v>830</v>
      </c>
      <c r="G392" s="4" t="s">
        <v>165</v>
      </c>
      <c r="H392" s="4" t="s">
        <v>43</v>
      </c>
      <c r="I392" s="4" t="s">
        <v>43</v>
      </c>
      <c r="J392" s="4" t="s">
        <v>43</v>
      </c>
      <c r="K392" s="5" t="str">
        <f>HYPERLINK("https://www.instagram.com/p/Bu6oPxRgXNi/","Open Post")</f>
        <v>Open Post</v>
      </c>
      <c r="L392" s="4" t="s">
        <v>2646</v>
      </c>
      <c r="M392" s="4" t="s">
        <v>2647</v>
      </c>
      <c r="N392" s="4" t="s">
        <v>2648</v>
      </c>
      <c r="O392" s="4" t="s">
        <v>51</v>
      </c>
      <c r="P392" s="4" t="s">
        <v>2650</v>
      </c>
    </row>
    <row r="393">
      <c r="A393" s="4" t="s">
        <v>829</v>
      </c>
      <c r="B393" s="4">
        <v>284.0</v>
      </c>
      <c r="F393" s="4" t="s">
        <v>830</v>
      </c>
      <c r="G393" s="4" t="s">
        <v>862</v>
      </c>
      <c r="H393" s="4" t="s">
        <v>43</v>
      </c>
      <c r="I393" s="4" t="s">
        <v>43</v>
      </c>
      <c r="J393" s="4" t="s">
        <v>43</v>
      </c>
      <c r="K393" s="5" t="str">
        <f>HYPERLINK("https://www.instagram.com/p/Bu4y0nZj1dE/","Open Post")</f>
        <v>Open Post</v>
      </c>
      <c r="L393" s="4" t="s">
        <v>2652</v>
      </c>
      <c r="M393" s="4" t="s">
        <v>2654</v>
      </c>
      <c r="N393" s="4" t="s">
        <v>2656</v>
      </c>
      <c r="O393" s="4" t="s">
        <v>51</v>
      </c>
      <c r="P393" s="4" t="s">
        <v>2657</v>
      </c>
    </row>
    <row r="394">
      <c r="A394" s="4" t="s">
        <v>829</v>
      </c>
      <c r="B394" s="4">
        <v>285.0</v>
      </c>
      <c r="F394" s="4" t="s">
        <v>830</v>
      </c>
      <c r="G394" s="4" t="s">
        <v>165</v>
      </c>
      <c r="H394" s="4" t="s">
        <v>43</v>
      </c>
      <c r="I394" s="4" t="s">
        <v>43</v>
      </c>
      <c r="J394" s="4" t="s">
        <v>43</v>
      </c>
      <c r="K394" s="5" t="str">
        <f>HYPERLINK("https://www.instagram.com/p/BuybqUlH-0C/","Open Post")</f>
        <v>Open Post</v>
      </c>
      <c r="L394" s="4" t="s">
        <v>2658</v>
      </c>
      <c r="M394" s="4" t="s">
        <v>2659</v>
      </c>
      <c r="N394" s="4" t="s">
        <v>2660</v>
      </c>
      <c r="O394" s="4" t="s">
        <v>51</v>
      </c>
      <c r="P394" s="4" t="s">
        <v>2661</v>
      </c>
    </row>
    <row r="395">
      <c r="A395" s="4" t="s">
        <v>829</v>
      </c>
      <c r="B395" s="4">
        <v>286.0</v>
      </c>
      <c r="F395" s="4" t="s">
        <v>830</v>
      </c>
      <c r="G395" s="4" t="s">
        <v>2662</v>
      </c>
      <c r="H395" s="4" t="s">
        <v>43</v>
      </c>
      <c r="I395" s="4" t="s">
        <v>43</v>
      </c>
      <c r="J395" s="4" t="s">
        <v>43</v>
      </c>
      <c r="K395" s="5" t="str">
        <f>HYPERLINK("https://www.instagram.com/p/Butq8d2g3fD/","Open Post")</f>
        <v>Open Post</v>
      </c>
      <c r="L395" s="4" t="s">
        <v>2664</v>
      </c>
      <c r="M395" s="4" t="s">
        <v>2665</v>
      </c>
      <c r="N395" s="4" t="s">
        <v>2666</v>
      </c>
      <c r="O395" s="4" t="s">
        <v>51</v>
      </c>
      <c r="P395" s="4" t="s">
        <v>2667</v>
      </c>
    </row>
    <row r="396">
      <c r="A396" s="4" t="s">
        <v>829</v>
      </c>
      <c r="B396" s="4">
        <v>287.0</v>
      </c>
      <c r="F396" s="4" t="s">
        <v>830</v>
      </c>
      <c r="G396" s="4" t="s">
        <v>165</v>
      </c>
      <c r="H396" s="4" t="s">
        <v>43</v>
      </c>
      <c r="I396" s="4" t="s">
        <v>43</v>
      </c>
      <c r="J396" s="4" t="s">
        <v>43</v>
      </c>
      <c r="K396" s="5" t="str">
        <f>HYPERLINK("https://www.instagram.com/p/Buq8S1oH4r0/","Open Post")</f>
        <v>Open Post</v>
      </c>
      <c r="L396" s="4" t="s">
        <v>2670</v>
      </c>
      <c r="M396" s="4" t="s">
        <v>2671</v>
      </c>
      <c r="N396" s="4" t="s">
        <v>2672</v>
      </c>
      <c r="O396" s="4" t="s">
        <v>51</v>
      </c>
      <c r="P396" s="4" t="s">
        <v>2673</v>
      </c>
    </row>
    <row r="397">
      <c r="A397" s="4" t="s">
        <v>829</v>
      </c>
      <c r="B397" s="4">
        <v>288.0</v>
      </c>
      <c r="F397" s="4" t="s">
        <v>869</v>
      </c>
      <c r="G397" s="4" t="s">
        <v>2623</v>
      </c>
      <c r="H397" s="4" t="s">
        <v>43</v>
      </c>
      <c r="I397" s="4" t="s">
        <v>43</v>
      </c>
      <c r="J397" s="4" t="s">
        <v>43</v>
      </c>
      <c r="K397" s="5" t="str">
        <f>HYPERLINK("https://www.instagram.com/p/BuordbKgCgS/","Open Post")</f>
        <v>Open Post</v>
      </c>
      <c r="L397" s="4" t="s">
        <v>2677</v>
      </c>
      <c r="M397" s="4" t="s">
        <v>2679</v>
      </c>
      <c r="N397" s="4" t="s">
        <v>2680</v>
      </c>
      <c r="O397" s="4" t="s">
        <v>51</v>
      </c>
      <c r="P397" s="4" t="s">
        <v>2681</v>
      </c>
    </row>
    <row r="398">
      <c r="A398" s="4" t="s">
        <v>829</v>
      </c>
      <c r="B398" s="4">
        <v>289.0</v>
      </c>
      <c r="F398" s="4" t="s">
        <v>869</v>
      </c>
      <c r="G398" s="4" t="s">
        <v>957</v>
      </c>
      <c r="H398" s="4" t="s">
        <v>43</v>
      </c>
      <c r="I398" s="4" t="s">
        <v>43</v>
      </c>
      <c r="J398" s="4" t="s">
        <v>43</v>
      </c>
      <c r="K398" s="5" t="str">
        <f>HYPERLINK("https://www.instagram.com/p/Bun4aA8DYTa/","Open Post")</f>
        <v>Open Post</v>
      </c>
      <c r="L398" s="4" t="s">
        <v>2684</v>
      </c>
      <c r="M398" s="4" t="s">
        <v>2686</v>
      </c>
      <c r="N398" s="4" t="s">
        <v>2687</v>
      </c>
      <c r="O398" s="4" t="s">
        <v>51</v>
      </c>
      <c r="P398" s="4" t="s">
        <v>2688</v>
      </c>
    </row>
    <row r="399">
      <c r="A399" s="4" t="s">
        <v>829</v>
      </c>
      <c r="B399" s="4">
        <v>290.0</v>
      </c>
      <c r="F399" s="4" t="s">
        <v>830</v>
      </c>
      <c r="G399" s="4" t="s">
        <v>2689</v>
      </c>
      <c r="H399" s="4" t="s">
        <v>43</v>
      </c>
      <c r="I399" s="4" t="s">
        <v>43</v>
      </c>
      <c r="J399" s="4" t="s">
        <v>43</v>
      </c>
      <c r="K399" s="5" t="str">
        <f>HYPERLINK("https://www.instagram.com/p/Bpbb8fZBZYr/","Open Post")</f>
        <v>Open Post</v>
      </c>
      <c r="L399" s="4" t="s">
        <v>2690</v>
      </c>
      <c r="M399" s="4" t="s">
        <v>2691</v>
      </c>
      <c r="N399" s="4" t="s">
        <v>2692</v>
      </c>
      <c r="O399" s="4" t="s">
        <v>51</v>
      </c>
      <c r="P399" s="4" t="s">
        <v>2693</v>
      </c>
    </row>
    <row r="400">
      <c r="A400" s="4" t="s">
        <v>829</v>
      </c>
      <c r="B400" s="4">
        <v>291.0</v>
      </c>
      <c r="F400" s="4" t="s">
        <v>830</v>
      </c>
      <c r="G400" s="4" t="s">
        <v>871</v>
      </c>
      <c r="H400" s="4" t="s">
        <v>43</v>
      </c>
      <c r="I400" s="4" t="s">
        <v>43</v>
      </c>
      <c r="J400" s="4" t="s">
        <v>43</v>
      </c>
      <c r="K400" s="5" t="str">
        <f>HYPERLINK("https://www.instagram.com/p/BuY8I_qFpZ8/","Open Post")</f>
        <v>Open Post</v>
      </c>
      <c r="L400" s="4" t="s">
        <v>2696</v>
      </c>
      <c r="M400" s="4" t="s">
        <v>2697</v>
      </c>
      <c r="N400" s="4" t="s">
        <v>2698</v>
      </c>
      <c r="O400" s="4" t="s">
        <v>51</v>
      </c>
      <c r="P400" s="4" t="s">
        <v>2699</v>
      </c>
    </row>
    <row r="401">
      <c r="A401" s="4" t="s">
        <v>829</v>
      </c>
      <c r="B401" s="4">
        <v>292.0</v>
      </c>
      <c r="F401" s="4" t="s">
        <v>830</v>
      </c>
      <c r="G401" s="4" t="s">
        <v>852</v>
      </c>
      <c r="H401" s="4" t="s">
        <v>43</v>
      </c>
      <c r="I401" s="4" t="s">
        <v>43</v>
      </c>
      <c r="J401" s="4" t="s">
        <v>43</v>
      </c>
      <c r="K401" s="5" t="str">
        <f>HYPERLINK("https://www.instagram.com/p/BuY23eWHA1f/","Open Post")</f>
        <v>Open Post</v>
      </c>
      <c r="L401" s="4" t="s">
        <v>2701</v>
      </c>
      <c r="M401" s="4" t="s">
        <v>2702</v>
      </c>
      <c r="N401" s="4" t="s">
        <v>2703</v>
      </c>
      <c r="O401" s="4" t="s">
        <v>51</v>
      </c>
      <c r="P401" s="4" t="s">
        <v>2704</v>
      </c>
    </row>
    <row r="402">
      <c r="A402" s="4" t="s">
        <v>829</v>
      </c>
      <c r="B402" s="4">
        <v>293.0</v>
      </c>
      <c r="F402" s="4" t="s">
        <v>830</v>
      </c>
      <c r="G402" s="4" t="s">
        <v>661</v>
      </c>
      <c r="H402" s="4" t="s">
        <v>43</v>
      </c>
      <c r="I402" s="4" t="s">
        <v>43</v>
      </c>
      <c r="J402" s="4" t="s">
        <v>43</v>
      </c>
      <c r="K402" s="5" t="str">
        <f>HYPERLINK("https://www.instagram.com/p/BuUDh-VFVO9/","Open Post")</f>
        <v>Open Post</v>
      </c>
      <c r="L402" s="4" t="s">
        <v>2706</v>
      </c>
      <c r="M402" s="4" t="s">
        <v>2707</v>
      </c>
      <c r="N402" s="4" t="s">
        <v>2708</v>
      </c>
      <c r="O402" s="4" t="s">
        <v>51</v>
      </c>
      <c r="P402" s="4" t="s">
        <v>2709</v>
      </c>
    </row>
    <row r="403">
      <c r="A403" s="4" t="s">
        <v>829</v>
      </c>
      <c r="B403" s="4">
        <v>294.0</v>
      </c>
      <c r="F403" s="4" t="s">
        <v>830</v>
      </c>
      <c r="G403" s="4" t="s">
        <v>871</v>
      </c>
      <c r="H403" s="4" t="s">
        <v>43</v>
      </c>
      <c r="I403" s="4" t="s">
        <v>43</v>
      </c>
      <c r="J403" s="4" t="s">
        <v>43</v>
      </c>
      <c r="K403" s="5" t="str">
        <f>HYPERLINK("https://www.instagram.com/p/BuG1JNBghSE/","Open Post")</f>
        <v>Open Post</v>
      </c>
      <c r="L403" s="4" t="s">
        <v>2712</v>
      </c>
      <c r="M403" s="4" t="s">
        <v>2713</v>
      </c>
      <c r="N403" s="4" t="s">
        <v>2714</v>
      </c>
      <c r="O403" s="4" t="s">
        <v>51</v>
      </c>
      <c r="P403" s="4" t="s">
        <v>2715</v>
      </c>
    </row>
    <row r="404">
      <c r="A404" s="4" t="s">
        <v>829</v>
      </c>
      <c r="B404" s="4">
        <v>295.0</v>
      </c>
      <c r="F404" s="4" t="s">
        <v>830</v>
      </c>
      <c r="G404" s="4" t="s">
        <v>2717</v>
      </c>
      <c r="H404" s="4" t="s">
        <v>43</v>
      </c>
      <c r="I404" s="4" t="s">
        <v>43</v>
      </c>
      <c r="J404" s="4" t="s">
        <v>43</v>
      </c>
      <c r="K404" s="5" t="str">
        <f>HYPERLINK("https://www.instagram.com/p/Bt8FClEn2tq/","Open Post")</f>
        <v>Open Post</v>
      </c>
      <c r="L404" s="4" t="s">
        <v>2718</v>
      </c>
      <c r="M404" s="4" t="s">
        <v>2719</v>
      </c>
      <c r="N404" s="4" t="s">
        <v>2720</v>
      </c>
      <c r="O404" s="4" t="s">
        <v>51</v>
      </c>
      <c r="P404" s="4" t="s">
        <v>2721</v>
      </c>
    </row>
    <row r="405">
      <c r="A405" s="4" t="s">
        <v>829</v>
      </c>
      <c r="B405" s="4">
        <v>296.0</v>
      </c>
      <c r="F405" s="4" t="s">
        <v>830</v>
      </c>
      <c r="G405" s="4" t="s">
        <v>166</v>
      </c>
      <c r="H405" s="4" t="s">
        <v>43</v>
      </c>
      <c r="I405" s="4" t="s">
        <v>43</v>
      </c>
      <c r="J405" s="4" t="s">
        <v>43</v>
      </c>
      <c r="K405" s="5" t="str">
        <f>HYPERLINK("https://www.instagram.com/p/Bt3MrV_l6VW/","Open Post")</f>
        <v>Open Post</v>
      </c>
      <c r="L405" s="4" t="s">
        <v>2723</v>
      </c>
      <c r="M405" s="4" t="s">
        <v>2724</v>
      </c>
      <c r="N405" s="4" t="s">
        <v>2725</v>
      </c>
      <c r="O405" s="4" t="s">
        <v>51</v>
      </c>
      <c r="P405" s="4" t="s">
        <v>2726</v>
      </c>
    </row>
    <row r="406">
      <c r="A406" s="4" t="s">
        <v>829</v>
      </c>
      <c r="B406" s="4">
        <v>297.0</v>
      </c>
      <c r="F406" s="4" t="s">
        <v>830</v>
      </c>
      <c r="G406" s="4" t="s">
        <v>2728</v>
      </c>
      <c r="H406" s="4" t="s">
        <v>43</v>
      </c>
      <c r="I406" s="4" t="s">
        <v>43</v>
      </c>
      <c r="J406" s="4" t="s">
        <v>43</v>
      </c>
      <c r="K406" s="5" t="str">
        <f>HYPERLINK("https://www.instagram.com/p/Bt1iqzAA305/","Open Post")</f>
        <v>Open Post</v>
      </c>
      <c r="L406" s="4" t="s">
        <v>2729</v>
      </c>
      <c r="M406" s="4" t="s">
        <v>2730</v>
      </c>
      <c r="N406" s="4" t="s">
        <v>2731</v>
      </c>
      <c r="O406" s="4" t="s">
        <v>51</v>
      </c>
      <c r="P406" s="4" t="s">
        <v>2732</v>
      </c>
    </row>
    <row r="407">
      <c r="A407" s="4" t="s">
        <v>829</v>
      </c>
      <c r="B407" s="4">
        <v>298.0</v>
      </c>
      <c r="F407" s="4" t="s">
        <v>830</v>
      </c>
      <c r="G407" s="4" t="s">
        <v>852</v>
      </c>
      <c r="H407" s="4" t="s">
        <v>43</v>
      </c>
      <c r="I407" s="4" t="s">
        <v>43</v>
      </c>
      <c r="J407" s="4" t="s">
        <v>43</v>
      </c>
      <c r="K407" s="5" t="str">
        <f>HYPERLINK("https://www.instagram.com/p/Bt1gLwaAjqS/","Open Post")</f>
        <v>Open Post</v>
      </c>
      <c r="L407" s="4" t="s">
        <v>2734</v>
      </c>
      <c r="M407" s="4" t="s">
        <v>2735</v>
      </c>
      <c r="N407" s="4" t="s">
        <v>2736</v>
      </c>
      <c r="O407" s="4" t="s">
        <v>51</v>
      </c>
      <c r="P407" s="4" t="s">
        <v>2737</v>
      </c>
    </row>
    <row r="408">
      <c r="A408" s="4" t="s">
        <v>829</v>
      </c>
      <c r="B408" s="4">
        <v>299.0</v>
      </c>
      <c r="F408" s="4" t="s">
        <v>830</v>
      </c>
      <c r="G408" s="4" t="s">
        <v>661</v>
      </c>
      <c r="H408" s="4" t="s">
        <v>43</v>
      </c>
      <c r="I408" s="4" t="s">
        <v>43</v>
      </c>
      <c r="J408" s="4" t="s">
        <v>43</v>
      </c>
      <c r="K408" s="5" t="str">
        <f>HYPERLINK("https://www.instagram.com/p/Btte6GoHUOG/","Open Post")</f>
        <v>Open Post</v>
      </c>
      <c r="L408" s="4" t="s">
        <v>2739</v>
      </c>
      <c r="M408" s="4" t="s">
        <v>2740</v>
      </c>
      <c r="N408" s="4" t="s">
        <v>2742</v>
      </c>
      <c r="O408" s="4" t="s">
        <v>51</v>
      </c>
      <c r="P408" s="4" t="s">
        <v>2743</v>
      </c>
    </row>
    <row r="409">
      <c r="A409" s="4" t="s">
        <v>829</v>
      </c>
      <c r="B409" s="4">
        <v>300.0</v>
      </c>
      <c r="F409" s="4" t="s">
        <v>830</v>
      </c>
      <c r="G409" s="4" t="s">
        <v>431</v>
      </c>
      <c r="H409" s="4" t="s">
        <v>43</v>
      </c>
      <c r="I409" s="4" t="s">
        <v>43</v>
      </c>
      <c r="J409" s="4" t="s">
        <v>43</v>
      </c>
      <c r="K409" s="5" t="str">
        <f>HYPERLINK("https://www.instagram.com/p/BqfjwvAB3Jm/","Open Post")</f>
        <v>Open Post</v>
      </c>
      <c r="L409" s="4" t="s">
        <v>2745</v>
      </c>
      <c r="M409" s="4" t="s">
        <v>2746</v>
      </c>
      <c r="N409" s="4" t="s">
        <v>2747</v>
      </c>
      <c r="O409" s="4" t="s">
        <v>51</v>
      </c>
      <c r="P409" s="4" t="s">
        <v>2748</v>
      </c>
    </row>
    <row r="410">
      <c r="A410" s="4" t="s">
        <v>829</v>
      </c>
      <c r="B410" s="4">
        <v>301.0</v>
      </c>
      <c r="F410" s="4" t="s">
        <v>869</v>
      </c>
      <c r="G410" s="4" t="s">
        <v>951</v>
      </c>
      <c r="H410" s="4" t="s">
        <v>43</v>
      </c>
      <c r="I410" s="4" t="s">
        <v>43</v>
      </c>
      <c r="J410" s="4" t="s">
        <v>43</v>
      </c>
      <c r="K410" s="5" t="str">
        <f>HYPERLINK("https://www.instagram.com/p/Bp5IeZ5hOme/","Open Post")</f>
        <v>Open Post</v>
      </c>
      <c r="L410" s="4" t="s">
        <v>2751</v>
      </c>
      <c r="M410" s="4" t="s">
        <v>2752</v>
      </c>
      <c r="N410" s="4" t="s">
        <v>2753</v>
      </c>
      <c r="O410" s="4" t="s">
        <v>51</v>
      </c>
      <c r="P410" s="4" t="s">
        <v>2754</v>
      </c>
    </row>
    <row r="411">
      <c r="A411" s="4" t="s">
        <v>829</v>
      </c>
      <c r="B411" s="4">
        <v>302.0</v>
      </c>
      <c r="F411" s="4" t="s">
        <v>57</v>
      </c>
      <c r="G411" s="4" t="s">
        <v>993</v>
      </c>
      <c r="H411" s="4" t="s">
        <v>43</v>
      </c>
      <c r="I411" s="4" t="s">
        <v>43</v>
      </c>
      <c r="J411" s="4" t="s">
        <v>43</v>
      </c>
      <c r="K411" s="5" t="str">
        <f>HYPERLINK("https://www.instagram.com/reel/BtmnR27FKF4/","Open Reel")</f>
        <v>Open Reel</v>
      </c>
      <c r="L411" s="4" t="s">
        <v>2756</v>
      </c>
      <c r="M411" s="4" t="s">
        <v>2758</v>
      </c>
      <c r="N411" s="4" t="s">
        <v>2759</v>
      </c>
      <c r="O411" s="4" t="s">
        <v>51</v>
      </c>
      <c r="P411" s="4" t="s">
        <v>2760</v>
      </c>
    </row>
    <row r="412">
      <c r="A412" s="4" t="s">
        <v>829</v>
      </c>
      <c r="B412" s="4">
        <v>303.0</v>
      </c>
      <c r="F412" s="4" t="s">
        <v>869</v>
      </c>
      <c r="G412" s="4" t="s">
        <v>1856</v>
      </c>
      <c r="H412" s="4" t="s">
        <v>43</v>
      </c>
      <c r="I412" s="4" t="s">
        <v>43</v>
      </c>
      <c r="J412" s="4" t="s">
        <v>43</v>
      </c>
      <c r="K412" s="5" t="str">
        <f>HYPERLINK("https://www.instagram.com/p/BtiFH9Pntid/","Open Post")</f>
        <v>Open Post</v>
      </c>
      <c r="L412" s="4" t="s">
        <v>2761</v>
      </c>
      <c r="M412" s="4" t="s">
        <v>2762</v>
      </c>
      <c r="N412" s="4" t="s">
        <v>2763</v>
      </c>
      <c r="O412" s="4" t="s">
        <v>51</v>
      </c>
      <c r="P412" s="4" t="s">
        <v>2764</v>
      </c>
    </row>
    <row r="413">
      <c r="A413" s="4" t="s">
        <v>829</v>
      </c>
      <c r="B413" s="4">
        <v>304.0</v>
      </c>
      <c r="F413" s="4" t="s">
        <v>830</v>
      </c>
      <c r="G413" s="4" t="s">
        <v>2765</v>
      </c>
      <c r="H413" s="4" t="s">
        <v>43</v>
      </c>
      <c r="I413" s="4" t="s">
        <v>43</v>
      </c>
      <c r="J413" s="4" t="s">
        <v>43</v>
      </c>
      <c r="K413" s="5" t="str">
        <f>HYPERLINK("https://www.instagram.com/p/BthmYTnAf7M/","Open Post")</f>
        <v>Open Post</v>
      </c>
      <c r="L413" s="4" t="s">
        <v>2770</v>
      </c>
      <c r="M413" s="4" t="s">
        <v>2771</v>
      </c>
      <c r="N413" s="4" t="s">
        <v>2772</v>
      </c>
      <c r="O413" s="4" t="s">
        <v>51</v>
      </c>
      <c r="P413" s="4" t="s">
        <v>2773</v>
      </c>
    </row>
    <row r="414">
      <c r="A414" s="4" t="s">
        <v>829</v>
      </c>
      <c r="B414" s="4">
        <v>305.0</v>
      </c>
      <c r="F414" s="4" t="s">
        <v>830</v>
      </c>
      <c r="G414" s="4" t="s">
        <v>661</v>
      </c>
      <c r="H414" s="4" t="s">
        <v>43</v>
      </c>
      <c r="I414" s="4" t="s">
        <v>43</v>
      </c>
      <c r="J414" s="4" t="s">
        <v>43</v>
      </c>
      <c r="K414" s="5" t="str">
        <f>HYPERLINK("https://www.instagram.com/p/Btf3d5UjJsW/","Open Post")</f>
        <v>Open Post</v>
      </c>
      <c r="L414" s="4" t="s">
        <v>2776</v>
      </c>
      <c r="M414" s="4" t="s">
        <v>49</v>
      </c>
      <c r="N414" s="4" t="s">
        <v>2777</v>
      </c>
      <c r="O414" s="4" t="s">
        <v>51</v>
      </c>
      <c r="P414" s="4" t="s">
        <v>2778</v>
      </c>
    </row>
    <row r="415">
      <c r="A415" s="4" t="s">
        <v>829</v>
      </c>
      <c r="B415" s="4">
        <v>306.0</v>
      </c>
      <c r="F415" s="4" t="s">
        <v>830</v>
      </c>
      <c r="G415" s="4" t="s">
        <v>326</v>
      </c>
      <c r="H415" s="4" t="s">
        <v>43</v>
      </c>
      <c r="I415" s="4" t="s">
        <v>43</v>
      </c>
      <c r="J415" s="4" t="s">
        <v>43</v>
      </c>
      <c r="K415" s="5" t="str">
        <f>HYPERLINK("https://www.instagram.com/p/BtbrD3rAsKi/","Open Post")</f>
        <v>Open Post</v>
      </c>
      <c r="L415" s="4" t="s">
        <v>2781</v>
      </c>
      <c r="M415" s="4" t="s">
        <v>2782</v>
      </c>
      <c r="N415" s="4" t="s">
        <v>2783</v>
      </c>
      <c r="O415" s="4" t="s">
        <v>51</v>
      </c>
      <c r="P415" s="4" t="s">
        <v>2785</v>
      </c>
    </row>
    <row r="416">
      <c r="A416" s="4" t="s">
        <v>829</v>
      </c>
      <c r="B416" s="4">
        <v>307.0</v>
      </c>
      <c r="F416" s="4" t="s">
        <v>869</v>
      </c>
      <c r="G416" s="4" t="s">
        <v>661</v>
      </c>
      <c r="H416" s="4" t="s">
        <v>43</v>
      </c>
      <c r="I416" s="4" t="s">
        <v>43</v>
      </c>
      <c r="J416" s="4" t="s">
        <v>43</v>
      </c>
      <c r="K416" s="5" t="str">
        <f>HYPERLINK("https://www.instagram.com/p/Bta-F2zlCN-/","Open Post")</f>
        <v>Open Post</v>
      </c>
      <c r="L416" s="4" t="s">
        <v>2786</v>
      </c>
      <c r="M416" s="4" t="s">
        <v>2787</v>
      </c>
      <c r="N416" s="4" t="s">
        <v>2788</v>
      </c>
      <c r="O416" s="4" t="s">
        <v>51</v>
      </c>
      <c r="P416" s="4" t="s">
        <v>2789</v>
      </c>
    </row>
    <row r="417">
      <c r="A417" s="4" t="s">
        <v>829</v>
      </c>
      <c r="B417" s="4">
        <v>308.0</v>
      </c>
      <c r="F417" s="4" t="s">
        <v>830</v>
      </c>
      <c r="G417" s="4" t="s">
        <v>957</v>
      </c>
      <c r="H417" s="4" t="s">
        <v>43</v>
      </c>
      <c r="I417" s="4" t="s">
        <v>43</v>
      </c>
      <c r="J417" s="4" t="s">
        <v>43</v>
      </c>
      <c r="K417" s="5" t="str">
        <f>HYPERLINK("https://www.instagram.com/p/BtahjhNndeH/","Open Post")</f>
        <v>Open Post</v>
      </c>
      <c r="L417" s="4" t="s">
        <v>2791</v>
      </c>
      <c r="M417" s="4" t="s">
        <v>2792</v>
      </c>
      <c r="N417" s="4" t="s">
        <v>2793</v>
      </c>
      <c r="O417" s="4" t="s">
        <v>51</v>
      </c>
      <c r="P417" s="4" t="s">
        <v>2794</v>
      </c>
    </row>
    <row r="418">
      <c r="A418" s="4" t="s">
        <v>829</v>
      </c>
      <c r="B418" s="4">
        <v>309.0</v>
      </c>
      <c r="F418" s="4" t="s">
        <v>830</v>
      </c>
      <c r="G418" s="4" t="s">
        <v>957</v>
      </c>
      <c r="H418" s="4" t="s">
        <v>43</v>
      </c>
      <c r="I418" s="4" t="s">
        <v>43</v>
      </c>
      <c r="J418" s="4" t="s">
        <v>43</v>
      </c>
      <c r="K418" s="5" t="str">
        <f>HYPERLINK("https://www.instagram.com/p/BtSub2-AMex/","Open Post")</f>
        <v>Open Post</v>
      </c>
      <c r="L418" s="4" t="s">
        <v>2795</v>
      </c>
      <c r="M418" s="4" t="s">
        <v>2796</v>
      </c>
      <c r="N418" s="4" t="s">
        <v>2798</v>
      </c>
      <c r="O418" s="4" t="s">
        <v>51</v>
      </c>
      <c r="P418" s="4" t="s">
        <v>2799</v>
      </c>
    </row>
    <row r="419">
      <c r="A419" s="4" t="s">
        <v>829</v>
      </c>
      <c r="B419" s="4">
        <v>310.0</v>
      </c>
      <c r="F419" s="4" t="s">
        <v>830</v>
      </c>
      <c r="G419" s="4" t="s">
        <v>661</v>
      </c>
      <c r="H419" s="4" t="s">
        <v>43</v>
      </c>
      <c r="I419" s="4" t="s">
        <v>43</v>
      </c>
      <c r="J419" s="4" t="s">
        <v>43</v>
      </c>
      <c r="K419" s="5" t="str">
        <f>HYPERLINK("https://www.instagram.com/p/BtQQRZgncFZ/","Open Post")</f>
        <v>Open Post</v>
      </c>
      <c r="L419" s="4" t="s">
        <v>2800</v>
      </c>
      <c r="M419" s="4" t="s">
        <v>2801</v>
      </c>
      <c r="N419" s="4" t="s">
        <v>2802</v>
      </c>
      <c r="O419" s="4" t="s">
        <v>51</v>
      </c>
      <c r="P419" s="4" t="s">
        <v>2803</v>
      </c>
    </row>
    <row r="420">
      <c r="A420" s="4" t="s">
        <v>829</v>
      </c>
      <c r="B420" s="4">
        <v>311.0</v>
      </c>
      <c r="F420" s="4" t="s">
        <v>57</v>
      </c>
      <c r="G420" s="4" t="s">
        <v>371</v>
      </c>
      <c r="H420" s="4" t="s">
        <v>43</v>
      </c>
      <c r="I420" s="4" t="s">
        <v>43</v>
      </c>
      <c r="J420" s="4" t="s">
        <v>43</v>
      </c>
      <c r="K420" s="5" t="str">
        <f>HYPERLINK("https://www.instagram.com/reel/BtMdEyjlToB/","Open Reel")</f>
        <v>Open Reel</v>
      </c>
      <c r="L420" s="4" t="s">
        <v>2806</v>
      </c>
      <c r="M420" s="4" t="s">
        <v>2807</v>
      </c>
      <c r="N420" s="4" t="s">
        <v>2808</v>
      </c>
      <c r="O420" s="4" t="s">
        <v>51</v>
      </c>
      <c r="P420" s="4" t="s">
        <v>2809</v>
      </c>
    </row>
    <row r="421">
      <c r="A421" s="4" t="s">
        <v>829</v>
      </c>
      <c r="B421" s="4">
        <v>312.0</v>
      </c>
      <c r="F421" s="4" t="s">
        <v>830</v>
      </c>
      <c r="G421" s="4" t="s">
        <v>384</v>
      </c>
      <c r="H421" s="4" t="s">
        <v>43</v>
      </c>
      <c r="I421" s="4" t="s">
        <v>43</v>
      </c>
      <c r="J421" s="4" t="s">
        <v>43</v>
      </c>
      <c r="K421" s="5" t="str">
        <f>HYPERLINK("https://www.instagram.com/p/BtFSQT3h_ap/","Open Post")</f>
        <v>Open Post</v>
      </c>
      <c r="L421" s="4" t="s">
        <v>2811</v>
      </c>
      <c r="M421" s="4" t="s">
        <v>2812</v>
      </c>
      <c r="N421" s="4" t="s">
        <v>2813</v>
      </c>
      <c r="O421" s="4" t="s">
        <v>51</v>
      </c>
      <c r="P421" s="4" t="s">
        <v>2814</v>
      </c>
    </row>
    <row r="422">
      <c r="A422" s="4" t="s">
        <v>829</v>
      </c>
      <c r="B422" s="4">
        <v>313.0</v>
      </c>
      <c r="F422" s="4" t="s">
        <v>830</v>
      </c>
      <c r="G422" s="4" t="s">
        <v>871</v>
      </c>
      <c r="H422" s="4" t="s">
        <v>43</v>
      </c>
      <c r="I422" s="4" t="s">
        <v>43</v>
      </c>
      <c r="J422" s="4" t="s">
        <v>43</v>
      </c>
      <c r="K422" s="5" t="str">
        <f>HYPERLINK("https://www.instagram.com/p/Bs8qv0lFsyq/","Open Post")</f>
        <v>Open Post</v>
      </c>
      <c r="L422" s="4" t="s">
        <v>2815</v>
      </c>
      <c r="M422" s="4" t="s">
        <v>2816</v>
      </c>
      <c r="N422" s="4" t="s">
        <v>2817</v>
      </c>
      <c r="O422" s="4" t="s">
        <v>51</v>
      </c>
      <c r="P422" s="4" t="s">
        <v>2818</v>
      </c>
    </row>
    <row r="423">
      <c r="A423" s="4" t="s">
        <v>829</v>
      </c>
      <c r="B423" s="4">
        <v>314.0</v>
      </c>
      <c r="F423" s="4" t="s">
        <v>830</v>
      </c>
      <c r="G423" s="4" t="s">
        <v>166</v>
      </c>
      <c r="H423" s="4" t="s">
        <v>43</v>
      </c>
      <c r="I423" s="4" t="s">
        <v>43</v>
      </c>
      <c r="J423" s="4" t="s">
        <v>43</v>
      </c>
      <c r="K423" s="5" t="str">
        <f>HYPERLINK("https://www.instagram.com/p/Bs8frvSnzJb/","Open Post")</f>
        <v>Open Post</v>
      </c>
      <c r="L423" s="4" t="s">
        <v>2820</v>
      </c>
      <c r="M423" s="4" t="s">
        <v>2821</v>
      </c>
      <c r="N423" s="4" t="s">
        <v>2822</v>
      </c>
      <c r="O423" s="4" t="s">
        <v>51</v>
      </c>
      <c r="P423" s="4" t="s">
        <v>2823</v>
      </c>
    </row>
    <row r="424">
      <c r="A424" s="4" t="s">
        <v>829</v>
      </c>
      <c r="B424" s="4">
        <v>315.0</v>
      </c>
      <c r="F424" s="4" t="s">
        <v>830</v>
      </c>
      <c r="G424" s="4" t="s">
        <v>431</v>
      </c>
      <c r="H424" s="4" t="s">
        <v>43</v>
      </c>
      <c r="I424" s="4" t="s">
        <v>43</v>
      </c>
      <c r="J424" s="4" t="s">
        <v>43</v>
      </c>
      <c r="K424" s="5" t="str">
        <f>HYPERLINK("https://www.instagram.com/p/Bs7YnBrl9Rt/","Open Post")</f>
        <v>Open Post</v>
      </c>
      <c r="L424" s="4" t="s">
        <v>2824</v>
      </c>
      <c r="M424" s="4" t="s">
        <v>2825</v>
      </c>
      <c r="N424" s="4" t="s">
        <v>2826</v>
      </c>
      <c r="O424" s="4" t="s">
        <v>51</v>
      </c>
      <c r="P424" s="4" t="s">
        <v>2827</v>
      </c>
    </row>
    <row r="425">
      <c r="A425" s="4" t="s">
        <v>829</v>
      </c>
      <c r="B425" s="4">
        <v>316.0</v>
      </c>
      <c r="F425" s="4" t="s">
        <v>830</v>
      </c>
      <c r="G425" s="4" t="s">
        <v>2830</v>
      </c>
      <c r="H425" s="4" t="s">
        <v>43</v>
      </c>
      <c r="I425" s="4" t="s">
        <v>43</v>
      </c>
      <c r="J425" s="4" t="s">
        <v>43</v>
      </c>
      <c r="K425" s="5" t="str">
        <f>HYPERLINK("https://www.instagram.com/p/BsvxxSZAzyX/","Open Post")</f>
        <v>Open Post</v>
      </c>
      <c r="L425" s="4" t="s">
        <v>2831</v>
      </c>
      <c r="M425" s="4" t="s">
        <v>2832</v>
      </c>
      <c r="N425" s="4" t="s">
        <v>2833</v>
      </c>
      <c r="O425" s="4" t="s">
        <v>51</v>
      </c>
      <c r="P425" s="4" t="s">
        <v>2834</v>
      </c>
    </row>
    <row r="426">
      <c r="A426" s="4" t="s">
        <v>829</v>
      </c>
      <c r="B426" s="4">
        <v>317.0</v>
      </c>
      <c r="F426" s="4" t="s">
        <v>830</v>
      </c>
      <c r="G426" s="4" t="s">
        <v>871</v>
      </c>
      <c r="H426" s="4" t="s">
        <v>43</v>
      </c>
      <c r="I426" s="4" t="s">
        <v>43</v>
      </c>
      <c r="J426" s="4" t="s">
        <v>43</v>
      </c>
      <c r="K426" s="5" t="str">
        <f>HYPERLINK("https://www.instagram.com/p/BsvpjQaFZRF/","Open Post")</f>
        <v>Open Post</v>
      </c>
      <c r="L426" s="4" t="s">
        <v>2836</v>
      </c>
      <c r="M426" s="4" t="s">
        <v>2837</v>
      </c>
      <c r="N426" s="4" t="s">
        <v>2838</v>
      </c>
      <c r="O426" s="4" t="s">
        <v>51</v>
      </c>
      <c r="P426" s="4" t="s">
        <v>2839</v>
      </c>
    </row>
    <row r="427">
      <c r="A427" s="4" t="s">
        <v>829</v>
      </c>
      <c r="B427" s="4">
        <v>318.0</v>
      </c>
      <c r="F427" s="4" t="s">
        <v>830</v>
      </c>
      <c r="G427" s="4" t="s">
        <v>431</v>
      </c>
      <c r="H427" s="4" t="s">
        <v>43</v>
      </c>
      <c r="I427" s="4" t="s">
        <v>43</v>
      </c>
      <c r="J427" s="4" t="s">
        <v>43</v>
      </c>
      <c r="K427" s="5" t="str">
        <f>HYPERLINK("https://www.instagram.com/p/BstiCrIluMg/","Open Post")</f>
        <v>Open Post</v>
      </c>
      <c r="L427" s="4" t="s">
        <v>2840</v>
      </c>
      <c r="M427" s="4" t="s">
        <v>2841</v>
      </c>
      <c r="N427" s="4" t="s">
        <v>2842</v>
      </c>
      <c r="O427" s="4" t="s">
        <v>51</v>
      </c>
      <c r="P427" s="4" t="s">
        <v>2843</v>
      </c>
    </row>
    <row r="428">
      <c r="A428" s="4" t="s">
        <v>829</v>
      </c>
      <c r="B428" s="4">
        <v>319.0</v>
      </c>
      <c r="F428" s="4" t="s">
        <v>830</v>
      </c>
      <c r="G428" s="4" t="s">
        <v>852</v>
      </c>
      <c r="H428" s="4" t="s">
        <v>43</v>
      </c>
      <c r="I428" s="4" t="s">
        <v>43</v>
      </c>
      <c r="J428" s="4" t="s">
        <v>43</v>
      </c>
      <c r="K428" s="5" t="str">
        <f>HYPERLINK("https://www.instagram.com/p/BsssX9BFfEJ/","Open Post")</f>
        <v>Open Post</v>
      </c>
      <c r="L428" s="4" t="s">
        <v>2845</v>
      </c>
      <c r="M428" s="4" t="s">
        <v>49</v>
      </c>
      <c r="N428" s="4" t="s">
        <v>2846</v>
      </c>
      <c r="O428" s="4" t="s">
        <v>51</v>
      </c>
      <c r="P428" s="4" t="s">
        <v>2847</v>
      </c>
    </row>
    <row r="429">
      <c r="A429" s="4" t="s">
        <v>829</v>
      </c>
      <c r="B429" s="4">
        <v>320.0</v>
      </c>
      <c r="F429" s="4" t="s">
        <v>57</v>
      </c>
      <c r="G429" s="4" t="s">
        <v>871</v>
      </c>
      <c r="H429" s="4" t="s">
        <v>43</v>
      </c>
      <c r="I429" s="4" t="s">
        <v>43</v>
      </c>
      <c r="J429" s="4" t="s">
        <v>43</v>
      </c>
      <c r="K429" s="5" t="str">
        <f>HYPERLINK("https://www.instagram.com/reel/BsoYvoIFXvT/","Open Reel")</f>
        <v>Open Reel</v>
      </c>
      <c r="L429" s="4" t="s">
        <v>2849</v>
      </c>
      <c r="M429" s="4" t="s">
        <v>2850</v>
      </c>
      <c r="N429" s="4" t="s">
        <v>2851</v>
      </c>
      <c r="O429" s="4" t="s">
        <v>51</v>
      </c>
      <c r="P429" s="4" t="s">
        <v>2852</v>
      </c>
    </row>
    <row r="430">
      <c r="A430" s="4" t="s">
        <v>829</v>
      </c>
      <c r="B430" s="4">
        <v>321.0</v>
      </c>
      <c r="F430" s="4" t="s">
        <v>830</v>
      </c>
      <c r="G430" s="4" t="s">
        <v>2853</v>
      </c>
      <c r="H430" s="4" t="s">
        <v>43</v>
      </c>
      <c r="I430" s="4" t="s">
        <v>43</v>
      </c>
      <c r="J430" s="4" t="s">
        <v>43</v>
      </c>
      <c r="K430" s="5" t="str">
        <f>HYPERLINK("https://www.instagram.com/p/Bsn0FWgF0zc/","Open Post")</f>
        <v>Open Post</v>
      </c>
      <c r="L430" s="4" t="s">
        <v>2856</v>
      </c>
      <c r="M430" s="4" t="s">
        <v>49</v>
      </c>
      <c r="N430" s="4" t="s">
        <v>2857</v>
      </c>
      <c r="O430" s="4" t="s">
        <v>51</v>
      </c>
      <c r="P430" s="4" t="s">
        <v>2858</v>
      </c>
    </row>
    <row r="431">
      <c r="A431" s="4" t="s">
        <v>829</v>
      </c>
      <c r="B431" s="4">
        <v>322.0</v>
      </c>
      <c r="F431" s="4" t="s">
        <v>830</v>
      </c>
      <c r="G431" s="4" t="s">
        <v>661</v>
      </c>
      <c r="H431" s="4" t="s">
        <v>43</v>
      </c>
      <c r="I431" s="4" t="s">
        <v>43</v>
      </c>
      <c r="J431" s="4" t="s">
        <v>43</v>
      </c>
      <c r="K431" s="5" t="str">
        <f>HYPERLINK("https://www.instagram.com/p/BsdVe2vlHiz/","Open Post")</f>
        <v>Open Post</v>
      </c>
      <c r="L431" s="4" t="s">
        <v>2859</v>
      </c>
      <c r="M431" s="4" t="s">
        <v>2861</v>
      </c>
      <c r="N431" s="4" t="s">
        <v>2862</v>
      </c>
      <c r="O431" s="4" t="s">
        <v>51</v>
      </c>
      <c r="P431" s="4" t="s">
        <v>2863</v>
      </c>
    </row>
    <row r="432">
      <c r="A432" s="4" t="s">
        <v>829</v>
      </c>
      <c r="B432" s="4">
        <v>323.0</v>
      </c>
      <c r="F432" s="4" t="s">
        <v>830</v>
      </c>
      <c r="G432" s="4" t="s">
        <v>838</v>
      </c>
      <c r="H432" s="4" t="s">
        <v>43</v>
      </c>
      <c r="I432" s="4" t="s">
        <v>43</v>
      </c>
      <c r="J432" s="4" t="s">
        <v>43</v>
      </c>
      <c r="K432" s="5" t="str">
        <f>HYPERLINK("https://www.instagram.com/p/BsdL-dSAyPv/","Open Post")</f>
        <v>Open Post</v>
      </c>
      <c r="L432" s="4" t="s">
        <v>2867</v>
      </c>
      <c r="M432" s="4" t="s">
        <v>49</v>
      </c>
      <c r="N432" s="4" t="s">
        <v>2868</v>
      </c>
      <c r="O432" s="4" t="s">
        <v>51</v>
      </c>
      <c r="P432" s="4" t="s">
        <v>2871</v>
      </c>
    </row>
    <row r="433">
      <c r="A433" s="4" t="s">
        <v>829</v>
      </c>
      <c r="B433" s="4">
        <v>324.0</v>
      </c>
      <c r="F433" s="4" t="s">
        <v>830</v>
      </c>
      <c r="G433" s="4" t="s">
        <v>306</v>
      </c>
      <c r="H433" s="4" t="s">
        <v>43</v>
      </c>
      <c r="I433" s="4" t="s">
        <v>43</v>
      </c>
      <c r="J433" s="4" t="s">
        <v>43</v>
      </c>
      <c r="K433" s="5" t="str">
        <f>HYPERLINK("https://www.instagram.com/p/BsZz6vVH26L/","Open Post")</f>
        <v>Open Post</v>
      </c>
      <c r="M433" s="4" t="s">
        <v>49</v>
      </c>
      <c r="N433" s="4" t="s">
        <v>2873</v>
      </c>
      <c r="O433" s="4" t="s">
        <v>51</v>
      </c>
      <c r="P433" s="4" t="s">
        <v>2874</v>
      </c>
    </row>
    <row r="434">
      <c r="A434" s="4" t="s">
        <v>829</v>
      </c>
      <c r="B434" s="4">
        <v>325.0</v>
      </c>
      <c r="F434" s="4" t="s">
        <v>830</v>
      </c>
      <c r="G434" s="4" t="s">
        <v>871</v>
      </c>
      <c r="H434" s="4" t="s">
        <v>43</v>
      </c>
      <c r="I434" s="4" t="s">
        <v>43</v>
      </c>
      <c r="J434" s="4" t="s">
        <v>43</v>
      </c>
      <c r="K434" s="5" t="str">
        <f>HYPERLINK("https://www.instagram.com/p/BsOodWoFBFD/","Open Post")</f>
        <v>Open Post</v>
      </c>
      <c r="L434" s="4" t="s">
        <v>2876</v>
      </c>
      <c r="M434" s="4" t="s">
        <v>2877</v>
      </c>
      <c r="N434" s="4" t="s">
        <v>2878</v>
      </c>
      <c r="O434" s="4" t="s">
        <v>51</v>
      </c>
      <c r="P434" s="4" t="s">
        <v>2879</v>
      </c>
    </row>
    <row r="435">
      <c r="A435" s="4" t="s">
        <v>829</v>
      </c>
      <c r="B435" s="4">
        <v>326.0</v>
      </c>
      <c r="F435" s="4" t="s">
        <v>830</v>
      </c>
      <c r="G435" s="4" t="s">
        <v>852</v>
      </c>
      <c r="H435" s="4" t="s">
        <v>43</v>
      </c>
      <c r="I435" s="4" t="s">
        <v>43</v>
      </c>
      <c r="J435" s="4" t="s">
        <v>43</v>
      </c>
      <c r="K435" s="5" t="str">
        <f>HYPERLINK("https://www.instagram.com/p/BsH_3R1nHas/","Open Post")</f>
        <v>Open Post</v>
      </c>
      <c r="L435" s="4" t="s">
        <v>2880</v>
      </c>
      <c r="M435" s="4" t="s">
        <v>2881</v>
      </c>
      <c r="N435" s="4" t="s">
        <v>2883</v>
      </c>
      <c r="O435" s="4" t="s">
        <v>51</v>
      </c>
      <c r="P435" s="4" t="s">
        <v>2884</v>
      </c>
    </row>
    <row r="436">
      <c r="A436" s="4" t="s">
        <v>829</v>
      </c>
      <c r="B436" s="4">
        <v>327.0</v>
      </c>
      <c r="F436" s="4" t="s">
        <v>830</v>
      </c>
      <c r="G436" s="4" t="s">
        <v>166</v>
      </c>
      <c r="H436" s="4" t="s">
        <v>43</v>
      </c>
      <c r="I436" s="4" t="s">
        <v>43</v>
      </c>
      <c r="J436" s="4" t="s">
        <v>43</v>
      </c>
      <c r="K436" s="5" t="str">
        <f>HYPERLINK("https://www.instagram.com/p/BsA_dwVAHAI/","Open Post")</f>
        <v>Open Post</v>
      </c>
      <c r="L436" s="4" t="s">
        <v>2886</v>
      </c>
      <c r="M436" s="4" t="s">
        <v>2887</v>
      </c>
      <c r="N436" s="4" t="s">
        <v>2888</v>
      </c>
      <c r="O436" s="4" t="s">
        <v>51</v>
      </c>
      <c r="P436" s="4" t="s">
        <v>2889</v>
      </c>
    </row>
    <row r="437">
      <c r="A437" s="4" t="s">
        <v>829</v>
      </c>
      <c r="B437" s="4">
        <v>328.0</v>
      </c>
      <c r="F437" s="4" t="s">
        <v>830</v>
      </c>
      <c r="G437" s="4" t="s">
        <v>431</v>
      </c>
      <c r="H437" s="4" t="s">
        <v>43</v>
      </c>
      <c r="I437" s="4" t="s">
        <v>43</v>
      </c>
      <c r="J437" s="4" t="s">
        <v>43</v>
      </c>
      <c r="K437" s="5" t="str">
        <f>HYPERLINK("https://www.instagram.com/p/Br7jxH2D_V1/","Open Post")</f>
        <v>Open Post</v>
      </c>
      <c r="L437" s="4" t="s">
        <v>2891</v>
      </c>
      <c r="M437" s="4" t="s">
        <v>2892</v>
      </c>
      <c r="N437" s="4" t="s">
        <v>2893</v>
      </c>
      <c r="O437" s="4" t="s">
        <v>51</v>
      </c>
      <c r="P437" s="4" t="s">
        <v>2894</v>
      </c>
    </row>
    <row r="438">
      <c r="A438" s="4" t="s">
        <v>829</v>
      </c>
      <c r="B438" s="4">
        <v>329.0</v>
      </c>
      <c r="F438" s="4" t="s">
        <v>830</v>
      </c>
      <c r="G438" s="4" t="s">
        <v>389</v>
      </c>
      <c r="H438" s="4" t="s">
        <v>43</v>
      </c>
      <c r="I438" s="4" t="s">
        <v>43</v>
      </c>
      <c r="J438" s="4" t="s">
        <v>43</v>
      </c>
      <c r="K438" s="5" t="str">
        <f>HYPERLINK("https://www.instagram.com/p/Br5qVKVlywF/","Open Post")</f>
        <v>Open Post</v>
      </c>
      <c r="L438" s="4" t="s">
        <v>2896</v>
      </c>
      <c r="M438" s="4" t="s">
        <v>2897</v>
      </c>
      <c r="N438" s="4" t="s">
        <v>2898</v>
      </c>
      <c r="O438" s="4" t="s">
        <v>51</v>
      </c>
      <c r="P438" s="4" t="s">
        <v>2899</v>
      </c>
    </row>
    <row r="439">
      <c r="A439" s="4" t="s">
        <v>829</v>
      </c>
      <c r="B439" s="4">
        <v>330.0</v>
      </c>
      <c r="F439" s="4" t="s">
        <v>830</v>
      </c>
      <c r="G439" s="4" t="s">
        <v>852</v>
      </c>
      <c r="H439" s="4" t="s">
        <v>43</v>
      </c>
      <c r="I439" s="4" t="s">
        <v>43</v>
      </c>
      <c r="J439" s="4" t="s">
        <v>43</v>
      </c>
      <c r="K439" s="5" t="str">
        <f>HYPERLINK("https://www.instagram.com/p/BrnJmqsFd5_/","Open Post")</f>
        <v>Open Post</v>
      </c>
      <c r="L439" s="4" t="s">
        <v>2902</v>
      </c>
      <c r="M439" s="4" t="s">
        <v>2903</v>
      </c>
      <c r="N439" s="4" t="s">
        <v>2904</v>
      </c>
      <c r="O439" s="4" t="s">
        <v>51</v>
      </c>
      <c r="P439" s="4" t="s">
        <v>2905</v>
      </c>
    </row>
    <row r="440">
      <c r="A440" s="4" t="s">
        <v>829</v>
      </c>
      <c r="B440" s="4">
        <v>331.0</v>
      </c>
      <c r="F440" s="4" t="s">
        <v>869</v>
      </c>
      <c r="G440" s="4" t="s">
        <v>871</v>
      </c>
      <c r="H440" s="4" t="s">
        <v>43</v>
      </c>
      <c r="I440" s="4" t="s">
        <v>43</v>
      </c>
      <c r="J440" s="4" t="s">
        <v>43</v>
      </c>
      <c r="K440" s="5" t="str">
        <f>HYPERLINK("https://www.instagram.com/p/Br0RtxLFAFy/","Open Post")</f>
        <v>Open Post</v>
      </c>
      <c r="L440" s="4" t="s">
        <v>2907</v>
      </c>
      <c r="M440" s="4" t="s">
        <v>2908</v>
      </c>
      <c r="N440" s="4" t="s">
        <v>2909</v>
      </c>
      <c r="O440" s="4" t="s">
        <v>51</v>
      </c>
      <c r="P440" s="4" t="s">
        <v>2910</v>
      </c>
    </row>
    <row r="441">
      <c r="A441" s="4" t="s">
        <v>829</v>
      </c>
      <c r="B441" s="4">
        <v>332.0</v>
      </c>
      <c r="F441" s="4" t="s">
        <v>830</v>
      </c>
      <c r="G441" s="4" t="s">
        <v>165</v>
      </c>
      <c r="H441" s="4" t="s">
        <v>43</v>
      </c>
      <c r="I441" s="4" t="s">
        <v>43</v>
      </c>
      <c r="J441" s="4" t="s">
        <v>43</v>
      </c>
      <c r="K441" s="5" t="str">
        <f>HYPERLINK("https://www.instagram.com/p/Brx75O-lJuW/","Open Post")</f>
        <v>Open Post</v>
      </c>
      <c r="L441" s="4" t="s">
        <v>2912</v>
      </c>
      <c r="M441" s="4" t="s">
        <v>2913</v>
      </c>
      <c r="N441" s="4" t="s">
        <v>2914</v>
      </c>
      <c r="O441" s="4" t="s">
        <v>51</v>
      </c>
      <c r="P441" s="4" t="s">
        <v>2915</v>
      </c>
    </row>
    <row r="442">
      <c r="A442" s="4" t="s">
        <v>829</v>
      </c>
      <c r="B442" s="4">
        <v>333.0</v>
      </c>
      <c r="F442" s="4" t="s">
        <v>830</v>
      </c>
      <c r="G442" s="4" t="s">
        <v>306</v>
      </c>
      <c r="H442" s="4" t="s">
        <v>43</v>
      </c>
      <c r="I442" s="4" t="s">
        <v>43</v>
      </c>
      <c r="J442" s="4" t="s">
        <v>43</v>
      </c>
      <c r="K442" s="5" t="str">
        <f>HYPERLINK("https://www.instagram.com/p/BrxuIECFA30/","Open Post")</f>
        <v>Open Post</v>
      </c>
      <c r="L442" s="4" t="s">
        <v>2917</v>
      </c>
      <c r="M442" s="4" t="s">
        <v>49</v>
      </c>
      <c r="N442" s="4" t="s">
        <v>2918</v>
      </c>
      <c r="O442" s="4" t="s">
        <v>51</v>
      </c>
      <c r="P442" s="4" t="s">
        <v>2919</v>
      </c>
    </row>
    <row r="443">
      <c r="A443" s="4" t="s">
        <v>829</v>
      </c>
      <c r="B443" s="4">
        <v>334.0</v>
      </c>
      <c r="F443" s="4" t="s">
        <v>830</v>
      </c>
      <c r="G443" s="4" t="s">
        <v>166</v>
      </c>
      <c r="H443" s="4" t="s">
        <v>43</v>
      </c>
      <c r="I443" s="4" t="s">
        <v>43</v>
      </c>
      <c r="J443" s="4" t="s">
        <v>43</v>
      </c>
      <c r="K443" s="5" t="str">
        <f>HYPERLINK("https://www.instagram.com/p/BFlv91bReqF/","Open Post")</f>
        <v>Open Post</v>
      </c>
      <c r="L443" s="4" t="s">
        <v>2922</v>
      </c>
      <c r="M443" s="4" t="s">
        <v>2923</v>
      </c>
      <c r="N443" s="4" t="s">
        <v>2924</v>
      </c>
      <c r="O443" s="4" t="s">
        <v>51</v>
      </c>
      <c r="P443" s="4" t="s">
        <v>2926</v>
      </c>
    </row>
    <row r="444">
      <c r="A444" s="4" t="s">
        <v>829</v>
      </c>
      <c r="B444" s="4">
        <v>335.0</v>
      </c>
      <c r="F444" s="4" t="s">
        <v>830</v>
      </c>
      <c r="G444" s="4" t="s">
        <v>389</v>
      </c>
      <c r="H444" s="4" t="s">
        <v>43</v>
      </c>
      <c r="I444" s="4" t="s">
        <v>43</v>
      </c>
      <c r="J444" s="4" t="s">
        <v>43</v>
      </c>
      <c r="K444" s="5" t="str">
        <f>HYPERLINK("https://www.instagram.com/p/BrszD8VFqe3/","Open Post")</f>
        <v>Open Post</v>
      </c>
      <c r="L444" s="4" t="s">
        <v>2927</v>
      </c>
      <c r="M444" s="4" t="s">
        <v>2928</v>
      </c>
      <c r="N444" s="4" t="s">
        <v>2929</v>
      </c>
      <c r="O444" s="4" t="s">
        <v>51</v>
      </c>
      <c r="P444" s="4" t="s">
        <v>2930</v>
      </c>
    </row>
    <row r="445">
      <c r="A445" s="4" t="s">
        <v>829</v>
      </c>
      <c r="B445" s="4">
        <v>336.0</v>
      </c>
      <c r="F445" s="4" t="s">
        <v>869</v>
      </c>
      <c r="G445" s="4" t="s">
        <v>431</v>
      </c>
      <c r="H445" s="4" t="s">
        <v>43</v>
      </c>
      <c r="I445" s="4" t="s">
        <v>43</v>
      </c>
      <c r="J445" s="4" t="s">
        <v>43</v>
      </c>
      <c r="K445" s="5" t="str">
        <f>HYPERLINK("https://www.instagram.com/p/BrpZem7BxIS/","Open Post")</f>
        <v>Open Post</v>
      </c>
      <c r="L445" s="4" t="s">
        <v>2933</v>
      </c>
      <c r="M445" s="4" t="s">
        <v>2934</v>
      </c>
      <c r="N445" s="4" t="s">
        <v>2935</v>
      </c>
      <c r="O445" s="4" t="s">
        <v>51</v>
      </c>
      <c r="P445" s="4" t="s">
        <v>2936</v>
      </c>
    </row>
    <row r="446">
      <c r="A446" s="4" t="s">
        <v>829</v>
      </c>
      <c r="B446" s="4">
        <v>337.0</v>
      </c>
      <c r="F446" s="4" t="s">
        <v>830</v>
      </c>
      <c r="G446" s="4" t="s">
        <v>166</v>
      </c>
      <c r="H446" s="4" t="s">
        <v>43</v>
      </c>
      <c r="I446" s="4" t="s">
        <v>43</v>
      </c>
      <c r="J446" s="4" t="s">
        <v>43</v>
      </c>
      <c r="K446" s="5" t="str">
        <f>HYPERLINK("https://www.instagram.com/p/BrkwXwclJv8/","Open Post")</f>
        <v>Open Post</v>
      </c>
      <c r="L446" s="4" t="s">
        <v>2937</v>
      </c>
      <c r="M446" s="4" t="s">
        <v>2938</v>
      </c>
      <c r="N446" s="4" t="s">
        <v>2939</v>
      </c>
      <c r="O446" s="4" t="s">
        <v>51</v>
      </c>
      <c r="P446" s="4" t="s">
        <v>2940</v>
      </c>
    </row>
    <row r="447">
      <c r="A447" s="4" t="s">
        <v>829</v>
      </c>
      <c r="B447" s="4">
        <v>338.0</v>
      </c>
      <c r="F447" s="4" t="s">
        <v>830</v>
      </c>
      <c r="G447" s="4" t="s">
        <v>957</v>
      </c>
      <c r="H447" s="4" t="s">
        <v>43</v>
      </c>
      <c r="I447" s="4" t="s">
        <v>43</v>
      </c>
      <c r="J447" s="4" t="s">
        <v>43</v>
      </c>
      <c r="K447" s="5" t="str">
        <f>HYPERLINK("https://www.instagram.com/p/BrYbjsgnjJn/","Open Post")</f>
        <v>Open Post</v>
      </c>
      <c r="L447" s="4" t="s">
        <v>2942</v>
      </c>
      <c r="M447" s="4" t="s">
        <v>2943</v>
      </c>
      <c r="N447" s="4" t="s">
        <v>2944</v>
      </c>
      <c r="O447" s="4" t="s">
        <v>51</v>
      </c>
      <c r="P447" s="4" t="s">
        <v>2946</v>
      </c>
    </row>
    <row r="448">
      <c r="A448" s="4" t="s">
        <v>829</v>
      </c>
      <c r="B448" s="4">
        <v>339.0</v>
      </c>
      <c r="F448" s="4" t="s">
        <v>830</v>
      </c>
      <c r="G448" s="4" t="s">
        <v>871</v>
      </c>
      <c r="H448" s="4" t="s">
        <v>43</v>
      </c>
      <c r="I448" s="4" t="s">
        <v>43</v>
      </c>
      <c r="J448" s="4" t="s">
        <v>43</v>
      </c>
      <c r="K448" s="5" t="str">
        <f>HYPERLINK("https://www.instagram.com/p/BrVnwhSFYSk/","Open Post")</f>
        <v>Open Post</v>
      </c>
      <c r="L448" s="4" t="s">
        <v>2948</v>
      </c>
      <c r="M448" s="4" t="s">
        <v>2949</v>
      </c>
      <c r="N448" s="4" t="s">
        <v>2950</v>
      </c>
      <c r="O448" s="4" t="s">
        <v>51</v>
      </c>
      <c r="P448" s="4" t="s">
        <v>2951</v>
      </c>
    </row>
    <row r="449">
      <c r="A449" s="4" t="s">
        <v>829</v>
      </c>
      <c r="B449" s="4">
        <v>340.0</v>
      </c>
      <c r="F449" s="4" t="s">
        <v>869</v>
      </c>
      <c r="G449" s="4" t="s">
        <v>326</v>
      </c>
      <c r="H449" s="4" t="s">
        <v>43</v>
      </c>
      <c r="I449" s="4" t="s">
        <v>43</v>
      </c>
      <c r="J449" s="4" t="s">
        <v>43</v>
      </c>
      <c r="K449" s="5" t="str">
        <f>HYPERLINK("https://www.instagram.com/p/BrTdpM3gAkR/","Open Post")</f>
        <v>Open Post</v>
      </c>
      <c r="L449" s="4" t="s">
        <v>2952</v>
      </c>
      <c r="M449" s="4" t="s">
        <v>2953</v>
      </c>
      <c r="N449" s="4" t="s">
        <v>2954</v>
      </c>
      <c r="O449" s="4" t="s">
        <v>51</v>
      </c>
      <c r="P449" s="4" t="s">
        <v>2955</v>
      </c>
    </row>
    <row r="450">
      <c r="A450" s="4" t="s">
        <v>829</v>
      </c>
      <c r="B450" s="4">
        <v>341.0</v>
      </c>
      <c r="F450" s="4" t="s">
        <v>830</v>
      </c>
      <c r="G450" s="4" t="s">
        <v>165</v>
      </c>
      <c r="H450" s="4" t="s">
        <v>43</v>
      </c>
      <c r="I450" s="4" t="s">
        <v>43</v>
      </c>
      <c r="J450" s="4" t="s">
        <v>43</v>
      </c>
      <c r="K450" s="5" t="str">
        <f>HYPERLINK("https://www.instagram.com/p/BrTIIvtBanO/","Open Post")</f>
        <v>Open Post</v>
      </c>
      <c r="L450" s="4" t="s">
        <v>2957</v>
      </c>
      <c r="M450" s="4" t="s">
        <v>2958</v>
      </c>
      <c r="N450" s="4" t="s">
        <v>2959</v>
      </c>
      <c r="O450" s="4" t="s">
        <v>51</v>
      </c>
      <c r="P450" s="4" t="s">
        <v>2960</v>
      </c>
    </row>
    <row r="451">
      <c r="A451" s="4" t="s">
        <v>829</v>
      </c>
      <c r="B451" s="4">
        <v>342.0</v>
      </c>
      <c r="F451" s="4" t="s">
        <v>830</v>
      </c>
      <c r="G451" s="4" t="s">
        <v>661</v>
      </c>
      <c r="H451" s="4" t="s">
        <v>43</v>
      </c>
      <c r="I451" s="4" t="s">
        <v>43</v>
      </c>
      <c r="J451" s="4" t="s">
        <v>43</v>
      </c>
      <c r="K451" s="5" t="str">
        <f>HYPERLINK("https://www.instagram.com/p/BrNXCMdgShI/","Open Post")</f>
        <v>Open Post</v>
      </c>
      <c r="L451" s="4" t="s">
        <v>2963</v>
      </c>
      <c r="M451" s="4" t="s">
        <v>2964</v>
      </c>
      <c r="N451" s="4" t="s">
        <v>2965</v>
      </c>
      <c r="O451" s="4" t="s">
        <v>51</v>
      </c>
      <c r="P451" s="4" t="s">
        <v>2966</v>
      </c>
    </row>
    <row r="452">
      <c r="A452" s="4" t="s">
        <v>829</v>
      </c>
      <c r="B452" s="4">
        <v>343.0</v>
      </c>
      <c r="F452" s="4" t="s">
        <v>869</v>
      </c>
      <c r="G452" s="4" t="s">
        <v>371</v>
      </c>
      <c r="H452" s="4" t="s">
        <v>43</v>
      </c>
      <c r="I452" s="4" t="s">
        <v>43</v>
      </c>
      <c r="J452" s="4" t="s">
        <v>43</v>
      </c>
      <c r="K452" s="5" t="str">
        <f>HYPERLINK("https://www.instagram.com/p/BrIXSqqnWR9/","Open Post")</f>
        <v>Open Post</v>
      </c>
      <c r="L452" s="4" t="s">
        <v>2967</v>
      </c>
      <c r="M452" s="4" t="s">
        <v>2968</v>
      </c>
      <c r="N452" s="4" t="s">
        <v>2969</v>
      </c>
      <c r="O452" s="4" t="s">
        <v>51</v>
      </c>
      <c r="P452" s="4" t="s">
        <v>2971</v>
      </c>
    </row>
    <row r="453">
      <c r="A453" s="4" t="s">
        <v>829</v>
      </c>
      <c r="B453" s="4">
        <v>344.0</v>
      </c>
      <c r="F453" s="4" t="s">
        <v>830</v>
      </c>
      <c r="G453" s="4" t="s">
        <v>993</v>
      </c>
      <c r="H453" s="4" t="s">
        <v>43</v>
      </c>
      <c r="I453" s="4" t="s">
        <v>43</v>
      </c>
      <c r="J453" s="4" t="s">
        <v>43</v>
      </c>
      <c r="K453" s="5" t="str">
        <f>HYPERLINK("https://www.instagram.com/p/BrIR7EWlMZm/","Open Post")</f>
        <v>Open Post</v>
      </c>
      <c r="L453" s="4" t="s">
        <v>2972</v>
      </c>
      <c r="M453" s="4" t="s">
        <v>2973</v>
      </c>
      <c r="N453" s="4" t="s">
        <v>2974</v>
      </c>
      <c r="O453" s="4" t="s">
        <v>51</v>
      </c>
      <c r="P453" s="4" t="s">
        <v>2975</v>
      </c>
    </row>
    <row r="454">
      <c r="A454" s="4" t="s">
        <v>829</v>
      </c>
      <c r="B454" s="4">
        <v>345.0</v>
      </c>
      <c r="F454" s="4" t="s">
        <v>869</v>
      </c>
      <c r="G454" s="4" t="s">
        <v>661</v>
      </c>
      <c r="H454" s="4" t="s">
        <v>43</v>
      </c>
      <c r="I454" s="4" t="s">
        <v>43</v>
      </c>
      <c r="J454" s="4" t="s">
        <v>43</v>
      </c>
      <c r="K454" s="5" t="str">
        <f>HYPERLINK("https://www.instagram.com/p/BrCcs_zlD1L/","Open Post")</f>
        <v>Open Post</v>
      </c>
      <c r="L454" s="4" t="s">
        <v>2978</v>
      </c>
      <c r="M454" s="4" t="s">
        <v>49</v>
      </c>
      <c r="N454" s="4" t="s">
        <v>2979</v>
      </c>
      <c r="O454" s="4" t="s">
        <v>51</v>
      </c>
      <c r="P454" s="4" t="s">
        <v>2980</v>
      </c>
    </row>
    <row r="455">
      <c r="A455" s="4" t="s">
        <v>829</v>
      </c>
      <c r="B455" s="4">
        <v>346.0</v>
      </c>
      <c r="F455" s="4" t="s">
        <v>830</v>
      </c>
      <c r="G455" s="4" t="s">
        <v>661</v>
      </c>
      <c r="H455" s="4" t="s">
        <v>43</v>
      </c>
      <c r="I455" s="4" t="s">
        <v>43</v>
      </c>
      <c r="J455" s="4" t="s">
        <v>43</v>
      </c>
      <c r="K455" s="5" t="str">
        <f>HYPERLINK("https://www.instagram.com/p/Bq-SnMNlfQJ/","Open Post")</f>
        <v>Open Post</v>
      </c>
      <c r="L455" s="4" t="s">
        <v>2981</v>
      </c>
      <c r="M455" s="4" t="s">
        <v>49</v>
      </c>
      <c r="N455" s="4" t="s">
        <v>2982</v>
      </c>
      <c r="O455" s="4" t="s">
        <v>51</v>
      </c>
      <c r="P455" s="4" t="s">
        <v>2983</v>
      </c>
    </row>
    <row r="456">
      <c r="A456" s="4" t="s">
        <v>829</v>
      </c>
      <c r="B456" s="4">
        <v>347.0</v>
      </c>
      <c r="F456" s="4" t="s">
        <v>830</v>
      </c>
      <c r="G456" s="4" t="s">
        <v>165</v>
      </c>
      <c r="H456" s="4" t="s">
        <v>43</v>
      </c>
      <c r="I456" s="4" t="s">
        <v>43</v>
      </c>
      <c r="J456" s="4" t="s">
        <v>43</v>
      </c>
      <c r="K456" s="5" t="str">
        <f>HYPERLINK("https://www.instagram.com/p/Bq7SW9NAsSQ/","Open Post")</f>
        <v>Open Post</v>
      </c>
      <c r="L456" s="4" t="s">
        <v>2986</v>
      </c>
      <c r="M456" s="4" t="s">
        <v>2987</v>
      </c>
      <c r="N456" s="4" t="s">
        <v>2988</v>
      </c>
      <c r="O456" s="4" t="s">
        <v>51</v>
      </c>
      <c r="P456" s="4" t="s">
        <v>2989</v>
      </c>
    </row>
    <row r="457">
      <c r="A457" s="4" t="s">
        <v>829</v>
      </c>
      <c r="B457" s="4">
        <v>348.0</v>
      </c>
      <c r="F457" s="4" t="s">
        <v>830</v>
      </c>
      <c r="G457" s="4" t="s">
        <v>957</v>
      </c>
      <c r="H457" s="4" t="s">
        <v>43</v>
      </c>
      <c r="I457" s="4" t="s">
        <v>43</v>
      </c>
      <c r="J457" s="4" t="s">
        <v>43</v>
      </c>
      <c r="K457" s="5" t="str">
        <f>HYPERLINK("https://www.instagram.com/p/BqyY-eUDVAy/","Open Post")</f>
        <v>Open Post</v>
      </c>
      <c r="L457" s="4" t="s">
        <v>2990</v>
      </c>
      <c r="M457" s="4" t="s">
        <v>2991</v>
      </c>
      <c r="N457" s="4" t="s">
        <v>2992</v>
      </c>
      <c r="O457" s="4" t="s">
        <v>51</v>
      </c>
      <c r="P457" s="4" t="s">
        <v>2993</v>
      </c>
    </row>
    <row r="458">
      <c r="A458" s="4" t="s">
        <v>829</v>
      </c>
      <c r="B458" s="4">
        <v>349.0</v>
      </c>
      <c r="F458" s="4" t="s">
        <v>869</v>
      </c>
      <c r="G458" s="4" t="s">
        <v>2995</v>
      </c>
      <c r="H458" s="4" t="s">
        <v>43</v>
      </c>
      <c r="I458" s="4" t="s">
        <v>43</v>
      </c>
      <c r="J458" s="4" t="s">
        <v>43</v>
      </c>
      <c r="K458" s="5" t="str">
        <f>HYPERLINK("https://www.instagram.com/p/BqyLXMnlGkb/","Open Post")</f>
        <v>Open Post</v>
      </c>
      <c r="L458" s="4" t="s">
        <v>2996</v>
      </c>
      <c r="M458" s="4" t="s">
        <v>2997</v>
      </c>
      <c r="N458" s="4" t="s">
        <v>2998</v>
      </c>
      <c r="O458" s="4" t="s">
        <v>51</v>
      </c>
      <c r="P458" s="4" t="s">
        <v>3000</v>
      </c>
    </row>
    <row r="459">
      <c r="A459" s="4" t="s">
        <v>829</v>
      </c>
      <c r="B459" s="4">
        <v>350.0</v>
      </c>
      <c r="F459" s="4" t="s">
        <v>869</v>
      </c>
      <c r="G459" s="4" t="s">
        <v>3001</v>
      </c>
      <c r="H459" s="4" t="s">
        <v>43</v>
      </c>
      <c r="I459" s="4" t="s">
        <v>43</v>
      </c>
      <c r="J459" s="4" t="s">
        <v>43</v>
      </c>
      <c r="K459" s="5" t="str">
        <f>HYPERLINK("https://www.instagram.com/p/BqwVu65A8Ve/","Open Post")</f>
        <v>Open Post</v>
      </c>
      <c r="L459" s="4" t="s">
        <v>3003</v>
      </c>
      <c r="M459" s="4" t="s">
        <v>3004</v>
      </c>
      <c r="N459" s="4" t="s">
        <v>3005</v>
      </c>
      <c r="O459" s="4" t="s">
        <v>51</v>
      </c>
      <c r="P459" s="4" t="s">
        <v>3006</v>
      </c>
    </row>
    <row r="460">
      <c r="A460" s="4" t="s">
        <v>829</v>
      </c>
      <c r="B460" s="4">
        <v>351.0</v>
      </c>
      <c r="F460" s="4" t="s">
        <v>830</v>
      </c>
      <c r="G460" s="4" t="s">
        <v>166</v>
      </c>
      <c r="H460" s="4" t="s">
        <v>43</v>
      </c>
      <c r="I460" s="4" t="s">
        <v>43</v>
      </c>
      <c r="J460" s="4" t="s">
        <v>43</v>
      </c>
      <c r="K460" s="5" t="str">
        <f>HYPERLINK("https://www.instagram.com/p/BqsKNNlDlYc/","Open Post")</f>
        <v>Open Post</v>
      </c>
      <c r="L460" s="4" t="s">
        <v>3007</v>
      </c>
      <c r="M460" s="4" t="s">
        <v>3008</v>
      </c>
      <c r="N460" s="4" t="s">
        <v>3009</v>
      </c>
      <c r="O460" s="4" t="s">
        <v>51</v>
      </c>
      <c r="P460" s="4" t="s">
        <v>3010</v>
      </c>
    </row>
    <row r="461">
      <c r="A461" s="4" t="s">
        <v>829</v>
      </c>
      <c r="B461" s="4">
        <v>352.0</v>
      </c>
      <c r="F461" s="4" t="s">
        <v>830</v>
      </c>
      <c r="G461" s="4" t="s">
        <v>2623</v>
      </c>
      <c r="H461" s="4" t="s">
        <v>43</v>
      </c>
      <c r="I461" s="4" t="s">
        <v>43</v>
      </c>
      <c r="J461" s="4" t="s">
        <v>43</v>
      </c>
      <c r="K461" s="5" t="str">
        <f>HYPERLINK("https://www.instagram.com/p/Bqr_R28BZ-G/","Open Post")</f>
        <v>Open Post</v>
      </c>
      <c r="L461" s="4" t="s">
        <v>3015</v>
      </c>
      <c r="M461" s="4" t="s">
        <v>3016</v>
      </c>
      <c r="N461" s="4" t="s">
        <v>3017</v>
      </c>
      <c r="O461" s="4" t="s">
        <v>51</v>
      </c>
      <c r="P461" s="4" t="s">
        <v>3018</v>
      </c>
    </row>
    <row r="462">
      <c r="A462" s="4" t="s">
        <v>829</v>
      </c>
      <c r="B462" s="4">
        <v>353.0</v>
      </c>
      <c r="F462" s="4" t="s">
        <v>869</v>
      </c>
      <c r="G462" s="4" t="s">
        <v>431</v>
      </c>
      <c r="H462" s="4" t="s">
        <v>43</v>
      </c>
      <c r="I462" s="4" t="s">
        <v>43</v>
      </c>
      <c r="J462" s="4" t="s">
        <v>43</v>
      </c>
      <c r="K462" s="5" t="str">
        <f>HYPERLINK("https://www.instagram.com/p/BqrVPGAAYvT/","Open Post")</f>
        <v>Open Post</v>
      </c>
      <c r="L462" s="4" t="s">
        <v>3020</v>
      </c>
      <c r="M462" s="4" t="s">
        <v>3021</v>
      </c>
      <c r="N462" s="4" t="s">
        <v>3022</v>
      </c>
      <c r="O462" s="4" t="s">
        <v>51</v>
      </c>
      <c r="P462" s="4" t="s">
        <v>3023</v>
      </c>
    </row>
    <row r="463">
      <c r="A463" s="4" t="s">
        <v>829</v>
      </c>
      <c r="B463" s="4">
        <v>354.0</v>
      </c>
      <c r="F463" s="4" t="s">
        <v>869</v>
      </c>
      <c r="G463" s="4" t="s">
        <v>3024</v>
      </c>
      <c r="H463" s="4" t="s">
        <v>43</v>
      </c>
      <c r="I463" s="4" t="s">
        <v>43</v>
      </c>
      <c r="J463" s="4" t="s">
        <v>43</v>
      </c>
      <c r="K463" s="5" t="str">
        <f>HYPERLINK("https://www.instagram.com/p/BqmyX_jg-1J/","Open Post")</f>
        <v>Open Post</v>
      </c>
      <c r="L463" s="4" t="s">
        <v>3025</v>
      </c>
      <c r="M463" s="4" t="s">
        <v>3026</v>
      </c>
      <c r="N463" s="4" t="s">
        <v>3027</v>
      </c>
      <c r="O463" s="4" t="s">
        <v>51</v>
      </c>
      <c r="P463" s="4" t="s">
        <v>3029</v>
      </c>
    </row>
    <row r="464">
      <c r="A464" s="4" t="s">
        <v>829</v>
      </c>
      <c r="B464" s="4">
        <v>355.0</v>
      </c>
      <c r="F464" s="4" t="s">
        <v>57</v>
      </c>
      <c r="G464" s="4" t="s">
        <v>165</v>
      </c>
      <c r="H464" s="4" t="s">
        <v>43</v>
      </c>
      <c r="I464" s="4" t="s">
        <v>43</v>
      </c>
      <c r="J464" s="4" t="s">
        <v>43</v>
      </c>
      <c r="K464" s="5" t="str">
        <f>HYPERLINK("https://www.instagram.com/reel/Bqka_U0l87z/","Open Reel")</f>
        <v>Open Reel</v>
      </c>
      <c r="L464" s="4" t="s">
        <v>3031</v>
      </c>
      <c r="M464" s="4" t="s">
        <v>3032</v>
      </c>
      <c r="N464" s="4" t="s">
        <v>3033</v>
      </c>
      <c r="O464" s="4" t="s">
        <v>51</v>
      </c>
      <c r="P464" s="4" t="s">
        <v>3034</v>
      </c>
    </row>
    <row r="465">
      <c r="A465" s="4" t="s">
        <v>829</v>
      </c>
      <c r="B465" s="4">
        <v>356.0</v>
      </c>
      <c r="F465" s="4" t="s">
        <v>830</v>
      </c>
      <c r="G465" s="4" t="s">
        <v>3035</v>
      </c>
      <c r="H465" s="4" t="s">
        <v>43</v>
      </c>
      <c r="I465" s="4" t="s">
        <v>43</v>
      </c>
      <c r="J465" s="4" t="s">
        <v>43</v>
      </c>
      <c r="K465" s="5" t="str">
        <f>HYPERLINK("https://www.instagram.com/p/Bqf1ll0A331/","Open Post")</f>
        <v>Open Post</v>
      </c>
      <c r="L465" s="4" t="s">
        <v>3038</v>
      </c>
      <c r="M465" s="4" t="s">
        <v>3039</v>
      </c>
      <c r="N465" s="4" t="s">
        <v>3040</v>
      </c>
      <c r="O465" s="4" t="s">
        <v>51</v>
      </c>
      <c r="P465" s="4" t="s">
        <v>3041</v>
      </c>
    </row>
    <row r="466">
      <c r="A466" s="4" t="s">
        <v>829</v>
      </c>
      <c r="B466" s="4">
        <v>357.0</v>
      </c>
      <c r="F466" s="4" t="s">
        <v>830</v>
      </c>
      <c r="G466" s="4" t="s">
        <v>871</v>
      </c>
      <c r="H466" s="4" t="s">
        <v>43</v>
      </c>
      <c r="I466" s="4" t="s">
        <v>43</v>
      </c>
      <c r="J466" s="4" t="s">
        <v>43</v>
      </c>
      <c r="K466" s="5" t="str">
        <f>HYPERLINK("https://www.instagram.com/p/BqX3n8gBLUJ/","Open Post")</f>
        <v>Open Post</v>
      </c>
      <c r="L466" s="4" t="s">
        <v>3042</v>
      </c>
      <c r="M466" s="4" t="s">
        <v>3043</v>
      </c>
      <c r="N466" s="4" t="s">
        <v>3044</v>
      </c>
      <c r="O466" s="4" t="s">
        <v>51</v>
      </c>
      <c r="P466" s="4" t="s">
        <v>3046</v>
      </c>
    </row>
    <row r="467">
      <c r="A467" s="4" t="s">
        <v>829</v>
      </c>
      <c r="B467" s="4">
        <v>358.0</v>
      </c>
      <c r="F467" s="4" t="s">
        <v>830</v>
      </c>
      <c r="G467" s="4" t="s">
        <v>326</v>
      </c>
      <c r="H467" s="4" t="s">
        <v>43</v>
      </c>
      <c r="I467" s="4" t="s">
        <v>43</v>
      </c>
      <c r="J467" s="4" t="s">
        <v>43</v>
      </c>
      <c r="K467" s="5" t="str">
        <f>HYPERLINK("https://www.instagram.com/p/BqXs04un1fa/","Open Post")</f>
        <v>Open Post</v>
      </c>
      <c r="L467" s="4" t="s">
        <v>3050</v>
      </c>
      <c r="M467" s="4" t="s">
        <v>3051</v>
      </c>
      <c r="N467" s="4" t="s">
        <v>3052</v>
      </c>
      <c r="O467" s="4" t="s">
        <v>51</v>
      </c>
      <c r="P467" s="4" t="s">
        <v>3053</v>
      </c>
    </row>
    <row r="468">
      <c r="A468" s="4" t="s">
        <v>829</v>
      </c>
      <c r="B468" s="4">
        <v>359.0</v>
      </c>
      <c r="F468" s="4" t="s">
        <v>57</v>
      </c>
      <c r="G468" s="4" t="s">
        <v>165</v>
      </c>
      <c r="H468" s="4" t="s">
        <v>43</v>
      </c>
      <c r="I468" s="4" t="s">
        <v>43</v>
      </c>
      <c r="J468" s="4" t="s">
        <v>43</v>
      </c>
      <c r="K468" s="5" t="str">
        <f>HYPERLINK("https://www.instagram.com/reel/BqVBq9fF1MY/","Open Reel")</f>
        <v>Open Reel</v>
      </c>
      <c r="L468" s="4" t="s">
        <v>3056</v>
      </c>
      <c r="M468" s="4" t="s">
        <v>3057</v>
      </c>
      <c r="N468" s="4" t="s">
        <v>3058</v>
      </c>
      <c r="O468" s="4" t="s">
        <v>51</v>
      </c>
      <c r="P468" s="4" t="s">
        <v>3059</v>
      </c>
    </row>
    <row r="469">
      <c r="A469" s="4" t="s">
        <v>829</v>
      </c>
      <c r="B469" s="4">
        <v>360.0</v>
      </c>
      <c r="F469" s="4" t="s">
        <v>830</v>
      </c>
      <c r="G469" s="4" t="s">
        <v>340</v>
      </c>
      <c r="H469" s="4" t="s">
        <v>43</v>
      </c>
      <c r="I469" s="4" t="s">
        <v>43</v>
      </c>
      <c r="J469" s="4" t="s">
        <v>43</v>
      </c>
      <c r="K469" s="5" t="str">
        <f>HYPERLINK("https://www.instagram.com/p/BqR8D7bndf4/","Open Post")</f>
        <v>Open Post</v>
      </c>
      <c r="L469" s="4" t="s">
        <v>3062</v>
      </c>
      <c r="M469" s="4" t="s">
        <v>3063</v>
      </c>
      <c r="N469" s="4" t="s">
        <v>3064</v>
      </c>
      <c r="O469" s="4" t="s">
        <v>51</v>
      </c>
      <c r="P469" s="4" t="s">
        <v>3065</v>
      </c>
    </row>
    <row r="470">
      <c r="A470" s="4" t="s">
        <v>829</v>
      </c>
      <c r="B470" s="4">
        <v>361.0</v>
      </c>
      <c r="F470" s="4" t="s">
        <v>830</v>
      </c>
      <c r="G470" s="4" t="s">
        <v>105</v>
      </c>
      <c r="H470" s="4" t="s">
        <v>43</v>
      </c>
      <c r="I470" s="4" t="s">
        <v>43</v>
      </c>
      <c r="J470" s="4" t="s">
        <v>43</v>
      </c>
      <c r="K470" s="5" t="str">
        <f>HYPERLINK("https://www.instagram.com/p/BqP1j9EFLLu/","Open Post")</f>
        <v>Open Post</v>
      </c>
      <c r="L470" s="4" t="s">
        <v>3066</v>
      </c>
      <c r="M470" s="4" t="s">
        <v>3068</v>
      </c>
      <c r="N470" s="4" t="s">
        <v>3069</v>
      </c>
      <c r="O470" s="4" t="s">
        <v>51</v>
      </c>
      <c r="P470" s="4" t="s">
        <v>3070</v>
      </c>
    </row>
    <row r="471">
      <c r="A471" s="4" t="s">
        <v>829</v>
      </c>
      <c r="B471" s="4">
        <v>362.0</v>
      </c>
      <c r="F471" s="4" t="s">
        <v>830</v>
      </c>
      <c r="G471" s="4" t="s">
        <v>1509</v>
      </c>
      <c r="H471" s="4" t="s">
        <v>43</v>
      </c>
      <c r="I471" s="4" t="s">
        <v>43</v>
      </c>
      <c r="J471" s="4" t="s">
        <v>43</v>
      </c>
      <c r="K471" s="5" t="str">
        <f>HYPERLINK("https://www.instagram.com/p/BqPA8RbgR5X/","Open Post")</f>
        <v>Open Post</v>
      </c>
      <c r="L471" s="4" t="s">
        <v>3072</v>
      </c>
      <c r="M471" s="4" t="s">
        <v>3073</v>
      </c>
      <c r="N471" s="4" t="s">
        <v>3074</v>
      </c>
      <c r="O471" s="4" t="s">
        <v>51</v>
      </c>
      <c r="P471" s="4" t="s">
        <v>3075</v>
      </c>
    </row>
    <row r="472">
      <c r="A472" s="4" t="s">
        <v>829</v>
      </c>
      <c r="B472" s="4">
        <v>363.0</v>
      </c>
      <c r="F472" s="4" t="s">
        <v>869</v>
      </c>
      <c r="G472" s="4" t="s">
        <v>207</v>
      </c>
      <c r="H472" s="4" t="s">
        <v>43</v>
      </c>
      <c r="I472" s="4" t="s">
        <v>43</v>
      </c>
      <c r="J472" s="4" t="s">
        <v>43</v>
      </c>
      <c r="K472" s="5" t="str">
        <f>HYPERLINK("https://www.instagram.com/p/BqOUij2An3y/","Open Post")</f>
        <v>Open Post</v>
      </c>
      <c r="L472" s="4" t="s">
        <v>3077</v>
      </c>
      <c r="M472" s="4" t="s">
        <v>3078</v>
      </c>
      <c r="N472" s="4" t="s">
        <v>3079</v>
      </c>
      <c r="O472" s="4" t="s">
        <v>51</v>
      </c>
      <c r="P472" s="4" t="s">
        <v>3080</v>
      </c>
    </row>
    <row r="473">
      <c r="A473" s="4" t="s">
        <v>829</v>
      </c>
      <c r="B473" s="4">
        <v>364.0</v>
      </c>
      <c r="F473" s="4" t="s">
        <v>57</v>
      </c>
      <c r="G473" s="4" t="s">
        <v>165</v>
      </c>
      <c r="H473" s="4" t="s">
        <v>43</v>
      </c>
      <c r="I473" s="4" t="s">
        <v>43</v>
      </c>
      <c r="J473" s="4" t="s">
        <v>43</v>
      </c>
      <c r="K473" s="5" t="str">
        <f>HYPERLINK("https://www.instagram.com/reel/BqIltuGll9E/","Open Reel")</f>
        <v>Open Reel</v>
      </c>
      <c r="L473" s="4" t="s">
        <v>3082</v>
      </c>
      <c r="M473" s="4" t="s">
        <v>3084</v>
      </c>
      <c r="N473" s="4" t="s">
        <v>3085</v>
      </c>
      <c r="O473" s="4" t="s">
        <v>51</v>
      </c>
      <c r="P473" s="4" t="s">
        <v>3086</v>
      </c>
    </row>
    <row r="474">
      <c r="A474" s="4" t="s">
        <v>829</v>
      </c>
      <c r="B474" s="4">
        <v>365.0</v>
      </c>
      <c r="F474" s="4" t="s">
        <v>830</v>
      </c>
      <c r="G474" s="4" t="s">
        <v>306</v>
      </c>
      <c r="H474" s="4" t="s">
        <v>43</v>
      </c>
      <c r="I474" s="4" t="s">
        <v>43</v>
      </c>
      <c r="J474" s="4" t="s">
        <v>43</v>
      </c>
      <c r="K474" s="5" t="str">
        <f>HYPERLINK("https://www.instagram.com/p/BqAEvFugP4j/","Open Post")</f>
        <v>Open Post</v>
      </c>
      <c r="L474" s="4" t="s">
        <v>3087</v>
      </c>
      <c r="M474" s="4" t="s">
        <v>49</v>
      </c>
      <c r="N474" s="4" t="s">
        <v>3088</v>
      </c>
      <c r="O474" s="4" t="s">
        <v>51</v>
      </c>
      <c r="P474" s="4" t="s">
        <v>3089</v>
      </c>
    </row>
    <row r="475">
      <c r="A475" s="4" t="s">
        <v>829</v>
      </c>
      <c r="B475" s="4">
        <v>366.0</v>
      </c>
      <c r="F475" s="4" t="s">
        <v>869</v>
      </c>
      <c r="G475" s="4" t="s">
        <v>105</v>
      </c>
      <c r="H475" s="4" t="s">
        <v>43</v>
      </c>
      <c r="I475" s="4" t="s">
        <v>43</v>
      </c>
      <c r="J475" s="4" t="s">
        <v>43</v>
      </c>
      <c r="K475" s="5" t="str">
        <f>HYPERLINK("https://www.instagram.com/p/Bp_voJiBHLr/","Open Post")</f>
        <v>Open Post</v>
      </c>
      <c r="L475" s="4" t="s">
        <v>3091</v>
      </c>
      <c r="M475" s="4" t="s">
        <v>3092</v>
      </c>
      <c r="N475" s="4" t="s">
        <v>3093</v>
      </c>
      <c r="O475" s="4" t="s">
        <v>51</v>
      </c>
      <c r="P475" s="4" t="s">
        <v>3094</v>
      </c>
    </row>
    <row r="476">
      <c r="A476" s="4" t="s">
        <v>829</v>
      </c>
      <c r="B476" s="4">
        <v>367.0</v>
      </c>
      <c r="F476" s="4" t="s">
        <v>830</v>
      </c>
      <c r="G476" s="4" t="s">
        <v>166</v>
      </c>
      <c r="H476" s="4" t="s">
        <v>43</v>
      </c>
      <c r="I476" s="4" t="s">
        <v>43</v>
      </c>
      <c r="J476" s="4" t="s">
        <v>43</v>
      </c>
      <c r="K476" s="5" t="str">
        <f>HYPERLINK("https://www.instagram.com/p/Bp5Cj1zF6xG/","Open Post")</f>
        <v>Open Post</v>
      </c>
      <c r="L476" s="4" t="s">
        <v>3096</v>
      </c>
      <c r="M476" s="4" t="s">
        <v>3097</v>
      </c>
      <c r="N476" s="4" t="s">
        <v>3098</v>
      </c>
      <c r="O476" s="4" t="s">
        <v>51</v>
      </c>
      <c r="P476" s="4" t="s">
        <v>3099</v>
      </c>
    </row>
    <row r="477">
      <c r="A477" s="4" t="s">
        <v>829</v>
      </c>
      <c r="B477" s="4">
        <v>368.0</v>
      </c>
      <c r="F477" s="4" t="s">
        <v>830</v>
      </c>
      <c r="G477" s="4" t="s">
        <v>661</v>
      </c>
      <c r="H477" s="4" t="s">
        <v>43</v>
      </c>
      <c r="I477" s="4" t="s">
        <v>43</v>
      </c>
      <c r="J477" s="4" t="s">
        <v>43</v>
      </c>
      <c r="K477" s="5" t="str">
        <f>HYPERLINK("https://www.instagram.com/p/Bp6zTlNA7uB/","Open Post")</f>
        <v>Open Post</v>
      </c>
      <c r="L477" s="4" t="s">
        <v>3100</v>
      </c>
      <c r="M477" s="4" t="s">
        <v>49</v>
      </c>
      <c r="N477" s="4" t="s">
        <v>3101</v>
      </c>
      <c r="O477" s="4" t="s">
        <v>51</v>
      </c>
      <c r="P477" s="4" t="s">
        <v>3102</v>
      </c>
    </row>
    <row r="478">
      <c r="A478" s="4" t="s">
        <v>829</v>
      </c>
      <c r="B478" s="4">
        <v>369.0</v>
      </c>
      <c r="F478" s="4" t="s">
        <v>830</v>
      </c>
      <c r="G478" s="4" t="s">
        <v>3103</v>
      </c>
      <c r="H478" s="4" t="s">
        <v>43</v>
      </c>
      <c r="I478" s="4" t="s">
        <v>43</v>
      </c>
      <c r="J478" s="4" t="s">
        <v>43</v>
      </c>
      <c r="K478" s="5" t="str">
        <f>HYPERLINK("https://www.instagram.com/p/Bp6BtkmF95e/","Open Post")</f>
        <v>Open Post</v>
      </c>
      <c r="L478" s="4" t="s">
        <v>3105</v>
      </c>
      <c r="M478" s="4" t="s">
        <v>3106</v>
      </c>
      <c r="N478" s="4" t="s">
        <v>3107</v>
      </c>
      <c r="O478" s="4" t="s">
        <v>51</v>
      </c>
      <c r="P478" s="4" t="s">
        <v>3108</v>
      </c>
    </row>
    <row r="479">
      <c r="A479" s="4" t="s">
        <v>829</v>
      </c>
      <c r="B479" s="4">
        <v>370.0</v>
      </c>
      <c r="F479" s="4" t="s">
        <v>869</v>
      </c>
      <c r="G479" s="4" t="s">
        <v>431</v>
      </c>
      <c r="H479" s="4" t="s">
        <v>43</v>
      </c>
      <c r="I479" s="4" t="s">
        <v>43</v>
      </c>
      <c r="J479" s="4" t="s">
        <v>43</v>
      </c>
      <c r="K479" s="5" t="str">
        <f>HYPERLINK("https://www.instagram.com/p/Bp5GbE9gLqA/","Open Post")</f>
        <v>Open Post</v>
      </c>
      <c r="L479" s="4" t="s">
        <v>3110</v>
      </c>
      <c r="M479" s="4" t="s">
        <v>3111</v>
      </c>
      <c r="N479" s="4" t="s">
        <v>3112</v>
      </c>
      <c r="O479" s="4" t="s">
        <v>51</v>
      </c>
      <c r="P479" s="4" t="s">
        <v>3113</v>
      </c>
    </row>
    <row r="480">
      <c r="A480" s="4" t="s">
        <v>829</v>
      </c>
      <c r="B480" s="4">
        <v>371.0</v>
      </c>
      <c r="F480" s="4" t="s">
        <v>830</v>
      </c>
      <c r="G480" s="4" t="s">
        <v>165</v>
      </c>
      <c r="H480" s="4" t="s">
        <v>43</v>
      </c>
      <c r="I480" s="4" t="s">
        <v>43</v>
      </c>
      <c r="J480" s="4" t="s">
        <v>43</v>
      </c>
      <c r="K480" s="5" t="str">
        <f>HYPERLINK("https://www.instagram.com/p/Bp2xS9xAszL/","Open Post")</f>
        <v>Open Post</v>
      </c>
      <c r="L480" s="4" t="s">
        <v>3116</v>
      </c>
      <c r="M480" s="4" t="s">
        <v>3117</v>
      </c>
      <c r="N480" s="4" t="s">
        <v>3118</v>
      </c>
      <c r="O480" s="4" t="s">
        <v>51</v>
      </c>
      <c r="P480" s="4" t="s">
        <v>3119</v>
      </c>
    </row>
    <row r="481">
      <c r="A481" s="4" t="s">
        <v>829</v>
      </c>
      <c r="B481" s="4">
        <v>372.0</v>
      </c>
      <c r="F481" s="4" t="s">
        <v>830</v>
      </c>
      <c r="G481" s="4" t="s">
        <v>3120</v>
      </c>
      <c r="H481" s="4" t="s">
        <v>43</v>
      </c>
      <c r="I481" s="4" t="s">
        <v>43</v>
      </c>
      <c r="J481" s="4" t="s">
        <v>43</v>
      </c>
      <c r="K481" s="5" t="str">
        <f>HYPERLINK("https://www.instagram.com/p/BpznZwRBb_K/","Open Post")</f>
        <v>Open Post</v>
      </c>
      <c r="L481" s="4" t="s">
        <v>3121</v>
      </c>
      <c r="M481" s="4" t="s">
        <v>3122</v>
      </c>
      <c r="N481" s="4" t="s">
        <v>3123</v>
      </c>
      <c r="O481" s="4" t="s">
        <v>51</v>
      </c>
      <c r="P481" s="4" t="s">
        <v>3124</v>
      </c>
    </row>
    <row r="482">
      <c r="A482" s="4" t="s">
        <v>829</v>
      </c>
      <c r="B482" s="4">
        <v>373.0</v>
      </c>
      <c r="F482" s="4" t="s">
        <v>869</v>
      </c>
      <c r="G482" s="4" t="s">
        <v>326</v>
      </c>
      <c r="H482" s="4" t="s">
        <v>43</v>
      </c>
      <c r="I482" s="4" t="s">
        <v>43</v>
      </c>
      <c r="J482" s="4" t="s">
        <v>43</v>
      </c>
      <c r="K482" s="5" t="str">
        <f>HYPERLINK("https://www.instagram.com/p/BpvfZmqgX_f/","Open Post")</f>
        <v>Open Post</v>
      </c>
      <c r="L482" s="4" t="s">
        <v>3126</v>
      </c>
      <c r="M482" s="4" t="s">
        <v>3127</v>
      </c>
      <c r="N482" s="4" t="s">
        <v>3128</v>
      </c>
      <c r="O482" s="4" t="s">
        <v>51</v>
      </c>
      <c r="P482" s="4" t="s">
        <v>3129</v>
      </c>
    </row>
    <row r="483">
      <c r="A483" s="4" t="s">
        <v>829</v>
      </c>
      <c r="B483" s="4">
        <v>374.0</v>
      </c>
      <c r="F483" s="4" t="s">
        <v>830</v>
      </c>
      <c r="G483" s="4" t="s">
        <v>466</v>
      </c>
      <c r="H483" s="4" t="s">
        <v>43</v>
      </c>
      <c r="I483" s="4" t="s">
        <v>43</v>
      </c>
      <c r="J483" s="4" t="s">
        <v>43</v>
      </c>
      <c r="K483" s="5" t="str">
        <f>HYPERLINK("https://www.instagram.com/p/Bpr6ZjXgFXw/","Open Post")</f>
        <v>Open Post</v>
      </c>
      <c r="L483" s="4" t="s">
        <v>3131</v>
      </c>
      <c r="M483" s="4" t="s">
        <v>3132</v>
      </c>
      <c r="N483" s="4" t="s">
        <v>3133</v>
      </c>
      <c r="O483" s="4" t="s">
        <v>51</v>
      </c>
      <c r="P483" s="4" t="s">
        <v>3135</v>
      </c>
    </row>
    <row r="484">
      <c r="A484" s="4" t="s">
        <v>829</v>
      </c>
      <c r="B484" s="4">
        <v>375.0</v>
      </c>
      <c r="F484" s="4" t="s">
        <v>869</v>
      </c>
      <c r="G484" s="4" t="s">
        <v>661</v>
      </c>
      <c r="H484" s="4" t="s">
        <v>43</v>
      </c>
      <c r="I484" s="4" t="s">
        <v>43</v>
      </c>
      <c r="J484" s="4" t="s">
        <v>43</v>
      </c>
      <c r="K484" s="5" t="str">
        <f>HYPERLINK("https://www.instagram.com/p/Bpme5pcAvsy/","Open Post")</f>
        <v>Open Post</v>
      </c>
      <c r="L484" s="4" t="s">
        <v>3136</v>
      </c>
      <c r="M484" s="4" t="s">
        <v>3137</v>
      </c>
      <c r="N484" s="4" t="s">
        <v>3138</v>
      </c>
      <c r="O484" s="4" t="s">
        <v>51</v>
      </c>
      <c r="P484" s="4" t="s">
        <v>3139</v>
      </c>
    </row>
    <row r="485">
      <c r="A485" s="4" t="s">
        <v>829</v>
      </c>
      <c r="B485" s="4">
        <v>376.0</v>
      </c>
      <c r="F485" s="4" t="s">
        <v>57</v>
      </c>
      <c r="G485" s="4" t="s">
        <v>852</v>
      </c>
      <c r="H485" s="4" t="s">
        <v>43</v>
      </c>
      <c r="I485" s="4" t="s">
        <v>43</v>
      </c>
      <c r="J485" s="4" t="s">
        <v>43</v>
      </c>
      <c r="K485" s="5" t="str">
        <f>HYPERLINK("https://www.instagram.com/reel/BpmQBkhhsX4/","Open Reel")</f>
        <v>Open Reel</v>
      </c>
      <c r="L485" s="4" t="s">
        <v>3141</v>
      </c>
      <c r="M485" s="4" t="s">
        <v>3143</v>
      </c>
      <c r="N485" s="4" t="s">
        <v>3144</v>
      </c>
      <c r="O485" s="4" t="s">
        <v>51</v>
      </c>
      <c r="P485" s="4" t="s">
        <v>3145</v>
      </c>
    </row>
    <row r="486">
      <c r="A486" s="4" t="s">
        <v>829</v>
      </c>
      <c r="B486" s="4">
        <v>377.0</v>
      </c>
      <c r="F486" s="4" t="s">
        <v>830</v>
      </c>
      <c r="G486" s="4" t="s">
        <v>340</v>
      </c>
      <c r="H486" s="4" t="s">
        <v>43</v>
      </c>
      <c r="I486" s="4" t="s">
        <v>43</v>
      </c>
      <c r="J486" s="4" t="s">
        <v>43</v>
      </c>
      <c r="K486" s="5" t="str">
        <f>HYPERLINK("https://www.instagram.com/p/Bpiu6WGHa73/","Open Post")</f>
        <v>Open Post</v>
      </c>
      <c r="L486" s="4" t="s">
        <v>3146</v>
      </c>
      <c r="M486" s="4" t="s">
        <v>3147</v>
      </c>
      <c r="N486" s="4" t="s">
        <v>3148</v>
      </c>
      <c r="O486" s="4" t="s">
        <v>51</v>
      </c>
      <c r="P486" s="4" t="s">
        <v>3149</v>
      </c>
    </row>
    <row r="487">
      <c r="A487" s="4" t="s">
        <v>829</v>
      </c>
      <c r="B487" s="4">
        <v>378.0</v>
      </c>
      <c r="F487" s="4" t="s">
        <v>830</v>
      </c>
      <c r="G487" s="4" t="s">
        <v>957</v>
      </c>
      <c r="H487" s="4" t="s">
        <v>43</v>
      </c>
      <c r="I487" s="4" t="s">
        <v>43</v>
      </c>
      <c r="J487" s="4" t="s">
        <v>43</v>
      </c>
      <c r="K487" s="5" t="str">
        <f>HYPERLINK("https://www.instagram.com/p/BpclO-jF27C/","Open Post")</f>
        <v>Open Post</v>
      </c>
      <c r="L487" s="4" t="s">
        <v>3151</v>
      </c>
      <c r="M487" s="4" t="s">
        <v>3152</v>
      </c>
      <c r="N487" s="4" t="s">
        <v>3153</v>
      </c>
      <c r="O487" s="4" t="s">
        <v>51</v>
      </c>
      <c r="P487" s="4" t="s">
        <v>3154</v>
      </c>
    </row>
    <row r="488">
      <c r="A488" s="4" t="s">
        <v>829</v>
      </c>
      <c r="B488" s="4">
        <v>379.0</v>
      </c>
      <c r="F488" s="4" t="s">
        <v>830</v>
      </c>
      <c r="G488" s="4" t="s">
        <v>306</v>
      </c>
      <c r="H488" s="4" t="s">
        <v>43</v>
      </c>
      <c r="I488" s="4" t="s">
        <v>43</v>
      </c>
      <c r="J488" s="4" t="s">
        <v>43</v>
      </c>
      <c r="K488" s="5" t="str">
        <f>HYPERLINK("https://www.instagram.com/p/BpXx0QSlAMH/","Open Post")</f>
        <v>Open Post</v>
      </c>
      <c r="L488" s="4" t="s">
        <v>3157</v>
      </c>
      <c r="M488" s="4" t="s">
        <v>49</v>
      </c>
      <c r="N488" s="4" t="s">
        <v>3158</v>
      </c>
      <c r="O488" s="4" t="s">
        <v>51</v>
      </c>
      <c r="P488" s="4" t="s">
        <v>3159</v>
      </c>
    </row>
    <row r="489">
      <c r="A489" s="4" t="s">
        <v>829</v>
      </c>
      <c r="B489" s="4">
        <v>380.0</v>
      </c>
      <c r="F489" s="4" t="s">
        <v>869</v>
      </c>
      <c r="G489" s="4" t="s">
        <v>340</v>
      </c>
      <c r="H489" s="4" t="s">
        <v>43</v>
      </c>
      <c r="I489" s="4" t="s">
        <v>43</v>
      </c>
      <c r="J489" s="4" t="s">
        <v>43</v>
      </c>
      <c r="K489" s="5" t="str">
        <f>HYPERLINK("https://www.instagram.com/p/BpXuEc9hlJW/","Open Post")</f>
        <v>Open Post</v>
      </c>
      <c r="L489" s="4" t="s">
        <v>3160</v>
      </c>
      <c r="M489" s="4" t="s">
        <v>49</v>
      </c>
      <c r="N489" s="4" t="s">
        <v>3161</v>
      </c>
      <c r="O489" s="4" t="s">
        <v>51</v>
      </c>
      <c r="P489" s="4" t="s">
        <v>3162</v>
      </c>
    </row>
    <row r="490">
      <c r="A490" s="4" t="s">
        <v>829</v>
      </c>
      <c r="B490" s="4">
        <v>381.0</v>
      </c>
      <c r="F490" s="4" t="s">
        <v>830</v>
      </c>
      <c r="G490" s="4" t="s">
        <v>951</v>
      </c>
      <c r="H490" s="4" t="s">
        <v>43</v>
      </c>
      <c r="I490" s="4" t="s">
        <v>43</v>
      </c>
      <c r="J490" s="4" t="s">
        <v>43</v>
      </c>
      <c r="K490" s="5" t="str">
        <f>HYPERLINK("https://www.instagram.com/p/BpWOsesl-fA/","Open Post")</f>
        <v>Open Post</v>
      </c>
      <c r="L490" s="4" t="s">
        <v>3164</v>
      </c>
      <c r="M490" s="4" t="s">
        <v>3165</v>
      </c>
      <c r="N490" s="4" t="s">
        <v>3166</v>
      </c>
      <c r="O490" s="4" t="s">
        <v>51</v>
      </c>
      <c r="P490" s="4" t="s">
        <v>3167</v>
      </c>
    </row>
    <row r="491">
      <c r="A491" s="4" t="s">
        <v>829</v>
      </c>
      <c r="B491" s="4">
        <v>382.0</v>
      </c>
      <c r="F491" s="4" t="s">
        <v>830</v>
      </c>
      <c r="G491" s="4" t="s">
        <v>951</v>
      </c>
      <c r="H491" s="4" t="s">
        <v>43</v>
      </c>
      <c r="I491" s="4" t="s">
        <v>43</v>
      </c>
      <c r="J491" s="4" t="s">
        <v>43</v>
      </c>
      <c r="K491" s="5" t="str">
        <f>HYPERLINK("https://www.instagram.com/p/BpT6tIXhDt0/","Open Post")</f>
        <v>Open Post</v>
      </c>
      <c r="L491" s="4" t="s">
        <v>3169</v>
      </c>
      <c r="M491" s="4" t="s">
        <v>3170</v>
      </c>
      <c r="N491" s="4" t="s">
        <v>3171</v>
      </c>
      <c r="O491" s="4" t="s">
        <v>51</v>
      </c>
      <c r="P491" s="4" t="s">
        <v>3173</v>
      </c>
    </row>
    <row r="492">
      <c r="A492" s="4" t="s">
        <v>829</v>
      </c>
      <c r="B492" s="4">
        <v>383.0</v>
      </c>
      <c r="F492" s="4" t="s">
        <v>869</v>
      </c>
      <c r="G492" s="4" t="s">
        <v>431</v>
      </c>
      <c r="H492" s="4" t="s">
        <v>43</v>
      </c>
      <c r="I492" s="4" t="s">
        <v>43</v>
      </c>
      <c r="J492" s="4" t="s">
        <v>43</v>
      </c>
      <c r="K492" s="5" t="str">
        <f>HYPERLINK("https://www.instagram.com/p/BpSJbmcFibe/","Open Post")</f>
        <v>Open Post</v>
      </c>
      <c r="L492" s="4" t="s">
        <v>3174</v>
      </c>
      <c r="M492" s="4" t="s">
        <v>3175</v>
      </c>
      <c r="N492" s="4" t="s">
        <v>3176</v>
      </c>
      <c r="O492" s="4" t="s">
        <v>51</v>
      </c>
      <c r="P492" s="4" t="s">
        <v>3177</v>
      </c>
    </row>
    <row r="493">
      <c r="A493" s="4" t="s">
        <v>829</v>
      </c>
      <c r="B493" s="4">
        <v>384.0</v>
      </c>
      <c r="F493" s="4" t="s">
        <v>830</v>
      </c>
      <c r="G493" s="4" t="s">
        <v>544</v>
      </c>
      <c r="H493" s="4" t="s">
        <v>43</v>
      </c>
      <c r="I493" s="4" t="s">
        <v>43</v>
      </c>
      <c r="J493" s="4" t="s">
        <v>43</v>
      </c>
      <c r="K493" s="5" t="str">
        <f>HYPERLINK("https://www.instagram.com/p/BpR4kwGBWek/","Open Post")</f>
        <v>Open Post</v>
      </c>
      <c r="L493" s="4" t="s">
        <v>3179</v>
      </c>
      <c r="M493" s="4" t="s">
        <v>3180</v>
      </c>
      <c r="N493" s="4" t="s">
        <v>3181</v>
      </c>
      <c r="O493" s="4" t="s">
        <v>51</v>
      </c>
      <c r="P493" s="4" t="s">
        <v>3182</v>
      </c>
    </row>
    <row r="494">
      <c r="A494" s="4" t="s">
        <v>829</v>
      </c>
      <c r="B494" s="4">
        <v>385.0</v>
      </c>
      <c r="F494" s="4" t="s">
        <v>830</v>
      </c>
      <c r="G494" s="4" t="s">
        <v>3183</v>
      </c>
      <c r="H494" s="4" t="s">
        <v>43</v>
      </c>
      <c r="I494" s="4" t="s">
        <v>43</v>
      </c>
      <c r="J494" s="4" t="s">
        <v>43</v>
      </c>
      <c r="K494" s="5" t="str">
        <f>HYPERLINK("https://www.instagram.com/p/BpR19l3lGhY/","Open Post")</f>
        <v>Open Post</v>
      </c>
      <c r="L494" s="4" t="s">
        <v>3187</v>
      </c>
      <c r="M494" s="4" t="s">
        <v>3188</v>
      </c>
      <c r="N494" s="4" t="s">
        <v>3189</v>
      </c>
      <c r="O494" s="4" t="s">
        <v>51</v>
      </c>
      <c r="P494" s="4" t="s">
        <v>3190</v>
      </c>
    </row>
    <row r="495">
      <c r="A495" s="4" t="s">
        <v>829</v>
      </c>
      <c r="B495" s="4">
        <v>386.0</v>
      </c>
      <c r="F495" s="4" t="s">
        <v>830</v>
      </c>
      <c r="G495" s="4" t="s">
        <v>3191</v>
      </c>
      <c r="H495" s="4" t="s">
        <v>43</v>
      </c>
      <c r="I495" s="4" t="s">
        <v>43</v>
      </c>
      <c r="J495" s="4" t="s">
        <v>43</v>
      </c>
      <c r="K495" s="5" t="str">
        <f>HYPERLINK("https://www.instagram.com/p/BpRTx2YlRfX/","Open Post")</f>
        <v>Open Post</v>
      </c>
      <c r="L495" s="4" t="s">
        <v>3194</v>
      </c>
      <c r="M495" s="4" t="s">
        <v>3194</v>
      </c>
      <c r="N495" s="4" t="s">
        <v>3195</v>
      </c>
      <c r="O495" s="4" t="s">
        <v>51</v>
      </c>
      <c r="P495" s="4" t="s">
        <v>3196</v>
      </c>
    </row>
    <row r="496">
      <c r="A496" s="4" t="s">
        <v>829</v>
      </c>
      <c r="B496" s="4">
        <v>387.0</v>
      </c>
      <c r="F496" s="4" t="s">
        <v>830</v>
      </c>
      <c r="G496" s="4" t="s">
        <v>871</v>
      </c>
      <c r="H496" s="4" t="s">
        <v>43</v>
      </c>
      <c r="I496" s="4" t="s">
        <v>43</v>
      </c>
      <c r="J496" s="4" t="s">
        <v>43</v>
      </c>
      <c r="K496" s="5" t="str">
        <f>HYPERLINK("https://www.instagram.com/p/BpO4WQPAA7F/","Open Post")</f>
        <v>Open Post</v>
      </c>
      <c r="L496" s="4" t="s">
        <v>3197</v>
      </c>
      <c r="M496" s="4" t="s">
        <v>3198</v>
      </c>
      <c r="N496" s="4" t="s">
        <v>3199</v>
      </c>
      <c r="O496" s="4" t="s">
        <v>51</v>
      </c>
      <c r="P496" s="4" t="s">
        <v>3200</v>
      </c>
    </row>
    <row r="497">
      <c r="A497" s="4" t="s">
        <v>829</v>
      </c>
      <c r="B497" s="4">
        <v>388.0</v>
      </c>
      <c r="F497" s="4" t="s">
        <v>830</v>
      </c>
      <c r="G497" s="4" t="s">
        <v>957</v>
      </c>
      <c r="H497" s="4" t="s">
        <v>43</v>
      </c>
      <c r="I497" s="4" t="s">
        <v>43</v>
      </c>
      <c r="J497" s="4" t="s">
        <v>43</v>
      </c>
      <c r="K497" s="5" t="str">
        <f>HYPERLINK("https://www.instagram.com/p/BpG_4zdBJm4/","Open Post")</f>
        <v>Open Post</v>
      </c>
      <c r="L497" s="4" t="s">
        <v>3203</v>
      </c>
      <c r="M497" s="4" t="s">
        <v>49</v>
      </c>
      <c r="N497" s="4" t="s">
        <v>3204</v>
      </c>
      <c r="O497" s="4" t="s">
        <v>51</v>
      </c>
      <c r="P497" s="4" t="s">
        <v>3205</v>
      </c>
    </row>
    <row r="498">
      <c r="A498" s="4" t="s">
        <v>829</v>
      </c>
      <c r="B498" s="4">
        <v>389.0</v>
      </c>
      <c r="F498" s="4" t="s">
        <v>869</v>
      </c>
      <c r="G498" s="4" t="s">
        <v>862</v>
      </c>
      <c r="H498" s="4" t="s">
        <v>43</v>
      </c>
      <c r="I498" s="4" t="s">
        <v>43</v>
      </c>
      <c r="J498" s="4" t="s">
        <v>43</v>
      </c>
      <c r="K498" s="5" t="str">
        <f>HYPERLINK("https://www.instagram.com/p/BpDNLL6AnQA/","Open Post")</f>
        <v>Open Post</v>
      </c>
      <c r="L498" s="4" t="s">
        <v>3207</v>
      </c>
      <c r="M498" s="4" t="s">
        <v>3208</v>
      </c>
      <c r="N498" s="4" t="s">
        <v>3209</v>
      </c>
      <c r="O498" s="4" t="s">
        <v>51</v>
      </c>
      <c r="P498" s="4" t="s">
        <v>3210</v>
      </c>
    </row>
    <row r="499">
      <c r="A499" s="4" t="s">
        <v>829</v>
      </c>
      <c r="B499" s="4">
        <v>390.0</v>
      </c>
      <c r="F499" s="4" t="s">
        <v>830</v>
      </c>
      <c r="G499" s="4" t="s">
        <v>257</v>
      </c>
      <c r="H499" s="4" t="s">
        <v>43</v>
      </c>
      <c r="I499" s="4" t="s">
        <v>43</v>
      </c>
      <c r="J499" s="4" t="s">
        <v>43</v>
      </c>
      <c r="K499" s="5" t="str">
        <f>HYPERLINK("https://www.instagram.com/p/BpBvqI3hyho/","Open Post")</f>
        <v>Open Post</v>
      </c>
      <c r="L499" s="4" t="s">
        <v>3213</v>
      </c>
      <c r="M499" s="4" t="s">
        <v>3214</v>
      </c>
      <c r="N499" s="4" t="s">
        <v>3215</v>
      </c>
      <c r="O499" s="4" t="s">
        <v>51</v>
      </c>
      <c r="P499" s="4" t="s">
        <v>3216</v>
      </c>
    </row>
    <row r="500">
      <c r="A500" s="4" t="s">
        <v>829</v>
      </c>
      <c r="B500" s="4">
        <v>391.0</v>
      </c>
      <c r="F500" s="4" t="s">
        <v>830</v>
      </c>
      <c r="G500" s="4" t="s">
        <v>3219</v>
      </c>
      <c r="H500" s="4" t="s">
        <v>43</v>
      </c>
      <c r="I500" s="4" t="s">
        <v>43</v>
      </c>
      <c r="J500" s="4" t="s">
        <v>43</v>
      </c>
      <c r="K500" s="5" t="str">
        <f>HYPERLINK("https://www.instagram.com/p/BozsQ_SFcyQ/","Open Post")</f>
        <v>Open Post</v>
      </c>
      <c r="L500" s="4" t="s">
        <v>3220</v>
      </c>
      <c r="M500" s="4" t="s">
        <v>3221</v>
      </c>
      <c r="N500" s="4" t="s">
        <v>3222</v>
      </c>
      <c r="O500" s="4" t="s">
        <v>51</v>
      </c>
      <c r="P500" s="4" t="s">
        <v>3224</v>
      </c>
    </row>
    <row r="501">
      <c r="A501" s="4" t="s">
        <v>829</v>
      </c>
      <c r="B501" s="4">
        <v>392.0</v>
      </c>
      <c r="F501" s="4" t="s">
        <v>830</v>
      </c>
      <c r="G501" s="4" t="s">
        <v>3226</v>
      </c>
      <c r="H501" s="4" t="s">
        <v>43</v>
      </c>
      <c r="I501" s="4" t="s">
        <v>43</v>
      </c>
      <c r="J501" s="4" t="s">
        <v>43</v>
      </c>
      <c r="K501" s="5" t="str">
        <f>HYPERLINK("https://www.instagram.com/p/BozXBShFuEM/","Open Post")</f>
        <v>Open Post</v>
      </c>
      <c r="L501" s="4" t="s">
        <v>3227</v>
      </c>
      <c r="M501" s="4" t="s">
        <v>3228</v>
      </c>
      <c r="N501" s="4" t="s">
        <v>3229</v>
      </c>
      <c r="O501" s="4" t="s">
        <v>51</v>
      </c>
      <c r="P501" s="4" t="s">
        <v>3230</v>
      </c>
    </row>
    <row r="502">
      <c r="A502" s="4" t="s">
        <v>829</v>
      </c>
      <c r="B502" s="4">
        <v>393.0</v>
      </c>
      <c r="F502" s="4" t="s">
        <v>830</v>
      </c>
      <c r="G502" s="4" t="s">
        <v>389</v>
      </c>
      <c r="H502" s="4" t="s">
        <v>43</v>
      </c>
      <c r="I502" s="4" t="s">
        <v>43</v>
      </c>
      <c r="J502" s="4" t="s">
        <v>43</v>
      </c>
      <c r="K502" s="5" t="str">
        <f>HYPERLINK("https://www.instagram.com/p/Bov0zTeFW5l/","Open Post")</f>
        <v>Open Post</v>
      </c>
      <c r="L502" s="4" t="s">
        <v>3234</v>
      </c>
      <c r="M502" s="4" t="s">
        <v>3235</v>
      </c>
      <c r="N502" s="4" t="s">
        <v>3236</v>
      </c>
      <c r="O502" s="4" t="s">
        <v>51</v>
      </c>
      <c r="P502" s="4" t="s">
        <v>3237</v>
      </c>
    </row>
    <row r="503">
      <c r="A503" s="4" t="s">
        <v>829</v>
      </c>
      <c r="B503" s="4">
        <v>394.0</v>
      </c>
      <c r="F503" s="4" t="s">
        <v>869</v>
      </c>
      <c r="G503" s="4" t="s">
        <v>207</v>
      </c>
      <c r="H503" s="4" t="s">
        <v>43</v>
      </c>
      <c r="I503" s="4" t="s">
        <v>43</v>
      </c>
      <c r="J503" s="4" t="s">
        <v>43</v>
      </c>
      <c r="K503" s="5" t="str">
        <f>HYPERLINK("https://www.instagram.com/p/BouNSbfjj0d/","Open Post")</f>
        <v>Open Post</v>
      </c>
      <c r="L503" s="4" t="s">
        <v>3238</v>
      </c>
      <c r="M503" s="4" t="s">
        <v>3239</v>
      </c>
      <c r="N503" s="4" t="s">
        <v>3240</v>
      </c>
      <c r="O503" s="4" t="s">
        <v>51</v>
      </c>
      <c r="P503" s="4" t="s">
        <v>3241</v>
      </c>
    </row>
    <row r="504">
      <c r="A504" s="4" t="s">
        <v>829</v>
      </c>
      <c r="B504" s="4">
        <v>395.0</v>
      </c>
      <c r="F504" s="4" t="s">
        <v>869</v>
      </c>
      <c r="G504" s="4" t="s">
        <v>661</v>
      </c>
      <c r="H504" s="4" t="s">
        <v>43</v>
      </c>
      <c r="I504" s="4" t="s">
        <v>43</v>
      </c>
      <c r="J504" s="4" t="s">
        <v>43</v>
      </c>
      <c r="K504" s="5" t="str">
        <f>HYPERLINK("https://www.instagram.com/p/BouBgqHhULx/","Open Post")</f>
        <v>Open Post</v>
      </c>
      <c r="L504" s="4" t="s">
        <v>3245</v>
      </c>
      <c r="M504" s="4" t="s">
        <v>3246</v>
      </c>
      <c r="N504" s="4" t="s">
        <v>3247</v>
      </c>
      <c r="O504" s="4" t="s">
        <v>51</v>
      </c>
      <c r="P504" s="4" t="s">
        <v>3248</v>
      </c>
    </row>
    <row r="505">
      <c r="A505" s="4" t="s">
        <v>829</v>
      </c>
      <c r="B505" s="4">
        <v>396.0</v>
      </c>
      <c r="F505" s="4" t="s">
        <v>830</v>
      </c>
      <c r="G505" s="4" t="s">
        <v>3249</v>
      </c>
      <c r="H505" s="4" t="s">
        <v>43</v>
      </c>
      <c r="I505" s="4" t="s">
        <v>43</v>
      </c>
      <c r="J505" s="4" t="s">
        <v>43</v>
      </c>
      <c r="K505" s="5" t="str">
        <f>HYPERLINK("https://www.instagram.com/p/BotwRaKg88p/","Open Post")</f>
        <v>Open Post</v>
      </c>
      <c r="L505" s="4" t="s">
        <v>3250</v>
      </c>
      <c r="M505" s="4" t="s">
        <v>3252</v>
      </c>
      <c r="N505" s="4" t="s">
        <v>3253</v>
      </c>
      <c r="O505" s="4" t="s">
        <v>51</v>
      </c>
      <c r="P505" s="4" t="s">
        <v>3254</v>
      </c>
    </row>
    <row r="506">
      <c r="A506" s="4" t="s">
        <v>829</v>
      </c>
      <c r="B506" s="4">
        <v>397.0</v>
      </c>
      <c r="F506" s="4" t="s">
        <v>830</v>
      </c>
      <c r="G506" s="4" t="s">
        <v>871</v>
      </c>
      <c r="H506" s="4" t="s">
        <v>43</v>
      </c>
      <c r="I506" s="4" t="s">
        <v>43</v>
      </c>
      <c r="J506" s="4" t="s">
        <v>43</v>
      </c>
      <c r="K506" s="5" t="str">
        <f>HYPERLINK("https://www.instagram.com/p/BotI7h9l-ek/","Open Post")</f>
        <v>Open Post</v>
      </c>
      <c r="L506" s="4" t="s">
        <v>3255</v>
      </c>
      <c r="M506" s="4" t="s">
        <v>3257</v>
      </c>
      <c r="N506" s="4" t="s">
        <v>3259</v>
      </c>
      <c r="O506" s="4" t="s">
        <v>51</v>
      </c>
      <c r="P506" s="4" t="s">
        <v>3260</v>
      </c>
    </row>
    <row r="507">
      <c r="A507" s="4" t="s">
        <v>829</v>
      </c>
      <c r="B507" s="4">
        <v>398.0</v>
      </c>
      <c r="F507" s="4" t="s">
        <v>830</v>
      </c>
      <c r="G507" s="4" t="s">
        <v>661</v>
      </c>
      <c r="H507" s="4" t="s">
        <v>43</v>
      </c>
      <c r="I507" s="4" t="s">
        <v>43</v>
      </c>
      <c r="J507" s="4" t="s">
        <v>43</v>
      </c>
      <c r="K507" s="5" t="str">
        <f>HYPERLINK("https://www.instagram.com/p/BotIbPgFdH2/","Open Post")</f>
        <v>Open Post</v>
      </c>
      <c r="L507" s="4" t="s">
        <v>3262</v>
      </c>
      <c r="M507" s="4" t="s">
        <v>3263</v>
      </c>
      <c r="N507" s="4" t="s">
        <v>3264</v>
      </c>
      <c r="O507" s="4" t="s">
        <v>51</v>
      </c>
      <c r="P507" s="4" t="s">
        <v>3265</v>
      </c>
    </row>
    <row r="508">
      <c r="A508" s="4" t="s">
        <v>829</v>
      </c>
      <c r="B508" s="4">
        <v>399.0</v>
      </c>
      <c r="F508" s="4" t="s">
        <v>869</v>
      </c>
      <c r="G508" s="4" t="s">
        <v>257</v>
      </c>
      <c r="H508" s="4" t="s">
        <v>43</v>
      </c>
      <c r="I508" s="4" t="s">
        <v>43</v>
      </c>
      <c r="J508" s="4" t="s">
        <v>43</v>
      </c>
      <c r="K508" s="5" t="str">
        <f>HYPERLINK("https://www.instagram.com/p/BohFa71FzL5/","Open Post")</f>
        <v>Open Post</v>
      </c>
      <c r="L508" s="4" t="s">
        <v>3267</v>
      </c>
      <c r="M508" s="4" t="s">
        <v>3268</v>
      </c>
      <c r="N508" s="4" t="s">
        <v>3269</v>
      </c>
      <c r="O508" s="4" t="s">
        <v>51</v>
      </c>
      <c r="P508" s="4" t="s">
        <v>3270</v>
      </c>
    </row>
    <row r="509">
      <c r="A509" s="4" t="s">
        <v>829</v>
      </c>
      <c r="B509" s="4">
        <v>400.0</v>
      </c>
      <c r="F509" s="4" t="s">
        <v>57</v>
      </c>
      <c r="G509" s="4" t="s">
        <v>58</v>
      </c>
      <c r="H509" s="4" t="s">
        <v>43</v>
      </c>
      <c r="I509" s="4" t="s">
        <v>43</v>
      </c>
      <c r="J509" s="4" t="s">
        <v>43</v>
      </c>
      <c r="K509" s="5" t="str">
        <f>HYPERLINK("https://www.instagram.com/reel/Boeu8cECQrv/","Open Reel")</f>
        <v>Open Reel</v>
      </c>
      <c r="L509" s="4" t="s">
        <v>3271</v>
      </c>
      <c r="M509" s="4" t="s">
        <v>3272</v>
      </c>
      <c r="N509" s="4" t="s">
        <v>3273</v>
      </c>
      <c r="O509" s="4" t="s">
        <v>51</v>
      </c>
      <c r="P509" s="4" t="s">
        <v>3274</v>
      </c>
    </row>
    <row r="510">
      <c r="A510" s="4" t="s">
        <v>829</v>
      </c>
      <c r="B510" s="4">
        <v>401.0</v>
      </c>
      <c r="F510" s="4" t="s">
        <v>830</v>
      </c>
      <c r="G510" s="4" t="s">
        <v>326</v>
      </c>
      <c r="H510" s="4" t="s">
        <v>43</v>
      </c>
      <c r="I510" s="4" t="s">
        <v>43</v>
      </c>
      <c r="J510" s="4" t="s">
        <v>43</v>
      </c>
      <c r="K510" s="5" t="str">
        <f>HYPERLINK("https://www.instagram.com/p/BobE5iFFG1-/","Open Post")</f>
        <v>Open Post</v>
      </c>
      <c r="L510" s="4" t="s">
        <v>3276</v>
      </c>
      <c r="M510" s="4" t="s">
        <v>3277</v>
      </c>
      <c r="N510" s="4" t="s">
        <v>3278</v>
      </c>
      <c r="O510" s="4" t="s">
        <v>51</v>
      </c>
      <c r="P510" s="4" t="s">
        <v>3279</v>
      </c>
    </row>
    <row r="511">
      <c r="A511" s="4" t="s">
        <v>829</v>
      </c>
      <c r="B511" s="4">
        <v>402.0</v>
      </c>
      <c r="F511" s="4" t="s">
        <v>830</v>
      </c>
      <c r="G511" s="4" t="s">
        <v>871</v>
      </c>
      <c r="H511" s="4" t="s">
        <v>43</v>
      </c>
      <c r="I511" s="4" t="s">
        <v>43</v>
      </c>
      <c r="J511" s="4" t="s">
        <v>43</v>
      </c>
      <c r="K511" s="5" t="str">
        <f>HYPERLINK("https://www.instagram.com/p/BoZeU2XnWyx/","Open Post")</f>
        <v>Open Post</v>
      </c>
      <c r="L511" s="4" t="s">
        <v>3283</v>
      </c>
      <c r="M511" s="4" t="s">
        <v>3284</v>
      </c>
      <c r="N511" s="4" t="s">
        <v>3285</v>
      </c>
      <c r="O511" s="4" t="s">
        <v>51</v>
      </c>
      <c r="P511" s="4" t="s">
        <v>3286</v>
      </c>
    </row>
    <row r="512">
      <c r="A512" s="4" t="s">
        <v>829</v>
      </c>
      <c r="B512" s="4">
        <v>403.0</v>
      </c>
      <c r="F512" s="4" t="s">
        <v>830</v>
      </c>
      <c r="G512" s="4" t="s">
        <v>431</v>
      </c>
      <c r="H512" s="4" t="s">
        <v>43</v>
      </c>
      <c r="I512" s="4" t="s">
        <v>43</v>
      </c>
      <c r="J512" s="4" t="s">
        <v>43</v>
      </c>
      <c r="K512" s="5" t="str">
        <f>HYPERLINK("https://www.instagram.com/p/BoW9jMxgAw3/","Open Post")</f>
        <v>Open Post</v>
      </c>
      <c r="L512" s="4" t="s">
        <v>3287</v>
      </c>
      <c r="M512" s="4" t="s">
        <v>3288</v>
      </c>
      <c r="N512" s="4" t="s">
        <v>3289</v>
      </c>
      <c r="O512" s="4" t="s">
        <v>51</v>
      </c>
      <c r="P512" s="4" t="s">
        <v>3290</v>
      </c>
    </row>
    <row r="513">
      <c r="A513" s="4" t="s">
        <v>829</v>
      </c>
      <c r="B513" s="4">
        <v>404.0</v>
      </c>
      <c r="F513" s="4" t="s">
        <v>830</v>
      </c>
      <c r="G513" s="4" t="s">
        <v>871</v>
      </c>
      <c r="H513" s="4" t="s">
        <v>43</v>
      </c>
      <c r="I513" s="4" t="s">
        <v>43</v>
      </c>
      <c r="J513" s="4" t="s">
        <v>43</v>
      </c>
      <c r="K513" s="5" t="str">
        <f>HYPERLINK("https://www.instagram.com/p/BoUHDbjgM2t/","Open Post")</f>
        <v>Open Post</v>
      </c>
      <c r="L513" s="4" t="s">
        <v>3293</v>
      </c>
      <c r="M513" s="4" t="s">
        <v>3294</v>
      </c>
      <c r="N513" s="4" t="s">
        <v>3295</v>
      </c>
      <c r="O513" s="4" t="s">
        <v>51</v>
      </c>
      <c r="P513" s="4" t="s">
        <v>3296</v>
      </c>
    </row>
    <row r="514">
      <c r="A514" s="4" t="s">
        <v>829</v>
      </c>
      <c r="B514" s="4">
        <v>405.0</v>
      </c>
      <c r="F514" s="4" t="s">
        <v>869</v>
      </c>
      <c r="G514" s="4" t="s">
        <v>957</v>
      </c>
      <c r="H514" s="4" t="s">
        <v>43</v>
      </c>
      <c r="I514" s="4" t="s">
        <v>43</v>
      </c>
      <c r="J514" s="4" t="s">
        <v>43</v>
      </c>
      <c r="K514" s="5" t="str">
        <f>HYPERLINK("https://www.instagram.com/p/BoT3Ucqlz7B/","Open Post")</f>
        <v>Open Post</v>
      </c>
      <c r="L514" s="4" t="s">
        <v>3297</v>
      </c>
      <c r="M514" s="4" t="s">
        <v>3298</v>
      </c>
      <c r="N514" s="4" t="s">
        <v>3299</v>
      </c>
      <c r="O514" s="4" t="s">
        <v>51</v>
      </c>
      <c r="P514" s="4" t="s">
        <v>3301</v>
      </c>
    </row>
    <row r="515">
      <c r="A515" s="4" t="s">
        <v>829</v>
      </c>
      <c r="B515" s="4">
        <v>406.0</v>
      </c>
      <c r="F515" s="4" t="s">
        <v>869</v>
      </c>
      <c r="G515" s="4" t="s">
        <v>306</v>
      </c>
      <c r="H515" s="4" t="s">
        <v>43</v>
      </c>
      <c r="I515" s="4" t="s">
        <v>43</v>
      </c>
      <c r="J515" s="4" t="s">
        <v>43</v>
      </c>
      <c r="K515" s="5" t="str">
        <f>HYPERLINK("https://www.instagram.com/p/BoRygKFlpxN/","Open Post")</f>
        <v>Open Post</v>
      </c>
      <c r="L515" s="4" t="s">
        <v>3302</v>
      </c>
      <c r="M515" s="4" t="s">
        <v>49</v>
      </c>
      <c r="N515" s="4" t="s">
        <v>3303</v>
      </c>
      <c r="O515" s="4" t="s">
        <v>51</v>
      </c>
      <c r="P515" s="4" t="s">
        <v>3304</v>
      </c>
    </row>
    <row r="516">
      <c r="A516" s="4" t="s">
        <v>829</v>
      </c>
      <c r="B516" s="4">
        <v>407.0</v>
      </c>
      <c r="F516" s="4" t="s">
        <v>830</v>
      </c>
      <c r="G516" s="4" t="s">
        <v>957</v>
      </c>
      <c r="H516" s="4" t="s">
        <v>43</v>
      </c>
      <c r="I516" s="4" t="s">
        <v>43</v>
      </c>
      <c r="J516" s="4" t="s">
        <v>43</v>
      </c>
      <c r="K516" s="5" t="str">
        <f>HYPERLINK("https://www.instagram.com/p/BoRyGsbAFgh/","Open Post")</f>
        <v>Open Post</v>
      </c>
      <c r="L516" s="4" t="s">
        <v>3307</v>
      </c>
      <c r="M516" s="4" t="s">
        <v>3298</v>
      </c>
      <c r="N516" s="4" t="s">
        <v>3308</v>
      </c>
      <c r="O516" s="4" t="s">
        <v>51</v>
      </c>
      <c r="P516" s="4" t="s">
        <v>3309</v>
      </c>
    </row>
    <row r="517">
      <c r="A517" s="4" t="s">
        <v>829</v>
      </c>
      <c r="B517" s="4">
        <v>408.0</v>
      </c>
      <c r="F517" s="4" t="s">
        <v>830</v>
      </c>
      <c r="G517" s="4" t="s">
        <v>306</v>
      </c>
      <c r="H517" s="4" t="s">
        <v>43</v>
      </c>
      <c r="I517" s="4" t="s">
        <v>43</v>
      </c>
      <c r="J517" s="4" t="s">
        <v>43</v>
      </c>
      <c r="K517" s="5" t="str">
        <f>HYPERLINK("https://www.instagram.com/p/BoRxNHalMNE/","Open Post")</f>
        <v>Open Post</v>
      </c>
      <c r="L517" s="4" t="s">
        <v>3314</v>
      </c>
      <c r="M517" s="4" t="s">
        <v>49</v>
      </c>
      <c r="N517" s="4" t="s">
        <v>3315</v>
      </c>
      <c r="O517" s="4" t="s">
        <v>51</v>
      </c>
      <c r="P517" s="4" t="s">
        <v>3316</v>
      </c>
    </row>
    <row r="518">
      <c r="A518" s="4" t="s">
        <v>829</v>
      </c>
      <c r="B518" s="4">
        <v>409.0</v>
      </c>
      <c r="F518" s="4" t="s">
        <v>830</v>
      </c>
      <c r="G518" s="4" t="s">
        <v>957</v>
      </c>
      <c r="H518" s="4" t="s">
        <v>43</v>
      </c>
      <c r="I518" s="4" t="s">
        <v>43</v>
      </c>
      <c r="J518" s="4" t="s">
        <v>43</v>
      </c>
      <c r="K518" s="5" t="str">
        <f>HYPERLINK("https://www.instagram.com/p/BoRSnj0n7c1/","Open Post")</f>
        <v>Open Post</v>
      </c>
      <c r="L518" s="4" t="s">
        <v>3317</v>
      </c>
      <c r="M518" s="4" t="s">
        <v>3318</v>
      </c>
      <c r="N518" s="4" t="s">
        <v>3319</v>
      </c>
      <c r="O518" s="4" t="s">
        <v>51</v>
      </c>
      <c r="P518" s="4" t="s">
        <v>3320</v>
      </c>
    </row>
    <row r="519">
      <c r="A519" s="4" t="s">
        <v>829</v>
      </c>
      <c r="B519" s="4">
        <v>410.0</v>
      </c>
      <c r="F519" s="4" t="s">
        <v>830</v>
      </c>
      <c r="G519" s="4" t="s">
        <v>165</v>
      </c>
      <c r="H519" s="4" t="s">
        <v>43</v>
      </c>
      <c r="I519" s="4" t="s">
        <v>43</v>
      </c>
      <c r="J519" s="4" t="s">
        <v>43</v>
      </c>
      <c r="K519" s="5" t="str">
        <f>HYPERLINK("https://www.instagram.com/p/BoM0INWnVSE/","Open Post")</f>
        <v>Open Post</v>
      </c>
      <c r="L519" s="4" t="s">
        <v>3323</v>
      </c>
      <c r="M519" s="4" t="s">
        <v>3325</v>
      </c>
      <c r="N519" s="4" t="s">
        <v>3326</v>
      </c>
      <c r="O519" s="4" t="s">
        <v>51</v>
      </c>
      <c r="P519" s="4" t="s">
        <v>3327</v>
      </c>
    </row>
    <row r="520">
      <c r="A520" s="4" t="s">
        <v>829</v>
      </c>
      <c r="B520" s="4">
        <v>411.0</v>
      </c>
      <c r="F520" s="4" t="s">
        <v>830</v>
      </c>
      <c r="G520" s="4" t="s">
        <v>852</v>
      </c>
      <c r="H520" s="4" t="s">
        <v>43</v>
      </c>
      <c r="I520" s="4" t="s">
        <v>43</v>
      </c>
      <c r="J520" s="4" t="s">
        <v>43</v>
      </c>
      <c r="K520" s="5" t="str">
        <f>HYPERLINK("https://www.instagram.com/p/BoKIQKph0sM/","Open Post")</f>
        <v>Open Post</v>
      </c>
      <c r="L520" s="4" t="s">
        <v>3328</v>
      </c>
      <c r="M520" s="4" t="s">
        <v>3329</v>
      </c>
      <c r="N520" s="4" t="s">
        <v>3330</v>
      </c>
      <c r="O520" s="4" t="s">
        <v>51</v>
      </c>
      <c r="P520" s="4" t="s">
        <v>3331</v>
      </c>
    </row>
    <row r="521">
      <c r="A521" s="4" t="s">
        <v>829</v>
      </c>
      <c r="B521" s="4">
        <v>412.0</v>
      </c>
      <c r="F521" s="4" t="s">
        <v>830</v>
      </c>
      <c r="G521" s="4" t="s">
        <v>852</v>
      </c>
      <c r="H521" s="4" t="s">
        <v>43</v>
      </c>
      <c r="I521" s="4" t="s">
        <v>43</v>
      </c>
      <c r="J521" s="4" t="s">
        <v>43</v>
      </c>
      <c r="K521" s="5" t="str">
        <f>HYPERLINK("https://www.instagram.com/p/BoH-IgnFxJL/","Open Post")</f>
        <v>Open Post</v>
      </c>
      <c r="L521" s="4" t="s">
        <v>3333</v>
      </c>
      <c r="M521" s="4" t="s">
        <v>3334</v>
      </c>
      <c r="N521" s="4" t="s">
        <v>3335</v>
      </c>
      <c r="O521" s="4" t="s">
        <v>51</v>
      </c>
      <c r="P521" s="4" t="s">
        <v>3336</v>
      </c>
    </row>
    <row r="522">
      <c r="A522" s="4" t="s">
        <v>829</v>
      </c>
      <c r="B522" s="4">
        <v>413.0</v>
      </c>
      <c r="F522" s="4" t="s">
        <v>830</v>
      </c>
      <c r="G522" s="4" t="s">
        <v>165</v>
      </c>
      <c r="H522" s="4" t="s">
        <v>43</v>
      </c>
      <c r="I522" s="4" t="s">
        <v>43</v>
      </c>
      <c r="J522" s="4" t="s">
        <v>43</v>
      </c>
      <c r="K522" s="5" t="str">
        <f>HYPERLINK("https://www.instagram.com/p/BoGPhM-lEsi/","Open Post")</f>
        <v>Open Post</v>
      </c>
      <c r="L522" s="4" t="s">
        <v>3338</v>
      </c>
      <c r="M522" s="4" t="s">
        <v>3339</v>
      </c>
      <c r="N522" s="4" t="s">
        <v>3340</v>
      </c>
      <c r="O522" s="4" t="s">
        <v>51</v>
      </c>
      <c r="P522" s="4" t="s">
        <v>3342</v>
      </c>
    </row>
    <row r="523">
      <c r="A523" s="4" t="s">
        <v>829</v>
      </c>
      <c r="B523" s="4">
        <v>414.0</v>
      </c>
      <c r="F523" s="4" t="s">
        <v>830</v>
      </c>
      <c r="G523" s="4" t="s">
        <v>871</v>
      </c>
      <c r="H523" s="4" t="s">
        <v>43</v>
      </c>
      <c r="I523" s="4" t="s">
        <v>43</v>
      </c>
      <c r="J523" s="4" t="s">
        <v>43</v>
      </c>
      <c r="K523" s="5" t="str">
        <f>HYPERLINK("https://www.instagram.com/p/BoAWncChZgx/","Open Post")</f>
        <v>Open Post</v>
      </c>
      <c r="L523" s="4" t="s">
        <v>3343</v>
      </c>
      <c r="M523" s="4" t="s">
        <v>3344</v>
      </c>
      <c r="N523" s="4" t="s">
        <v>3345</v>
      </c>
      <c r="O523" s="4" t="s">
        <v>51</v>
      </c>
      <c r="P523" s="4" t="s">
        <v>3346</v>
      </c>
    </row>
    <row r="524">
      <c r="A524" s="4" t="s">
        <v>829</v>
      </c>
      <c r="B524" s="4">
        <v>415.0</v>
      </c>
      <c r="F524" s="4" t="s">
        <v>830</v>
      </c>
      <c r="G524" s="4" t="s">
        <v>3347</v>
      </c>
      <c r="H524" s="4" t="s">
        <v>43</v>
      </c>
      <c r="I524" s="4" t="s">
        <v>43</v>
      </c>
      <c r="J524" s="4" t="s">
        <v>43</v>
      </c>
      <c r="K524" s="5" t="str">
        <f>HYPERLINK("https://www.instagram.com/p/Bnp2hDSAeCq/","Open Post")</f>
        <v>Open Post</v>
      </c>
      <c r="L524" s="4" t="s">
        <v>3350</v>
      </c>
      <c r="M524" s="4" t="s">
        <v>3351</v>
      </c>
      <c r="N524" s="4" t="s">
        <v>3352</v>
      </c>
      <c r="O524" s="4" t="s">
        <v>51</v>
      </c>
      <c r="P524" s="4" t="s">
        <v>3353</v>
      </c>
    </row>
    <row r="525">
      <c r="A525" s="4" t="s">
        <v>829</v>
      </c>
      <c r="B525" s="4">
        <v>416.0</v>
      </c>
      <c r="F525" s="4" t="s">
        <v>830</v>
      </c>
      <c r="G525" s="4" t="s">
        <v>326</v>
      </c>
      <c r="H525" s="4" t="s">
        <v>43</v>
      </c>
      <c r="I525" s="4" t="s">
        <v>43</v>
      </c>
      <c r="J525" s="4" t="s">
        <v>43</v>
      </c>
      <c r="K525" s="5" t="str">
        <f>HYPERLINK("https://www.instagram.com/p/Bn97BVbAPUq/","Open Post")</f>
        <v>Open Post</v>
      </c>
      <c r="L525" s="4" t="s">
        <v>3356</v>
      </c>
      <c r="M525" s="4" t="s">
        <v>3357</v>
      </c>
      <c r="N525" s="4" t="s">
        <v>3358</v>
      </c>
      <c r="O525" s="4" t="s">
        <v>51</v>
      </c>
      <c r="P525" s="4" t="s">
        <v>3359</v>
      </c>
    </row>
    <row r="526">
      <c r="A526" s="4" t="s">
        <v>829</v>
      </c>
      <c r="B526" s="4">
        <v>417.0</v>
      </c>
      <c r="F526" s="4" t="s">
        <v>830</v>
      </c>
      <c r="G526" s="4" t="s">
        <v>661</v>
      </c>
      <c r="H526" s="4" t="s">
        <v>43</v>
      </c>
      <c r="I526" s="4" t="s">
        <v>43</v>
      </c>
      <c r="J526" s="4" t="s">
        <v>43</v>
      </c>
      <c r="K526" s="5" t="str">
        <f>HYPERLINK("https://www.instagram.com/p/Bn7l0QlBcC6/","Open Post")</f>
        <v>Open Post</v>
      </c>
      <c r="L526" s="4" t="s">
        <v>3361</v>
      </c>
      <c r="M526" s="4" t="s">
        <v>3362</v>
      </c>
      <c r="N526" s="4" t="s">
        <v>3363</v>
      </c>
      <c r="O526" s="4" t="s">
        <v>51</v>
      </c>
      <c r="P526" s="4" t="s">
        <v>3364</v>
      </c>
    </row>
    <row r="527">
      <c r="A527" s="4" t="s">
        <v>829</v>
      </c>
      <c r="B527" s="4">
        <v>418.0</v>
      </c>
      <c r="F527" s="4" t="s">
        <v>830</v>
      </c>
      <c r="G527" s="4" t="s">
        <v>661</v>
      </c>
      <c r="H527" s="4" t="s">
        <v>43</v>
      </c>
      <c r="I527" s="4" t="s">
        <v>43</v>
      </c>
      <c r="J527" s="4" t="s">
        <v>43</v>
      </c>
      <c r="K527" s="5" t="str">
        <f>HYPERLINK("https://www.instagram.com/p/Bn69oR6FK9-/","Open Post")</f>
        <v>Open Post</v>
      </c>
      <c r="L527" s="4" t="s">
        <v>3366</v>
      </c>
      <c r="M527" s="4" t="s">
        <v>3367</v>
      </c>
      <c r="N527" s="4" t="s">
        <v>3369</v>
      </c>
      <c r="O527" s="4" t="s">
        <v>51</v>
      </c>
      <c r="P527" s="4" t="s">
        <v>3370</v>
      </c>
    </row>
    <row r="528">
      <c r="A528" s="4" t="s">
        <v>829</v>
      </c>
      <c r="B528" s="4">
        <v>419.0</v>
      </c>
      <c r="F528" s="4" t="s">
        <v>830</v>
      </c>
      <c r="G528" s="4" t="s">
        <v>2257</v>
      </c>
      <c r="H528" s="4" t="s">
        <v>43</v>
      </c>
      <c r="I528" s="4" t="s">
        <v>43</v>
      </c>
      <c r="J528" s="4" t="s">
        <v>43</v>
      </c>
      <c r="K528" s="5" t="str">
        <f>HYPERLINK("https://www.instagram.com/p/Bn3-v7RBrvz/","Open Post")</f>
        <v>Open Post</v>
      </c>
      <c r="L528" s="4" t="s">
        <v>3371</v>
      </c>
      <c r="M528" s="4" t="s">
        <v>3372</v>
      </c>
      <c r="N528" s="4" t="s">
        <v>3374</v>
      </c>
      <c r="O528" s="4" t="s">
        <v>51</v>
      </c>
      <c r="P528" s="4" t="s">
        <v>3376</v>
      </c>
    </row>
    <row r="529">
      <c r="A529" s="4" t="s">
        <v>829</v>
      </c>
      <c r="B529" s="4">
        <v>420.0</v>
      </c>
      <c r="F529" s="4" t="s">
        <v>830</v>
      </c>
      <c r="G529" s="4" t="s">
        <v>431</v>
      </c>
      <c r="H529" s="4" t="s">
        <v>43</v>
      </c>
      <c r="I529" s="4" t="s">
        <v>43</v>
      </c>
      <c r="J529" s="4" t="s">
        <v>43</v>
      </c>
      <c r="K529" s="5" t="str">
        <f>HYPERLINK("https://www.instagram.com/p/BnqOUqZl1Ja/","Open Post")</f>
        <v>Open Post</v>
      </c>
      <c r="L529" s="4" t="s">
        <v>3378</v>
      </c>
      <c r="M529" s="4" t="s">
        <v>3379</v>
      </c>
      <c r="N529" s="4" t="s">
        <v>3380</v>
      </c>
      <c r="O529" s="4" t="s">
        <v>51</v>
      </c>
      <c r="P529" s="4" t="s">
        <v>3381</v>
      </c>
    </row>
    <row r="530">
      <c r="A530" s="4" t="s">
        <v>829</v>
      </c>
      <c r="B530" s="4">
        <v>421.0</v>
      </c>
      <c r="F530" s="4" t="s">
        <v>830</v>
      </c>
      <c r="G530" s="4" t="s">
        <v>165</v>
      </c>
      <c r="H530" s="4" t="s">
        <v>43</v>
      </c>
      <c r="I530" s="4" t="s">
        <v>43</v>
      </c>
      <c r="J530" s="4" t="s">
        <v>43</v>
      </c>
      <c r="K530" s="5" t="str">
        <f>HYPERLINK("https://www.instagram.com/p/BnqGowKAqFF/","Open Post")</f>
        <v>Open Post</v>
      </c>
      <c r="L530" s="4" t="s">
        <v>3383</v>
      </c>
      <c r="M530" s="4" t="s">
        <v>49</v>
      </c>
      <c r="N530" s="4" t="s">
        <v>3384</v>
      </c>
      <c r="O530" s="4" t="s">
        <v>51</v>
      </c>
      <c r="P530" s="4" t="s">
        <v>3385</v>
      </c>
    </row>
    <row r="531">
      <c r="A531" s="4" t="s">
        <v>829</v>
      </c>
      <c r="B531" s="4">
        <v>422.0</v>
      </c>
      <c r="F531" s="4" t="s">
        <v>830</v>
      </c>
      <c r="G531" s="4" t="s">
        <v>3386</v>
      </c>
      <c r="H531" s="4" t="s">
        <v>43</v>
      </c>
      <c r="I531" s="4" t="s">
        <v>43</v>
      </c>
      <c r="J531" s="4" t="s">
        <v>43</v>
      </c>
      <c r="K531" s="5" t="str">
        <f>HYPERLINK("https://www.instagram.com/p/Bnn4jTVFprV/","Open Post")</f>
        <v>Open Post</v>
      </c>
      <c r="L531" s="4" t="s">
        <v>3389</v>
      </c>
      <c r="M531" s="4" t="s">
        <v>3390</v>
      </c>
      <c r="N531" s="4" t="s">
        <v>3391</v>
      </c>
      <c r="O531" s="4" t="s">
        <v>51</v>
      </c>
      <c r="P531" s="4" t="s">
        <v>3392</v>
      </c>
    </row>
    <row r="532">
      <c r="A532" s="4" t="s">
        <v>829</v>
      </c>
      <c r="B532" s="4">
        <v>423.0</v>
      </c>
      <c r="F532" s="4" t="s">
        <v>830</v>
      </c>
      <c r="G532" s="4" t="s">
        <v>431</v>
      </c>
      <c r="H532" s="4" t="s">
        <v>43</v>
      </c>
      <c r="I532" s="4" t="s">
        <v>43</v>
      </c>
      <c r="J532" s="4" t="s">
        <v>43</v>
      </c>
      <c r="K532" s="5" t="str">
        <f>HYPERLINK("https://www.instagram.com/p/BnlUwCNFYp9/","Open Post")</f>
        <v>Open Post</v>
      </c>
      <c r="L532" s="4" t="s">
        <v>3394</v>
      </c>
      <c r="M532" s="4" t="s">
        <v>2825</v>
      </c>
      <c r="N532" s="4" t="s">
        <v>3395</v>
      </c>
      <c r="O532" s="4" t="s">
        <v>51</v>
      </c>
      <c r="P532" s="4" t="s">
        <v>3396</v>
      </c>
    </row>
    <row r="533">
      <c r="A533" s="4" t="s">
        <v>829</v>
      </c>
      <c r="B533" s="4">
        <v>424.0</v>
      </c>
      <c r="F533" s="4" t="s">
        <v>830</v>
      </c>
      <c r="G533" s="4" t="s">
        <v>871</v>
      </c>
      <c r="H533" s="4" t="s">
        <v>43</v>
      </c>
      <c r="I533" s="4" t="s">
        <v>43</v>
      </c>
      <c r="J533" s="4" t="s">
        <v>43</v>
      </c>
      <c r="K533" s="5" t="str">
        <f>HYPERLINK("https://www.instagram.com/p/BnlRvDkFjds/","Open Post")</f>
        <v>Open Post</v>
      </c>
      <c r="L533" s="4" t="s">
        <v>3398</v>
      </c>
      <c r="M533" s="4" t="s">
        <v>3399</v>
      </c>
      <c r="N533" s="4" t="s">
        <v>3400</v>
      </c>
      <c r="O533" s="4" t="s">
        <v>51</v>
      </c>
      <c r="P533" s="4" t="s">
        <v>3401</v>
      </c>
    </row>
    <row r="534">
      <c r="A534" s="4" t="s">
        <v>829</v>
      </c>
      <c r="B534" s="4">
        <v>425.0</v>
      </c>
      <c r="F534" s="4" t="s">
        <v>830</v>
      </c>
      <c r="G534" s="4" t="s">
        <v>257</v>
      </c>
      <c r="H534" s="4" t="s">
        <v>43</v>
      </c>
      <c r="I534" s="4" t="s">
        <v>43</v>
      </c>
      <c r="J534" s="4" t="s">
        <v>43</v>
      </c>
      <c r="K534" s="5" t="str">
        <f>HYPERLINK("https://www.instagram.com/p/Bnd79VDgSEP/","Open Post")</f>
        <v>Open Post</v>
      </c>
      <c r="L534" s="4" t="s">
        <v>3404</v>
      </c>
      <c r="M534" s="4" t="s">
        <v>3405</v>
      </c>
      <c r="N534" s="4" t="s">
        <v>3406</v>
      </c>
      <c r="O534" s="4" t="s">
        <v>51</v>
      </c>
      <c r="P534" s="4" t="s">
        <v>3408</v>
      </c>
    </row>
    <row r="535">
      <c r="A535" s="4" t="s">
        <v>829</v>
      </c>
      <c r="B535" s="4">
        <v>426.0</v>
      </c>
      <c r="F535" s="4" t="s">
        <v>830</v>
      </c>
      <c r="G535" s="4" t="s">
        <v>852</v>
      </c>
      <c r="H535" s="4" t="s">
        <v>43</v>
      </c>
      <c r="I535" s="4" t="s">
        <v>43</v>
      </c>
      <c r="J535" s="4" t="s">
        <v>43</v>
      </c>
      <c r="K535" s="5" t="str">
        <f>HYPERLINK("https://www.instagram.com/p/Bnd0MwRg2Df/","Open Post")</f>
        <v>Open Post</v>
      </c>
      <c r="L535" s="4" t="s">
        <v>3409</v>
      </c>
      <c r="M535" s="4" t="s">
        <v>3410</v>
      </c>
      <c r="N535" s="4" t="s">
        <v>3411</v>
      </c>
      <c r="O535" s="4" t="s">
        <v>51</v>
      </c>
      <c r="P535" s="4" t="s">
        <v>3412</v>
      </c>
    </row>
    <row r="536">
      <c r="A536" s="4" t="s">
        <v>829</v>
      </c>
      <c r="B536" s="4">
        <v>427.0</v>
      </c>
      <c r="F536" s="4" t="s">
        <v>830</v>
      </c>
      <c r="G536" s="4" t="s">
        <v>431</v>
      </c>
      <c r="H536" s="4" t="s">
        <v>43</v>
      </c>
      <c r="I536" s="4" t="s">
        <v>43</v>
      </c>
      <c r="J536" s="4" t="s">
        <v>43</v>
      </c>
      <c r="K536" s="5" t="str">
        <f>HYPERLINK("https://www.instagram.com/p/Bna6V67F3zx/","Open Post")</f>
        <v>Open Post</v>
      </c>
      <c r="L536" s="4" t="s">
        <v>3415</v>
      </c>
      <c r="M536" s="4" t="s">
        <v>3416</v>
      </c>
      <c r="N536" s="4" t="s">
        <v>3417</v>
      </c>
      <c r="O536" s="4" t="s">
        <v>51</v>
      </c>
      <c r="P536" s="4" t="s">
        <v>3418</v>
      </c>
    </row>
    <row r="537">
      <c r="A537" s="4" t="s">
        <v>829</v>
      </c>
      <c r="B537" s="4">
        <v>428.0</v>
      </c>
      <c r="F537" s="4" t="s">
        <v>830</v>
      </c>
      <c r="G537" s="4" t="s">
        <v>871</v>
      </c>
      <c r="H537" s="4" t="s">
        <v>43</v>
      </c>
      <c r="I537" s="4" t="s">
        <v>43</v>
      </c>
      <c r="J537" s="4" t="s">
        <v>43</v>
      </c>
      <c r="K537" s="5" t="str">
        <f>HYPERLINK("https://www.instagram.com/p/BnWGvyMjGU3/","Open Post")</f>
        <v>Open Post</v>
      </c>
      <c r="L537" s="4" t="s">
        <v>3419</v>
      </c>
      <c r="M537" s="4" t="s">
        <v>3420</v>
      </c>
      <c r="N537" s="4" t="s">
        <v>3421</v>
      </c>
      <c r="O537" s="4" t="s">
        <v>51</v>
      </c>
      <c r="P537" s="4" t="s">
        <v>3422</v>
      </c>
    </row>
    <row r="538">
      <c r="A538" s="4" t="s">
        <v>829</v>
      </c>
      <c r="B538" s="4">
        <v>429.0</v>
      </c>
      <c r="F538" s="4" t="s">
        <v>830</v>
      </c>
      <c r="G538" s="4" t="s">
        <v>957</v>
      </c>
      <c r="H538" s="4" t="s">
        <v>43</v>
      </c>
      <c r="I538" s="4" t="s">
        <v>43</v>
      </c>
      <c r="J538" s="4" t="s">
        <v>43</v>
      </c>
      <c r="K538" s="5" t="str">
        <f>HYPERLINK("https://www.instagram.com/p/BnU4SmHFUex/","Open Post")</f>
        <v>Open Post</v>
      </c>
      <c r="L538" s="4" t="s">
        <v>3424</v>
      </c>
      <c r="M538" s="4" t="s">
        <v>3425</v>
      </c>
      <c r="N538" s="4" t="s">
        <v>3426</v>
      </c>
      <c r="O538" s="4" t="s">
        <v>51</v>
      </c>
      <c r="P538" s="4" t="s">
        <v>3430</v>
      </c>
    </row>
    <row r="539">
      <c r="A539" s="4" t="s">
        <v>829</v>
      </c>
      <c r="B539" s="4">
        <v>430.0</v>
      </c>
      <c r="F539" s="4" t="s">
        <v>830</v>
      </c>
      <c r="G539" s="4" t="s">
        <v>166</v>
      </c>
      <c r="H539" s="4" t="s">
        <v>43</v>
      </c>
      <c r="I539" s="4" t="s">
        <v>43</v>
      </c>
      <c r="J539" s="4" t="s">
        <v>43</v>
      </c>
      <c r="K539" s="5" t="str">
        <f>HYPERLINK("https://www.instagram.com/p/BnUdTTFjDNN/","Open Post")</f>
        <v>Open Post</v>
      </c>
      <c r="L539" s="4" t="s">
        <v>3431</v>
      </c>
      <c r="M539" s="4" t="s">
        <v>3433</v>
      </c>
      <c r="N539" s="4" t="s">
        <v>3434</v>
      </c>
      <c r="O539" s="4" t="s">
        <v>51</v>
      </c>
      <c r="P539" s="4" t="s">
        <v>3436</v>
      </c>
    </row>
    <row r="540">
      <c r="A540" s="4" t="s">
        <v>829</v>
      </c>
      <c r="B540" s="4">
        <v>431.0</v>
      </c>
      <c r="F540" s="4" t="s">
        <v>830</v>
      </c>
      <c r="G540" s="4" t="s">
        <v>207</v>
      </c>
      <c r="H540" s="4" t="s">
        <v>43</v>
      </c>
      <c r="I540" s="4" t="s">
        <v>43</v>
      </c>
      <c r="J540" s="4" t="s">
        <v>43</v>
      </c>
      <c r="K540" s="5" t="str">
        <f>HYPERLINK("https://www.instagram.com/p/BnCyD_TgpsN/","Open Post")</f>
        <v>Open Post</v>
      </c>
      <c r="L540" s="4" t="s">
        <v>3440</v>
      </c>
      <c r="M540" s="4" t="s">
        <v>49</v>
      </c>
      <c r="N540" s="4" t="s">
        <v>3441</v>
      </c>
      <c r="O540" s="4" t="s">
        <v>51</v>
      </c>
      <c r="P540" s="4" t="s">
        <v>3442</v>
      </c>
    </row>
    <row r="541">
      <c r="A541" s="4" t="s">
        <v>829</v>
      </c>
      <c r="B541" s="4">
        <v>432.0</v>
      </c>
      <c r="F541" s="4" t="s">
        <v>830</v>
      </c>
      <c r="G541" s="4" t="s">
        <v>871</v>
      </c>
      <c r="H541" s="4" t="s">
        <v>43</v>
      </c>
      <c r="I541" s="4" t="s">
        <v>43</v>
      </c>
      <c r="J541" s="4" t="s">
        <v>43</v>
      </c>
      <c r="K541" s="5" t="str">
        <f>HYPERLINK("https://www.instagram.com/p/Bm_cFLplONe/","Open Post")</f>
        <v>Open Post</v>
      </c>
      <c r="L541" s="4" t="s">
        <v>3445</v>
      </c>
      <c r="M541" s="4" t="s">
        <v>3446</v>
      </c>
      <c r="N541" s="4" t="s">
        <v>3447</v>
      </c>
      <c r="O541" s="4" t="s">
        <v>51</v>
      </c>
      <c r="P541" s="4" t="s">
        <v>3448</v>
      </c>
    </row>
    <row r="542">
      <c r="A542" s="4" t="s">
        <v>829</v>
      </c>
      <c r="B542" s="4">
        <v>433.0</v>
      </c>
      <c r="F542" s="4" t="s">
        <v>830</v>
      </c>
      <c r="G542" s="4" t="s">
        <v>166</v>
      </c>
      <c r="H542" s="4" t="s">
        <v>43</v>
      </c>
      <c r="I542" s="4" t="s">
        <v>43</v>
      </c>
      <c r="J542" s="4" t="s">
        <v>43</v>
      </c>
      <c r="K542" s="5" t="str">
        <f>HYPERLINK("https://www.instagram.com/p/Bm4Ew0sFfvY/","Open Post")</f>
        <v>Open Post</v>
      </c>
      <c r="L542" s="4" t="s">
        <v>3451</v>
      </c>
      <c r="M542" s="4" t="s">
        <v>3452</v>
      </c>
      <c r="N542" s="4" t="s">
        <v>3453</v>
      </c>
      <c r="O542" s="4" t="s">
        <v>51</v>
      </c>
      <c r="P542" s="4" t="s">
        <v>3454</v>
      </c>
    </row>
    <row r="543">
      <c r="A543" s="4" t="s">
        <v>829</v>
      </c>
      <c r="B543" s="4">
        <v>434.0</v>
      </c>
      <c r="F543" s="4" t="s">
        <v>830</v>
      </c>
      <c r="G543" s="4" t="s">
        <v>371</v>
      </c>
      <c r="H543" s="4" t="s">
        <v>43</v>
      </c>
      <c r="I543" s="4" t="s">
        <v>43</v>
      </c>
      <c r="J543" s="4" t="s">
        <v>43</v>
      </c>
      <c r="K543" s="5" t="str">
        <f>HYPERLINK("https://www.instagram.com/p/Bm3B_CQBSNt/","Open Post")</f>
        <v>Open Post</v>
      </c>
      <c r="L543" s="4" t="s">
        <v>3456</v>
      </c>
      <c r="M543" s="4" t="s">
        <v>3457</v>
      </c>
      <c r="N543" s="4" t="s">
        <v>3458</v>
      </c>
      <c r="O543" s="4" t="s">
        <v>51</v>
      </c>
      <c r="P543" s="4" t="s">
        <v>3459</v>
      </c>
    </row>
    <row r="544">
      <c r="A544" s="4" t="s">
        <v>829</v>
      </c>
      <c r="B544" s="4">
        <v>435.0</v>
      </c>
      <c r="F544" s="4" t="s">
        <v>830</v>
      </c>
      <c r="G544" s="4" t="s">
        <v>207</v>
      </c>
      <c r="H544" s="4" t="s">
        <v>43</v>
      </c>
      <c r="I544" s="4" t="s">
        <v>43</v>
      </c>
      <c r="J544" s="4" t="s">
        <v>43</v>
      </c>
      <c r="K544" s="5" t="str">
        <f>HYPERLINK("https://www.instagram.com/p/BmxDRrIFghM/","Open Post")</f>
        <v>Open Post</v>
      </c>
      <c r="L544" s="4" t="s">
        <v>3461</v>
      </c>
      <c r="M544" s="4" t="s">
        <v>49</v>
      </c>
      <c r="N544" s="4" t="s">
        <v>3462</v>
      </c>
      <c r="O544" s="4" t="s">
        <v>51</v>
      </c>
      <c r="P544" s="4" t="s">
        <v>3463</v>
      </c>
    </row>
    <row r="545">
      <c r="A545" s="4" t="s">
        <v>829</v>
      </c>
      <c r="B545" s="4">
        <v>436.0</v>
      </c>
      <c r="F545" s="4" t="s">
        <v>830</v>
      </c>
      <c r="G545" s="4" t="s">
        <v>3464</v>
      </c>
      <c r="H545" s="4" t="s">
        <v>43</v>
      </c>
      <c r="I545" s="4" t="s">
        <v>43</v>
      </c>
      <c r="J545" s="4" t="s">
        <v>43</v>
      </c>
      <c r="K545" s="5" t="str">
        <f>HYPERLINK("https://www.instagram.com/p/BmxAtAUlGT5/","Open Post")</f>
        <v>Open Post</v>
      </c>
      <c r="L545" s="4" t="s">
        <v>3470</v>
      </c>
      <c r="M545" s="4" t="s">
        <v>3471</v>
      </c>
      <c r="N545" s="4" t="s">
        <v>3472</v>
      </c>
      <c r="O545" s="4" t="s">
        <v>51</v>
      </c>
      <c r="P545" s="4" t="s">
        <v>3473</v>
      </c>
    </row>
    <row r="546">
      <c r="A546" s="4" t="s">
        <v>829</v>
      </c>
      <c r="B546" s="4">
        <v>437.0</v>
      </c>
      <c r="F546" s="4" t="s">
        <v>830</v>
      </c>
      <c r="G546" s="4" t="s">
        <v>1041</v>
      </c>
      <c r="H546" s="4" t="s">
        <v>43</v>
      </c>
      <c r="I546" s="4" t="s">
        <v>43</v>
      </c>
      <c r="J546" s="4" t="s">
        <v>43</v>
      </c>
      <c r="K546" s="5" t="str">
        <f>HYPERLINK("https://www.instagram.com/p/BmwGcjDFQdP/","Open Post")</f>
        <v>Open Post</v>
      </c>
      <c r="L546" s="4" t="s">
        <v>3474</v>
      </c>
      <c r="M546" s="4" t="s">
        <v>49</v>
      </c>
      <c r="N546" s="4" t="s">
        <v>3475</v>
      </c>
      <c r="O546" s="4" t="s">
        <v>51</v>
      </c>
      <c r="P546" s="4" t="s">
        <v>3476</v>
      </c>
    </row>
    <row r="547">
      <c r="A547" s="4" t="s">
        <v>829</v>
      </c>
      <c r="B547" s="4">
        <v>438.0</v>
      </c>
      <c r="F547" s="4" t="s">
        <v>830</v>
      </c>
      <c r="G547" s="4" t="s">
        <v>306</v>
      </c>
      <c r="H547" s="4" t="s">
        <v>43</v>
      </c>
      <c r="I547" s="4" t="s">
        <v>43</v>
      </c>
      <c r="J547" s="4" t="s">
        <v>43</v>
      </c>
      <c r="K547" s="5" t="str">
        <f>HYPERLINK("https://www.instagram.com/p/Bmtq0A-F9fU/","Open Post")</f>
        <v>Open Post</v>
      </c>
      <c r="L547" s="4" t="s">
        <v>3478</v>
      </c>
      <c r="M547" s="4" t="s">
        <v>49</v>
      </c>
      <c r="N547" s="4" t="s">
        <v>3479</v>
      </c>
      <c r="O547" s="4" t="s">
        <v>51</v>
      </c>
      <c r="P547" s="4" t="s">
        <v>3480</v>
      </c>
    </row>
    <row r="548">
      <c r="A548" s="4" t="s">
        <v>829</v>
      </c>
      <c r="B548" s="4">
        <v>439.0</v>
      </c>
      <c r="F548" s="4" t="s">
        <v>830</v>
      </c>
      <c r="G548" s="4" t="s">
        <v>3183</v>
      </c>
      <c r="H548" s="4" t="s">
        <v>43</v>
      </c>
      <c r="I548" s="4" t="s">
        <v>43</v>
      </c>
      <c r="J548" s="4" t="s">
        <v>43</v>
      </c>
      <c r="K548" s="5" t="str">
        <f>HYPERLINK("https://www.instagram.com/p/Bms0m3rlSCx/","Open Post")</f>
        <v>Open Post</v>
      </c>
      <c r="L548" s="4" t="s">
        <v>3482</v>
      </c>
      <c r="M548" s="4" t="s">
        <v>3188</v>
      </c>
      <c r="N548" s="4" t="s">
        <v>3483</v>
      </c>
      <c r="O548" s="4" t="s">
        <v>51</v>
      </c>
      <c r="P548" s="4" t="s">
        <v>3485</v>
      </c>
    </row>
    <row r="549">
      <c r="A549" s="4" t="s">
        <v>829</v>
      </c>
      <c r="B549" s="4">
        <v>440.0</v>
      </c>
      <c r="F549" s="4" t="s">
        <v>830</v>
      </c>
      <c r="G549" s="4" t="s">
        <v>3486</v>
      </c>
      <c r="H549" s="4" t="s">
        <v>43</v>
      </c>
      <c r="I549" s="4" t="s">
        <v>43</v>
      </c>
      <c r="J549" s="4" t="s">
        <v>43</v>
      </c>
      <c r="K549" s="5" t="str">
        <f>HYPERLINK("https://www.instagram.com/p/Bmo6swRgCqu/","Open Post")</f>
        <v>Open Post</v>
      </c>
      <c r="L549" s="4" t="s">
        <v>3487</v>
      </c>
      <c r="M549" s="4" t="s">
        <v>3488</v>
      </c>
      <c r="N549" s="4" t="s">
        <v>3489</v>
      </c>
      <c r="O549" s="4" t="s">
        <v>51</v>
      </c>
      <c r="P549" s="4" t="s">
        <v>3490</v>
      </c>
    </row>
    <row r="550">
      <c r="A550" s="4" t="s">
        <v>829</v>
      </c>
      <c r="B550" s="4">
        <v>441.0</v>
      </c>
      <c r="F550" s="4" t="s">
        <v>830</v>
      </c>
      <c r="G550" s="4" t="s">
        <v>257</v>
      </c>
      <c r="H550" s="4" t="s">
        <v>43</v>
      </c>
      <c r="I550" s="4" t="s">
        <v>43</v>
      </c>
      <c r="J550" s="4" t="s">
        <v>43</v>
      </c>
      <c r="K550" s="5" t="str">
        <f>HYPERLINK("https://www.instagram.com/p/BmhA1dZgilJ/","Open Post")</f>
        <v>Open Post</v>
      </c>
      <c r="L550" s="4" t="s">
        <v>3493</v>
      </c>
      <c r="M550" s="4" t="s">
        <v>49</v>
      </c>
      <c r="N550" s="4" t="s">
        <v>3494</v>
      </c>
      <c r="O550" s="4" t="s">
        <v>51</v>
      </c>
      <c r="P550" s="4" t="s">
        <v>3495</v>
      </c>
    </row>
    <row r="551">
      <c r="A551" s="4" t="s">
        <v>829</v>
      </c>
      <c r="B551" s="4">
        <v>442.0</v>
      </c>
      <c r="F551" s="4" t="s">
        <v>869</v>
      </c>
      <c r="G551" s="4" t="s">
        <v>1041</v>
      </c>
      <c r="H551" s="4" t="s">
        <v>43</v>
      </c>
      <c r="I551" s="4" t="s">
        <v>43</v>
      </c>
      <c r="J551" s="4" t="s">
        <v>43</v>
      </c>
      <c r="K551" s="5" t="str">
        <f>HYPERLINK("https://www.instagram.com/p/Bmf4bBngvy6/","Open Post")</f>
        <v>Open Post</v>
      </c>
      <c r="L551" s="4" t="s">
        <v>3496</v>
      </c>
      <c r="M551" s="4" t="s">
        <v>49</v>
      </c>
      <c r="N551" s="4" t="s">
        <v>3497</v>
      </c>
      <c r="O551" s="4" t="s">
        <v>51</v>
      </c>
      <c r="P551" s="4" t="s">
        <v>3498</v>
      </c>
    </row>
    <row r="552">
      <c r="A552" s="4" t="s">
        <v>829</v>
      </c>
      <c r="B552" s="4">
        <v>443.0</v>
      </c>
      <c r="F552" s="4" t="s">
        <v>830</v>
      </c>
      <c r="G552" s="4" t="s">
        <v>166</v>
      </c>
      <c r="H552" s="4" t="s">
        <v>43</v>
      </c>
      <c r="I552" s="4" t="s">
        <v>43</v>
      </c>
      <c r="J552" s="4" t="s">
        <v>43</v>
      </c>
      <c r="K552" s="5" t="str">
        <f>HYPERLINK("https://www.instagram.com/p/BmedHDVFcyn/","Open Post")</f>
        <v>Open Post</v>
      </c>
      <c r="L552" s="4" t="s">
        <v>3500</v>
      </c>
      <c r="M552" s="4" t="s">
        <v>49</v>
      </c>
      <c r="N552" s="4" t="s">
        <v>3501</v>
      </c>
      <c r="O552" s="4" t="s">
        <v>51</v>
      </c>
      <c r="P552" s="4" t="s">
        <v>3502</v>
      </c>
    </row>
    <row r="553">
      <c r="A553" s="4" t="s">
        <v>829</v>
      </c>
      <c r="B553" s="4">
        <v>444.0</v>
      </c>
      <c r="F553" s="4" t="s">
        <v>830</v>
      </c>
      <c r="G553" s="4" t="s">
        <v>1041</v>
      </c>
      <c r="H553" s="4" t="s">
        <v>43</v>
      </c>
      <c r="I553" s="4" t="s">
        <v>43</v>
      </c>
      <c r="J553" s="4" t="s">
        <v>43</v>
      </c>
      <c r="K553" s="5" t="str">
        <f>HYPERLINK("https://www.instagram.com/p/BmeHNFsgkkT/","Open Post")</f>
        <v>Open Post</v>
      </c>
      <c r="L553" s="4" t="s">
        <v>3507</v>
      </c>
      <c r="M553" s="4" t="s">
        <v>3508</v>
      </c>
      <c r="N553" s="4" t="s">
        <v>3509</v>
      </c>
      <c r="O553" s="4" t="s">
        <v>51</v>
      </c>
      <c r="P553" s="4" t="s">
        <v>3510</v>
      </c>
    </row>
    <row r="554">
      <c r="A554" s="4" t="s">
        <v>829</v>
      </c>
      <c r="B554" s="4">
        <v>445.0</v>
      </c>
      <c r="F554" s="4" t="s">
        <v>830</v>
      </c>
      <c r="G554" s="4" t="s">
        <v>346</v>
      </c>
      <c r="H554" s="4" t="s">
        <v>43</v>
      </c>
      <c r="I554" s="4" t="s">
        <v>43</v>
      </c>
      <c r="J554" s="4" t="s">
        <v>43</v>
      </c>
      <c r="K554" s="5" t="str">
        <f>HYPERLINK("https://www.instagram.com/p/Bmd8MLclUZw/","Open Post")</f>
        <v>Open Post</v>
      </c>
      <c r="L554" s="4" t="s">
        <v>3512</v>
      </c>
      <c r="M554" s="4" t="s">
        <v>3513</v>
      </c>
      <c r="N554" s="4" t="s">
        <v>3514</v>
      </c>
      <c r="O554" s="4" t="s">
        <v>51</v>
      </c>
      <c r="P554" s="4" t="s">
        <v>3515</v>
      </c>
    </row>
    <row r="555">
      <c r="A555" s="4" t="s">
        <v>829</v>
      </c>
      <c r="B555" s="4">
        <v>446.0</v>
      </c>
      <c r="F555" s="4" t="s">
        <v>830</v>
      </c>
      <c r="G555" s="4" t="s">
        <v>306</v>
      </c>
      <c r="H555" s="4" t="s">
        <v>43</v>
      </c>
      <c r="I555" s="4" t="s">
        <v>43</v>
      </c>
      <c r="J555" s="4" t="s">
        <v>43</v>
      </c>
      <c r="K555" s="5" t="str">
        <f>HYPERLINK("https://www.instagram.com/p/BmT_pRNHwdC/","Open Post")</f>
        <v>Open Post</v>
      </c>
      <c r="L555" s="4" t="s">
        <v>3516</v>
      </c>
      <c r="M555" s="4" t="s">
        <v>49</v>
      </c>
      <c r="N555" s="4" t="s">
        <v>3517</v>
      </c>
      <c r="O555" s="4" t="s">
        <v>51</v>
      </c>
      <c r="P555" s="4" t="s">
        <v>3518</v>
      </c>
    </row>
    <row r="556">
      <c r="A556" s="4" t="s">
        <v>829</v>
      </c>
      <c r="B556" s="4">
        <v>447.0</v>
      </c>
      <c r="F556" s="4" t="s">
        <v>830</v>
      </c>
      <c r="G556" s="4" t="s">
        <v>661</v>
      </c>
      <c r="H556" s="4" t="s">
        <v>43</v>
      </c>
      <c r="I556" s="4" t="s">
        <v>43</v>
      </c>
      <c r="J556" s="4" t="s">
        <v>43</v>
      </c>
      <c r="K556" s="5" t="str">
        <f>HYPERLINK("https://www.instagram.com/p/BmRCDOXBHCo/","Open Post")</f>
        <v>Open Post</v>
      </c>
      <c r="L556" s="4" t="s">
        <v>3521</v>
      </c>
      <c r="M556" s="4" t="s">
        <v>3522</v>
      </c>
      <c r="N556" s="4" t="s">
        <v>3523</v>
      </c>
      <c r="O556" s="4" t="s">
        <v>51</v>
      </c>
      <c r="P556" s="4" t="s">
        <v>3524</v>
      </c>
    </row>
    <row r="557">
      <c r="A557" s="4" t="s">
        <v>829</v>
      </c>
      <c r="B557" s="4">
        <v>448.0</v>
      </c>
      <c r="F557" s="4" t="s">
        <v>830</v>
      </c>
      <c r="G557" s="4" t="s">
        <v>306</v>
      </c>
      <c r="H557" s="4" t="s">
        <v>43</v>
      </c>
      <c r="I557" s="4" t="s">
        <v>43</v>
      </c>
      <c r="J557" s="4" t="s">
        <v>43</v>
      </c>
      <c r="K557" s="5" t="str">
        <f>HYPERLINK("https://www.instagram.com/p/Bl8THHYHK5f/","Open Post")</f>
        <v>Open Post</v>
      </c>
      <c r="L557" s="4" t="s">
        <v>3526</v>
      </c>
      <c r="M557" s="4" t="s">
        <v>49</v>
      </c>
      <c r="N557" s="4" t="s">
        <v>3527</v>
      </c>
      <c r="O557" s="4" t="s">
        <v>51</v>
      </c>
      <c r="P557" s="4" t="s">
        <v>3528</v>
      </c>
    </row>
    <row r="558">
      <c r="A558" s="4" t="s">
        <v>829</v>
      </c>
      <c r="B558" s="4">
        <v>449.0</v>
      </c>
      <c r="F558" s="4" t="s">
        <v>830</v>
      </c>
      <c r="G558" s="4" t="s">
        <v>871</v>
      </c>
      <c r="H558" s="4" t="s">
        <v>43</v>
      </c>
      <c r="I558" s="4" t="s">
        <v>43</v>
      </c>
      <c r="J558" s="4" t="s">
        <v>43</v>
      </c>
      <c r="K558" s="5" t="str">
        <f>HYPERLINK("https://www.instagram.com/p/Bl6IjYpArKE/","Open Post")</f>
        <v>Open Post</v>
      </c>
      <c r="L558" s="4" t="s">
        <v>3529</v>
      </c>
      <c r="M558" s="4" t="s">
        <v>3531</v>
      </c>
      <c r="N558" s="4" t="s">
        <v>3532</v>
      </c>
      <c r="O558" s="4" t="s">
        <v>51</v>
      </c>
      <c r="P558" s="4" t="s">
        <v>3533</v>
      </c>
    </row>
    <row r="559">
      <c r="A559" s="4" t="s">
        <v>829</v>
      </c>
      <c r="B559" s="4">
        <v>450.0</v>
      </c>
      <c r="F559" s="4" t="s">
        <v>830</v>
      </c>
      <c r="G559" s="4" t="s">
        <v>957</v>
      </c>
      <c r="H559" s="4" t="s">
        <v>43</v>
      </c>
      <c r="I559" s="4" t="s">
        <v>43</v>
      </c>
      <c r="J559" s="4" t="s">
        <v>43</v>
      </c>
      <c r="K559" s="5" t="str">
        <f>HYPERLINK("https://www.instagram.com/p/BlxFqFLniuX/","Open Post")</f>
        <v>Open Post</v>
      </c>
      <c r="L559" s="4" t="s">
        <v>3535</v>
      </c>
      <c r="M559" s="4" t="s">
        <v>49</v>
      </c>
      <c r="N559" s="4" t="s">
        <v>3536</v>
      </c>
      <c r="O559" s="4" t="s">
        <v>51</v>
      </c>
      <c r="P559" s="4" t="s">
        <v>3537</v>
      </c>
    </row>
    <row r="560">
      <c r="A560" s="4" t="s">
        <v>829</v>
      </c>
      <c r="B560" s="4">
        <v>451.0</v>
      </c>
      <c r="F560" s="4" t="s">
        <v>830</v>
      </c>
      <c r="G560" s="4" t="s">
        <v>397</v>
      </c>
      <c r="H560" s="4" t="s">
        <v>43</v>
      </c>
      <c r="I560" s="4" t="s">
        <v>43</v>
      </c>
      <c r="J560" s="4" t="s">
        <v>43</v>
      </c>
      <c r="K560" s="5" t="str">
        <f>HYPERLINK("https://www.instagram.com/p/BlsPFz1lJkD/","Open Post")</f>
        <v>Open Post</v>
      </c>
      <c r="L560" s="4" t="s">
        <v>3539</v>
      </c>
      <c r="M560" s="4" t="s">
        <v>3540</v>
      </c>
      <c r="N560" s="4" t="s">
        <v>3541</v>
      </c>
      <c r="O560" s="4" t="s">
        <v>51</v>
      </c>
      <c r="P560" s="4" t="s">
        <v>3542</v>
      </c>
    </row>
    <row r="561">
      <c r="A561" s="4" t="s">
        <v>829</v>
      </c>
      <c r="B561" s="4">
        <v>452.0</v>
      </c>
      <c r="F561" s="4" t="s">
        <v>830</v>
      </c>
      <c r="G561" s="4" t="s">
        <v>165</v>
      </c>
      <c r="H561" s="4" t="s">
        <v>43</v>
      </c>
      <c r="I561" s="4" t="s">
        <v>43</v>
      </c>
      <c r="J561" s="4" t="s">
        <v>43</v>
      </c>
      <c r="K561" s="5" t="str">
        <f>HYPERLINK("https://www.instagram.com/p/BlkOdaYBhXP/","Open Post")</f>
        <v>Open Post</v>
      </c>
      <c r="L561" s="4" t="s">
        <v>3544</v>
      </c>
      <c r="M561" s="4" t="s">
        <v>3545</v>
      </c>
      <c r="N561" s="4" t="s">
        <v>3546</v>
      </c>
      <c r="O561" s="4" t="s">
        <v>51</v>
      </c>
      <c r="P561" s="4" t="s">
        <v>3547</v>
      </c>
    </row>
    <row r="562">
      <c r="A562" s="4" t="s">
        <v>829</v>
      </c>
      <c r="B562" s="4">
        <v>453.0</v>
      </c>
      <c r="F562" s="4" t="s">
        <v>830</v>
      </c>
      <c r="G562" s="4" t="s">
        <v>871</v>
      </c>
      <c r="H562" s="4" t="s">
        <v>43</v>
      </c>
      <c r="I562" s="4" t="s">
        <v>43</v>
      </c>
      <c r="J562" s="4" t="s">
        <v>43</v>
      </c>
      <c r="K562" s="5" t="str">
        <f>HYPERLINK("https://www.instagram.com/p/Blf7yfOg65M/","Open Post")</f>
        <v>Open Post</v>
      </c>
      <c r="L562" s="4" t="s">
        <v>3549</v>
      </c>
      <c r="M562" s="4" t="s">
        <v>3550</v>
      </c>
      <c r="N562" s="4" t="s">
        <v>3551</v>
      </c>
      <c r="O562" s="4" t="s">
        <v>51</v>
      </c>
      <c r="P562" s="4" t="s">
        <v>3552</v>
      </c>
    </row>
    <row r="563">
      <c r="A563" s="4" t="s">
        <v>829</v>
      </c>
      <c r="B563" s="4">
        <v>454.0</v>
      </c>
      <c r="F563" s="4" t="s">
        <v>830</v>
      </c>
      <c r="G563" s="4" t="s">
        <v>207</v>
      </c>
      <c r="H563" s="4" t="s">
        <v>43</v>
      </c>
      <c r="I563" s="4" t="s">
        <v>43</v>
      </c>
      <c r="J563" s="4" t="s">
        <v>43</v>
      </c>
      <c r="K563" s="5" t="str">
        <f>HYPERLINK("https://www.instagram.com/p/BlWia7qHpaC/","Open Post")</f>
        <v>Open Post</v>
      </c>
      <c r="L563" s="4" t="s">
        <v>3555</v>
      </c>
      <c r="M563" s="4" t="s">
        <v>3556</v>
      </c>
      <c r="N563" s="4" t="s">
        <v>3557</v>
      </c>
      <c r="O563" s="4" t="s">
        <v>51</v>
      </c>
      <c r="P563" s="4" t="s">
        <v>3558</v>
      </c>
    </row>
    <row r="564">
      <c r="A564" s="4" t="s">
        <v>829</v>
      </c>
      <c r="B564" s="4">
        <v>455.0</v>
      </c>
      <c r="F564" s="4" t="s">
        <v>830</v>
      </c>
      <c r="G564" s="4" t="s">
        <v>431</v>
      </c>
      <c r="H564" s="4" t="s">
        <v>43</v>
      </c>
      <c r="I564" s="4" t="s">
        <v>43</v>
      </c>
      <c r="J564" s="4" t="s">
        <v>43</v>
      </c>
      <c r="K564" s="5" t="str">
        <f>HYPERLINK("https://www.instagram.com/p/BlNJ0XIHjXS/","Open Post")</f>
        <v>Open Post</v>
      </c>
      <c r="L564" s="4" t="s">
        <v>3559</v>
      </c>
      <c r="M564" s="4" t="s">
        <v>3560</v>
      </c>
      <c r="N564" s="4" t="s">
        <v>3561</v>
      </c>
      <c r="O564" s="4" t="s">
        <v>51</v>
      </c>
      <c r="P564" s="4" t="s">
        <v>3562</v>
      </c>
    </row>
    <row r="565">
      <c r="A565" s="4" t="s">
        <v>829</v>
      </c>
      <c r="B565" s="4">
        <v>456.0</v>
      </c>
      <c r="F565" s="4" t="s">
        <v>830</v>
      </c>
      <c r="G565" s="4" t="s">
        <v>1047</v>
      </c>
      <c r="H565" s="4" t="s">
        <v>43</v>
      </c>
      <c r="I565" s="4" t="s">
        <v>43</v>
      </c>
      <c r="J565" s="4" t="s">
        <v>43</v>
      </c>
      <c r="K565" s="5" t="str">
        <f>HYPERLINK("https://www.instagram.com/p/BlIP8FpD3s7/","Open Post")</f>
        <v>Open Post</v>
      </c>
      <c r="L565" s="4" t="s">
        <v>3564</v>
      </c>
      <c r="M565" s="4" t="s">
        <v>49</v>
      </c>
      <c r="N565" s="4" t="s">
        <v>3565</v>
      </c>
      <c r="O565" s="4" t="s">
        <v>51</v>
      </c>
      <c r="P565" s="4" t="s">
        <v>3566</v>
      </c>
    </row>
    <row r="566">
      <c r="A566" s="4" t="s">
        <v>829</v>
      </c>
      <c r="B566" s="4">
        <v>457.0</v>
      </c>
      <c r="F566" s="4" t="s">
        <v>830</v>
      </c>
      <c r="G566" s="4" t="s">
        <v>257</v>
      </c>
      <c r="H566" s="4" t="s">
        <v>43</v>
      </c>
      <c r="I566" s="4" t="s">
        <v>43</v>
      </c>
      <c r="J566" s="4" t="s">
        <v>43</v>
      </c>
      <c r="K566" s="5" t="str">
        <f>HYPERLINK("https://www.instagram.com/p/BlGaLNcn-OJ/","Open Post")</f>
        <v>Open Post</v>
      </c>
      <c r="L566" s="4" t="s">
        <v>3569</v>
      </c>
      <c r="M566" s="4" t="s">
        <v>49</v>
      </c>
      <c r="N566" s="4" t="s">
        <v>3570</v>
      </c>
      <c r="O566" s="4" t="s">
        <v>51</v>
      </c>
      <c r="P566" s="4" t="s">
        <v>3571</v>
      </c>
    </row>
    <row r="567">
      <c r="A567" s="4" t="s">
        <v>829</v>
      </c>
      <c r="B567" s="4">
        <v>458.0</v>
      </c>
      <c r="F567" s="4" t="s">
        <v>830</v>
      </c>
      <c r="G567" s="4" t="s">
        <v>1047</v>
      </c>
      <c r="H567" s="4" t="s">
        <v>43</v>
      </c>
      <c r="I567" s="4" t="s">
        <v>43</v>
      </c>
      <c r="J567" s="4" t="s">
        <v>43</v>
      </c>
      <c r="K567" s="5" t="str">
        <f>HYPERLINK("https://www.instagram.com/p/BkyvuVgh-xk/","Open Post")</f>
        <v>Open Post</v>
      </c>
      <c r="L567" s="4" t="s">
        <v>3572</v>
      </c>
      <c r="M567" s="4" t="s">
        <v>3573</v>
      </c>
      <c r="N567" s="4" t="s">
        <v>3574</v>
      </c>
      <c r="O567" s="4" t="s">
        <v>51</v>
      </c>
      <c r="P567" s="4" t="s">
        <v>3575</v>
      </c>
    </row>
    <row r="568">
      <c r="A568" s="4" t="s">
        <v>829</v>
      </c>
      <c r="B568" s="4">
        <v>459.0</v>
      </c>
      <c r="F568" s="4" t="s">
        <v>830</v>
      </c>
      <c r="G568" s="4" t="s">
        <v>3578</v>
      </c>
      <c r="H568" s="4" t="s">
        <v>43</v>
      </c>
      <c r="I568" s="4" t="s">
        <v>43</v>
      </c>
      <c r="J568" s="4" t="s">
        <v>43</v>
      </c>
      <c r="K568" s="5" t="str">
        <f>HYPERLINK("https://www.instagram.com/p/BksPu11goLQ/","Open Post")</f>
        <v>Open Post</v>
      </c>
      <c r="L568" s="4" t="s">
        <v>3580</v>
      </c>
      <c r="M568" s="4" t="s">
        <v>3581</v>
      </c>
      <c r="N568" s="4" t="s">
        <v>3582</v>
      </c>
      <c r="O568" s="4" t="s">
        <v>51</v>
      </c>
      <c r="P568" s="4" t="s">
        <v>3583</v>
      </c>
    </row>
    <row r="569">
      <c r="A569" s="4" t="s">
        <v>829</v>
      </c>
      <c r="B569" s="4">
        <v>460.0</v>
      </c>
      <c r="F569" s="4" t="s">
        <v>830</v>
      </c>
      <c r="G569" s="4" t="s">
        <v>257</v>
      </c>
      <c r="H569" s="4" t="s">
        <v>43</v>
      </c>
      <c r="I569" s="4" t="s">
        <v>43</v>
      </c>
      <c r="J569" s="4" t="s">
        <v>43</v>
      </c>
      <c r="K569" s="5" t="str">
        <f>HYPERLINK("https://www.instagram.com/p/BkiqsV8hSA3/","Open Post")</f>
        <v>Open Post</v>
      </c>
      <c r="L569" s="4" t="s">
        <v>3586</v>
      </c>
      <c r="M569" s="4" t="s">
        <v>3588</v>
      </c>
      <c r="N569" s="4" t="s">
        <v>3589</v>
      </c>
      <c r="O569" s="4" t="s">
        <v>51</v>
      </c>
      <c r="P569" s="4" t="s">
        <v>3590</v>
      </c>
    </row>
    <row r="570">
      <c r="A570" s="4" t="s">
        <v>829</v>
      </c>
      <c r="B570" s="4">
        <v>461.0</v>
      </c>
      <c r="F570" s="4" t="s">
        <v>830</v>
      </c>
      <c r="G570" s="4" t="s">
        <v>3591</v>
      </c>
      <c r="H570" s="4" t="s">
        <v>43</v>
      </c>
      <c r="I570" s="4" t="s">
        <v>43</v>
      </c>
      <c r="J570" s="4" t="s">
        <v>43</v>
      </c>
      <c r="K570" s="5" t="str">
        <f>HYPERLINK("https://www.instagram.com/p/BkdNoBvHXwz/","Open Post")</f>
        <v>Open Post</v>
      </c>
      <c r="L570" s="4" t="s">
        <v>3592</v>
      </c>
      <c r="M570" s="4" t="s">
        <v>3593</v>
      </c>
      <c r="N570" s="4" t="s">
        <v>3594</v>
      </c>
      <c r="O570" s="4" t="s">
        <v>51</v>
      </c>
      <c r="P570" s="4" t="s">
        <v>3595</v>
      </c>
    </row>
    <row r="571">
      <c r="A571" s="4" t="s">
        <v>829</v>
      </c>
      <c r="B571" s="4">
        <v>462.0</v>
      </c>
      <c r="F571" s="4" t="s">
        <v>830</v>
      </c>
      <c r="G571" s="4" t="s">
        <v>871</v>
      </c>
      <c r="H571" s="4" t="s">
        <v>43</v>
      </c>
      <c r="I571" s="4" t="s">
        <v>43</v>
      </c>
      <c r="J571" s="4" t="s">
        <v>43</v>
      </c>
      <c r="K571" s="5" t="str">
        <f>HYPERLINK("https://www.instagram.com/p/BkaslcnhCaw/","Open Post")</f>
        <v>Open Post</v>
      </c>
      <c r="L571" s="4" t="s">
        <v>3597</v>
      </c>
      <c r="M571" s="4" t="s">
        <v>3598</v>
      </c>
      <c r="N571" s="4" t="s">
        <v>3599</v>
      </c>
      <c r="O571" s="4" t="s">
        <v>51</v>
      </c>
      <c r="P571" s="4" t="s">
        <v>3600</v>
      </c>
    </row>
    <row r="572">
      <c r="A572" s="4" t="s">
        <v>829</v>
      </c>
      <c r="B572" s="4">
        <v>463.0</v>
      </c>
      <c r="F572" s="4" t="s">
        <v>869</v>
      </c>
      <c r="G572" s="4" t="s">
        <v>852</v>
      </c>
      <c r="H572" s="4" t="s">
        <v>43</v>
      </c>
      <c r="I572" s="4" t="s">
        <v>43</v>
      </c>
      <c r="J572" s="4" t="s">
        <v>43</v>
      </c>
      <c r="K572" s="5" t="str">
        <f>HYPERLINK("https://www.instagram.com/p/BkVJwVnhYTQ/","Open Post")</f>
        <v>Open Post</v>
      </c>
      <c r="L572" s="4" t="s">
        <v>3605</v>
      </c>
      <c r="M572" s="4" t="s">
        <v>3606</v>
      </c>
      <c r="N572" s="4" t="s">
        <v>3607</v>
      </c>
      <c r="O572" s="4" t="s">
        <v>51</v>
      </c>
      <c r="P572" s="4" t="s">
        <v>3608</v>
      </c>
    </row>
    <row r="573">
      <c r="A573" s="4" t="s">
        <v>829</v>
      </c>
      <c r="B573" s="4">
        <v>464.0</v>
      </c>
      <c r="F573" s="4" t="s">
        <v>830</v>
      </c>
      <c r="G573" s="4" t="s">
        <v>371</v>
      </c>
      <c r="H573" s="4" t="s">
        <v>43</v>
      </c>
      <c r="I573" s="4" t="s">
        <v>43</v>
      </c>
      <c r="J573" s="4" t="s">
        <v>43</v>
      </c>
      <c r="K573" s="5" t="str">
        <f>HYPERLINK("https://www.instagram.com/p/BkPjfSOF7Ev/","Open Post")</f>
        <v>Open Post</v>
      </c>
      <c r="L573" s="4" t="s">
        <v>3611</v>
      </c>
      <c r="M573" s="4" t="s">
        <v>3612</v>
      </c>
      <c r="N573" s="4" t="s">
        <v>3613</v>
      </c>
      <c r="O573" s="4" t="s">
        <v>51</v>
      </c>
      <c r="P573" s="4" t="s">
        <v>3614</v>
      </c>
    </row>
    <row r="574">
      <c r="A574" s="4" t="s">
        <v>829</v>
      </c>
      <c r="B574" s="4">
        <v>465.0</v>
      </c>
      <c r="F574" s="4" t="s">
        <v>830</v>
      </c>
      <c r="G574" s="4" t="s">
        <v>165</v>
      </c>
      <c r="H574" s="4" t="s">
        <v>43</v>
      </c>
      <c r="I574" s="4" t="s">
        <v>43</v>
      </c>
      <c r="J574" s="4" t="s">
        <v>43</v>
      </c>
      <c r="K574" s="5" t="str">
        <f>HYPERLINK("https://www.instagram.com/p/Bj__ykeFQTi/","Open Post")</f>
        <v>Open Post</v>
      </c>
      <c r="L574" s="4" t="s">
        <v>3616</v>
      </c>
      <c r="M574" s="4" t="s">
        <v>3617</v>
      </c>
      <c r="N574" s="4" t="s">
        <v>3618</v>
      </c>
      <c r="O574" s="4" t="s">
        <v>51</v>
      </c>
      <c r="P574" s="4" t="s">
        <v>3619</v>
      </c>
    </row>
    <row r="575">
      <c r="A575" s="4" t="s">
        <v>829</v>
      </c>
      <c r="B575" s="4">
        <v>466.0</v>
      </c>
      <c r="F575" s="4" t="s">
        <v>830</v>
      </c>
      <c r="G575" s="4" t="s">
        <v>957</v>
      </c>
      <c r="H575" s="4" t="s">
        <v>43</v>
      </c>
      <c r="I575" s="4" t="s">
        <v>43</v>
      </c>
      <c r="J575" s="4" t="s">
        <v>43</v>
      </c>
      <c r="K575" s="5" t="str">
        <f>HYPERLINK("https://www.instagram.com/p/Bj48XITFo32/","Open Post")</f>
        <v>Open Post</v>
      </c>
      <c r="L575" s="4" t="s">
        <v>3621</v>
      </c>
      <c r="M575" s="4" t="s">
        <v>3622</v>
      </c>
      <c r="N575" s="4" t="s">
        <v>3623</v>
      </c>
      <c r="O575" s="4" t="s">
        <v>51</v>
      </c>
      <c r="P575" s="4" t="s">
        <v>3625</v>
      </c>
    </row>
    <row r="576">
      <c r="A576" s="4" t="s">
        <v>829</v>
      </c>
      <c r="B576" s="4">
        <v>467.0</v>
      </c>
      <c r="F576" s="4" t="s">
        <v>830</v>
      </c>
      <c r="G576" s="4" t="s">
        <v>431</v>
      </c>
      <c r="H576" s="4" t="s">
        <v>43</v>
      </c>
      <c r="I576" s="4" t="s">
        <v>43</v>
      </c>
      <c r="J576" s="4" t="s">
        <v>43</v>
      </c>
      <c r="K576" s="5" t="str">
        <f>HYPERLINK("https://www.instagram.com/p/Bju1FL1H13Q/","Open Post")</f>
        <v>Open Post</v>
      </c>
      <c r="L576" s="4" t="s">
        <v>3627</v>
      </c>
      <c r="M576" s="4" t="s">
        <v>3628</v>
      </c>
      <c r="N576" s="4" t="s">
        <v>3629</v>
      </c>
      <c r="O576" s="4" t="s">
        <v>51</v>
      </c>
      <c r="P576" s="4" t="s">
        <v>3630</v>
      </c>
    </row>
    <row r="577">
      <c r="A577" s="4" t="s">
        <v>829</v>
      </c>
      <c r="B577" s="4">
        <v>468.0</v>
      </c>
      <c r="F577" s="4" t="s">
        <v>830</v>
      </c>
      <c r="G577" s="4" t="s">
        <v>165</v>
      </c>
      <c r="H577" s="4" t="s">
        <v>43</v>
      </c>
      <c r="I577" s="4" t="s">
        <v>43</v>
      </c>
      <c r="J577" s="4" t="s">
        <v>43</v>
      </c>
      <c r="K577" s="5" t="str">
        <f>HYPERLINK("https://www.instagram.com/p/Bjp1vRnhgPq/","Open Post")</f>
        <v>Open Post</v>
      </c>
      <c r="L577" s="4" t="s">
        <v>3632</v>
      </c>
      <c r="M577" s="4" t="s">
        <v>3634</v>
      </c>
      <c r="N577" s="4" t="s">
        <v>3635</v>
      </c>
      <c r="O577" s="4" t="s">
        <v>51</v>
      </c>
      <c r="P577" s="4" t="s">
        <v>3637</v>
      </c>
    </row>
    <row r="578">
      <c r="A578" s="4" t="s">
        <v>829</v>
      </c>
      <c r="B578" s="4">
        <v>469.0</v>
      </c>
      <c r="F578" s="4" t="s">
        <v>830</v>
      </c>
      <c r="G578" s="4" t="s">
        <v>1509</v>
      </c>
      <c r="H578" s="4" t="s">
        <v>43</v>
      </c>
      <c r="I578" s="4" t="s">
        <v>43</v>
      </c>
      <c r="J578" s="4" t="s">
        <v>43</v>
      </c>
      <c r="K578" s="5" t="str">
        <f>HYPERLINK("https://www.instagram.com/p/BjlPLiqDa5b/","Open Post")</f>
        <v>Open Post</v>
      </c>
      <c r="L578" s="4" t="s">
        <v>3638</v>
      </c>
      <c r="M578" s="4" t="s">
        <v>3640</v>
      </c>
      <c r="N578" s="4" t="s">
        <v>3641</v>
      </c>
      <c r="O578" s="4" t="s">
        <v>51</v>
      </c>
      <c r="P578" s="4" t="s">
        <v>3642</v>
      </c>
    </row>
    <row r="579">
      <c r="A579" s="4" t="s">
        <v>829</v>
      </c>
      <c r="B579" s="4">
        <v>470.0</v>
      </c>
      <c r="F579" s="4" t="s">
        <v>830</v>
      </c>
      <c r="G579" s="4" t="s">
        <v>3643</v>
      </c>
      <c r="H579" s="4" t="s">
        <v>43</v>
      </c>
      <c r="I579" s="4" t="s">
        <v>43</v>
      </c>
      <c r="J579" s="4" t="s">
        <v>43</v>
      </c>
      <c r="K579" s="5" t="str">
        <f>HYPERLINK("https://www.instagram.com/p/BjdacZSgeXt/","Open Post")</f>
        <v>Open Post</v>
      </c>
      <c r="L579" s="4" t="s">
        <v>3644</v>
      </c>
      <c r="M579" s="4" t="s">
        <v>3645</v>
      </c>
      <c r="N579" s="4" t="s">
        <v>3646</v>
      </c>
      <c r="O579" s="4" t="s">
        <v>51</v>
      </c>
      <c r="P579" s="4" t="s">
        <v>3647</v>
      </c>
    </row>
    <row r="580">
      <c r="A580" s="4" t="s">
        <v>829</v>
      </c>
      <c r="B580" s="4">
        <v>471.0</v>
      </c>
      <c r="F580" s="4" t="s">
        <v>830</v>
      </c>
      <c r="G580" s="4" t="s">
        <v>1509</v>
      </c>
      <c r="H580" s="4" t="s">
        <v>43</v>
      </c>
      <c r="I580" s="4" t="s">
        <v>43</v>
      </c>
      <c r="J580" s="4" t="s">
        <v>43</v>
      </c>
      <c r="K580" s="5" t="str">
        <f>HYPERLINK("https://www.instagram.com/p/BjcvK18lHQM/","Open Post")</f>
        <v>Open Post</v>
      </c>
      <c r="L580" s="4" t="s">
        <v>3650</v>
      </c>
      <c r="M580" s="4" t="s">
        <v>3651</v>
      </c>
      <c r="N580" s="4" t="s">
        <v>3652</v>
      </c>
      <c r="O580" s="4" t="s">
        <v>51</v>
      </c>
      <c r="P580" s="4" t="s">
        <v>3653</v>
      </c>
    </row>
    <row r="581">
      <c r="A581" s="4" t="s">
        <v>829</v>
      </c>
      <c r="B581" s="4">
        <v>472.0</v>
      </c>
      <c r="F581" s="4" t="s">
        <v>830</v>
      </c>
      <c r="G581" s="4" t="s">
        <v>661</v>
      </c>
      <c r="H581" s="4" t="s">
        <v>43</v>
      </c>
      <c r="I581" s="4" t="s">
        <v>43</v>
      </c>
      <c r="J581" s="4" t="s">
        <v>43</v>
      </c>
      <c r="K581" s="5" t="str">
        <f>HYPERLINK("https://www.instagram.com/p/BjcR1l6A7wH/","Open Post")</f>
        <v>Open Post</v>
      </c>
      <c r="L581" s="4" t="s">
        <v>3655</v>
      </c>
      <c r="M581" s="4" t="s">
        <v>49</v>
      </c>
      <c r="N581" s="4" t="s">
        <v>3656</v>
      </c>
      <c r="O581" s="4" t="s">
        <v>51</v>
      </c>
      <c r="P581" s="4" t="s">
        <v>3657</v>
      </c>
    </row>
    <row r="582">
      <c r="A582" s="4" t="s">
        <v>829</v>
      </c>
      <c r="B582" s="4">
        <v>473.0</v>
      </c>
      <c r="F582" s="4" t="s">
        <v>830</v>
      </c>
      <c r="G582" s="4" t="s">
        <v>957</v>
      </c>
      <c r="H582" s="4" t="s">
        <v>43</v>
      </c>
      <c r="I582" s="4" t="s">
        <v>43</v>
      </c>
      <c r="J582" s="4" t="s">
        <v>43</v>
      </c>
      <c r="K582" s="5" t="str">
        <f>HYPERLINK("https://www.instagram.com/p/BjFeuDdAJkl/","Open Post")</f>
        <v>Open Post</v>
      </c>
      <c r="L582" s="4" t="s">
        <v>3659</v>
      </c>
      <c r="M582" s="4" t="s">
        <v>3660</v>
      </c>
      <c r="N582" s="4" t="s">
        <v>3661</v>
      </c>
      <c r="O582" s="4" t="s">
        <v>51</v>
      </c>
      <c r="P582" s="4" t="s">
        <v>3662</v>
      </c>
    </row>
    <row r="583">
      <c r="A583" s="4" t="s">
        <v>829</v>
      </c>
      <c r="B583" s="4">
        <v>474.0</v>
      </c>
      <c r="F583" s="4" t="s">
        <v>830</v>
      </c>
      <c r="G583" s="4" t="s">
        <v>852</v>
      </c>
      <c r="H583" s="4" t="s">
        <v>43</v>
      </c>
      <c r="I583" s="4" t="s">
        <v>43</v>
      </c>
      <c r="J583" s="4" t="s">
        <v>43</v>
      </c>
      <c r="K583" s="5" t="str">
        <f>HYPERLINK("https://www.instagram.com/p/Bi7O8UJhCEy/","Open Post")</f>
        <v>Open Post</v>
      </c>
      <c r="L583" s="4" t="s">
        <v>3664</v>
      </c>
      <c r="M583" s="4" t="s">
        <v>3665</v>
      </c>
      <c r="N583" s="4" t="s">
        <v>3666</v>
      </c>
      <c r="O583" s="4" t="s">
        <v>51</v>
      </c>
      <c r="P583" s="4" t="s">
        <v>3667</v>
      </c>
    </row>
    <row r="584">
      <c r="A584" s="4" t="s">
        <v>829</v>
      </c>
      <c r="B584" s="4">
        <v>475.0</v>
      </c>
      <c r="F584" s="4" t="s">
        <v>830</v>
      </c>
      <c r="G584" s="4" t="s">
        <v>661</v>
      </c>
      <c r="H584" s="4" t="s">
        <v>43</v>
      </c>
      <c r="I584" s="4" t="s">
        <v>43</v>
      </c>
      <c r="J584" s="4" t="s">
        <v>43</v>
      </c>
      <c r="K584" s="5" t="str">
        <f>HYPERLINK("https://www.instagram.com/p/Bi7GFJkgEyH/","Open Post")</f>
        <v>Open Post</v>
      </c>
      <c r="L584" s="4" t="s">
        <v>3669</v>
      </c>
      <c r="M584" s="4" t="s">
        <v>49</v>
      </c>
      <c r="N584" s="4" t="s">
        <v>3670</v>
      </c>
      <c r="O584" s="4" t="s">
        <v>51</v>
      </c>
      <c r="P584" s="4" t="s">
        <v>3671</v>
      </c>
    </row>
    <row r="585">
      <c r="A585" s="4" t="s">
        <v>829</v>
      </c>
      <c r="B585" s="4">
        <v>476.0</v>
      </c>
      <c r="F585" s="4" t="s">
        <v>869</v>
      </c>
      <c r="G585" s="4" t="s">
        <v>257</v>
      </c>
      <c r="H585" s="4" t="s">
        <v>43</v>
      </c>
      <c r="I585" s="4" t="s">
        <v>43</v>
      </c>
      <c r="J585" s="4" t="s">
        <v>43</v>
      </c>
      <c r="K585" s="5" t="str">
        <f>HYPERLINK("https://www.instagram.com/p/Bi6sdB5lz6n/","Open Post")</f>
        <v>Open Post</v>
      </c>
      <c r="L585" s="4" t="s">
        <v>3674</v>
      </c>
      <c r="M585" s="4" t="s">
        <v>3675</v>
      </c>
      <c r="N585" s="4" t="s">
        <v>3676</v>
      </c>
      <c r="O585" s="4" t="s">
        <v>51</v>
      </c>
      <c r="P585" s="4" t="s">
        <v>3677</v>
      </c>
    </row>
    <row r="586">
      <c r="A586" s="4" t="s">
        <v>829</v>
      </c>
      <c r="B586" s="4">
        <v>477.0</v>
      </c>
      <c r="F586" s="4" t="s">
        <v>830</v>
      </c>
      <c r="G586" s="4" t="s">
        <v>871</v>
      </c>
      <c r="H586" s="4" t="s">
        <v>43</v>
      </c>
      <c r="I586" s="4" t="s">
        <v>43</v>
      </c>
      <c r="J586" s="4" t="s">
        <v>43</v>
      </c>
      <c r="K586" s="5" t="str">
        <f>HYPERLINK("https://www.instagram.com/p/BihgWr8gRB0/","Open Post")</f>
        <v>Open Post</v>
      </c>
      <c r="L586" s="4" t="s">
        <v>3681</v>
      </c>
      <c r="M586" s="4" t="s">
        <v>3682</v>
      </c>
      <c r="N586" s="4" t="s">
        <v>3683</v>
      </c>
      <c r="O586" s="4" t="s">
        <v>51</v>
      </c>
      <c r="P586" s="4" t="s">
        <v>3684</v>
      </c>
    </row>
    <row r="587">
      <c r="A587" s="4" t="s">
        <v>829</v>
      </c>
      <c r="B587" s="4">
        <v>478.0</v>
      </c>
      <c r="F587" s="4" t="s">
        <v>830</v>
      </c>
      <c r="G587" s="4" t="s">
        <v>3685</v>
      </c>
      <c r="H587" s="4" t="s">
        <v>43</v>
      </c>
      <c r="I587" s="4" t="s">
        <v>43</v>
      </c>
      <c r="J587" s="4" t="s">
        <v>43</v>
      </c>
      <c r="K587" s="5" t="str">
        <f>HYPERLINK("https://www.instagram.com/p/BiRfRj0gwJQ/","Open Post")</f>
        <v>Open Post</v>
      </c>
      <c r="L587" s="4" t="s">
        <v>3687</v>
      </c>
      <c r="M587" s="4" t="s">
        <v>3688</v>
      </c>
      <c r="N587" s="4" t="s">
        <v>3689</v>
      </c>
      <c r="O587" s="4" t="s">
        <v>51</v>
      </c>
      <c r="P587" s="4" t="s">
        <v>3690</v>
      </c>
    </row>
    <row r="588">
      <c r="A588" s="4" t="s">
        <v>829</v>
      </c>
      <c r="B588" s="4">
        <v>479.0</v>
      </c>
      <c r="F588" s="4" t="s">
        <v>869</v>
      </c>
      <c r="G588" s="4" t="s">
        <v>166</v>
      </c>
      <c r="H588" s="4" t="s">
        <v>43</v>
      </c>
      <c r="I588" s="4" t="s">
        <v>43</v>
      </c>
      <c r="J588" s="4" t="s">
        <v>43</v>
      </c>
      <c r="K588" s="5" t="str">
        <f>HYPERLINK("https://www.instagram.com/p/BiQLGWJhFZv/","Open Post")</f>
        <v>Open Post</v>
      </c>
      <c r="L588" s="4" t="s">
        <v>3692</v>
      </c>
      <c r="M588" s="4" t="s">
        <v>49</v>
      </c>
      <c r="N588" s="4" t="s">
        <v>3693</v>
      </c>
      <c r="O588" s="4" t="s">
        <v>51</v>
      </c>
      <c r="P588" s="4" t="s">
        <v>3694</v>
      </c>
    </row>
    <row r="589">
      <c r="A589" s="4" t="s">
        <v>829</v>
      </c>
      <c r="B589" s="4">
        <v>480.0</v>
      </c>
      <c r="F589" s="4" t="s">
        <v>830</v>
      </c>
      <c r="G589" s="4" t="s">
        <v>326</v>
      </c>
      <c r="H589" s="4" t="s">
        <v>43</v>
      </c>
      <c r="I589" s="4" t="s">
        <v>43</v>
      </c>
      <c r="J589" s="4" t="s">
        <v>43</v>
      </c>
      <c r="K589" s="5" t="str">
        <f>HYPERLINK("https://www.instagram.com/p/BiAFuPwgids/","Open Post")</f>
        <v>Open Post</v>
      </c>
      <c r="L589" s="4" t="s">
        <v>3696</v>
      </c>
      <c r="M589" s="4" t="s">
        <v>3697</v>
      </c>
      <c r="N589" s="4" t="s">
        <v>3698</v>
      </c>
      <c r="O589" s="4" t="s">
        <v>51</v>
      </c>
      <c r="P589" s="4" t="s">
        <v>3699</v>
      </c>
    </row>
    <row r="590">
      <c r="A590" s="4" t="s">
        <v>829</v>
      </c>
      <c r="B590" s="4">
        <v>481.0</v>
      </c>
      <c r="F590" s="4" t="s">
        <v>830</v>
      </c>
      <c r="G590" s="4" t="s">
        <v>852</v>
      </c>
      <c r="H590" s="4" t="s">
        <v>43</v>
      </c>
      <c r="I590" s="4" t="s">
        <v>43</v>
      </c>
      <c r="J590" s="4" t="s">
        <v>43</v>
      </c>
      <c r="K590" s="5" t="str">
        <f>HYPERLINK("https://www.instagram.com/p/Bhl5X0CBR0q/","Open Post")</f>
        <v>Open Post</v>
      </c>
      <c r="L590" s="4" t="s">
        <v>3701</v>
      </c>
      <c r="M590" s="4" t="s">
        <v>3702</v>
      </c>
      <c r="N590" s="4" t="s">
        <v>3703</v>
      </c>
      <c r="O590" s="4" t="s">
        <v>51</v>
      </c>
      <c r="P590" s="4" t="s">
        <v>3704</v>
      </c>
    </row>
    <row r="591">
      <c r="A591" s="4" t="s">
        <v>829</v>
      </c>
      <c r="B591" s="4">
        <v>482.0</v>
      </c>
      <c r="F591" s="4" t="s">
        <v>830</v>
      </c>
      <c r="G591" s="4" t="s">
        <v>1041</v>
      </c>
      <c r="H591" s="4" t="s">
        <v>43</v>
      </c>
      <c r="I591" s="4" t="s">
        <v>43</v>
      </c>
      <c r="J591" s="4" t="s">
        <v>43</v>
      </c>
      <c r="K591" s="5" t="str">
        <f>HYPERLINK("https://www.instagram.com/p/Bhieq9Dl0Qo/","Open Post")</f>
        <v>Open Post</v>
      </c>
      <c r="L591" s="4" t="s">
        <v>3707</v>
      </c>
      <c r="M591" s="4" t="s">
        <v>3708</v>
      </c>
      <c r="N591" s="4" t="s">
        <v>3709</v>
      </c>
      <c r="O591" s="4" t="s">
        <v>51</v>
      </c>
      <c r="P591" s="4" t="s">
        <v>3710</v>
      </c>
    </row>
    <row r="592">
      <c r="A592" s="4" t="s">
        <v>829</v>
      </c>
      <c r="B592" s="4">
        <v>483.0</v>
      </c>
      <c r="F592" s="4" t="s">
        <v>830</v>
      </c>
      <c r="G592" s="4" t="s">
        <v>431</v>
      </c>
      <c r="H592" s="4" t="s">
        <v>43</v>
      </c>
      <c r="I592" s="4" t="s">
        <v>43</v>
      </c>
      <c r="J592" s="4" t="s">
        <v>43</v>
      </c>
      <c r="K592" s="5" t="str">
        <f>HYPERLINK("https://www.instagram.com/p/BhXk8r1hrQK/","Open Post")</f>
        <v>Open Post</v>
      </c>
      <c r="L592" s="4" t="s">
        <v>3711</v>
      </c>
      <c r="M592" s="4" t="s">
        <v>3712</v>
      </c>
      <c r="N592" s="4" t="s">
        <v>3713</v>
      </c>
      <c r="O592" s="4" t="s">
        <v>51</v>
      </c>
      <c r="P592" s="4" t="s">
        <v>3714</v>
      </c>
    </row>
    <row r="593">
      <c r="A593" s="4" t="s">
        <v>829</v>
      </c>
      <c r="B593" s="4">
        <v>484.0</v>
      </c>
      <c r="F593" s="4" t="s">
        <v>830</v>
      </c>
      <c r="G593" s="4" t="s">
        <v>431</v>
      </c>
      <c r="H593" s="4" t="s">
        <v>43</v>
      </c>
      <c r="I593" s="4" t="s">
        <v>43</v>
      </c>
      <c r="J593" s="4" t="s">
        <v>43</v>
      </c>
      <c r="K593" s="5" t="str">
        <f>HYPERLINK("https://www.instagram.com/p/BhXkp1SBjIY/","Open Post")</f>
        <v>Open Post</v>
      </c>
      <c r="L593" s="4" t="s">
        <v>3718</v>
      </c>
      <c r="M593" s="4" t="s">
        <v>3719</v>
      </c>
      <c r="N593" s="4" t="s">
        <v>3720</v>
      </c>
      <c r="O593" s="4" t="s">
        <v>51</v>
      </c>
      <c r="P593" s="4" t="s">
        <v>3721</v>
      </c>
    </row>
    <row r="594">
      <c r="A594" s="4" t="s">
        <v>829</v>
      </c>
      <c r="B594" s="4">
        <v>485.0</v>
      </c>
      <c r="F594" s="4" t="s">
        <v>830</v>
      </c>
      <c r="G594" s="4" t="s">
        <v>957</v>
      </c>
      <c r="H594" s="4" t="s">
        <v>43</v>
      </c>
      <c r="I594" s="4" t="s">
        <v>43</v>
      </c>
      <c r="J594" s="4" t="s">
        <v>43</v>
      </c>
      <c r="K594" s="5" t="str">
        <f>HYPERLINK("https://www.instagram.com/p/BhRdYavA9UT/","Open Post")</f>
        <v>Open Post</v>
      </c>
      <c r="L594" s="4" t="s">
        <v>3723</v>
      </c>
      <c r="M594" s="4" t="s">
        <v>3724</v>
      </c>
      <c r="N594" s="4" t="s">
        <v>3725</v>
      </c>
      <c r="O594" s="4" t="s">
        <v>51</v>
      </c>
      <c r="P594" s="4" t="s">
        <v>3726</v>
      </c>
    </row>
    <row r="595">
      <c r="A595" s="4" t="s">
        <v>829</v>
      </c>
      <c r="B595" s="4">
        <v>486.0</v>
      </c>
      <c r="F595" s="4" t="s">
        <v>830</v>
      </c>
      <c r="G595" s="4" t="s">
        <v>871</v>
      </c>
      <c r="H595" s="4" t="s">
        <v>43</v>
      </c>
      <c r="I595" s="4" t="s">
        <v>43</v>
      </c>
      <c r="J595" s="4" t="s">
        <v>43</v>
      </c>
      <c r="K595" s="5" t="str">
        <f>HYPERLINK("https://www.instagram.com/p/BhRb9pvAb5q/","Open Post")</f>
        <v>Open Post</v>
      </c>
      <c r="L595" s="4" t="s">
        <v>3728</v>
      </c>
      <c r="M595" s="4" t="s">
        <v>3729</v>
      </c>
      <c r="N595" s="4" t="s">
        <v>3730</v>
      </c>
      <c r="O595" s="4" t="s">
        <v>51</v>
      </c>
      <c r="P595" s="4" t="s">
        <v>3731</v>
      </c>
    </row>
    <row r="596">
      <c r="A596" s="4" t="s">
        <v>829</v>
      </c>
      <c r="B596" s="4">
        <v>487.0</v>
      </c>
      <c r="F596" s="4" t="s">
        <v>830</v>
      </c>
      <c r="G596" s="4" t="s">
        <v>957</v>
      </c>
      <c r="H596" s="4" t="s">
        <v>43</v>
      </c>
      <c r="I596" s="4" t="s">
        <v>43</v>
      </c>
      <c r="J596" s="4" t="s">
        <v>43</v>
      </c>
      <c r="K596" s="5" t="str">
        <f>HYPERLINK("https://www.instagram.com/p/BhO734SAFkj/","Open Post")</f>
        <v>Open Post</v>
      </c>
      <c r="L596" s="4" t="s">
        <v>3733</v>
      </c>
      <c r="M596" s="4" t="s">
        <v>3734</v>
      </c>
      <c r="N596" s="4" t="s">
        <v>3735</v>
      </c>
      <c r="O596" s="4" t="s">
        <v>51</v>
      </c>
      <c r="P596" s="4" t="s">
        <v>3736</v>
      </c>
    </row>
    <row r="597">
      <c r="A597" s="4" t="s">
        <v>829</v>
      </c>
      <c r="B597" s="4">
        <v>488.0</v>
      </c>
      <c r="F597" s="4" t="s">
        <v>830</v>
      </c>
      <c r="G597" s="4" t="s">
        <v>1041</v>
      </c>
      <c r="H597" s="4" t="s">
        <v>43</v>
      </c>
      <c r="I597" s="4" t="s">
        <v>43</v>
      </c>
      <c r="J597" s="4" t="s">
        <v>43</v>
      </c>
      <c r="K597" s="5" t="str">
        <f>HYPERLINK("https://www.instagram.com/p/BgtSOXCHd4l/","Open Post")</f>
        <v>Open Post</v>
      </c>
      <c r="L597" s="4" t="s">
        <v>3738</v>
      </c>
      <c r="M597" s="4" t="s">
        <v>49</v>
      </c>
      <c r="N597" s="4" t="s">
        <v>3739</v>
      </c>
      <c r="O597" s="4" t="s">
        <v>51</v>
      </c>
      <c r="P597" s="4" t="s">
        <v>3740</v>
      </c>
    </row>
    <row r="598">
      <c r="A598" s="4" t="s">
        <v>829</v>
      </c>
      <c r="B598" s="4">
        <v>489.0</v>
      </c>
      <c r="F598" s="4" t="s">
        <v>869</v>
      </c>
      <c r="G598" s="4" t="s">
        <v>661</v>
      </c>
      <c r="H598" s="4" t="s">
        <v>43</v>
      </c>
      <c r="I598" s="4" t="s">
        <v>43</v>
      </c>
      <c r="J598" s="4" t="s">
        <v>43</v>
      </c>
      <c r="K598" s="5" t="str">
        <f>HYPERLINK("https://www.instagram.com/p/BgUXZx8ADdu/","Open Post")</f>
        <v>Open Post</v>
      </c>
      <c r="L598" s="4" t="s">
        <v>3742</v>
      </c>
      <c r="M598" s="4" t="s">
        <v>3743</v>
      </c>
      <c r="N598" s="4" t="s">
        <v>3744</v>
      </c>
      <c r="O598" s="4" t="s">
        <v>51</v>
      </c>
      <c r="P598" s="4" t="s">
        <v>3745</v>
      </c>
    </row>
    <row r="599">
      <c r="A599" s="4" t="s">
        <v>829</v>
      </c>
      <c r="B599" s="4">
        <v>490.0</v>
      </c>
      <c r="F599" s="4" t="s">
        <v>830</v>
      </c>
      <c r="G599" s="4" t="s">
        <v>661</v>
      </c>
      <c r="H599" s="4" t="s">
        <v>43</v>
      </c>
      <c r="I599" s="4" t="s">
        <v>43</v>
      </c>
      <c r="J599" s="4" t="s">
        <v>43</v>
      </c>
      <c r="K599" s="5" t="str">
        <f>HYPERLINK("https://www.instagram.com/p/BgEHNhXniFq/","Open Post")</f>
        <v>Open Post</v>
      </c>
      <c r="L599" s="4" t="s">
        <v>3747</v>
      </c>
      <c r="M599" s="4" t="s">
        <v>49</v>
      </c>
      <c r="N599" s="4" t="s">
        <v>3748</v>
      </c>
      <c r="O599" s="4" t="s">
        <v>51</v>
      </c>
      <c r="P599" s="4" t="s">
        <v>3749</v>
      </c>
    </row>
    <row r="600">
      <c r="A600" s="4" t="s">
        <v>829</v>
      </c>
      <c r="B600" s="4">
        <v>491.0</v>
      </c>
      <c r="F600" s="4" t="s">
        <v>830</v>
      </c>
      <c r="G600" s="4" t="s">
        <v>862</v>
      </c>
      <c r="H600" s="4" t="s">
        <v>43</v>
      </c>
      <c r="I600" s="4" t="s">
        <v>43</v>
      </c>
      <c r="J600" s="4" t="s">
        <v>43</v>
      </c>
      <c r="K600" s="5" t="str">
        <f>HYPERLINK("https://www.instagram.com/p/Bfs8r9cg2v0/","Open Post")</f>
        <v>Open Post</v>
      </c>
      <c r="L600" s="4" t="s">
        <v>3751</v>
      </c>
      <c r="M600" s="4" t="s">
        <v>3752</v>
      </c>
      <c r="N600" s="4" t="s">
        <v>3754</v>
      </c>
      <c r="O600" s="4" t="s">
        <v>51</v>
      </c>
      <c r="P600" s="4" t="s">
        <v>3755</v>
      </c>
    </row>
    <row r="601">
      <c r="A601" s="4" t="s">
        <v>829</v>
      </c>
      <c r="B601" s="4">
        <v>492.0</v>
      </c>
      <c r="F601" s="4" t="s">
        <v>830</v>
      </c>
      <c r="G601" s="4" t="s">
        <v>207</v>
      </c>
      <c r="H601" s="4" t="s">
        <v>43</v>
      </c>
      <c r="I601" s="4" t="s">
        <v>43</v>
      </c>
      <c r="J601" s="4" t="s">
        <v>43</v>
      </c>
      <c r="K601" s="5" t="str">
        <f>HYPERLINK("https://www.instagram.com/p/BfgpHKRnw-j/","Open Post")</f>
        <v>Open Post</v>
      </c>
      <c r="L601" s="4" t="s">
        <v>3756</v>
      </c>
      <c r="M601" s="4" t="s">
        <v>3757</v>
      </c>
      <c r="N601" s="4" t="s">
        <v>3758</v>
      </c>
      <c r="O601" s="4" t="s">
        <v>51</v>
      </c>
      <c r="P601" s="4" t="s">
        <v>3759</v>
      </c>
    </row>
    <row r="602">
      <c r="A602" s="4" t="s">
        <v>829</v>
      </c>
      <c r="B602" s="4">
        <v>493.0</v>
      </c>
      <c r="F602" s="4" t="s">
        <v>830</v>
      </c>
      <c r="G602" s="4" t="s">
        <v>165</v>
      </c>
      <c r="H602" s="4" t="s">
        <v>43</v>
      </c>
      <c r="I602" s="4" t="s">
        <v>43</v>
      </c>
      <c r="J602" s="4" t="s">
        <v>43</v>
      </c>
      <c r="K602" s="5" t="str">
        <f>HYPERLINK("https://www.instagram.com/p/BfdehmtlMDO/","Open Post")</f>
        <v>Open Post</v>
      </c>
      <c r="L602" s="4" t="s">
        <v>3762</v>
      </c>
      <c r="M602" s="4" t="s">
        <v>49</v>
      </c>
      <c r="N602" s="4" t="s">
        <v>3763</v>
      </c>
      <c r="O602" s="4" t="s">
        <v>51</v>
      </c>
      <c r="P602" s="4" t="s">
        <v>3764</v>
      </c>
    </row>
    <row r="603">
      <c r="A603" s="4" t="s">
        <v>829</v>
      </c>
      <c r="B603" s="4">
        <v>494.0</v>
      </c>
      <c r="F603" s="4" t="s">
        <v>830</v>
      </c>
      <c r="G603" s="4" t="s">
        <v>371</v>
      </c>
      <c r="H603" s="4" t="s">
        <v>43</v>
      </c>
      <c r="I603" s="4" t="s">
        <v>43</v>
      </c>
      <c r="J603" s="4" t="s">
        <v>43</v>
      </c>
      <c r="K603" s="5" t="str">
        <f>HYPERLINK("https://www.instagram.com/p/BfRn0rlnX4y/","Open Post")</f>
        <v>Open Post</v>
      </c>
      <c r="L603" s="4" t="s">
        <v>3766</v>
      </c>
      <c r="M603" s="4" t="s">
        <v>49</v>
      </c>
      <c r="N603" s="4" t="s">
        <v>3767</v>
      </c>
      <c r="O603" s="4" t="s">
        <v>51</v>
      </c>
      <c r="P603" s="4" t="s">
        <v>3768</v>
      </c>
    </row>
    <row r="604">
      <c r="A604" s="4" t="s">
        <v>829</v>
      </c>
      <c r="B604" s="4">
        <v>495.0</v>
      </c>
      <c r="F604" s="4" t="s">
        <v>830</v>
      </c>
      <c r="G604" s="4" t="s">
        <v>165</v>
      </c>
      <c r="H604" s="4" t="s">
        <v>43</v>
      </c>
      <c r="I604" s="4" t="s">
        <v>43</v>
      </c>
      <c r="J604" s="4" t="s">
        <v>43</v>
      </c>
      <c r="K604" s="5" t="str">
        <f>HYPERLINK("https://www.instagram.com/p/BfBePADna0S/","Open Post")</f>
        <v>Open Post</v>
      </c>
      <c r="L604" s="4" t="s">
        <v>3769</v>
      </c>
      <c r="M604" s="4" t="s">
        <v>3770</v>
      </c>
      <c r="N604" s="4" t="s">
        <v>3771</v>
      </c>
      <c r="O604" s="4" t="s">
        <v>51</v>
      </c>
      <c r="P604" s="4" t="s">
        <v>3772</v>
      </c>
    </row>
    <row r="605">
      <c r="A605" s="4" t="s">
        <v>829</v>
      </c>
      <c r="B605" s="4">
        <v>496.0</v>
      </c>
      <c r="F605" s="4" t="s">
        <v>830</v>
      </c>
      <c r="G605" s="4" t="s">
        <v>431</v>
      </c>
      <c r="H605" s="4" t="s">
        <v>43</v>
      </c>
      <c r="I605" s="4" t="s">
        <v>43</v>
      </c>
      <c r="J605" s="4" t="s">
        <v>43</v>
      </c>
      <c r="K605" s="5" t="str">
        <f>HYPERLINK("https://www.instagram.com/p/Be2T9LEHoKz/","Open Post")</f>
        <v>Open Post</v>
      </c>
      <c r="L605" s="4" t="s">
        <v>3775</v>
      </c>
      <c r="M605" s="4" t="s">
        <v>3776</v>
      </c>
      <c r="N605" s="4" t="s">
        <v>3777</v>
      </c>
      <c r="O605" s="4" t="s">
        <v>51</v>
      </c>
      <c r="P605" s="4" t="s">
        <v>3778</v>
      </c>
    </row>
    <row r="606">
      <c r="A606" s="4" t="s">
        <v>829</v>
      </c>
      <c r="B606" s="4">
        <v>497.0</v>
      </c>
      <c r="F606" s="4" t="s">
        <v>830</v>
      </c>
      <c r="G606" s="4" t="s">
        <v>165</v>
      </c>
      <c r="H606" s="4" t="s">
        <v>43</v>
      </c>
      <c r="I606" s="4" t="s">
        <v>43</v>
      </c>
      <c r="J606" s="4" t="s">
        <v>43</v>
      </c>
      <c r="K606" s="5" t="str">
        <f>HYPERLINK("https://www.instagram.com/p/Be1FHN3n4ic/","Open Post")</f>
        <v>Open Post</v>
      </c>
      <c r="L606" s="4" t="s">
        <v>3779</v>
      </c>
      <c r="M606" s="4" t="s">
        <v>49</v>
      </c>
      <c r="N606" s="4" t="s">
        <v>3781</v>
      </c>
      <c r="O606" s="4" t="s">
        <v>51</v>
      </c>
      <c r="P606" s="4" t="s">
        <v>3782</v>
      </c>
    </row>
    <row r="607">
      <c r="A607" s="4" t="s">
        <v>829</v>
      </c>
      <c r="B607" s="4">
        <v>498.0</v>
      </c>
      <c r="F607" s="4" t="s">
        <v>830</v>
      </c>
      <c r="G607" s="4" t="s">
        <v>862</v>
      </c>
      <c r="H607" s="4" t="s">
        <v>43</v>
      </c>
      <c r="I607" s="4" t="s">
        <v>43</v>
      </c>
      <c r="J607" s="4" t="s">
        <v>43</v>
      </c>
      <c r="K607" s="5" t="str">
        <f>HYPERLINK("https://www.instagram.com/p/BencWLdh2fp/","Open Post")</f>
        <v>Open Post</v>
      </c>
      <c r="L607" s="4" t="s">
        <v>3784</v>
      </c>
      <c r="M607" s="4" t="s">
        <v>3785</v>
      </c>
      <c r="N607" s="4" t="s">
        <v>3786</v>
      </c>
      <c r="O607" s="4" t="s">
        <v>51</v>
      </c>
      <c r="P607" s="4" t="s">
        <v>3787</v>
      </c>
    </row>
    <row r="608">
      <c r="A608" s="4" t="s">
        <v>829</v>
      </c>
      <c r="B608" s="4">
        <v>499.0</v>
      </c>
      <c r="F608" s="4" t="s">
        <v>830</v>
      </c>
      <c r="G608" s="4" t="s">
        <v>3788</v>
      </c>
      <c r="H608" s="4" t="s">
        <v>43</v>
      </c>
      <c r="I608" s="4" t="s">
        <v>43</v>
      </c>
      <c r="J608" s="4" t="s">
        <v>43</v>
      </c>
      <c r="K608" s="5" t="str">
        <f>HYPERLINK("https://www.instagram.com/p/BeS3ZTjnA5i/","Open Post")</f>
        <v>Open Post</v>
      </c>
      <c r="L608" s="4" t="s">
        <v>3790</v>
      </c>
      <c r="M608" s="4" t="s">
        <v>3791</v>
      </c>
      <c r="N608" s="4" t="s">
        <v>3792</v>
      </c>
      <c r="O608" s="4" t="s">
        <v>51</v>
      </c>
      <c r="P608" s="4" t="s">
        <v>3793</v>
      </c>
    </row>
    <row r="609">
      <c r="A609" s="4" t="s">
        <v>829</v>
      </c>
      <c r="B609" s="4">
        <v>500.0</v>
      </c>
      <c r="F609" s="4" t="s">
        <v>830</v>
      </c>
      <c r="G609" s="4" t="s">
        <v>431</v>
      </c>
      <c r="H609" s="4" t="s">
        <v>43</v>
      </c>
      <c r="I609" s="4" t="s">
        <v>43</v>
      </c>
      <c r="J609" s="4" t="s">
        <v>43</v>
      </c>
      <c r="K609" s="5" t="str">
        <f>HYPERLINK("https://www.instagram.com/p/BeQa3Qalses/","Open Post")</f>
        <v>Open Post</v>
      </c>
      <c r="L609" s="4" t="s">
        <v>3795</v>
      </c>
      <c r="M609" s="4" t="s">
        <v>3796</v>
      </c>
      <c r="N609" s="4" t="s">
        <v>3797</v>
      </c>
      <c r="O609" s="4" t="s">
        <v>51</v>
      </c>
      <c r="P609" s="4" t="s">
        <v>3799</v>
      </c>
    </row>
    <row r="610">
      <c r="A610" s="4" t="s">
        <v>829</v>
      </c>
      <c r="B610" s="4">
        <v>501.0</v>
      </c>
      <c r="F610" s="4" t="s">
        <v>869</v>
      </c>
      <c r="G610" s="4" t="s">
        <v>3800</v>
      </c>
      <c r="H610" s="4" t="s">
        <v>43</v>
      </c>
      <c r="I610" s="4" t="s">
        <v>43</v>
      </c>
      <c r="J610" s="4" t="s">
        <v>43</v>
      </c>
      <c r="K610" s="5" t="str">
        <f>HYPERLINK("https://www.instagram.com/p/Bd2hEgclAMU/","Open Post")</f>
        <v>Open Post</v>
      </c>
      <c r="L610" s="4" t="s">
        <v>3801</v>
      </c>
      <c r="M610" s="4" t="s">
        <v>3802</v>
      </c>
      <c r="N610" s="4" t="s">
        <v>3803</v>
      </c>
      <c r="O610" s="4" t="s">
        <v>51</v>
      </c>
      <c r="P610" s="4" t="s">
        <v>3804</v>
      </c>
    </row>
    <row r="611">
      <c r="A611" s="4" t="s">
        <v>829</v>
      </c>
      <c r="B611" s="4">
        <v>502.0</v>
      </c>
      <c r="F611" s="4" t="s">
        <v>830</v>
      </c>
      <c r="G611" s="4" t="s">
        <v>852</v>
      </c>
      <c r="H611" s="4" t="s">
        <v>43</v>
      </c>
      <c r="I611" s="4" t="s">
        <v>43</v>
      </c>
      <c r="J611" s="4" t="s">
        <v>43</v>
      </c>
      <c r="K611" s="5" t="str">
        <f>HYPERLINK("https://www.instagram.com/p/BdyFiNTBSpB/","Open Post")</f>
        <v>Open Post</v>
      </c>
      <c r="L611" s="4" t="s">
        <v>3806</v>
      </c>
      <c r="M611" s="4" t="s">
        <v>3807</v>
      </c>
      <c r="N611" s="4" t="s">
        <v>3808</v>
      </c>
      <c r="O611" s="4" t="s">
        <v>51</v>
      </c>
      <c r="P611" s="4" t="s">
        <v>3809</v>
      </c>
    </row>
    <row r="612">
      <c r="A612" s="4" t="s">
        <v>829</v>
      </c>
      <c r="B612" s="4">
        <v>503.0</v>
      </c>
      <c r="F612" s="4" t="s">
        <v>830</v>
      </c>
      <c r="G612" s="4" t="s">
        <v>1047</v>
      </c>
      <c r="H612" s="4" t="s">
        <v>43</v>
      </c>
      <c r="I612" s="4" t="s">
        <v>43</v>
      </c>
      <c r="J612" s="4" t="s">
        <v>43</v>
      </c>
      <c r="K612" s="5" t="str">
        <f>HYPERLINK("https://www.instagram.com/p/Bdu18EwFvXP/","Open Post")</f>
        <v>Open Post</v>
      </c>
      <c r="L612" s="4" t="s">
        <v>3811</v>
      </c>
      <c r="M612" s="4" t="s">
        <v>3812</v>
      </c>
      <c r="N612" s="4" t="s">
        <v>3813</v>
      </c>
      <c r="O612" s="4" t="s">
        <v>51</v>
      </c>
      <c r="P612" s="4" t="s">
        <v>3815</v>
      </c>
    </row>
    <row r="613">
      <c r="A613" s="4" t="s">
        <v>829</v>
      </c>
      <c r="B613" s="4">
        <v>504.0</v>
      </c>
      <c r="F613" s="4" t="s">
        <v>830</v>
      </c>
      <c r="G613" s="4" t="s">
        <v>165</v>
      </c>
      <c r="H613" s="4" t="s">
        <v>43</v>
      </c>
      <c r="I613" s="4" t="s">
        <v>43</v>
      </c>
      <c r="J613" s="4" t="s">
        <v>43</v>
      </c>
      <c r="K613" s="5" t="str">
        <f>HYPERLINK("https://www.instagram.com/p/BdpC4L0Bqkk/","Open Post")</f>
        <v>Open Post</v>
      </c>
      <c r="L613" s="4" t="s">
        <v>3816</v>
      </c>
      <c r="M613" s="4" t="s">
        <v>3817</v>
      </c>
      <c r="N613" s="4" t="s">
        <v>3818</v>
      </c>
      <c r="O613" s="4" t="s">
        <v>51</v>
      </c>
      <c r="P613" s="4" t="s">
        <v>3819</v>
      </c>
    </row>
    <row r="614">
      <c r="A614" s="4" t="s">
        <v>829</v>
      </c>
      <c r="B614" s="4">
        <v>505.0</v>
      </c>
      <c r="F614" s="4" t="s">
        <v>830</v>
      </c>
      <c r="G614" s="4" t="s">
        <v>871</v>
      </c>
      <c r="H614" s="4" t="s">
        <v>43</v>
      </c>
      <c r="I614" s="4" t="s">
        <v>43</v>
      </c>
      <c r="J614" s="4" t="s">
        <v>43</v>
      </c>
      <c r="K614" s="5" t="str">
        <f>HYPERLINK("https://www.instagram.com/p/BdnmukfBCd8/","Open Post")</f>
        <v>Open Post</v>
      </c>
      <c r="L614" s="4" t="s">
        <v>3822</v>
      </c>
      <c r="M614" s="4" t="s">
        <v>3823</v>
      </c>
      <c r="N614" s="4" t="s">
        <v>3824</v>
      </c>
      <c r="O614" s="4" t="s">
        <v>51</v>
      </c>
      <c r="P614" s="4" t="s">
        <v>3825</v>
      </c>
    </row>
    <row r="615">
      <c r="A615" s="4" t="s">
        <v>829</v>
      </c>
      <c r="B615" s="4">
        <v>506.0</v>
      </c>
      <c r="F615" s="4" t="s">
        <v>830</v>
      </c>
      <c r="G615" s="4" t="s">
        <v>431</v>
      </c>
      <c r="H615" s="4" t="s">
        <v>43</v>
      </c>
      <c r="I615" s="4" t="s">
        <v>43</v>
      </c>
      <c r="J615" s="4" t="s">
        <v>43</v>
      </c>
      <c r="K615" s="5" t="str">
        <f>HYPERLINK("https://www.instagram.com/p/BdgyLBCBtvc/","Open Post")</f>
        <v>Open Post</v>
      </c>
      <c r="L615" s="4" t="s">
        <v>3826</v>
      </c>
      <c r="M615" s="4" t="s">
        <v>3827</v>
      </c>
      <c r="N615" s="4" t="s">
        <v>3828</v>
      </c>
      <c r="O615" s="4" t="s">
        <v>51</v>
      </c>
      <c r="P615" s="4" t="s">
        <v>3829</v>
      </c>
    </row>
    <row r="616">
      <c r="A616" s="4" t="s">
        <v>829</v>
      </c>
      <c r="B616" s="4">
        <v>507.0</v>
      </c>
      <c r="F616" s="4" t="s">
        <v>869</v>
      </c>
      <c r="G616" s="4" t="s">
        <v>3830</v>
      </c>
      <c r="H616" s="4" t="s">
        <v>43</v>
      </c>
      <c r="I616" s="4" t="s">
        <v>43</v>
      </c>
      <c r="J616" s="4" t="s">
        <v>43</v>
      </c>
      <c r="K616" s="5" t="str">
        <f>HYPERLINK("https://www.instagram.com/p/BdAsCiyni7_/","Open Post")</f>
        <v>Open Post</v>
      </c>
      <c r="L616" s="4" t="s">
        <v>3833</v>
      </c>
      <c r="M616" s="4" t="s">
        <v>3834</v>
      </c>
      <c r="N616" s="4" t="s">
        <v>3835</v>
      </c>
      <c r="O616" s="4" t="s">
        <v>51</v>
      </c>
      <c r="P616" s="4" t="s">
        <v>3836</v>
      </c>
    </row>
    <row r="617">
      <c r="A617" s="4" t="s">
        <v>829</v>
      </c>
      <c r="B617" s="4">
        <v>508.0</v>
      </c>
      <c r="F617" s="4" t="s">
        <v>830</v>
      </c>
      <c r="G617" s="4" t="s">
        <v>852</v>
      </c>
      <c r="H617" s="4" t="s">
        <v>43</v>
      </c>
      <c r="I617" s="4" t="s">
        <v>43</v>
      </c>
      <c r="J617" s="4" t="s">
        <v>43</v>
      </c>
      <c r="K617" s="5" t="str">
        <f>HYPERLINK("https://www.instagram.com/p/BdArZgsl58W/","Open Post")</f>
        <v>Open Post</v>
      </c>
      <c r="L617" s="4" t="s">
        <v>3837</v>
      </c>
      <c r="M617" s="4" t="s">
        <v>3838</v>
      </c>
      <c r="N617" s="4" t="s">
        <v>3839</v>
      </c>
      <c r="O617" s="4" t="s">
        <v>51</v>
      </c>
      <c r="P617" s="4" t="s">
        <v>3841</v>
      </c>
    </row>
    <row r="618">
      <c r="A618" s="4" t="s">
        <v>829</v>
      </c>
      <c r="B618" s="4">
        <v>509.0</v>
      </c>
      <c r="F618" s="4" t="s">
        <v>830</v>
      </c>
      <c r="G618" s="4" t="s">
        <v>306</v>
      </c>
      <c r="H618" s="4" t="s">
        <v>43</v>
      </c>
      <c r="I618" s="4" t="s">
        <v>43</v>
      </c>
      <c r="J618" s="4" t="s">
        <v>43</v>
      </c>
      <c r="K618" s="5" t="str">
        <f>HYPERLINK("https://www.instagram.com/p/Bc93bcAgdyE/","Open Post")</f>
        <v>Open Post</v>
      </c>
      <c r="L618" s="4" t="s">
        <v>3842</v>
      </c>
      <c r="M618" s="4" t="s">
        <v>49</v>
      </c>
      <c r="N618" s="4" t="s">
        <v>3843</v>
      </c>
      <c r="O618" s="4" t="s">
        <v>51</v>
      </c>
      <c r="P618" s="4" t="s">
        <v>3844</v>
      </c>
    </row>
    <row r="619">
      <c r="A619" s="4" t="s">
        <v>829</v>
      </c>
      <c r="B619" s="4">
        <v>510.0</v>
      </c>
      <c r="F619" s="4" t="s">
        <v>830</v>
      </c>
      <c r="G619" s="4" t="s">
        <v>306</v>
      </c>
      <c r="H619" s="4" t="s">
        <v>43</v>
      </c>
      <c r="I619" s="4" t="s">
        <v>43</v>
      </c>
      <c r="J619" s="4" t="s">
        <v>43</v>
      </c>
      <c r="K619" s="5" t="str">
        <f>HYPERLINK("https://www.instagram.com/p/Bc93Md9AWXL/","Open Post")</f>
        <v>Open Post</v>
      </c>
      <c r="L619" s="4" t="s">
        <v>3847</v>
      </c>
      <c r="M619" s="4" t="s">
        <v>49</v>
      </c>
      <c r="N619" s="4" t="s">
        <v>3848</v>
      </c>
      <c r="O619" s="4" t="s">
        <v>51</v>
      </c>
      <c r="P619" s="4" t="s">
        <v>3849</v>
      </c>
    </row>
    <row r="620">
      <c r="A620" s="4" t="s">
        <v>829</v>
      </c>
      <c r="B620" s="4">
        <v>511.0</v>
      </c>
      <c r="F620" s="4" t="s">
        <v>830</v>
      </c>
      <c r="G620" s="4" t="s">
        <v>1041</v>
      </c>
      <c r="H620" s="4" t="s">
        <v>43</v>
      </c>
      <c r="I620" s="4" t="s">
        <v>43</v>
      </c>
      <c r="J620" s="4" t="s">
        <v>43</v>
      </c>
      <c r="K620" s="5" t="str">
        <f>HYPERLINK("https://www.instagram.com/p/Bc9096kDqMW/","Open Post")</f>
        <v>Open Post</v>
      </c>
      <c r="L620" s="4" t="s">
        <v>3850</v>
      </c>
      <c r="M620" s="4" t="s">
        <v>3851</v>
      </c>
      <c r="N620" s="4" t="s">
        <v>3852</v>
      </c>
      <c r="O620" s="4" t="s">
        <v>51</v>
      </c>
      <c r="P620" s="4" t="s">
        <v>3853</v>
      </c>
    </row>
    <row r="621">
      <c r="A621" s="4" t="s">
        <v>829</v>
      </c>
      <c r="B621" s="4">
        <v>512.0</v>
      </c>
      <c r="F621" s="4" t="s">
        <v>830</v>
      </c>
      <c r="G621" s="4" t="s">
        <v>3855</v>
      </c>
      <c r="H621" s="4" t="s">
        <v>43</v>
      </c>
      <c r="I621" s="4" t="s">
        <v>43</v>
      </c>
      <c r="J621" s="4" t="s">
        <v>43</v>
      </c>
      <c r="K621" s="5" t="str">
        <f>HYPERLINK("https://www.instagram.com/p/BcqSTRqBJwe/","Open Post")</f>
        <v>Open Post</v>
      </c>
      <c r="L621" s="4" t="s">
        <v>3857</v>
      </c>
      <c r="M621" s="4" t="s">
        <v>3858</v>
      </c>
      <c r="N621" s="4" t="s">
        <v>3859</v>
      </c>
      <c r="O621" s="4" t="s">
        <v>51</v>
      </c>
      <c r="P621" s="4" t="s">
        <v>3860</v>
      </c>
    </row>
    <row r="622">
      <c r="A622" s="4" t="s">
        <v>829</v>
      </c>
      <c r="B622" s="4">
        <v>513.0</v>
      </c>
      <c r="F622" s="4" t="s">
        <v>830</v>
      </c>
      <c r="G622" s="4" t="s">
        <v>306</v>
      </c>
      <c r="H622" s="4" t="s">
        <v>43</v>
      </c>
      <c r="I622" s="4" t="s">
        <v>43</v>
      </c>
      <c r="J622" s="4" t="s">
        <v>43</v>
      </c>
      <c r="K622" s="5" t="str">
        <f>HYPERLINK("https://www.instagram.com/p/BcmxgkUBmTS/","Open Post")</f>
        <v>Open Post</v>
      </c>
      <c r="L622" s="4" t="s">
        <v>3862</v>
      </c>
      <c r="M622" s="4" t="s">
        <v>49</v>
      </c>
      <c r="N622" s="4" t="s">
        <v>3863</v>
      </c>
      <c r="O622" s="4" t="s">
        <v>51</v>
      </c>
      <c r="P622" s="4" t="s">
        <v>3864</v>
      </c>
    </row>
    <row r="623">
      <c r="A623" s="4" t="s">
        <v>829</v>
      </c>
      <c r="B623" s="4">
        <v>514.0</v>
      </c>
      <c r="F623" s="4" t="s">
        <v>830</v>
      </c>
      <c r="G623" s="4" t="s">
        <v>661</v>
      </c>
      <c r="H623" s="4" t="s">
        <v>43</v>
      </c>
      <c r="I623" s="4" t="s">
        <v>43</v>
      </c>
      <c r="J623" s="4" t="s">
        <v>43</v>
      </c>
      <c r="K623" s="5" t="str">
        <f>HYPERLINK("https://www.instagram.com/p/BcjkxhuF3KN/","Open Post")</f>
        <v>Open Post</v>
      </c>
      <c r="L623" s="4" t="s">
        <v>3865</v>
      </c>
      <c r="M623" s="4" t="s">
        <v>2407</v>
      </c>
      <c r="N623" s="4" t="s">
        <v>3866</v>
      </c>
      <c r="O623" s="4" t="s">
        <v>51</v>
      </c>
      <c r="P623" s="4" t="s">
        <v>3868</v>
      </c>
    </row>
    <row r="624">
      <c r="A624" s="4" t="s">
        <v>829</v>
      </c>
      <c r="B624" s="4">
        <v>515.0</v>
      </c>
      <c r="F624" s="4" t="s">
        <v>830</v>
      </c>
      <c r="G624" s="4" t="s">
        <v>3869</v>
      </c>
      <c r="H624" s="4" t="s">
        <v>43</v>
      </c>
      <c r="I624" s="4" t="s">
        <v>43</v>
      </c>
      <c r="J624" s="4" t="s">
        <v>43</v>
      </c>
      <c r="K624" s="5" t="str">
        <f>HYPERLINK("https://www.instagram.com/p/BciCyz-BW-s/","Open Post")</f>
        <v>Open Post</v>
      </c>
      <c r="L624" s="4" t="s">
        <v>3871</v>
      </c>
      <c r="M624" s="4" t="s">
        <v>3872</v>
      </c>
      <c r="N624" s="4" t="s">
        <v>3873</v>
      </c>
      <c r="O624" s="4" t="s">
        <v>51</v>
      </c>
      <c r="P624" s="4" t="s">
        <v>3874</v>
      </c>
    </row>
    <row r="625">
      <c r="A625" s="4" t="s">
        <v>829</v>
      </c>
      <c r="B625" s="4">
        <v>516.0</v>
      </c>
      <c r="F625" s="4" t="s">
        <v>830</v>
      </c>
      <c r="G625" s="4" t="s">
        <v>306</v>
      </c>
      <c r="H625" s="4" t="s">
        <v>43</v>
      </c>
      <c r="I625" s="4" t="s">
        <v>43</v>
      </c>
      <c r="J625" s="4" t="s">
        <v>43</v>
      </c>
      <c r="K625" s="5" t="str">
        <f>HYPERLINK("https://www.instagram.com/p/BcczSbbnfJg/","Open Post")</f>
        <v>Open Post</v>
      </c>
      <c r="L625" s="4" t="s">
        <v>3876</v>
      </c>
      <c r="M625" s="4" t="s">
        <v>49</v>
      </c>
      <c r="N625" s="4" t="s">
        <v>3877</v>
      </c>
      <c r="O625" s="4" t="s">
        <v>51</v>
      </c>
      <c r="P625" s="4" t="s">
        <v>3878</v>
      </c>
    </row>
    <row r="626">
      <c r="A626" s="4" t="s">
        <v>829</v>
      </c>
      <c r="B626" s="4">
        <v>517.0</v>
      </c>
      <c r="F626" s="4" t="s">
        <v>830</v>
      </c>
      <c r="G626" s="4" t="s">
        <v>3880</v>
      </c>
      <c r="H626" s="4" t="s">
        <v>43</v>
      </c>
      <c r="I626" s="4" t="s">
        <v>43</v>
      </c>
      <c r="J626" s="4" t="s">
        <v>43</v>
      </c>
      <c r="K626" s="5" t="str">
        <f>HYPERLINK("https://www.instagram.com/p/BcbMuMKnEgG/","Open Post")</f>
        <v>Open Post</v>
      </c>
      <c r="L626" s="4" t="s">
        <v>3882</v>
      </c>
      <c r="M626" s="4" t="s">
        <v>3883</v>
      </c>
      <c r="N626" s="4" t="s">
        <v>3884</v>
      </c>
      <c r="O626" s="4" t="s">
        <v>51</v>
      </c>
      <c r="P626" s="4" t="s">
        <v>3885</v>
      </c>
    </row>
    <row r="627">
      <c r="A627" s="4" t="s">
        <v>829</v>
      </c>
      <c r="B627" s="4">
        <v>518.0</v>
      </c>
      <c r="F627" s="4" t="s">
        <v>830</v>
      </c>
      <c r="G627" s="4" t="s">
        <v>306</v>
      </c>
      <c r="H627" s="4" t="s">
        <v>43</v>
      </c>
      <c r="I627" s="4" t="s">
        <v>43</v>
      </c>
      <c r="J627" s="4" t="s">
        <v>43</v>
      </c>
      <c r="K627" s="5" t="str">
        <f>HYPERLINK("https://www.instagram.com/p/BcXFZqVh9R9/","Open Post")</f>
        <v>Open Post</v>
      </c>
      <c r="L627" s="4" t="s">
        <v>3887</v>
      </c>
      <c r="M627" s="4" t="s">
        <v>49</v>
      </c>
      <c r="N627" s="4" t="s">
        <v>3888</v>
      </c>
      <c r="O627" s="4" t="s">
        <v>51</v>
      </c>
      <c r="P627" s="4" t="s">
        <v>3890</v>
      </c>
    </row>
    <row r="628">
      <c r="A628" s="4" t="s">
        <v>829</v>
      </c>
      <c r="B628" s="4">
        <v>519.0</v>
      </c>
      <c r="F628" s="4" t="s">
        <v>830</v>
      </c>
      <c r="G628" s="4" t="s">
        <v>1041</v>
      </c>
      <c r="H628" s="4" t="s">
        <v>43</v>
      </c>
      <c r="I628" s="4" t="s">
        <v>43</v>
      </c>
      <c r="J628" s="4" t="s">
        <v>43</v>
      </c>
      <c r="K628" s="5" t="str">
        <f>HYPERLINK("https://www.instagram.com/p/BcWMRMmlxkS/","Open Post")</f>
        <v>Open Post</v>
      </c>
      <c r="L628" s="4" t="s">
        <v>3891</v>
      </c>
      <c r="M628" s="4" t="s">
        <v>3892</v>
      </c>
      <c r="N628" s="4" t="s">
        <v>3893</v>
      </c>
      <c r="O628" s="4" t="s">
        <v>51</v>
      </c>
      <c r="P628" s="4" t="s">
        <v>3894</v>
      </c>
    </row>
    <row r="629">
      <c r="A629" s="4" t="s">
        <v>829</v>
      </c>
      <c r="B629" s="4">
        <v>520.0</v>
      </c>
      <c r="F629" s="4" t="s">
        <v>830</v>
      </c>
      <c r="G629" s="4" t="s">
        <v>2623</v>
      </c>
      <c r="H629" s="4" t="s">
        <v>43</v>
      </c>
      <c r="I629" s="4" t="s">
        <v>43</v>
      </c>
      <c r="J629" s="4" t="s">
        <v>43</v>
      </c>
      <c r="K629" s="5" t="str">
        <f>HYPERLINK("https://www.instagram.com/p/BcUKTA3gV_y/","Open Post")</f>
        <v>Open Post</v>
      </c>
      <c r="L629" s="4" t="s">
        <v>3896</v>
      </c>
      <c r="M629" s="4" t="s">
        <v>3897</v>
      </c>
      <c r="N629" s="4" t="s">
        <v>3898</v>
      </c>
      <c r="O629" s="4" t="s">
        <v>51</v>
      </c>
      <c r="P629" s="4" t="s">
        <v>3899</v>
      </c>
    </row>
    <row r="630">
      <c r="A630" s="4" t="s">
        <v>829</v>
      </c>
      <c r="B630" s="4">
        <v>521.0</v>
      </c>
      <c r="F630" s="4" t="s">
        <v>830</v>
      </c>
      <c r="G630" s="4" t="s">
        <v>951</v>
      </c>
      <c r="H630" s="4" t="s">
        <v>43</v>
      </c>
      <c r="I630" s="4" t="s">
        <v>43</v>
      </c>
      <c r="J630" s="4" t="s">
        <v>43</v>
      </c>
      <c r="K630" s="5" t="str">
        <f>HYPERLINK("https://www.instagram.com/p/BcFYObLFGxE/","Open Post")</f>
        <v>Open Post</v>
      </c>
      <c r="L630" s="4" t="s">
        <v>3901</v>
      </c>
      <c r="M630" s="4" t="s">
        <v>3902</v>
      </c>
      <c r="N630" s="4" t="s">
        <v>3903</v>
      </c>
      <c r="O630" s="4" t="s">
        <v>51</v>
      </c>
      <c r="P630" s="4" t="s">
        <v>3904</v>
      </c>
    </row>
    <row r="631">
      <c r="A631" s="4" t="s">
        <v>829</v>
      </c>
      <c r="B631" s="4">
        <v>522.0</v>
      </c>
      <c r="F631" s="4" t="s">
        <v>830</v>
      </c>
      <c r="G631" s="4" t="s">
        <v>371</v>
      </c>
      <c r="H631" s="4" t="s">
        <v>43</v>
      </c>
      <c r="I631" s="4" t="s">
        <v>43</v>
      </c>
      <c r="J631" s="4" t="s">
        <v>43</v>
      </c>
      <c r="K631" s="5" t="str">
        <f>HYPERLINK("https://www.instagram.com/p/BcA1NetFJlA/","Open Post")</f>
        <v>Open Post</v>
      </c>
      <c r="L631" s="4" t="s">
        <v>3906</v>
      </c>
      <c r="M631" s="4" t="s">
        <v>49</v>
      </c>
      <c r="N631" s="4" t="s">
        <v>3907</v>
      </c>
      <c r="O631" s="4" t="s">
        <v>51</v>
      </c>
      <c r="P631" s="4" t="s">
        <v>3908</v>
      </c>
    </row>
    <row r="632">
      <c r="A632" s="4" t="s">
        <v>829</v>
      </c>
      <c r="B632" s="4">
        <v>523.0</v>
      </c>
      <c r="F632" s="4" t="s">
        <v>830</v>
      </c>
      <c r="G632" s="4" t="s">
        <v>257</v>
      </c>
      <c r="H632" s="4" t="s">
        <v>43</v>
      </c>
      <c r="I632" s="4" t="s">
        <v>43</v>
      </c>
      <c r="J632" s="4" t="s">
        <v>43</v>
      </c>
      <c r="K632" s="5" t="str">
        <f>HYPERLINK("https://www.instagram.com/p/Bbu_V39De2Q/","Open Post")</f>
        <v>Open Post</v>
      </c>
      <c r="L632" s="4" t="s">
        <v>3910</v>
      </c>
      <c r="M632" s="4" t="s">
        <v>3911</v>
      </c>
      <c r="N632" s="4" t="s">
        <v>3912</v>
      </c>
      <c r="O632" s="4" t="s">
        <v>51</v>
      </c>
      <c r="P632" s="4" t="s">
        <v>3913</v>
      </c>
    </row>
    <row r="633">
      <c r="A633" s="4" t="s">
        <v>829</v>
      </c>
      <c r="B633" s="4">
        <v>524.0</v>
      </c>
      <c r="F633" s="4" t="s">
        <v>830</v>
      </c>
      <c r="G633" s="4" t="s">
        <v>951</v>
      </c>
      <c r="H633" s="4" t="s">
        <v>43</v>
      </c>
      <c r="I633" s="4" t="s">
        <v>43</v>
      </c>
      <c r="J633" s="4" t="s">
        <v>43</v>
      </c>
      <c r="K633" s="5" t="str">
        <f>HYPERLINK("https://www.instagram.com/p/BbgarVfARsc/","Open Post")</f>
        <v>Open Post</v>
      </c>
      <c r="L633" s="4" t="s">
        <v>3915</v>
      </c>
      <c r="M633" s="4" t="s">
        <v>3916</v>
      </c>
      <c r="N633" s="4" t="s">
        <v>3917</v>
      </c>
      <c r="O633" s="4" t="s">
        <v>51</v>
      </c>
      <c r="P633" s="4" t="s">
        <v>3919</v>
      </c>
    </row>
    <row r="634">
      <c r="A634" s="4" t="s">
        <v>829</v>
      </c>
      <c r="B634" s="4">
        <v>525.0</v>
      </c>
      <c r="F634" s="4" t="s">
        <v>830</v>
      </c>
      <c r="G634" s="4" t="s">
        <v>951</v>
      </c>
      <c r="H634" s="4" t="s">
        <v>43</v>
      </c>
      <c r="I634" s="4" t="s">
        <v>43</v>
      </c>
      <c r="J634" s="4" t="s">
        <v>43</v>
      </c>
      <c r="K634" s="5" t="str">
        <f>HYPERLINK("https://www.instagram.com/p/BbeNeaigPtI/","Open Post")</f>
        <v>Open Post</v>
      </c>
      <c r="L634" s="4" t="s">
        <v>3920</v>
      </c>
      <c r="M634" s="4" t="s">
        <v>3921</v>
      </c>
      <c r="N634" s="4" t="s">
        <v>3922</v>
      </c>
      <c r="O634" s="4" t="s">
        <v>51</v>
      </c>
      <c r="P634" s="4" t="s">
        <v>3923</v>
      </c>
    </row>
    <row r="635">
      <c r="A635" s="4" t="s">
        <v>829</v>
      </c>
      <c r="B635" s="4">
        <v>526.0</v>
      </c>
      <c r="F635" s="4" t="s">
        <v>830</v>
      </c>
      <c r="G635" s="4" t="s">
        <v>318</v>
      </c>
      <c r="H635" s="4" t="s">
        <v>43</v>
      </c>
      <c r="I635" s="4" t="s">
        <v>43</v>
      </c>
      <c r="J635" s="4" t="s">
        <v>43</v>
      </c>
      <c r="K635" s="5" t="str">
        <f>HYPERLINK("https://www.instagram.com/p/BbYnHdvhYQT/","Open Post")</f>
        <v>Open Post</v>
      </c>
      <c r="L635" s="4" t="s">
        <v>3926</v>
      </c>
      <c r="M635" s="4" t="s">
        <v>49</v>
      </c>
      <c r="N635" s="4" t="s">
        <v>3927</v>
      </c>
      <c r="O635" s="4" t="s">
        <v>51</v>
      </c>
      <c r="P635" s="4" t="s">
        <v>3928</v>
      </c>
    </row>
    <row r="636">
      <c r="A636" s="4" t="s">
        <v>829</v>
      </c>
      <c r="B636" s="4">
        <v>527.0</v>
      </c>
      <c r="F636" s="4" t="s">
        <v>830</v>
      </c>
      <c r="G636" s="4" t="s">
        <v>3929</v>
      </c>
      <c r="H636" s="4" t="s">
        <v>43</v>
      </c>
      <c r="I636" s="4" t="s">
        <v>43</v>
      </c>
      <c r="J636" s="4" t="s">
        <v>43</v>
      </c>
      <c r="K636" s="5" t="str">
        <f>HYPERLINK("https://www.instagram.com/p/BbNVhu8Bxj-/","Open Post")</f>
        <v>Open Post</v>
      </c>
      <c r="L636" s="4" t="s">
        <v>3930</v>
      </c>
      <c r="M636" s="4" t="s">
        <v>3931</v>
      </c>
      <c r="N636" s="4" t="s">
        <v>3932</v>
      </c>
      <c r="O636" s="4" t="s">
        <v>51</v>
      </c>
      <c r="P636" s="4" t="s">
        <v>3933</v>
      </c>
    </row>
    <row r="637">
      <c r="A637" s="4" t="s">
        <v>829</v>
      </c>
      <c r="B637" s="4">
        <v>528.0</v>
      </c>
      <c r="F637" s="4" t="s">
        <v>869</v>
      </c>
      <c r="G637" s="4" t="s">
        <v>207</v>
      </c>
      <c r="H637" s="4" t="s">
        <v>43</v>
      </c>
      <c r="I637" s="4" t="s">
        <v>43</v>
      </c>
      <c r="J637" s="4" t="s">
        <v>43</v>
      </c>
      <c r="K637" s="5" t="str">
        <f>HYPERLINK("https://www.instagram.com/p/BahOwZaAQR6/","Open Post")</f>
        <v>Open Post</v>
      </c>
      <c r="L637" s="4" t="s">
        <v>3936</v>
      </c>
      <c r="M637" s="4" t="s">
        <v>3937</v>
      </c>
      <c r="N637" s="4" t="s">
        <v>3938</v>
      </c>
      <c r="O637" s="4" t="s">
        <v>51</v>
      </c>
      <c r="P637" s="4" t="s">
        <v>3939</v>
      </c>
    </row>
    <row r="638">
      <c r="A638" s="4" t="s">
        <v>829</v>
      </c>
      <c r="B638" s="4">
        <v>529.0</v>
      </c>
      <c r="F638" s="4" t="s">
        <v>830</v>
      </c>
      <c r="G638" s="4" t="s">
        <v>852</v>
      </c>
      <c r="H638" s="4" t="s">
        <v>43</v>
      </c>
      <c r="I638" s="4" t="s">
        <v>43</v>
      </c>
      <c r="J638" s="4" t="s">
        <v>43</v>
      </c>
      <c r="K638" s="5" t="str">
        <f>HYPERLINK("https://www.instagram.com/p/BagJYZDgE-8/","Open Post")</f>
        <v>Open Post</v>
      </c>
      <c r="L638" s="4" t="s">
        <v>3941</v>
      </c>
      <c r="M638" s="4" t="s">
        <v>3942</v>
      </c>
      <c r="N638" s="4" t="s">
        <v>3943</v>
      </c>
      <c r="O638" s="4" t="s">
        <v>51</v>
      </c>
      <c r="P638" s="4" t="s">
        <v>3944</v>
      </c>
    </row>
    <row r="639">
      <c r="A639" s="4" t="s">
        <v>829</v>
      </c>
      <c r="B639" s="4">
        <v>530.0</v>
      </c>
      <c r="F639" s="4" t="s">
        <v>830</v>
      </c>
      <c r="G639" s="4" t="s">
        <v>207</v>
      </c>
      <c r="H639" s="4" t="s">
        <v>43</v>
      </c>
      <c r="I639" s="4" t="s">
        <v>43</v>
      </c>
      <c r="J639" s="4" t="s">
        <v>43</v>
      </c>
      <c r="K639" s="5" t="str">
        <f>HYPERLINK("https://www.instagram.com/p/BaeB2gYHUWG/","Open Post")</f>
        <v>Open Post</v>
      </c>
      <c r="L639" s="4" t="s">
        <v>3946</v>
      </c>
      <c r="M639" s="4" t="s">
        <v>49</v>
      </c>
      <c r="N639" s="4" t="s">
        <v>3947</v>
      </c>
      <c r="O639" s="4" t="s">
        <v>51</v>
      </c>
      <c r="P639" s="4" t="s">
        <v>3948</v>
      </c>
    </row>
    <row r="640">
      <c r="A640" s="4" t="s">
        <v>829</v>
      </c>
      <c r="B640" s="4">
        <v>531.0</v>
      </c>
      <c r="F640" s="4" t="s">
        <v>830</v>
      </c>
      <c r="G640" s="4" t="s">
        <v>1768</v>
      </c>
      <c r="H640" s="4" t="s">
        <v>43</v>
      </c>
      <c r="I640" s="4" t="s">
        <v>43</v>
      </c>
      <c r="J640" s="4" t="s">
        <v>43</v>
      </c>
      <c r="K640" s="5" t="str">
        <f>HYPERLINK("https://www.instagram.com/p/BaXT5WaHxmz/","Open Post")</f>
        <v>Open Post</v>
      </c>
      <c r="L640" s="4" t="s">
        <v>3950</v>
      </c>
      <c r="M640" s="4" t="s">
        <v>3951</v>
      </c>
      <c r="N640" s="4" t="s">
        <v>3952</v>
      </c>
      <c r="O640" s="4" t="s">
        <v>51</v>
      </c>
      <c r="P640" s="4" t="s">
        <v>3953</v>
      </c>
    </row>
    <row r="641">
      <c r="A641" s="4" t="s">
        <v>829</v>
      </c>
      <c r="B641" s="4">
        <v>532.0</v>
      </c>
      <c r="F641" s="4" t="s">
        <v>830</v>
      </c>
      <c r="G641" s="4" t="s">
        <v>257</v>
      </c>
      <c r="H641" s="4" t="s">
        <v>43</v>
      </c>
      <c r="I641" s="4" t="s">
        <v>43</v>
      </c>
      <c r="J641" s="4" t="s">
        <v>43</v>
      </c>
      <c r="K641" s="5" t="str">
        <f>HYPERLINK("https://www.instagram.com/p/BaPNPbShMhv/","Open Post")</f>
        <v>Open Post</v>
      </c>
      <c r="L641" s="4" t="s">
        <v>3955</v>
      </c>
      <c r="M641" s="4" t="s">
        <v>3956</v>
      </c>
      <c r="N641" s="4" t="s">
        <v>3957</v>
      </c>
      <c r="O641" s="4" t="s">
        <v>51</v>
      </c>
      <c r="P641" s="4" t="s">
        <v>3958</v>
      </c>
    </row>
    <row r="642">
      <c r="A642" s="4" t="s">
        <v>829</v>
      </c>
      <c r="B642" s="4">
        <v>533.0</v>
      </c>
      <c r="F642" s="4" t="s">
        <v>869</v>
      </c>
      <c r="G642" s="4" t="s">
        <v>389</v>
      </c>
      <c r="H642" s="4" t="s">
        <v>43</v>
      </c>
      <c r="I642" s="4" t="s">
        <v>43</v>
      </c>
      <c r="J642" s="4" t="s">
        <v>43</v>
      </c>
      <c r="K642" s="5" t="str">
        <f>HYPERLINK("https://www.instagram.com/p/BaEtsW4lbzL/","Open Post")</f>
        <v>Open Post</v>
      </c>
      <c r="L642" s="4" t="s">
        <v>3960</v>
      </c>
      <c r="M642" s="4" t="s">
        <v>3961</v>
      </c>
      <c r="N642" s="4" t="s">
        <v>3962</v>
      </c>
      <c r="O642" s="4" t="s">
        <v>51</v>
      </c>
      <c r="P642" s="4" t="s">
        <v>3963</v>
      </c>
    </row>
    <row r="643">
      <c r="A643" s="4" t="s">
        <v>829</v>
      </c>
      <c r="B643" s="4">
        <v>534.0</v>
      </c>
      <c r="F643" s="4" t="s">
        <v>830</v>
      </c>
      <c r="G643" s="4" t="s">
        <v>371</v>
      </c>
      <c r="H643" s="4" t="s">
        <v>43</v>
      </c>
      <c r="I643" s="4" t="s">
        <v>43</v>
      </c>
      <c r="J643" s="4" t="s">
        <v>43</v>
      </c>
      <c r="K643" s="5" t="str">
        <f>HYPERLINK("https://www.instagram.com/p/BaC5ksMnreJ/","Open Post")</f>
        <v>Open Post</v>
      </c>
      <c r="L643" s="4" t="s">
        <v>3965</v>
      </c>
      <c r="M643" s="4" t="s">
        <v>3966</v>
      </c>
      <c r="N643" s="4" t="s">
        <v>3967</v>
      </c>
      <c r="O643" s="4" t="s">
        <v>51</v>
      </c>
      <c r="P643" s="4" t="s">
        <v>3968</v>
      </c>
    </row>
    <row r="644">
      <c r="A644" s="4" t="s">
        <v>829</v>
      </c>
      <c r="B644" s="4">
        <v>535.0</v>
      </c>
      <c r="F644" s="4" t="s">
        <v>830</v>
      </c>
      <c r="G644" s="4" t="s">
        <v>340</v>
      </c>
      <c r="H644" s="4" t="s">
        <v>43</v>
      </c>
      <c r="I644" s="4" t="s">
        <v>43</v>
      </c>
      <c r="J644" s="4" t="s">
        <v>43</v>
      </c>
      <c r="K644" s="5" t="str">
        <f>HYPERLINK("https://www.instagram.com/p/BZwxr55hY7m/","Open Post")</f>
        <v>Open Post</v>
      </c>
      <c r="L644" s="4" t="s">
        <v>3970</v>
      </c>
      <c r="M644" s="4" t="s">
        <v>3971</v>
      </c>
      <c r="N644" s="4" t="s">
        <v>3972</v>
      </c>
      <c r="O644" s="4" t="s">
        <v>51</v>
      </c>
      <c r="P644" s="4" t="s">
        <v>3973</v>
      </c>
    </row>
    <row r="645">
      <c r="A645" s="4" t="s">
        <v>829</v>
      </c>
      <c r="B645" s="4">
        <v>536.0</v>
      </c>
      <c r="F645" s="4" t="s">
        <v>830</v>
      </c>
      <c r="G645" s="4" t="s">
        <v>3869</v>
      </c>
      <c r="H645" s="4" t="s">
        <v>43</v>
      </c>
      <c r="I645" s="4" t="s">
        <v>43</v>
      </c>
      <c r="J645" s="4" t="s">
        <v>43</v>
      </c>
      <c r="K645" s="5" t="str">
        <f>HYPERLINK("https://www.instagram.com/p/BZl4UYPFFMU/","Open Post")</f>
        <v>Open Post</v>
      </c>
      <c r="L645" s="4" t="s">
        <v>3975</v>
      </c>
      <c r="M645" s="4" t="s">
        <v>3976</v>
      </c>
      <c r="N645" s="4" t="s">
        <v>3977</v>
      </c>
      <c r="O645" s="4" t="s">
        <v>51</v>
      </c>
      <c r="P645" s="4" t="s">
        <v>3978</v>
      </c>
    </row>
    <row r="646">
      <c r="A646" s="4" t="s">
        <v>829</v>
      </c>
      <c r="B646" s="4">
        <v>537.0</v>
      </c>
      <c r="F646" s="4" t="s">
        <v>830</v>
      </c>
      <c r="G646" s="4" t="s">
        <v>318</v>
      </c>
      <c r="H646" s="4" t="s">
        <v>43</v>
      </c>
      <c r="I646" s="4" t="s">
        <v>43</v>
      </c>
      <c r="J646" s="4" t="s">
        <v>43</v>
      </c>
      <c r="K646" s="5" t="str">
        <f>HYPERLINK("https://www.instagram.com/p/BZlnuZpnMno/","Open Post")</f>
        <v>Open Post</v>
      </c>
      <c r="L646" s="4" t="s">
        <v>3981</v>
      </c>
      <c r="M646" s="4" t="s">
        <v>3982</v>
      </c>
      <c r="N646" s="4" t="s">
        <v>3983</v>
      </c>
      <c r="O646" s="4" t="s">
        <v>51</v>
      </c>
      <c r="P646" s="4" t="s">
        <v>3984</v>
      </c>
    </row>
    <row r="647">
      <c r="A647" s="4" t="s">
        <v>829</v>
      </c>
      <c r="B647" s="4">
        <v>538.0</v>
      </c>
      <c r="F647" s="4" t="s">
        <v>830</v>
      </c>
      <c r="G647" s="4" t="s">
        <v>431</v>
      </c>
      <c r="H647" s="4" t="s">
        <v>43</v>
      </c>
      <c r="I647" s="4" t="s">
        <v>43</v>
      </c>
      <c r="J647" s="4" t="s">
        <v>43</v>
      </c>
      <c r="K647" s="5" t="str">
        <f>HYPERLINK("https://www.instagram.com/p/BZjmhF-gGjn/","Open Post")</f>
        <v>Open Post</v>
      </c>
      <c r="L647" s="4" t="s">
        <v>3986</v>
      </c>
      <c r="M647" s="4" t="s">
        <v>3987</v>
      </c>
      <c r="N647" s="4" t="s">
        <v>3988</v>
      </c>
      <c r="O647" s="4" t="s">
        <v>51</v>
      </c>
      <c r="P647" s="4" t="s">
        <v>3990</v>
      </c>
    </row>
    <row r="648">
      <c r="A648" s="4" t="s">
        <v>829</v>
      </c>
      <c r="B648" s="4">
        <v>539.0</v>
      </c>
      <c r="F648" s="4" t="s">
        <v>830</v>
      </c>
      <c r="G648" s="4" t="s">
        <v>207</v>
      </c>
      <c r="H648" s="4" t="s">
        <v>43</v>
      </c>
      <c r="I648" s="4" t="s">
        <v>43</v>
      </c>
      <c r="J648" s="4" t="s">
        <v>43</v>
      </c>
      <c r="K648" s="5" t="str">
        <f>HYPERLINK("https://www.instagram.com/p/BZRLpqlH18R/","Open Post")</f>
        <v>Open Post</v>
      </c>
      <c r="L648" s="4" t="s">
        <v>3991</v>
      </c>
      <c r="M648" s="4" t="s">
        <v>3992</v>
      </c>
      <c r="N648" s="4" t="s">
        <v>3993</v>
      </c>
      <c r="O648" s="4" t="s">
        <v>51</v>
      </c>
      <c r="P648" s="4" t="s">
        <v>3994</v>
      </c>
    </row>
    <row r="649">
      <c r="A649" s="4" t="s">
        <v>829</v>
      </c>
      <c r="B649" s="4">
        <v>540.0</v>
      </c>
      <c r="F649" s="4" t="s">
        <v>830</v>
      </c>
      <c r="G649" s="4" t="s">
        <v>431</v>
      </c>
      <c r="H649" s="4" t="s">
        <v>43</v>
      </c>
      <c r="I649" s="4" t="s">
        <v>43</v>
      </c>
      <c r="J649" s="4" t="s">
        <v>43</v>
      </c>
      <c r="K649" s="5" t="str">
        <f>HYPERLINK("https://www.instagram.com/p/BZBo_KCgXuE/","Open Post")</f>
        <v>Open Post</v>
      </c>
      <c r="L649" s="4" t="s">
        <v>3997</v>
      </c>
      <c r="M649" s="4" t="s">
        <v>3998</v>
      </c>
      <c r="N649" s="4" t="s">
        <v>3999</v>
      </c>
      <c r="O649" s="4" t="s">
        <v>51</v>
      </c>
      <c r="P649" s="4" t="s">
        <v>4000</v>
      </c>
    </row>
    <row r="650">
      <c r="A650" s="4" t="s">
        <v>829</v>
      </c>
      <c r="B650" s="4">
        <v>541.0</v>
      </c>
      <c r="F650" s="4" t="s">
        <v>830</v>
      </c>
      <c r="G650" s="4" t="s">
        <v>3855</v>
      </c>
      <c r="H650" s="4" t="s">
        <v>43</v>
      </c>
      <c r="I650" s="4" t="s">
        <v>43</v>
      </c>
      <c r="J650" s="4" t="s">
        <v>43</v>
      </c>
      <c r="K650" s="5" t="str">
        <f>HYPERLINK("https://www.instagram.com/p/BZAMpU2B-Cn/","Open Post")</f>
        <v>Open Post</v>
      </c>
      <c r="L650" s="4" t="s">
        <v>4002</v>
      </c>
      <c r="M650" s="4" t="s">
        <v>3858</v>
      </c>
      <c r="N650" s="4" t="s">
        <v>4003</v>
      </c>
      <c r="O650" s="4" t="s">
        <v>51</v>
      </c>
      <c r="P650" s="4" t="s">
        <v>4004</v>
      </c>
    </row>
    <row r="651">
      <c r="A651" s="4" t="s">
        <v>829</v>
      </c>
      <c r="B651" s="4">
        <v>542.0</v>
      </c>
      <c r="F651" s="4" t="s">
        <v>830</v>
      </c>
      <c r="G651" s="4" t="s">
        <v>165</v>
      </c>
      <c r="H651" s="4" t="s">
        <v>43</v>
      </c>
      <c r="I651" s="4" t="s">
        <v>43</v>
      </c>
      <c r="J651" s="4" t="s">
        <v>43</v>
      </c>
      <c r="K651" s="5" t="str">
        <f>HYPERLINK("https://www.instagram.com/p/BY_lcHUgIuj/","Open Post")</f>
        <v>Open Post</v>
      </c>
      <c r="L651" s="4" t="s">
        <v>4006</v>
      </c>
      <c r="M651" s="4" t="s">
        <v>4007</v>
      </c>
      <c r="N651" s="4" t="s">
        <v>4008</v>
      </c>
      <c r="O651" s="4" t="s">
        <v>51</v>
      </c>
      <c r="P651" s="4" t="s">
        <v>4009</v>
      </c>
    </row>
    <row r="652">
      <c r="A652" s="4" t="s">
        <v>829</v>
      </c>
      <c r="B652" s="4">
        <v>543.0</v>
      </c>
      <c r="F652" s="4" t="s">
        <v>830</v>
      </c>
      <c r="G652" s="4" t="s">
        <v>4010</v>
      </c>
      <c r="H652" s="4" t="s">
        <v>43</v>
      </c>
      <c r="I652" s="4" t="s">
        <v>43</v>
      </c>
      <c r="J652" s="4" t="s">
        <v>43</v>
      </c>
      <c r="K652" s="5" t="str">
        <f>HYPERLINK("https://www.instagram.com/p/BY9F78JDkgu/","Open Post")</f>
        <v>Open Post</v>
      </c>
      <c r="L652" s="4" t="s">
        <v>4012</v>
      </c>
      <c r="M652" s="4" t="s">
        <v>4013</v>
      </c>
      <c r="N652" s="4" t="s">
        <v>4014</v>
      </c>
      <c r="O652" s="4" t="s">
        <v>51</v>
      </c>
      <c r="P652" s="4" t="s">
        <v>4015</v>
      </c>
    </row>
    <row r="653">
      <c r="A653" s="4" t="s">
        <v>829</v>
      </c>
      <c r="B653" s="4">
        <v>544.0</v>
      </c>
      <c r="F653" s="4" t="s">
        <v>830</v>
      </c>
      <c r="G653" s="4" t="s">
        <v>871</v>
      </c>
      <c r="H653" s="4" t="s">
        <v>43</v>
      </c>
      <c r="I653" s="4" t="s">
        <v>43</v>
      </c>
      <c r="J653" s="4" t="s">
        <v>43</v>
      </c>
      <c r="K653" s="5" t="str">
        <f>HYPERLINK("https://www.instagram.com/p/BYdmQBGj8wT/","Open Post")</f>
        <v>Open Post</v>
      </c>
      <c r="L653" s="4" t="s">
        <v>4016</v>
      </c>
      <c r="M653" s="4" t="s">
        <v>4017</v>
      </c>
      <c r="N653" s="4" t="s">
        <v>4018</v>
      </c>
      <c r="O653" s="4" t="s">
        <v>51</v>
      </c>
      <c r="P653" s="4" t="s">
        <v>4019</v>
      </c>
    </row>
    <row r="654">
      <c r="A654" s="4" t="s">
        <v>829</v>
      </c>
      <c r="B654" s="4">
        <v>545.0</v>
      </c>
      <c r="F654" s="4" t="s">
        <v>830</v>
      </c>
      <c r="G654" s="4" t="s">
        <v>4023</v>
      </c>
      <c r="H654" s="4" t="s">
        <v>43</v>
      </c>
      <c r="I654" s="4" t="s">
        <v>43</v>
      </c>
      <c r="J654" s="4" t="s">
        <v>43</v>
      </c>
      <c r="K654" s="5" t="str">
        <f>HYPERLINK("https://www.instagram.com/p/BYHm0zTgozt/","Open Post")</f>
        <v>Open Post</v>
      </c>
      <c r="L654" s="4" t="s">
        <v>4025</v>
      </c>
      <c r="M654" s="4" t="s">
        <v>4026</v>
      </c>
      <c r="N654" s="4" t="s">
        <v>4027</v>
      </c>
      <c r="O654" s="4" t="s">
        <v>51</v>
      </c>
      <c r="P654" s="4" t="s">
        <v>4028</v>
      </c>
    </row>
    <row r="655">
      <c r="A655" s="4" t="s">
        <v>829</v>
      </c>
      <c r="B655" s="4">
        <v>546.0</v>
      </c>
      <c r="F655" s="4" t="s">
        <v>830</v>
      </c>
      <c r="G655" s="4" t="s">
        <v>4029</v>
      </c>
      <c r="H655" s="4" t="s">
        <v>43</v>
      </c>
      <c r="I655" s="4" t="s">
        <v>43</v>
      </c>
      <c r="J655" s="4" t="s">
        <v>43</v>
      </c>
      <c r="K655" s="5" t="str">
        <f>HYPERLINK("https://www.instagram.com/p/BYF5BQLAv_o/","Open Post")</f>
        <v>Open Post</v>
      </c>
      <c r="L655" s="4" t="s">
        <v>4030</v>
      </c>
      <c r="M655" s="4" t="s">
        <v>4032</v>
      </c>
      <c r="N655" s="4" t="s">
        <v>4033</v>
      </c>
      <c r="O655" s="4" t="s">
        <v>51</v>
      </c>
      <c r="P655" s="4" t="s">
        <v>4034</v>
      </c>
    </row>
    <row r="656">
      <c r="A656" s="4" t="s">
        <v>829</v>
      </c>
      <c r="B656" s="4">
        <v>547.0</v>
      </c>
      <c r="F656" s="4" t="s">
        <v>830</v>
      </c>
      <c r="G656" s="4" t="s">
        <v>346</v>
      </c>
      <c r="H656" s="4" t="s">
        <v>43</v>
      </c>
      <c r="I656" s="4" t="s">
        <v>43</v>
      </c>
      <c r="J656" s="4" t="s">
        <v>43</v>
      </c>
      <c r="K656" s="5" t="str">
        <f>HYPERLINK("https://www.instagram.com/p/BYBL7F1BIi0/","Open Post")</f>
        <v>Open Post</v>
      </c>
      <c r="L656" s="4" t="s">
        <v>4036</v>
      </c>
      <c r="M656" s="4" t="s">
        <v>3858</v>
      </c>
      <c r="N656" s="4" t="s">
        <v>4037</v>
      </c>
      <c r="O656" s="4" t="s">
        <v>51</v>
      </c>
      <c r="P656" s="4" t="s">
        <v>4038</v>
      </c>
    </row>
    <row r="657">
      <c r="A657" s="4" t="s">
        <v>829</v>
      </c>
      <c r="B657" s="4">
        <v>548.0</v>
      </c>
      <c r="F657" s="4" t="s">
        <v>830</v>
      </c>
      <c r="G657" s="4" t="s">
        <v>166</v>
      </c>
      <c r="H657" s="4" t="s">
        <v>43</v>
      </c>
      <c r="I657" s="4" t="s">
        <v>43</v>
      </c>
      <c r="J657" s="4" t="s">
        <v>43</v>
      </c>
      <c r="K657" s="5" t="str">
        <f>HYPERLINK("https://www.instagram.com/p/BX8jqcFB6GD/","Open Post")</f>
        <v>Open Post</v>
      </c>
      <c r="L657" s="4" t="s">
        <v>4040</v>
      </c>
      <c r="M657" s="4" t="s">
        <v>4041</v>
      </c>
      <c r="N657" s="4" t="s">
        <v>4042</v>
      </c>
      <c r="O657" s="4" t="s">
        <v>51</v>
      </c>
      <c r="P657" s="4" t="s">
        <v>4043</v>
      </c>
    </row>
    <row r="658">
      <c r="A658" s="4" t="s">
        <v>829</v>
      </c>
      <c r="B658" s="4">
        <v>549.0</v>
      </c>
      <c r="F658" s="4" t="s">
        <v>830</v>
      </c>
      <c r="G658" s="4" t="s">
        <v>326</v>
      </c>
      <c r="H658" s="4" t="s">
        <v>43</v>
      </c>
      <c r="I658" s="4" t="s">
        <v>43</v>
      </c>
      <c r="J658" s="4" t="s">
        <v>43</v>
      </c>
      <c r="K658" s="5" t="str">
        <f>HYPERLINK("https://www.instagram.com/p/BX33NC1AvSx/","Open Post")</f>
        <v>Open Post</v>
      </c>
      <c r="L658" s="4" t="s">
        <v>4045</v>
      </c>
      <c r="M658" s="4" t="s">
        <v>4046</v>
      </c>
      <c r="N658" s="4" t="s">
        <v>4047</v>
      </c>
      <c r="O658" s="4" t="s">
        <v>51</v>
      </c>
      <c r="P658" s="4" t="s">
        <v>4049</v>
      </c>
    </row>
    <row r="659">
      <c r="A659" s="4" t="s">
        <v>829</v>
      </c>
      <c r="B659" s="4">
        <v>550.0</v>
      </c>
      <c r="F659" s="4" t="s">
        <v>869</v>
      </c>
      <c r="G659" s="4" t="s">
        <v>4050</v>
      </c>
      <c r="H659" s="4" t="s">
        <v>43</v>
      </c>
      <c r="I659" s="4" t="s">
        <v>43</v>
      </c>
      <c r="J659" s="4" t="s">
        <v>43</v>
      </c>
      <c r="K659" s="5" t="str">
        <f>HYPERLINK("https://www.instagram.com/p/BXYRLm2BAcb/","Open Post")</f>
        <v>Open Post</v>
      </c>
      <c r="L659" s="4" t="s">
        <v>4051</v>
      </c>
      <c r="M659" s="4" t="s">
        <v>4052</v>
      </c>
      <c r="N659" s="4" t="s">
        <v>4053</v>
      </c>
      <c r="O659" s="4" t="s">
        <v>51</v>
      </c>
      <c r="P659" s="4" t="s">
        <v>4054</v>
      </c>
    </row>
    <row r="660">
      <c r="A660" s="4" t="s">
        <v>829</v>
      </c>
      <c r="B660" s="4">
        <v>551.0</v>
      </c>
      <c r="F660" s="4" t="s">
        <v>830</v>
      </c>
      <c r="G660" s="4" t="s">
        <v>661</v>
      </c>
      <c r="H660" s="4" t="s">
        <v>43</v>
      </c>
      <c r="I660" s="4" t="s">
        <v>43</v>
      </c>
      <c r="J660" s="4" t="s">
        <v>43</v>
      </c>
      <c r="K660" s="5" t="str">
        <f>HYPERLINK("https://www.instagram.com/p/BXPxcFpAPl9/","Open Post")</f>
        <v>Open Post</v>
      </c>
      <c r="L660" s="4" t="s">
        <v>4056</v>
      </c>
      <c r="M660" s="4" t="s">
        <v>4057</v>
      </c>
      <c r="N660" s="4" t="s">
        <v>4058</v>
      </c>
      <c r="O660" s="4" t="s">
        <v>51</v>
      </c>
      <c r="P660" s="4" t="s">
        <v>4059</v>
      </c>
    </row>
    <row r="661">
      <c r="A661" s="4" t="s">
        <v>829</v>
      </c>
      <c r="B661" s="4">
        <v>552.0</v>
      </c>
      <c r="F661" s="4" t="s">
        <v>830</v>
      </c>
      <c r="G661" s="4" t="s">
        <v>306</v>
      </c>
      <c r="H661" s="4" t="s">
        <v>43</v>
      </c>
      <c r="I661" s="4" t="s">
        <v>43</v>
      </c>
      <c r="J661" s="4" t="s">
        <v>43</v>
      </c>
      <c r="K661" s="5" t="str">
        <f>HYPERLINK("https://www.instagram.com/p/BXOb9wplXWC/","Open Post")</f>
        <v>Open Post</v>
      </c>
      <c r="L661" s="4" t="s">
        <v>4061</v>
      </c>
      <c r="M661" s="4" t="s">
        <v>49</v>
      </c>
      <c r="N661" s="4" t="s">
        <v>4062</v>
      </c>
      <c r="O661" s="4" t="s">
        <v>51</v>
      </c>
      <c r="P661" s="4" t="s">
        <v>4063</v>
      </c>
    </row>
    <row r="662">
      <c r="A662" s="4" t="s">
        <v>829</v>
      </c>
      <c r="B662" s="4">
        <v>553.0</v>
      </c>
      <c r="F662" s="4" t="s">
        <v>830</v>
      </c>
      <c r="G662" s="4" t="s">
        <v>957</v>
      </c>
      <c r="H662" s="4" t="s">
        <v>43</v>
      </c>
      <c r="I662" s="4" t="s">
        <v>43</v>
      </c>
      <c r="J662" s="4" t="s">
        <v>43</v>
      </c>
      <c r="K662" s="5" t="str">
        <f>HYPERLINK("https://www.instagram.com/p/BXEWVoclgm4/","Open Post")</f>
        <v>Open Post</v>
      </c>
      <c r="L662" s="4" t="s">
        <v>4065</v>
      </c>
      <c r="M662" s="4" t="s">
        <v>4066</v>
      </c>
      <c r="N662" s="4" t="s">
        <v>4067</v>
      </c>
      <c r="O662" s="4" t="s">
        <v>51</v>
      </c>
      <c r="P662" s="4" t="s">
        <v>4068</v>
      </c>
    </row>
    <row r="663">
      <c r="A663" s="4" t="s">
        <v>829</v>
      </c>
      <c r="B663" s="4">
        <v>554.0</v>
      </c>
      <c r="F663" s="4" t="s">
        <v>869</v>
      </c>
      <c r="G663" s="4" t="s">
        <v>166</v>
      </c>
      <c r="H663" s="4" t="s">
        <v>43</v>
      </c>
      <c r="I663" s="4" t="s">
        <v>43</v>
      </c>
      <c r="J663" s="4" t="s">
        <v>43</v>
      </c>
      <c r="K663" s="5" t="str">
        <f>HYPERLINK("https://www.instagram.com/p/BXAlnhFgblA/","Open Post")</f>
        <v>Open Post</v>
      </c>
      <c r="L663" s="4" t="s">
        <v>4070</v>
      </c>
      <c r="M663" s="4" t="s">
        <v>4072</v>
      </c>
      <c r="N663" s="4" t="s">
        <v>4073</v>
      </c>
      <c r="O663" s="4" t="s">
        <v>51</v>
      </c>
      <c r="P663" s="4" t="s">
        <v>4074</v>
      </c>
    </row>
    <row r="664">
      <c r="A664" s="4" t="s">
        <v>829</v>
      </c>
      <c r="B664" s="4">
        <v>555.0</v>
      </c>
      <c r="F664" s="4" t="s">
        <v>830</v>
      </c>
      <c r="G664" s="4" t="s">
        <v>661</v>
      </c>
      <c r="H664" s="4" t="s">
        <v>43</v>
      </c>
      <c r="I664" s="4" t="s">
        <v>43</v>
      </c>
      <c r="J664" s="4" t="s">
        <v>43</v>
      </c>
      <c r="K664" s="5" t="str">
        <f>HYPERLINK("https://www.instagram.com/p/BW-LQyJA0Hy/","Open Post")</f>
        <v>Open Post</v>
      </c>
      <c r="L664" s="4" t="s">
        <v>4075</v>
      </c>
      <c r="M664" s="4" t="s">
        <v>4077</v>
      </c>
      <c r="N664" s="4" t="s">
        <v>4078</v>
      </c>
      <c r="O664" s="4" t="s">
        <v>51</v>
      </c>
      <c r="P664" s="4" t="s">
        <v>4079</v>
      </c>
    </row>
    <row r="665">
      <c r="A665" s="4" t="s">
        <v>829</v>
      </c>
      <c r="B665" s="4">
        <v>556.0</v>
      </c>
      <c r="F665" s="4" t="s">
        <v>830</v>
      </c>
      <c r="G665" s="4" t="s">
        <v>957</v>
      </c>
      <c r="H665" s="4" t="s">
        <v>43</v>
      </c>
      <c r="I665" s="4" t="s">
        <v>43</v>
      </c>
      <c r="J665" s="4" t="s">
        <v>43</v>
      </c>
      <c r="K665" s="5" t="str">
        <f>HYPERLINK("https://www.instagram.com/p/BWuDh8lBSD8/","Open Post")</f>
        <v>Open Post</v>
      </c>
      <c r="L665" s="4" t="s">
        <v>4081</v>
      </c>
      <c r="M665" s="4" t="s">
        <v>4082</v>
      </c>
      <c r="N665" s="4" t="s">
        <v>4083</v>
      </c>
      <c r="O665" s="4" t="s">
        <v>51</v>
      </c>
      <c r="P665" s="4" t="s">
        <v>4084</v>
      </c>
    </row>
    <row r="666">
      <c r="A666" s="4" t="s">
        <v>829</v>
      </c>
      <c r="B666" s="4">
        <v>557.0</v>
      </c>
      <c r="F666" s="4" t="s">
        <v>830</v>
      </c>
      <c r="G666" s="4" t="s">
        <v>957</v>
      </c>
      <c r="H666" s="4" t="s">
        <v>43</v>
      </c>
      <c r="I666" s="4" t="s">
        <v>43</v>
      </c>
      <c r="J666" s="4" t="s">
        <v>43</v>
      </c>
      <c r="K666" s="5" t="str">
        <f>HYPERLINK("https://www.instagram.com/p/BWq7uDzFXLE/","Open Post")</f>
        <v>Open Post</v>
      </c>
      <c r="L666" s="4" t="s">
        <v>4086</v>
      </c>
      <c r="M666" s="4" t="s">
        <v>4087</v>
      </c>
      <c r="N666" s="4" t="s">
        <v>4088</v>
      </c>
      <c r="O666" s="4" t="s">
        <v>51</v>
      </c>
      <c r="P666" s="4" t="s">
        <v>4089</v>
      </c>
    </row>
    <row r="667">
      <c r="A667" s="4" t="s">
        <v>829</v>
      </c>
      <c r="B667" s="4">
        <v>558.0</v>
      </c>
      <c r="F667" s="4" t="s">
        <v>830</v>
      </c>
      <c r="G667" s="4" t="s">
        <v>957</v>
      </c>
      <c r="H667" s="4" t="s">
        <v>43</v>
      </c>
      <c r="I667" s="4" t="s">
        <v>43</v>
      </c>
      <c r="J667" s="4" t="s">
        <v>43</v>
      </c>
      <c r="K667" s="5" t="str">
        <f>HYPERLINK("https://www.instagram.com/p/BWUWUCGl8iB/","Open Post")</f>
        <v>Open Post</v>
      </c>
      <c r="L667" s="4" t="s">
        <v>4090</v>
      </c>
      <c r="M667" s="4" t="s">
        <v>4091</v>
      </c>
      <c r="N667" s="4" t="s">
        <v>4092</v>
      </c>
      <c r="O667" s="4" t="s">
        <v>51</v>
      </c>
      <c r="P667" s="4" t="s">
        <v>4093</v>
      </c>
    </row>
    <row r="668">
      <c r="A668" s="4" t="s">
        <v>829</v>
      </c>
      <c r="B668" s="4">
        <v>559.0</v>
      </c>
      <c r="F668" s="4" t="s">
        <v>830</v>
      </c>
      <c r="G668" s="4" t="s">
        <v>166</v>
      </c>
      <c r="H668" s="4" t="s">
        <v>43</v>
      </c>
      <c r="I668" s="4" t="s">
        <v>43</v>
      </c>
      <c r="J668" s="4" t="s">
        <v>43</v>
      </c>
      <c r="K668" s="5" t="str">
        <f>HYPERLINK("https://www.instagram.com/p/BWJvBXHBjhZ/","Open Post")</f>
        <v>Open Post</v>
      </c>
      <c r="L668" s="4" t="s">
        <v>4096</v>
      </c>
      <c r="M668" s="4" t="s">
        <v>4097</v>
      </c>
      <c r="N668" s="4" t="s">
        <v>4098</v>
      </c>
      <c r="O668" s="4" t="s">
        <v>51</v>
      </c>
      <c r="P668" s="4" t="s">
        <v>4099</v>
      </c>
    </row>
    <row r="669">
      <c r="A669" s="4" t="s">
        <v>829</v>
      </c>
      <c r="B669" s="4">
        <v>560.0</v>
      </c>
      <c r="F669" s="4" t="s">
        <v>830</v>
      </c>
      <c r="G669" s="4" t="s">
        <v>4100</v>
      </c>
      <c r="H669" s="4" t="s">
        <v>43</v>
      </c>
      <c r="I669" s="4" t="s">
        <v>43</v>
      </c>
      <c r="J669" s="4" t="s">
        <v>43</v>
      </c>
      <c r="K669" s="5" t="str">
        <f>HYPERLINK("https://www.instagram.com/p/BWCgPHkjzG9/","Open Post")</f>
        <v>Open Post</v>
      </c>
      <c r="L669" s="4" t="s">
        <v>4102</v>
      </c>
      <c r="M669" s="4" t="s">
        <v>4103</v>
      </c>
      <c r="N669" s="4" t="s">
        <v>4104</v>
      </c>
      <c r="O669" s="4" t="s">
        <v>51</v>
      </c>
      <c r="P669" s="4" t="s">
        <v>4105</v>
      </c>
    </row>
    <row r="670">
      <c r="A670" s="4" t="s">
        <v>829</v>
      </c>
      <c r="B670" s="4">
        <v>561.0</v>
      </c>
      <c r="F670" s="4" t="s">
        <v>830</v>
      </c>
      <c r="G670" s="4" t="s">
        <v>4106</v>
      </c>
      <c r="H670" s="4" t="s">
        <v>43</v>
      </c>
      <c r="I670" s="4" t="s">
        <v>43</v>
      </c>
      <c r="J670" s="4" t="s">
        <v>43</v>
      </c>
      <c r="K670" s="5" t="str">
        <f>HYPERLINK("https://www.instagram.com/p/BV90KMIjIDM/","Open Post")</f>
        <v>Open Post</v>
      </c>
      <c r="L670" s="4" t="s">
        <v>4108</v>
      </c>
      <c r="M670" s="4" t="s">
        <v>4109</v>
      </c>
      <c r="N670" s="4" t="s">
        <v>4110</v>
      </c>
      <c r="O670" s="4" t="s">
        <v>51</v>
      </c>
      <c r="P670" s="4" t="s">
        <v>4111</v>
      </c>
    </row>
    <row r="671">
      <c r="A671" s="4" t="s">
        <v>829</v>
      </c>
      <c r="B671" s="4">
        <v>562.0</v>
      </c>
      <c r="F671" s="4" t="s">
        <v>830</v>
      </c>
      <c r="G671" s="4" t="s">
        <v>4113</v>
      </c>
      <c r="H671" s="4" t="s">
        <v>43</v>
      </c>
      <c r="I671" s="4" t="s">
        <v>43</v>
      </c>
      <c r="J671" s="4" t="s">
        <v>43</v>
      </c>
      <c r="K671" s="5" t="str">
        <f>HYPERLINK("https://www.instagram.com/p/BV74uzcgBQi/","Open Post")</f>
        <v>Open Post</v>
      </c>
      <c r="L671" s="4" t="s">
        <v>4114</v>
      </c>
      <c r="M671" s="4" t="s">
        <v>4115</v>
      </c>
      <c r="N671" s="4" t="s">
        <v>4116</v>
      </c>
      <c r="O671" s="4" t="s">
        <v>51</v>
      </c>
      <c r="P671" s="4" t="s">
        <v>4117</v>
      </c>
    </row>
    <row r="672">
      <c r="A672" s="4" t="s">
        <v>829</v>
      </c>
      <c r="B672" s="4">
        <v>563.0</v>
      </c>
      <c r="F672" s="4" t="s">
        <v>830</v>
      </c>
      <c r="G672" s="4" t="s">
        <v>957</v>
      </c>
      <c r="H672" s="4" t="s">
        <v>43</v>
      </c>
      <c r="I672" s="4" t="s">
        <v>43</v>
      </c>
      <c r="J672" s="4" t="s">
        <v>43</v>
      </c>
      <c r="K672" s="5" t="str">
        <f>HYPERLINK("https://www.instagram.com/p/BV7OP-Th5Zi/","Open Post")</f>
        <v>Open Post</v>
      </c>
      <c r="L672" s="4" t="s">
        <v>4118</v>
      </c>
      <c r="M672" s="4" t="s">
        <v>4119</v>
      </c>
      <c r="N672" s="4" t="s">
        <v>4120</v>
      </c>
      <c r="O672" s="4" t="s">
        <v>51</v>
      </c>
      <c r="P672" s="4" t="s">
        <v>4122</v>
      </c>
    </row>
    <row r="673">
      <c r="A673" s="4" t="s">
        <v>829</v>
      </c>
      <c r="B673" s="4">
        <v>564.0</v>
      </c>
      <c r="F673" s="4" t="s">
        <v>830</v>
      </c>
      <c r="G673" s="4" t="s">
        <v>4113</v>
      </c>
      <c r="H673" s="4" t="s">
        <v>43</v>
      </c>
      <c r="I673" s="4" t="s">
        <v>43</v>
      </c>
      <c r="J673" s="4" t="s">
        <v>43</v>
      </c>
      <c r="K673" s="5" t="str">
        <f>HYPERLINK("https://www.instagram.com/p/BV6zaASFwlZ/","Open Post")</f>
        <v>Open Post</v>
      </c>
      <c r="L673" s="4" t="s">
        <v>4124</v>
      </c>
      <c r="M673" s="4" t="s">
        <v>4115</v>
      </c>
      <c r="N673" s="4" t="s">
        <v>4125</v>
      </c>
      <c r="O673" s="4" t="s">
        <v>51</v>
      </c>
      <c r="P673" s="4" t="s">
        <v>4126</v>
      </c>
    </row>
    <row r="674">
      <c r="A674" s="4" t="s">
        <v>829</v>
      </c>
      <c r="B674" s="4">
        <v>565.0</v>
      </c>
      <c r="F674" s="4" t="s">
        <v>830</v>
      </c>
      <c r="G674" s="4" t="s">
        <v>165</v>
      </c>
      <c r="H674" s="4" t="s">
        <v>43</v>
      </c>
      <c r="I674" s="4" t="s">
        <v>43</v>
      </c>
      <c r="J674" s="4" t="s">
        <v>43</v>
      </c>
      <c r="K674" s="5" t="str">
        <f>HYPERLINK("https://www.instagram.com/p/BV5AkLPggG8/","Open Post")</f>
        <v>Open Post</v>
      </c>
      <c r="L674" s="4" t="s">
        <v>4128</v>
      </c>
      <c r="M674" s="4" t="s">
        <v>4129</v>
      </c>
      <c r="N674" s="4" t="s">
        <v>4130</v>
      </c>
      <c r="O674" s="4" t="s">
        <v>51</v>
      </c>
      <c r="P674" s="4" t="s">
        <v>4131</v>
      </c>
    </row>
    <row r="675">
      <c r="A675" s="4" t="s">
        <v>829</v>
      </c>
      <c r="B675" s="4">
        <v>566.0</v>
      </c>
      <c r="F675" s="4" t="s">
        <v>830</v>
      </c>
      <c r="G675" s="4" t="s">
        <v>346</v>
      </c>
      <c r="H675" s="4" t="s">
        <v>43</v>
      </c>
      <c r="I675" s="4" t="s">
        <v>43</v>
      </c>
      <c r="J675" s="4" t="s">
        <v>43</v>
      </c>
      <c r="K675" s="5" t="str">
        <f>HYPERLINK("https://www.instagram.com/p/BV3midPhukS/","Open Post")</f>
        <v>Open Post</v>
      </c>
      <c r="L675" s="4" t="s">
        <v>4133</v>
      </c>
      <c r="M675" s="4" t="s">
        <v>49</v>
      </c>
      <c r="N675" s="4" t="s">
        <v>4134</v>
      </c>
      <c r="O675" s="4" t="s">
        <v>51</v>
      </c>
      <c r="P675" s="4" t="s">
        <v>4135</v>
      </c>
    </row>
    <row r="676">
      <c r="A676" s="4" t="s">
        <v>829</v>
      </c>
      <c r="B676" s="4">
        <v>567.0</v>
      </c>
      <c r="F676" s="4" t="s">
        <v>830</v>
      </c>
      <c r="G676" s="4" t="s">
        <v>384</v>
      </c>
      <c r="H676" s="4" t="s">
        <v>43</v>
      </c>
      <c r="I676" s="4" t="s">
        <v>43</v>
      </c>
      <c r="J676" s="4" t="s">
        <v>43</v>
      </c>
      <c r="K676" s="5" t="str">
        <f>HYPERLINK("https://www.instagram.com/p/BV2NPYslHj5/","Open Post")</f>
        <v>Open Post</v>
      </c>
      <c r="L676" s="4" t="s">
        <v>4137</v>
      </c>
      <c r="M676" s="4" t="s">
        <v>49</v>
      </c>
      <c r="N676" s="4" t="s">
        <v>4138</v>
      </c>
      <c r="O676" s="4" t="s">
        <v>51</v>
      </c>
      <c r="P676" s="4" t="s">
        <v>4139</v>
      </c>
    </row>
    <row r="677">
      <c r="A677" s="4" t="s">
        <v>829</v>
      </c>
      <c r="B677" s="4">
        <v>568.0</v>
      </c>
      <c r="F677" s="4" t="s">
        <v>830</v>
      </c>
      <c r="G677" s="4" t="s">
        <v>4113</v>
      </c>
      <c r="H677" s="4" t="s">
        <v>43</v>
      </c>
      <c r="I677" s="4" t="s">
        <v>43</v>
      </c>
      <c r="J677" s="4" t="s">
        <v>43</v>
      </c>
      <c r="K677" s="5" t="str">
        <f>HYPERLINK("https://www.instagram.com/p/BV1y7mlAEea/","Open Post")</f>
        <v>Open Post</v>
      </c>
      <c r="L677" s="4" t="s">
        <v>4140</v>
      </c>
      <c r="M677" s="4" t="s">
        <v>4115</v>
      </c>
      <c r="N677" s="4" t="s">
        <v>4142</v>
      </c>
      <c r="O677" s="4" t="s">
        <v>51</v>
      </c>
      <c r="P677" s="4" t="s">
        <v>4143</v>
      </c>
    </row>
    <row r="678">
      <c r="A678" s="4" t="s">
        <v>829</v>
      </c>
      <c r="B678" s="4">
        <v>569.0</v>
      </c>
      <c r="F678" s="4" t="s">
        <v>830</v>
      </c>
      <c r="G678" s="4" t="s">
        <v>951</v>
      </c>
      <c r="H678" s="4" t="s">
        <v>43</v>
      </c>
      <c r="I678" s="4" t="s">
        <v>43</v>
      </c>
      <c r="J678" s="4" t="s">
        <v>43</v>
      </c>
      <c r="K678" s="5" t="str">
        <f>HYPERLINK("https://www.instagram.com/p/BVulF8GhmcW/","Open Post")</f>
        <v>Open Post</v>
      </c>
      <c r="L678" s="4" t="s">
        <v>4145</v>
      </c>
      <c r="M678" s="4" t="s">
        <v>4146</v>
      </c>
      <c r="N678" s="4" t="s">
        <v>4147</v>
      </c>
      <c r="O678" s="4" t="s">
        <v>51</v>
      </c>
      <c r="P678" s="4" t="s">
        <v>4148</v>
      </c>
    </row>
    <row r="679">
      <c r="A679" s="4" t="s">
        <v>829</v>
      </c>
      <c r="B679" s="4">
        <v>570.0</v>
      </c>
      <c r="F679" s="4" t="s">
        <v>830</v>
      </c>
      <c r="G679" s="4" t="s">
        <v>951</v>
      </c>
      <c r="H679" s="4" t="s">
        <v>43</v>
      </c>
      <c r="I679" s="4" t="s">
        <v>43</v>
      </c>
      <c r="J679" s="4" t="s">
        <v>43</v>
      </c>
      <c r="K679" s="5" t="str">
        <f>HYPERLINK("https://www.instagram.com/p/BVr-ozYhEEN/","Open Post")</f>
        <v>Open Post</v>
      </c>
      <c r="L679" s="4" t="s">
        <v>4150</v>
      </c>
      <c r="M679" s="4" t="s">
        <v>4151</v>
      </c>
      <c r="N679" s="4" t="s">
        <v>4152</v>
      </c>
      <c r="O679" s="4" t="s">
        <v>51</v>
      </c>
      <c r="P679" s="4" t="s">
        <v>4153</v>
      </c>
    </row>
    <row r="680">
      <c r="A680" s="4" t="s">
        <v>829</v>
      </c>
      <c r="B680" s="4">
        <v>571.0</v>
      </c>
      <c r="F680" s="4" t="s">
        <v>830</v>
      </c>
      <c r="G680" s="4" t="s">
        <v>4154</v>
      </c>
      <c r="H680" s="4" t="s">
        <v>43</v>
      </c>
      <c r="I680" s="4" t="s">
        <v>43</v>
      </c>
      <c r="J680" s="4" t="s">
        <v>43</v>
      </c>
      <c r="K680" s="5" t="str">
        <f>HYPERLINK("https://www.instagram.com/p/BVpt_BJjb7M/","Open Post")</f>
        <v>Open Post</v>
      </c>
      <c r="L680" s="4" t="s">
        <v>4156</v>
      </c>
      <c r="M680" s="4" t="s">
        <v>4157</v>
      </c>
      <c r="N680" s="4" t="s">
        <v>4158</v>
      </c>
      <c r="O680" s="4" t="s">
        <v>51</v>
      </c>
      <c r="P680" s="4" t="s">
        <v>4159</v>
      </c>
    </row>
    <row r="681">
      <c r="A681" s="4" t="s">
        <v>829</v>
      </c>
      <c r="B681" s="4">
        <v>572.0</v>
      </c>
      <c r="F681" s="4" t="s">
        <v>830</v>
      </c>
      <c r="G681" s="4" t="s">
        <v>871</v>
      </c>
      <c r="H681" s="4" t="s">
        <v>43</v>
      </c>
      <c r="I681" s="4" t="s">
        <v>43</v>
      </c>
      <c r="J681" s="4" t="s">
        <v>43</v>
      </c>
      <c r="K681" s="5" t="str">
        <f>HYPERLINK("https://www.instagram.com/p/BVXQRZTF2xg/","Open Post")</f>
        <v>Open Post</v>
      </c>
      <c r="L681" s="4" t="s">
        <v>4161</v>
      </c>
      <c r="M681" s="4" t="s">
        <v>4162</v>
      </c>
      <c r="N681" s="4" t="s">
        <v>4163</v>
      </c>
      <c r="O681" s="4" t="s">
        <v>51</v>
      </c>
      <c r="P681" s="4" t="s">
        <v>4164</v>
      </c>
    </row>
    <row r="682">
      <c r="A682" s="4" t="s">
        <v>829</v>
      </c>
      <c r="B682" s="4">
        <v>573.0</v>
      </c>
      <c r="F682" s="4" t="s">
        <v>830</v>
      </c>
      <c r="G682" s="4" t="s">
        <v>431</v>
      </c>
      <c r="H682" s="4" t="s">
        <v>43</v>
      </c>
      <c r="I682" s="4" t="s">
        <v>43</v>
      </c>
      <c r="J682" s="4" t="s">
        <v>43</v>
      </c>
      <c r="K682" s="5" t="str">
        <f>HYPERLINK("https://www.instagram.com/p/BVW3i0bj2Uv/","Open Post")</f>
        <v>Open Post</v>
      </c>
      <c r="L682" s="4" t="s">
        <v>4166</v>
      </c>
      <c r="M682" s="4" t="s">
        <v>4167</v>
      </c>
      <c r="N682" s="4" t="s">
        <v>4168</v>
      </c>
      <c r="O682" s="4" t="s">
        <v>51</v>
      </c>
      <c r="P682" s="4" t="s">
        <v>4170</v>
      </c>
    </row>
    <row r="683">
      <c r="A683" s="4" t="s">
        <v>829</v>
      </c>
      <c r="B683" s="4">
        <v>574.0</v>
      </c>
      <c r="F683" s="4" t="s">
        <v>830</v>
      </c>
      <c r="G683" s="4" t="s">
        <v>318</v>
      </c>
      <c r="H683" s="4" t="s">
        <v>43</v>
      </c>
      <c r="I683" s="4" t="s">
        <v>43</v>
      </c>
      <c r="J683" s="4" t="s">
        <v>43</v>
      </c>
      <c r="K683" s="5" t="str">
        <f>HYPERLINK("https://www.instagram.com/p/BVJHzkSl1EV/","Open Post")</f>
        <v>Open Post</v>
      </c>
      <c r="L683" s="4" t="s">
        <v>4171</v>
      </c>
      <c r="M683" s="4" t="s">
        <v>4172</v>
      </c>
      <c r="N683" s="4" t="s">
        <v>4173</v>
      </c>
      <c r="O683" s="4" t="s">
        <v>51</v>
      </c>
      <c r="P683" s="4" t="s">
        <v>4174</v>
      </c>
    </row>
    <row r="684">
      <c r="A684" s="4" t="s">
        <v>829</v>
      </c>
      <c r="B684" s="4">
        <v>575.0</v>
      </c>
      <c r="F684" s="4" t="s">
        <v>830</v>
      </c>
      <c r="G684" s="4" t="s">
        <v>957</v>
      </c>
      <c r="H684" s="4" t="s">
        <v>43</v>
      </c>
      <c r="I684" s="4" t="s">
        <v>43</v>
      </c>
      <c r="J684" s="4" t="s">
        <v>43</v>
      </c>
      <c r="K684" s="5" t="str">
        <f>HYPERLINK("https://www.instagram.com/p/BUhZahFF_MB/","Open Post")</f>
        <v>Open Post</v>
      </c>
      <c r="L684" s="8" t="s">
        <v>4176</v>
      </c>
      <c r="M684" s="4" t="s">
        <v>4177</v>
      </c>
      <c r="N684" s="4" t="s">
        <v>4178</v>
      </c>
      <c r="O684" s="4" t="s">
        <v>51</v>
      </c>
      <c r="P684" s="4" t="s">
        <v>4179</v>
      </c>
    </row>
    <row r="685">
      <c r="A685" s="4" t="s">
        <v>829</v>
      </c>
      <c r="B685" s="4">
        <v>576.0</v>
      </c>
      <c r="F685" s="4" t="s">
        <v>830</v>
      </c>
      <c r="G685" s="4" t="s">
        <v>661</v>
      </c>
      <c r="H685" s="4" t="s">
        <v>43</v>
      </c>
      <c r="I685" s="4" t="s">
        <v>43</v>
      </c>
      <c r="J685" s="4" t="s">
        <v>43</v>
      </c>
      <c r="K685" s="5" t="str">
        <f>HYPERLINK("https://www.instagram.com/p/BUfKePXh6sv/","Open Post")</f>
        <v>Open Post</v>
      </c>
      <c r="L685" s="4" t="s">
        <v>4182</v>
      </c>
      <c r="M685" s="4" t="s">
        <v>4183</v>
      </c>
      <c r="N685" s="4" t="s">
        <v>4184</v>
      </c>
      <c r="O685" s="4" t="s">
        <v>51</v>
      </c>
      <c r="P685" s="4" t="s">
        <v>4185</v>
      </c>
    </row>
    <row r="686">
      <c r="A686" s="4" t="s">
        <v>829</v>
      </c>
      <c r="B686" s="4">
        <v>577.0</v>
      </c>
      <c r="F686" s="4" t="s">
        <v>830</v>
      </c>
      <c r="G686" s="4" t="s">
        <v>1047</v>
      </c>
      <c r="H686" s="4" t="s">
        <v>43</v>
      </c>
      <c r="I686" s="4" t="s">
        <v>43</v>
      </c>
      <c r="J686" s="4" t="s">
        <v>43</v>
      </c>
      <c r="K686" s="5" t="str">
        <f>HYPERLINK("https://www.instagram.com/p/BUdUhdighiF/","Open Post")</f>
        <v>Open Post</v>
      </c>
      <c r="L686" s="4" t="s">
        <v>4186</v>
      </c>
      <c r="M686" s="4" t="s">
        <v>4187</v>
      </c>
      <c r="N686" s="4" t="s">
        <v>4188</v>
      </c>
      <c r="O686" s="4" t="s">
        <v>51</v>
      </c>
      <c r="P686" s="4" t="s">
        <v>4189</v>
      </c>
    </row>
    <row r="687">
      <c r="A687" s="4" t="s">
        <v>829</v>
      </c>
      <c r="B687" s="4">
        <v>578.0</v>
      </c>
      <c r="F687" s="4" t="s">
        <v>830</v>
      </c>
      <c r="G687" s="4" t="s">
        <v>207</v>
      </c>
      <c r="H687" s="4" t="s">
        <v>43</v>
      </c>
      <c r="I687" s="4" t="s">
        <v>43</v>
      </c>
      <c r="J687" s="4" t="s">
        <v>43</v>
      </c>
      <c r="K687" s="5" t="str">
        <f>HYPERLINK("https://www.instagram.com/p/BT_iHunBydZ/","Open Post")</f>
        <v>Open Post</v>
      </c>
      <c r="L687" s="4" t="s">
        <v>4193</v>
      </c>
      <c r="M687" s="4" t="s">
        <v>4194</v>
      </c>
      <c r="N687" s="4" t="s">
        <v>4195</v>
      </c>
      <c r="O687" s="4" t="s">
        <v>51</v>
      </c>
      <c r="P687" s="4" t="s">
        <v>4196</v>
      </c>
    </row>
    <row r="688">
      <c r="A688" s="4" t="s">
        <v>829</v>
      </c>
      <c r="B688" s="4">
        <v>579.0</v>
      </c>
      <c r="F688" s="4" t="s">
        <v>830</v>
      </c>
      <c r="G688" s="4" t="s">
        <v>3486</v>
      </c>
      <c r="H688" s="4" t="s">
        <v>43</v>
      </c>
      <c r="I688" s="4" t="s">
        <v>43</v>
      </c>
      <c r="J688" s="4" t="s">
        <v>43</v>
      </c>
      <c r="K688" s="5" t="str">
        <f>HYPERLINK("https://www.instagram.com/p/BT9Yp06A0EQ/","Open Post")</f>
        <v>Open Post</v>
      </c>
      <c r="L688" s="4" t="s">
        <v>4198</v>
      </c>
      <c r="M688" s="4" t="s">
        <v>4199</v>
      </c>
      <c r="N688" s="4" t="s">
        <v>4200</v>
      </c>
      <c r="O688" s="4" t="s">
        <v>51</v>
      </c>
      <c r="P688" s="4" t="s">
        <v>4201</v>
      </c>
    </row>
    <row r="689">
      <c r="A689" s="4" t="s">
        <v>829</v>
      </c>
      <c r="B689" s="4">
        <v>580.0</v>
      </c>
      <c r="F689" s="4" t="s">
        <v>830</v>
      </c>
      <c r="G689" s="4" t="s">
        <v>257</v>
      </c>
      <c r="H689" s="4" t="s">
        <v>43</v>
      </c>
      <c r="I689" s="4" t="s">
        <v>43</v>
      </c>
      <c r="J689" s="4" t="s">
        <v>43</v>
      </c>
      <c r="K689" s="5" t="str">
        <f>HYPERLINK("https://www.instagram.com/p/BT8aUpmhKhj/","Open Post")</f>
        <v>Open Post</v>
      </c>
      <c r="L689" s="4" t="s">
        <v>4203</v>
      </c>
      <c r="M689" s="4" t="s">
        <v>4204</v>
      </c>
      <c r="N689" s="4" t="s">
        <v>4205</v>
      </c>
      <c r="O689" s="4" t="s">
        <v>51</v>
      </c>
      <c r="P689" s="4" t="s">
        <v>4206</v>
      </c>
    </row>
    <row r="690">
      <c r="A690" s="4" t="s">
        <v>829</v>
      </c>
      <c r="B690" s="4">
        <v>581.0</v>
      </c>
      <c r="F690" s="4" t="s">
        <v>830</v>
      </c>
      <c r="G690" s="4" t="s">
        <v>3464</v>
      </c>
      <c r="H690" s="4" t="s">
        <v>43</v>
      </c>
      <c r="I690" s="4" t="s">
        <v>43</v>
      </c>
      <c r="J690" s="4" t="s">
        <v>43</v>
      </c>
      <c r="K690" s="5" t="str">
        <f>HYPERLINK("https://www.instagram.com/p/BTluMbfg6di/","Open Post")</f>
        <v>Open Post</v>
      </c>
      <c r="L690" s="4" t="s">
        <v>4208</v>
      </c>
      <c r="M690" s="4" t="s">
        <v>4209</v>
      </c>
      <c r="N690" s="4" t="s">
        <v>4210</v>
      </c>
      <c r="O690" s="4" t="s">
        <v>51</v>
      </c>
      <c r="P690" s="4" t="s">
        <v>4211</v>
      </c>
    </row>
    <row r="691">
      <c r="A691" s="4" t="s">
        <v>829</v>
      </c>
      <c r="B691" s="4">
        <v>582.0</v>
      </c>
      <c r="F691" s="4" t="s">
        <v>830</v>
      </c>
      <c r="G691" s="4" t="s">
        <v>4212</v>
      </c>
      <c r="H691" s="4" t="s">
        <v>43</v>
      </c>
      <c r="I691" s="4" t="s">
        <v>43</v>
      </c>
      <c r="J691" s="4" t="s">
        <v>43</v>
      </c>
      <c r="K691" s="5" t="str">
        <f>HYPERLINK("https://www.instagram.com/p/BTlpk2mgOfX/","Open Post")</f>
        <v>Open Post</v>
      </c>
      <c r="L691" s="4" t="s">
        <v>4214</v>
      </c>
      <c r="M691" s="4" t="s">
        <v>4215</v>
      </c>
      <c r="N691" s="4" t="s">
        <v>4216</v>
      </c>
      <c r="O691" s="4" t="s">
        <v>51</v>
      </c>
      <c r="P691" s="4" t="s">
        <v>4217</v>
      </c>
    </row>
    <row r="692">
      <c r="A692" s="4" t="s">
        <v>829</v>
      </c>
      <c r="B692" s="4">
        <v>583.0</v>
      </c>
      <c r="F692" s="4" t="s">
        <v>830</v>
      </c>
      <c r="G692" s="4" t="s">
        <v>165</v>
      </c>
      <c r="H692" s="4" t="s">
        <v>43</v>
      </c>
      <c r="I692" s="4" t="s">
        <v>43</v>
      </c>
      <c r="J692" s="4" t="s">
        <v>43</v>
      </c>
      <c r="K692" s="5" t="str">
        <f>HYPERLINK("https://www.instagram.com/p/BTllbGtjZ0C/","Open Post")</f>
        <v>Open Post</v>
      </c>
      <c r="L692" s="4" t="s">
        <v>4219</v>
      </c>
      <c r="M692" s="4" t="s">
        <v>4220</v>
      </c>
      <c r="N692" s="4" t="s">
        <v>4221</v>
      </c>
      <c r="O692" s="4" t="s">
        <v>51</v>
      </c>
      <c r="P692" s="4" t="s">
        <v>4222</v>
      </c>
    </row>
    <row r="693">
      <c r="A693" s="4" t="s">
        <v>829</v>
      </c>
      <c r="B693" s="4">
        <v>584.0</v>
      </c>
      <c r="F693" s="4" t="s">
        <v>830</v>
      </c>
      <c r="G693" s="4" t="s">
        <v>4224</v>
      </c>
      <c r="H693" s="4" t="s">
        <v>43</v>
      </c>
      <c r="I693" s="4" t="s">
        <v>43</v>
      </c>
      <c r="J693" s="4" t="s">
        <v>43</v>
      </c>
      <c r="K693" s="5" t="str">
        <f>HYPERLINK("https://www.instagram.com/p/BTXhLspA7A6/","Open Post")</f>
        <v>Open Post</v>
      </c>
      <c r="L693" s="4" t="s">
        <v>4225</v>
      </c>
      <c r="M693" s="4" t="s">
        <v>4226</v>
      </c>
      <c r="N693" s="4" t="s">
        <v>4227</v>
      </c>
      <c r="O693" s="4" t="s">
        <v>51</v>
      </c>
      <c r="P693" s="4" t="s">
        <v>4228</v>
      </c>
    </row>
    <row r="694">
      <c r="A694" s="4" t="s">
        <v>829</v>
      </c>
      <c r="B694" s="4">
        <v>585.0</v>
      </c>
      <c r="F694" s="4" t="s">
        <v>830</v>
      </c>
      <c r="G694" s="4" t="s">
        <v>4229</v>
      </c>
      <c r="H694" s="4" t="s">
        <v>43</v>
      </c>
      <c r="I694" s="4" t="s">
        <v>43</v>
      </c>
      <c r="J694" s="4" t="s">
        <v>43</v>
      </c>
      <c r="K694" s="5" t="str">
        <f>HYPERLINK("https://www.instagram.com/p/BTWj9GiA6lx/","Open Post")</f>
        <v>Open Post</v>
      </c>
      <c r="L694" s="4" t="s">
        <v>4230</v>
      </c>
      <c r="M694" s="4" t="s">
        <v>4233</v>
      </c>
      <c r="N694" s="4" t="s">
        <v>4234</v>
      </c>
      <c r="O694" s="4" t="s">
        <v>51</v>
      </c>
      <c r="P694" s="4" t="s">
        <v>4235</v>
      </c>
    </row>
    <row r="695">
      <c r="A695" s="4" t="s">
        <v>829</v>
      </c>
      <c r="B695" s="4">
        <v>586.0</v>
      </c>
      <c r="F695" s="4" t="s">
        <v>830</v>
      </c>
      <c r="G695" s="4" t="s">
        <v>165</v>
      </c>
      <c r="H695" s="4" t="s">
        <v>43</v>
      </c>
      <c r="I695" s="4" t="s">
        <v>43</v>
      </c>
      <c r="J695" s="4" t="s">
        <v>43</v>
      </c>
      <c r="K695" s="5" t="str">
        <f>HYPERLINK("https://www.instagram.com/p/BTDDaFyluLt/","Open Post")</f>
        <v>Open Post</v>
      </c>
      <c r="L695" s="4" t="s">
        <v>4236</v>
      </c>
      <c r="M695" s="4" t="s">
        <v>4237</v>
      </c>
      <c r="N695" s="4" t="s">
        <v>4238</v>
      </c>
      <c r="O695" s="4" t="s">
        <v>51</v>
      </c>
      <c r="P695" s="4" t="s">
        <v>4239</v>
      </c>
    </row>
    <row r="696">
      <c r="A696" s="4" t="s">
        <v>829</v>
      </c>
      <c r="B696" s="4">
        <v>587.0</v>
      </c>
      <c r="F696" s="4" t="s">
        <v>830</v>
      </c>
      <c r="G696" s="4" t="s">
        <v>951</v>
      </c>
      <c r="H696" s="4" t="s">
        <v>43</v>
      </c>
      <c r="I696" s="4" t="s">
        <v>43</v>
      </c>
      <c r="J696" s="4" t="s">
        <v>43</v>
      </c>
      <c r="K696" s="5" t="str">
        <f>HYPERLINK("https://www.instagram.com/p/BSwNJ2NBLQz/","Open Post")</f>
        <v>Open Post</v>
      </c>
      <c r="L696" s="4" t="s">
        <v>4241</v>
      </c>
      <c r="M696" s="4" t="s">
        <v>4242</v>
      </c>
      <c r="N696" s="4" t="s">
        <v>4243</v>
      </c>
      <c r="O696" s="4" t="s">
        <v>51</v>
      </c>
      <c r="P696" s="4" t="s">
        <v>4244</v>
      </c>
    </row>
    <row r="697">
      <c r="A697" s="4" t="s">
        <v>829</v>
      </c>
      <c r="B697" s="4">
        <v>588.0</v>
      </c>
      <c r="F697" s="4" t="s">
        <v>830</v>
      </c>
      <c r="G697" s="4" t="s">
        <v>1509</v>
      </c>
      <c r="H697" s="4" t="s">
        <v>43</v>
      </c>
      <c r="I697" s="4" t="s">
        <v>43</v>
      </c>
      <c r="J697" s="4" t="s">
        <v>43</v>
      </c>
      <c r="K697" s="5" t="str">
        <f>HYPERLINK("https://www.instagram.com/p/BStd171gcEc/","Open Post")</f>
        <v>Open Post</v>
      </c>
      <c r="L697" s="4" t="s">
        <v>4247</v>
      </c>
      <c r="M697" s="4" t="s">
        <v>4248</v>
      </c>
      <c r="N697" s="4" t="s">
        <v>4249</v>
      </c>
      <c r="O697" s="4" t="s">
        <v>51</v>
      </c>
      <c r="P697" s="4" t="s">
        <v>4250</v>
      </c>
    </row>
    <row r="698">
      <c r="A698" s="4" t="s">
        <v>829</v>
      </c>
      <c r="B698" s="4">
        <v>589.0</v>
      </c>
      <c r="F698" s="4" t="s">
        <v>869</v>
      </c>
      <c r="G698" s="4" t="s">
        <v>957</v>
      </c>
      <c r="H698" s="4" t="s">
        <v>43</v>
      </c>
      <c r="I698" s="4" t="s">
        <v>43</v>
      </c>
      <c r="J698" s="4" t="s">
        <v>43</v>
      </c>
      <c r="K698" s="5" t="str">
        <f>HYPERLINK("https://www.instagram.com/p/BSnv2kmDLY7/","Open Post")</f>
        <v>Open Post</v>
      </c>
      <c r="L698" s="4" t="s">
        <v>4251</v>
      </c>
      <c r="M698" s="4" t="s">
        <v>4252</v>
      </c>
      <c r="N698" s="4" t="s">
        <v>4253</v>
      </c>
      <c r="O698" s="4" t="s">
        <v>51</v>
      </c>
      <c r="P698" s="4" t="s">
        <v>4254</v>
      </c>
    </row>
    <row r="699">
      <c r="A699" s="4" t="s">
        <v>829</v>
      </c>
      <c r="B699" s="4">
        <v>590.0</v>
      </c>
      <c r="F699" s="4" t="s">
        <v>830</v>
      </c>
      <c r="G699" s="4" t="s">
        <v>306</v>
      </c>
      <c r="H699" s="4" t="s">
        <v>43</v>
      </c>
      <c r="I699" s="4" t="s">
        <v>43</v>
      </c>
      <c r="J699" s="4" t="s">
        <v>43</v>
      </c>
      <c r="K699" s="5" t="str">
        <f>HYPERLINK("https://www.instagram.com/p/BSl0AbhBunO/","Open Post")</f>
        <v>Open Post</v>
      </c>
      <c r="L699" s="4" t="s">
        <v>4257</v>
      </c>
      <c r="M699" s="4" t="s">
        <v>49</v>
      </c>
      <c r="N699" s="4" t="s">
        <v>4258</v>
      </c>
      <c r="O699" s="4" t="s">
        <v>51</v>
      </c>
      <c r="P699" s="4" t="s">
        <v>4259</v>
      </c>
    </row>
    <row r="700">
      <c r="A700" s="4" t="s">
        <v>829</v>
      </c>
      <c r="B700" s="4">
        <v>591.0</v>
      </c>
      <c r="F700" s="4" t="s">
        <v>830</v>
      </c>
      <c r="G700" s="4" t="s">
        <v>957</v>
      </c>
      <c r="H700" s="4" t="s">
        <v>43</v>
      </c>
      <c r="I700" s="4" t="s">
        <v>43</v>
      </c>
      <c r="J700" s="4" t="s">
        <v>43</v>
      </c>
      <c r="K700" s="5" t="str">
        <f>HYPERLINK("https://www.instagram.com/p/BSlToDuhnJh/","Open Post")</f>
        <v>Open Post</v>
      </c>
      <c r="L700" s="4" t="s">
        <v>4260</v>
      </c>
      <c r="M700" s="4" t="s">
        <v>4261</v>
      </c>
      <c r="N700" s="4" t="s">
        <v>4263</v>
      </c>
      <c r="O700" s="4" t="s">
        <v>51</v>
      </c>
      <c r="P700" s="4" t="s">
        <v>4264</v>
      </c>
    </row>
    <row r="701">
      <c r="A701" s="4" t="s">
        <v>829</v>
      </c>
      <c r="B701" s="4">
        <v>592.0</v>
      </c>
      <c r="F701" s="4" t="s">
        <v>830</v>
      </c>
      <c r="G701" s="4" t="s">
        <v>431</v>
      </c>
      <c r="H701" s="4" t="s">
        <v>43</v>
      </c>
      <c r="I701" s="4" t="s">
        <v>43</v>
      </c>
      <c r="J701" s="4" t="s">
        <v>43</v>
      </c>
      <c r="K701" s="5" t="str">
        <f>HYPERLINK("https://www.instagram.com/p/BSTO7BUDsYM/","Open Post")</f>
        <v>Open Post</v>
      </c>
      <c r="L701" s="4" t="s">
        <v>4266</v>
      </c>
      <c r="M701" s="4" t="s">
        <v>4267</v>
      </c>
      <c r="N701" s="4" t="s">
        <v>4268</v>
      </c>
      <c r="O701" s="4" t="s">
        <v>51</v>
      </c>
      <c r="P701" s="4" t="s">
        <v>4269</v>
      </c>
    </row>
    <row r="702">
      <c r="A702" s="4" t="s">
        <v>829</v>
      </c>
      <c r="B702" s="4">
        <v>593.0</v>
      </c>
      <c r="F702" s="4" t="s">
        <v>830</v>
      </c>
      <c r="G702" s="4" t="s">
        <v>431</v>
      </c>
      <c r="H702" s="4" t="s">
        <v>43</v>
      </c>
      <c r="I702" s="4" t="s">
        <v>43</v>
      </c>
      <c r="J702" s="4" t="s">
        <v>43</v>
      </c>
      <c r="K702" s="5" t="str">
        <f>HYPERLINK("https://www.instagram.com/p/BSQxUiTDWYN/","Open Post")</f>
        <v>Open Post</v>
      </c>
      <c r="L702" s="4" t="s">
        <v>4271</v>
      </c>
      <c r="M702" s="4" t="s">
        <v>4272</v>
      </c>
      <c r="N702" s="4" t="s">
        <v>4273</v>
      </c>
      <c r="O702" s="4" t="s">
        <v>51</v>
      </c>
      <c r="P702" s="4" t="s">
        <v>4274</v>
      </c>
    </row>
    <row r="703">
      <c r="A703" s="4" t="s">
        <v>829</v>
      </c>
      <c r="B703" s="4">
        <v>594.0</v>
      </c>
      <c r="F703" s="4" t="s">
        <v>830</v>
      </c>
      <c r="G703" s="4" t="s">
        <v>431</v>
      </c>
      <c r="H703" s="4" t="s">
        <v>43</v>
      </c>
      <c r="I703" s="4" t="s">
        <v>43</v>
      </c>
      <c r="J703" s="4" t="s">
        <v>43</v>
      </c>
      <c r="K703" s="5" t="str">
        <f>HYPERLINK("https://www.instagram.com/p/BSNn-1GjPv8/","Open Post")</f>
        <v>Open Post</v>
      </c>
      <c r="L703" s="4" t="s">
        <v>4275</v>
      </c>
      <c r="M703" s="4" t="s">
        <v>4276</v>
      </c>
      <c r="N703" s="4" t="s">
        <v>4277</v>
      </c>
      <c r="O703" s="4" t="s">
        <v>51</v>
      </c>
      <c r="P703" s="4" t="s">
        <v>4279</v>
      </c>
    </row>
    <row r="704">
      <c r="A704" s="4" t="s">
        <v>829</v>
      </c>
      <c r="B704" s="4">
        <v>595.0</v>
      </c>
      <c r="F704" s="4" t="s">
        <v>830</v>
      </c>
      <c r="G704" s="4" t="s">
        <v>4281</v>
      </c>
      <c r="H704" s="4" t="s">
        <v>43</v>
      </c>
      <c r="I704" s="4" t="s">
        <v>43</v>
      </c>
      <c r="J704" s="4" t="s">
        <v>43</v>
      </c>
      <c r="K704" s="5" t="str">
        <f>HYPERLINK("https://www.instagram.com/p/BRsxnGhAZqh/","Open Post")</f>
        <v>Open Post</v>
      </c>
      <c r="L704" s="4" t="s">
        <v>4282</v>
      </c>
      <c r="M704" s="4" t="s">
        <v>4283</v>
      </c>
      <c r="N704" s="4" t="s">
        <v>4284</v>
      </c>
      <c r="O704" s="4" t="s">
        <v>51</v>
      </c>
      <c r="P704" s="4" t="s">
        <v>4285</v>
      </c>
    </row>
    <row r="705">
      <c r="A705" s="4" t="s">
        <v>829</v>
      </c>
      <c r="B705" s="4">
        <v>596.0</v>
      </c>
      <c r="F705" s="4" t="s">
        <v>830</v>
      </c>
      <c r="G705" s="4" t="s">
        <v>4286</v>
      </c>
      <c r="H705" s="4" t="s">
        <v>43</v>
      </c>
      <c r="I705" s="4" t="s">
        <v>43</v>
      </c>
      <c r="J705" s="4" t="s">
        <v>43</v>
      </c>
      <c r="K705" s="5" t="str">
        <f>HYPERLINK("https://www.instagram.com/p/BReYlTAFOfi/","Open Post")</f>
        <v>Open Post</v>
      </c>
      <c r="L705" s="4" t="s">
        <v>4288</v>
      </c>
      <c r="M705" s="4" t="s">
        <v>4289</v>
      </c>
      <c r="N705" s="4" t="s">
        <v>4290</v>
      </c>
      <c r="O705" s="4" t="s">
        <v>51</v>
      </c>
      <c r="P705" s="4" t="s">
        <v>4291</v>
      </c>
    </row>
    <row r="706">
      <c r="A706" s="4" t="s">
        <v>829</v>
      </c>
      <c r="B706" s="4">
        <v>597.0</v>
      </c>
      <c r="F706" s="4" t="s">
        <v>830</v>
      </c>
      <c r="G706" s="4" t="s">
        <v>957</v>
      </c>
      <c r="H706" s="4" t="s">
        <v>43</v>
      </c>
      <c r="I706" s="4" t="s">
        <v>43</v>
      </c>
      <c r="J706" s="4" t="s">
        <v>43</v>
      </c>
      <c r="K706" s="5" t="str">
        <f>HYPERLINK("https://www.instagram.com/p/BRYUXpZhGl9/","Open Post")</f>
        <v>Open Post</v>
      </c>
      <c r="L706" s="4" t="s">
        <v>4293</v>
      </c>
      <c r="M706" s="4" t="s">
        <v>4294</v>
      </c>
      <c r="N706" s="4" t="s">
        <v>4295</v>
      </c>
      <c r="O706" s="4" t="s">
        <v>51</v>
      </c>
      <c r="P706" s="4" t="s">
        <v>4296</v>
      </c>
    </row>
    <row r="707">
      <c r="A707" s="4" t="s">
        <v>829</v>
      </c>
      <c r="B707" s="4">
        <v>598.0</v>
      </c>
      <c r="F707" s="4" t="s">
        <v>830</v>
      </c>
      <c r="G707" s="4" t="s">
        <v>957</v>
      </c>
      <c r="H707" s="4" t="s">
        <v>43</v>
      </c>
      <c r="I707" s="4" t="s">
        <v>43</v>
      </c>
      <c r="J707" s="4" t="s">
        <v>43</v>
      </c>
      <c r="K707" s="5" t="str">
        <f>HYPERLINK("https://www.instagram.com/p/BQnko7GACDS/","Open Post")</f>
        <v>Open Post</v>
      </c>
      <c r="L707" s="4" t="s">
        <v>4298</v>
      </c>
      <c r="M707" s="4" t="s">
        <v>4299</v>
      </c>
      <c r="N707" s="4" t="s">
        <v>4300</v>
      </c>
      <c r="O707" s="4" t="s">
        <v>51</v>
      </c>
      <c r="P707" s="4" t="s">
        <v>4301</v>
      </c>
    </row>
    <row r="708">
      <c r="A708" s="4" t="s">
        <v>829</v>
      </c>
      <c r="B708" s="4">
        <v>599.0</v>
      </c>
      <c r="F708" s="4" t="s">
        <v>830</v>
      </c>
      <c r="G708" s="4" t="s">
        <v>2451</v>
      </c>
      <c r="H708" s="4" t="s">
        <v>43</v>
      </c>
      <c r="I708" s="4" t="s">
        <v>43</v>
      </c>
      <c r="J708" s="4" t="s">
        <v>43</v>
      </c>
      <c r="K708" s="5" t="str">
        <f>HYPERLINK("https://www.instagram.com/p/BQm_rPEAvnV/","Open Post")</f>
        <v>Open Post</v>
      </c>
      <c r="L708" s="4" t="s">
        <v>4302</v>
      </c>
      <c r="M708" s="4" t="s">
        <v>49</v>
      </c>
      <c r="N708" s="4" t="s">
        <v>4304</v>
      </c>
      <c r="O708" s="4" t="s">
        <v>51</v>
      </c>
      <c r="P708" s="4" t="s">
        <v>4305</v>
      </c>
    </row>
    <row r="709">
      <c r="A709" s="4" t="s">
        <v>829</v>
      </c>
      <c r="B709" s="4">
        <v>600.0</v>
      </c>
      <c r="F709" s="4" t="s">
        <v>830</v>
      </c>
      <c r="G709" s="4" t="s">
        <v>4308</v>
      </c>
      <c r="H709" s="4" t="s">
        <v>43</v>
      </c>
      <c r="I709" s="4" t="s">
        <v>43</v>
      </c>
      <c r="J709" s="4" t="s">
        <v>43</v>
      </c>
      <c r="K709" s="5" t="str">
        <f>HYPERLINK("https://www.instagram.com/p/BQXV0vzjrJx/","Open Post")</f>
        <v>Open Post</v>
      </c>
      <c r="L709" s="4" t="s">
        <v>4309</v>
      </c>
      <c r="M709" s="4" t="s">
        <v>4310</v>
      </c>
      <c r="N709" s="4" t="s">
        <v>4311</v>
      </c>
      <c r="O709" s="4" t="s">
        <v>51</v>
      </c>
      <c r="P709" s="4" t="s">
        <v>4312</v>
      </c>
    </row>
    <row r="710">
      <c r="A710" s="4" t="s">
        <v>829</v>
      </c>
      <c r="B710" s="4">
        <v>601.0</v>
      </c>
      <c r="F710" s="4" t="s">
        <v>830</v>
      </c>
      <c r="G710" s="4" t="s">
        <v>389</v>
      </c>
      <c r="H710" s="4" t="s">
        <v>43</v>
      </c>
      <c r="I710" s="4" t="s">
        <v>43</v>
      </c>
      <c r="J710" s="4" t="s">
        <v>43</v>
      </c>
      <c r="K710" s="5" t="str">
        <f>HYPERLINK("https://www.instagram.com/p/BQP6Wq5jr08/","Open Post")</f>
        <v>Open Post</v>
      </c>
      <c r="L710" s="4" t="s">
        <v>4314</v>
      </c>
      <c r="M710" s="4" t="s">
        <v>4315</v>
      </c>
      <c r="N710" s="4" t="s">
        <v>4316</v>
      </c>
      <c r="O710" s="4" t="s">
        <v>51</v>
      </c>
      <c r="P710" s="4" t="s">
        <v>4317</v>
      </c>
    </row>
    <row r="711">
      <c r="A711" s="4" t="s">
        <v>829</v>
      </c>
      <c r="B711" s="4">
        <v>602.0</v>
      </c>
      <c r="F711" s="4" t="s">
        <v>830</v>
      </c>
      <c r="G711" s="4" t="s">
        <v>431</v>
      </c>
      <c r="H711" s="4" t="s">
        <v>43</v>
      </c>
      <c r="I711" s="4" t="s">
        <v>43</v>
      </c>
      <c r="J711" s="4" t="s">
        <v>43</v>
      </c>
      <c r="K711" s="5" t="str">
        <f>HYPERLINK("https://www.instagram.com/p/BQNagjmgHBs/","Open Post")</f>
        <v>Open Post</v>
      </c>
      <c r="L711" s="4" t="s">
        <v>4319</v>
      </c>
      <c r="M711" s="4" t="s">
        <v>4320</v>
      </c>
      <c r="N711" s="4" t="s">
        <v>4321</v>
      </c>
      <c r="O711" s="4" t="s">
        <v>51</v>
      </c>
      <c r="P711" s="4" t="s">
        <v>4322</v>
      </c>
    </row>
    <row r="712">
      <c r="A712" s="4" t="s">
        <v>829</v>
      </c>
      <c r="B712" s="4">
        <v>603.0</v>
      </c>
      <c r="F712" s="4" t="s">
        <v>830</v>
      </c>
      <c r="G712" s="4" t="s">
        <v>4324</v>
      </c>
      <c r="H712" s="4" t="s">
        <v>43</v>
      </c>
      <c r="I712" s="4" t="s">
        <v>43</v>
      </c>
      <c r="J712" s="4" t="s">
        <v>43</v>
      </c>
      <c r="K712" s="5" t="str">
        <f>HYPERLINK("https://www.instagram.com/p/BPuUU50jcCJ/","Open Post")</f>
        <v>Open Post</v>
      </c>
      <c r="L712" s="4" t="s">
        <v>4325</v>
      </c>
      <c r="M712" s="4" t="s">
        <v>4326</v>
      </c>
      <c r="N712" s="4" t="s">
        <v>4327</v>
      </c>
      <c r="O712" s="4" t="s">
        <v>51</v>
      </c>
      <c r="P712" s="4" t="s">
        <v>4328</v>
      </c>
    </row>
    <row r="713">
      <c r="A713" s="4" t="s">
        <v>829</v>
      </c>
      <c r="B713" s="4">
        <v>604.0</v>
      </c>
      <c r="F713" s="4" t="s">
        <v>830</v>
      </c>
      <c r="G713" s="4" t="s">
        <v>4329</v>
      </c>
      <c r="H713" s="4" t="s">
        <v>43</v>
      </c>
      <c r="I713" s="4" t="s">
        <v>43</v>
      </c>
      <c r="J713" s="4" t="s">
        <v>43</v>
      </c>
      <c r="K713" s="5" t="str">
        <f>HYPERLINK("https://www.instagram.com/p/BPaLjDxAvX9/","Open Post")</f>
        <v>Open Post</v>
      </c>
      <c r="L713" s="4" t="s">
        <v>4331</v>
      </c>
      <c r="M713" s="4" t="s">
        <v>4332</v>
      </c>
      <c r="N713" s="4" t="s">
        <v>4333</v>
      </c>
      <c r="O713" s="4" t="s">
        <v>51</v>
      </c>
      <c r="P713" s="4" t="s">
        <v>4334</v>
      </c>
    </row>
    <row r="714">
      <c r="A714" s="4" t="s">
        <v>829</v>
      </c>
      <c r="B714" s="4">
        <v>605.0</v>
      </c>
      <c r="F714" s="4" t="s">
        <v>830</v>
      </c>
      <c r="G714" s="4" t="s">
        <v>431</v>
      </c>
      <c r="H714" s="4" t="s">
        <v>43</v>
      </c>
      <c r="I714" s="4" t="s">
        <v>43</v>
      </c>
      <c r="J714" s="4" t="s">
        <v>43</v>
      </c>
      <c r="K714" s="5" t="str">
        <f>HYPERLINK("https://www.instagram.com/p/BPOK3ithSwT/","Open Post")</f>
        <v>Open Post</v>
      </c>
      <c r="L714" s="4" t="s">
        <v>4336</v>
      </c>
      <c r="M714" s="4" t="s">
        <v>4337</v>
      </c>
      <c r="N714" s="4" t="s">
        <v>4338</v>
      </c>
      <c r="O714" s="4" t="s">
        <v>51</v>
      </c>
      <c r="P714" s="4" t="s">
        <v>4339</v>
      </c>
    </row>
    <row r="715">
      <c r="A715" s="4" t="s">
        <v>829</v>
      </c>
      <c r="B715" s="4">
        <v>606.0</v>
      </c>
      <c r="F715" s="4" t="s">
        <v>830</v>
      </c>
      <c r="G715" s="4" t="s">
        <v>326</v>
      </c>
      <c r="H715" s="4" t="s">
        <v>43</v>
      </c>
      <c r="I715" s="4" t="s">
        <v>43</v>
      </c>
      <c r="J715" s="4" t="s">
        <v>43</v>
      </c>
      <c r="K715" s="5" t="str">
        <f>HYPERLINK("https://www.instagram.com/p/BPF8E4WhoTN/","Open Post")</f>
        <v>Open Post</v>
      </c>
      <c r="L715" s="4" t="s">
        <v>4341</v>
      </c>
      <c r="M715" s="4" t="s">
        <v>4342</v>
      </c>
      <c r="N715" s="4" t="s">
        <v>4343</v>
      </c>
      <c r="O715" s="4" t="s">
        <v>51</v>
      </c>
      <c r="P715" s="4" t="s">
        <v>4344</v>
      </c>
    </row>
    <row r="716">
      <c r="A716" s="4" t="s">
        <v>829</v>
      </c>
      <c r="B716" s="4">
        <v>607.0</v>
      </c>
      <c r="F716" s="4" t="s">
        <v>830</v>
      </c>
      <c r="G716" s="4" t="s">
        <v>4345</v>
      </c>
      <c r="H716" s="4" t="s">
        <v>43</v>
      </c>
      <c r="I716" s="4" t="s">
        <v>43</v>
      </c>
      <c r="J716" s="4" t="s">
        <v>43</v>
      </c>
      <c r="K716" s="5" t="str">
        <f>HYPERLINK("https://www.instagram.com/p/BOVNaZ0AICa/","Open Post")</f>
        <v>Open Post</v>
      </c>
      <c r="L716" s="4" t="s">
        <v>4346</v>
      </c>
      <c r="M716" s="4" t="s">
        <v>4348</v>
      </c>
      <c r="N716" s="4" t="s">
        <v>4349</v>
      </c>
      <c r="O716" s="4" t="s">
        <v>51</v>
      </c>
      <c r="P716" s="4" t="s">
        <v>4350</v>
      </c>
    </row>
    <row r="717">
      <c r="A717" s="4" t="s">
        <v>829</v>
      </c>
      <c r="B717" s="4">
        <v>608.0</v>
      </c>
      <c r="F717" s="4" t="s">
        <v>830</v>
      </c>
      <c r="G717" s="4" t="s">
        <v>4351</v>
      </c>
      <c r="H717" s="4" t="s">
        <v>43</v>
      </c>
      <c r="I717" s="4" t="s">
        <v>43</v>
      </c>
      <c r="J717" s="4" t="s">
        <v>43</v>
      </c>
      <c r="K717" s="5" t="str">
        <f>HYPERLINK("https://www.instagram.com/p/BOSK0kmDkB4/","Open Post")</f>
        <v>Open Post</v>
      </c>
      <c r="L717" s="4" t="s">
        <v>4353</v>
      </c>
      <c r="M717" s="4" t="s">
        <v>4354</v>
      </c>
      <c r="N717" s="4" t="s">
        <v>4355</v>
      </c>
      <c r="O717" s="4" t="s">
        <v>51</v>
      </c>
      <c r="P717" s="4" t="s">
        <v>4356</v>
      </c>
    </row>
    <row r="718">
      <c r="A718" s="4" t="s">
        <v>829</v>
      </c>
      <c r="B718" s="4">
        <v>609.0</v>
      </c>
      <c r="F718" s="4" t="s">
        <v>830</v>
      </c>
      <c r="G718" s="4" t="s">
        <v>4358</v>
      </c>
      <c r="H718" s="4" t="s">
        <v>43</v>
      </c>
      <c r="I718" s="4" t="s">
        <v>43</v>
      </c>
      <c r="J718" s="4" t="s">
        <v>43</v>
      </c>
      <c r="K718" s="5" t="str">
        <f>HYPERLINK("https://www.instagram.com/p/BOO1BfUjDA0/","Open Post")</f>
        <v>Open Post</v>
      </c>
      <c r="L718" s="4" t="s">
        <v>4359</v>
      </c>
      <c r="M718" s="4" t="s">
        <v>4360</v>
      </c>
      <c r="N718" s="4" t="s">
        <v>4361</v>
      </c>
      <c r="O718" s="4" t="s">
        <v>51</v>
      </c>
      <c r="P718" s="4" t="s">
        <v>4362</v>
      </c>
    </row>
    <row r="719">
      <c r="A719" s="4" t="s">
        <v>829</v>
      </c>
      <c r="B719" s="4">
        <v>610.0</v>
      </c>
      <c r="F719" s="4" t="s">
        <v>830</v>
      </c>
      <c r="G719" s="4" t="s">
        <v>4363</v>
      </c>
      <c r="H719" s="4" t="s">
        <v>43</v>
      </c>
      <c r="I719" s="4" t="s">
        <v>43</v>
      </c>
      <c r="J719" s="4" t="s">
        <v>43</v>
      </c>
      <c r="K719" s="5" t="str">
        <f>HYPERLINK("https://www.instagram.com/p/BOIDP-Bjy-e/","Open Post")</f>
        <v>Open Post</v>
      </c>
      <c r="L719" s="4" t="s">
        <v>4364</v>
      </c>
      <c r="M719" s="4" t="s">
        <v>4365</v>
      </c>
      <c r="N719" s="4" t="s">
        <v>4367</v>
      </c>
      <c r="O719" s="4" t="s">
        <v>51</v>
      </c>
      <c r="P719" s="4" t="s">
        <v>4368</v>
      </c>
    </row>
    <row r="720">
      <c r="A720" s="4" t="s">
        <v>829</v>
      </c>
      <c r="B720" s="4">
        <v>611.0</v>
      </c>
      <c r="F720" s="4" t="s">
        <v>830</v>
      </c>
      <c r="G720" s="4" t="s">
        <v>306</v>
      </c>
      <c r="H720" s="4" t="s">
        <v>43</v>
      </c>
      <c r="I720" s="4" t="s">
        <v>43</v>
      </c>
      <c r="J720" s="4" t="s">
        <v>43</v>
      </c>
      <c r="K720" s="5" t="str">
        <f>HYPERLINK("https://www.instagram.com/p/BOFmzfKgUIR/","Open Post")</f>
        <v>Open Post</v>
      </c>
      <c r="L720" s="4" t="s">
        <v>4370</v>
      </c>
      <c r="M720" s="4" t="s">
        <v>49</v>
      </c>
      <c r="N720" s="4" t="s">
        <v>4371</v>
      </c>
      <c r="O720" s="4" t="s">
        <v>51</v>
      </c>
      <c r="P720" s="4" t="s">
        <v>4372</v>
      </c>
    </row>
    <row r="721">
      <c r="A721" s="4" t="s">
        <v>829</v>
      </c>
      <c r="B721" s="4">
        <v>612.0</v>
      </c>
      <c r="F721" s="4" t="s">
        <v>830</v>
      </c>
      <c r="G721" s="4" t="s">
        <v>257</v>
      </c>
      <c r="H721" s="4" t="s">
        <v>43</v>
      </c>
      <c r="I721" s="4" t="s">
        <v>43</v>
      </c>
      <c r="J721" s="4" t="s">
        <v>43</v>
      </c>
      <c r="K721" s="5" t="str">
        <f>HYPERLINK("https://www.instagram.com/p/BNyzXKIBa-i/","Open Post")</f>
        <v>Open Post</v>
      </c>
      <c r="L721" s="4" t="s">
        <v>4373</v>
      </c>
      <c r="M721" s="4" t="s">
        <v>49</v>
      </c>
      <c r="N721" s="4" t="s">
        <v>4374</v>
      </c>
      <c r="O721" s="4" t="s">
        <v>51</v>
      </c>
      <c r="P721" s="4" t="s">
        <v>4375</v>
      </c>
    </row>
    <row r="722">
      <c r="A722" s="4" t="s">
        <v>829</v>
      </c>
      <c r="B722" s="4">
        <v>613.0</v>
      </c>
      <c r="F722" s="4" t="s">
        <v>830</v>
      </c>
      <c r="G722" s="4" t="s">
        <v>306</v>
      </c>
      <c r="H722" s="4" t="s">
        <v>43</v>
      </c>
      <c r="I722" s="4" t="s">
        <v>43</v>
      </c>
      <c r="J722" s="4" t="s">
        <v>43</v>
      </c>
      <c r="K722" s="5" t="str">
        <f>HYPERLINK("https://www.instagram.com/p/BNrCV9oje_R/","Open Post")</f>
        <v>Open Post</v>
      </c>
      <c r="L722" s="4" t="s">
        <v>4377</v>
      </c>
      <c r="M722" s="4" t="s">
        <v>49</v>
      </c>
      <c r="N722" s="4" t="s">
        <v>4378</v>
      </c>
      <c r="O722" s="4" t="s">
        <v>51</v>
      </c>
      <c r="P722" s="4" t="s">
        <v>4379</v>
      </c>
    </row>
    <row r="723">
      <c r="A723" s="4" t="s">
        <v>829</v>
      </c>
      <c r="B723" s="4">
        <v>614.0</v>
      </c>
      <c r="F723" s="4" t="s">
        <v>830</v>
      </c>
      <c r="G723" s="4" t="s">
        <v>165</v>
      </c>
      <c r="H723" s="4" t="s">
        <v>43</v>
      </c>
      <c r="I723" s="4" t="s">
        <v>43</v>
      </c>
      <c r="J723" s="4" t="s">
        <v>43</v>
      </c>
      <c r="K723" s="5" t="str">
        <f>HYPERLINK("https://www.instagram.com/p/BNq2DxkDPgX/","Open Post")</f>
        <v>Open Post</v>
      </c>
      <c r="L723" s="4" t="s">
        <v>4381</v>
      </c>
      <c r="M723" s="4" t="s">
        <v>4382</v>
      </c>
      <c r="N723" s="4" t="s">
        <v>4383</v>
      </c>
      <c r="O723" s="4" t="s">
        <v>51</v>
      </c>
      <c r="P723" s="4" t="s">
        <v>4384</v>
      </c>
    </row>
    <row r="724">
      <c r="A724" s="4" t="s">
        <v>829</v>
      </c>
      <c r="B724" s="4">
        <v>615.0</v>
      </c>
      <c r="F724" s="4" t="s">
        <v>830</v>
      </c>
      <c r="G724" s="4" t="s">
        <v>661</v>
      </c>
      <c r="H724" s="4" t="s">
        <v>43</v>
      </c>
      <c r="I724" s="4" t="s">
        <v>43</v>
      </c>
      <c r="J724" s="4" t="s">
        <v>43</v>
      </c>
      <c r="K724" s="5" t="str">
        <f>HYPERLINK("https://www.instagram.com/p/BNZ3wNnAo3F/","Open Post")</f>
        <v>Open Post</v>
      </c>
      <c r="L724" s="4" t="s">
        <v>4386</v>
      </c>
      <c r="M724" s="4" t="s">
        <v>4387</v>
      </c>
      <c r="N724" s="4" t="s">
        <v>4388</v>
      </c>
      <c r="O724" s="4" t="s">
        <v>51</v>
      </c>
      <c r="P724" s="4" t="s">
        <v>4389</v>
      </c>
    </row>
    <row r="725">
      <c r="A725" s="4" t="s">
        <v>829</v>
      </c>
      <c r="B725" s="4">
        <v>616.0</v>
      </c>
      <c r="F725" s="4" t="s">
        <v>830</v>
      </c>
      <c r="G725" s="4" t="s">
        <v>4391</v>
      </c>
      <c r="H725" s="4" t="s">
        <v>43</v>
      </c>
      <c r="I725" s="4" t="s">
        <v>43</v>
      </c>
      <c r="J725" s="4" t="s">
        <v>43</v>
      </c>
      <c r="K725" s="5" t="str">
        <f>HYPERLINK("https://www.instagram.com/p/BNVBTIIDHQ7/","Open Post")</f>
        <v>Open Post</v>
      </c>
      <c r="L725" s="4" t="s">
        <v>4392</v>
      </c>
      <c r="M725" s="4" t="s">
        <v>4393</v>
      </c>
      <c r="N725" s="4" t="s">
        <v>4394</v>
      </c>
      <c r="O725" s="4" t="s">
        <v>51</v>
      </c>
      <c r="P725" s="4" t="s">
        <v>4395</v>
      </c>
    </row>
    <row r="726">
      <c r="A726" s="4" t="s">
        <v>829</v>
      </c>
      <c r="B726" s="4">
        <v>617.0</v>
      </c>
      <c r="F726" s="4" t="s">
        <v>830</v>
      </c>
      <c r="G726" s="4" t="s">
        <v>4397</v>
      </c>
      <c r="H726" s="4" t="s">
        <v>43</v>
      </c>
      <c r="I726" s="4" t="s">
        <v>43</v>
      </c>
      <c r="J726" s="4" t="s">
        <v>43</v>
      </c>
      <c r="K726" s="5" t="str">
        <f>HYPERLINK("https://www.instagram.com/p/BNEwEaSBDeD/","Open Post")</f>
        <v>Open Post</v>
      </c>
      <c r="L726" s="4" t="s">
        <v>4398</v>
      </c>
      <c r="M726" s="4" t="s">
        <v>4399</v>
      </c>
      <c r="N726" s="4" t="s">
        <v>4400</v>
      </c>
      <c r="O726" s="4" t="s">
        <v>51</v>
      </c>
      <c r="P726" s="4" t="s">
        <v>4401</v>
      </c>
    </row>
    <row r="727">
      <c r="A727" s="4" t="s">
        <v>829</v>
      </c>
      <c r="B727" s="4">
        <v>618.0</v>
      </c>
      <c r="F727" s="4" t="s">
        <v>830</v>
      </c>
      <c r="G727" s="4" t="s">
        <v>431</v>
      </c>
      <c r="H727" s="4" t="s">
        <v>43</v>
      </c>
      <c r="I727" s="4" t="s">
        <v>43</v>
      </c>
      <c r="J727" s="4" t="s">
        <v>43</v>
      </c>
      <c r="K727" s="5" t="str">
        <f>HYPERLINK("https://www.instagram.com/p/BM64If1gNHI/","Open Post")</f>
        <v>Open Post</v>
      </c>
      <c r="L727" s="4" t="s">
        <v>4404</v>
      </c>
      <c r="M727" s="4" t="s">
        <v>49</v>
      </c>
      <c r="N727" s="4" t="s">
        <v>4405</v>
      </c>
      <c r="O727" s="4" t="s">
        <v>51</v>
      </c>
      <c r="P727" s="4" t="s">
        <v>4406</v>
      </c>
    </row>
    <row r="728">
      <c r="A728" s="4" t="s">
        <v>829</v>
      </c>
      <c r="B728" s="4">
        <v>619.0</v>
      </c>
      <c r="F728" s="4" t="s">
        <v>830</v>
      </c>
      <c r="G728" s="4" t="s">
        <v>371</v>
      </c>
      <c r="H728" s="4" t="s">
        <v>43</v>
      </c>
      <c r="I728" s="4" t="s">
        <v>43</v>
      </c>
      <c r="J728" s="4" t="s">
        <v>43</v>
      </c>
      <c r="K728" s="5" t="str">
        <f>HYPERLINK("https://www.instagram.com/p/BM6nthfgZfg/","Open Post")</f>
        <v>Open Post</v>
      </c>
      <c r="L728" s="4" t="s">
        <v>4407</v>
      </c>
      <c r="M728" s="4" t="s">
        <v>4408</v>
      </c>
      <c r="N728" s="4" t="s">
        <v>4409</v>
      </c>
      <c r="O728" s="4" t="s">
        <v>51</v>
      </c>
      <c r="P728" s="4" t="s">
        <v>4410</v>
      </c>
    </row>
    <row r="729">
      <c r="A729" s="4" t="s">
        <v>829</v>
      </c>
      <c r="B729" s="4">
        <v>620.0</v>
      </c>
      <c r="F729" s="4" t="s">
        <v>830</v>
      </c>
      <c r="G729" s="4" t="s">
        <v>257</v>
      </c>
      <c r="H729" s="4" t="s">
        <v>43</v>
      </c>
      <c r="I729" s="4" t="s">
        <v>43</v>
      </c>
      <c r="J729" s="4" t="s">
        <v>43</v>
      </c>
      <c r="K729" s="5" t="str">
        <f>HYPERLINK("https://www.instagram.com/p/BMxs8MwjqQ0/","Open Post")</f>
        <v>Open Post</v>
      </c>
      <c r="L729" s="4" t="s">
        <v>4412</v>
      </c>
      <c r="M729" s="4" t="s">
        <v>4413</v>
      </c>
      <c r="N729" s="4" t="s">
        <v>4414</v>
      </c>
      <c r="O729" s="4" t="s">
        <v>51</v>
      </c>
      <c r="P729" s="4" t="s">
        <v>4415</v>
      </c>
    </row>
    <row r="730">
      <c r="A730" s="4" t="s">
        <v>829</v>
      </c>
      <c r="B730" s="4">
        <v>621.0</v>
      </c>
      <c r="F730" s="4" t="s">
        <v>830</v>
      </c>
      <c r="G730" s="4" t="s">
        <v>661</v>
      </c>
      <c r="H730" s="4" t="s">
        <v>43</v>
      </c>
      <c r="I730" s="4" t="s">
        <v>43</v>
      </c>
      <c r="J730" s="4" t="s">
        <v>43</v>
      </c>
      <c r="K730" s="5" t="str">
        <f>HYPERLINK("https://www.instagram.com/p/BLeo_s6jHCB/","Open Post")</f>
        <v>Open Post</v>
      </c>
      <c r="L730" s="4" t="s">
        <v>4418</v>
      </c>
      <c r="M730" s="4" t="s">
        <v>1599</v>
      </c>
      <c r="N730" s="4" t="s">
        <v>4419</v>
      </c>
      <c r="O730" s="4" t="s">
        <v>51</v>
      </c>
      <c r="P730" s="4" t="s">
        <v>4420</v>
      </c>
    </row>
    <row r="731">
      <c r="A731" s="4" t="s">
        <v>829</v>
      </c>
      <c r="B731" s="4">
        <v>622.0</v>
      </c>
      <c r="F731" s="4" t="s">
        <v>830</v>
      </c>
      <c r="G731" s="4" t="s">
        <v>306</v>
      </c>
      <c r="H731" s="4" t="s">
        <v>43</v>
      </c>
      <c r="I731" s="4" t="s">
        <v>43</v>
      </c>
      <c r="J731" s="4" t="s">
        <v>43</v>
      </c>
      <c r="K731" s="5" t="str">
        <f>HYPERLINK("https://www.instagram.com/p/BLdcup1jBXO/","Open Post")</f>
        <v>Open Post</v>
      </c>
      <c r="L731" s="4" t="s">
        <v>4422</v>
      </c>
      <c r="M731" s="4" t="s">
        <v>49</v>
      </c>
      <c r="N731" s="4" t="s">
        <v>4423</v>
      </c>
      <c r="O731" s="4" t="s">
        <v>51</v>
      </c>
      <c r="P731" s="4" t="s">
        <v>4424</v>
      </c>
    </row>
    <row r="732">
      <c r="A732" s="4" t="s">
        <v>829</v>
      </c>
      <c r="B732" s="4">
        <v>623.0</v>
      </c>
      <c r="F732" s="4" t="s">
        <v>830</v>
      </c>
      <c r="G732" s="4" t="s">
        <v>4426</v>
      </c>
      <c r="H732" s="4" t="s">
        <v>43</v>
      </c>
      <c r="I732" s="4" t="s">
        <v>43</v>
      </c>
      <c r="J732" s="4" t="s">
        <v>43</v>
      </c>
      <c r="K732" s="5" t="str">
        <f>HYPERLINK("https://www.instagram.com/p/BLZ0AivhYBY/","Open Post")</f>
        <v>Open Post</v>
      </c>
      <c r="L732" s="4" t="s">
        <v>4427</v>
      </c>
      <c r="M732" s="4" t="s">
        <v>4428</v>
      </c>
      <c r="N732" s="4" t="s">
        <v>4429</v>
      </c>
      <c r="O732" s="4" t="s">
        <v>51</v>
      </c>
      <c r="P732" s="4" t="s">
        <v>4430</v>
      </c>
    </row>
    <row r="733">
      <c r="A733" s="4" t="s">
        <v>829</v>
      </c>
      <c r="B733" s="4">
        <v>624.0</v>
      </c>
      <c r="F733" s="4" t="s">
        <v>830</v>
      </c>
      <c r="G733" s="4" t="s">
        <v>661</v>
      </c>
      <c r="H733" s="4" t="s">
        <v>43</v>
      </c>
      <c r="I733" s="4" t="s">
        <v>43</v>
      </c>
      <c r="J733" s="4" t="s">
        <v>43</v>
      </c>
      <c r="K733" s="5" t="str">
        <f>HYPERLINK("https://www.instagram.com/p/BLOuaHKhwRU/","Open Post")</f>
        <v>Open Post</v>
      </c>
      <c r="L733" s="4" t="s">
        <v>4433</v>
      </c>
      <c r="M733" s="4" t="s">
        <v>4434</v>
      </c>
      <c r="N733" s="4" t="s">
        <v>4435</v>
      </c>
      <c r="O733" s="4" t="s">
        <v>51</v>
      </c>
      <c r="P733" s="4" t="s">
        <v>4436</v>
      </c>
    </row>
    <row r="734">
      <c r="A734" s="4" t="s">
        <v>829</v>
      </c>
      <c r="B734" s="4">
        <v>625.0</v>
      </c>
      <c r="F734" s="4" t="s">
        <v>830</v>
      </c>
      <c r="G734" s="4" t="s">
        <v>2623</v>
      </c>
      <c r="H734" s="4" t="s">
        <v>43</v>
      </c>
      <c r="I734" s="4" t="s">
        <v>43</v>
      </c>
      <c r="J734" s="4" t="s">
        <v>43</v>
      </c>
      <c r="K734" s="5" t="str">
        <f>HYPERLINK("https://www.instagram.com/p/BLOLZJPl90f/","Open Post")</f>
        <v>Open Post</v>
      </c>
      <c r="L734" s="4" t="s">
        <v>4437</v>
      </c>
      <c r="M734" s="4" t="s">
        <v>4438</v>
      </c>
      <c r="N734" s="4" t="s">
        <v>4439</v>
      </c>
      <c r="O734" s="4" t="s">
        <v>51</v>
      </c>
      <c r="P734" s="4" t="s">
        <v>4440</v>
      </c>
    </row>
    <row r="735">
      <c r="A735" s="4" t="s">
        <v>829</v>
      </c>
      <c r="B735" s="4">
        <v>626.0</v>
      </c>
      <c r="F735" s="4" t="s">
        <v>830</v>
      </c>
      <c r="G735" s="4" t="s">
        <v>957</v>
      </c>
      <c r="H735" s="4" t="s">
        <v>43</v>
      </c>
      <c r="I735" s="4" t="s">
        <v>43</v>
      </c>
      <c r="J735" s="4" t="s">
        <v>43</v>
      </c>
      <c r="K735" s="5" t="str">
        <f>HYPERLINK("https://www.instagram.com/p/BJ23aX3Bhct/","Open Post")</f>
        <v>Open Post</v>
      </c>
      <c r="L735" s="4" t="s">
        <v>4443</v>
      </c>
      <c r="M735" s="4" t="s">
        <v>4444</v>
      </c>
      <c r="N735" s="4" t="s">
        <v>4445</v>
      </c>
      <c r="O735" s="4" t="s">
        <v>51</v>
      </c>
      <c r="P735" s="4" t="s">
        <v>4446</v>
      </c>
    </row>
    <row r="736">
      <c r="A736" s="4" t="s">
        <v>829</v>
      </c>
      <c r="B736" s="4">
        <v>627.0</v>
      </c>
      <c r="F736" s="4" t="s">
        <v>830</v>
      </c>
      <c r="G736" s="4" t="s">
        <v>207</v>
      </c>
      <c r="H736" s="4" t="s">
        <v>43</v>
      </c>
      <c r="I736" s="4" t="s">
        <v>43</v>
      </c>
      <c r="J736" s="4" t="s">
        <v>43</v>
      </c>
      <c r="K736" s="5" t="str">
        <f>HYPERLINK("https://www.instagram.com/p/BJvwfE3B51Y/","Open Post")</f>
        <v>Open Post</v>
      </c>
      <c r="L736" s="4" t="s">
        <v>4447</v>
      </c>
      <c r="M736" s="4" t="s">
        <v>4448</v>
      </c>
      <c r="N736" s="4" t="s">
        <v>4449</v>
      </c>
      <c r="O736" s="4" t="s">
        <v>51</v>
      </c>
      <c r="P736" s="4" t="s">
        <v>4450</v>
      </c>
    </row>
    <row r="737">
      <c r="A737" s="4" t="s">
        <v>829</v>
      </c>
      <c r="B737" s="4">
        <v>628.0</v>
      </c>
      <c r="F737" s="4" t="s">
        <v>830</v>
      </c>
      <c r="G737" s="4" t="s">
        <v>852</v>
      </c>
      <c r="H737" s="4" t="s">
        <v>43</v>
      </c>
      <c r="I737" s="4" t="s">
        <v>43</v>
      </c>
      <c r="J737" s="4" t="s">
        <v>43</v>
      </c>
      <c r="K737" s="5" t="str">
        <f>HYPERLINK("https://www.instagram.com/p/BJIVIi1BeST/","Open Post")</f>
        <v>Open Post</v>
      </c>
      <c r="L737" s="4" t="s">
        <v>4453</v>
      </c>
      <c r="M737" s="4" t="s">
        <v>4454</v>
      </c>
      <c r="N737" s="4" t="s">
        <v>4455</v>
      </c>
      <c r="O737" s="4" t="s">
        <v>51</v>
      </c>
      <c r="P737" s="4" t="s">
        <v>4456</v>
      </c>
    </row>
    <row r="738">
      <c r="A738" s="4" t="s">
        <v>829</v>
      </c>
      <c r="B738" s="4">
        <v>629.0</v>
      </c>
      <c r="F738" s="4" t="s">
        <v>830</v>
      </c>
      <c r="G738" s="4" t="s">
        <v>4351</v>
      </c>
      <c r="H738" s="4" t="s">
        <v>43</v>
      </c>
      <c r="I738" s="4" t="s">
        <v>43</v>
      </c>
      <c r="J738" s="4" t="s">
        <v>43</v>
      </c>
      <c r="K738" s="5" t="str">
        <f>HYPERLINK("https://www.instagram.com/p/BI7SFS_gkWV/","Open Post")</f>
        <v>Open Post</v>
      </c>
      <c r="L738" s="4" t="s">
        <v>4458</v>
      </c>
      <c r="M738" s="4" t="s">
        <v>4354</v>
      </c>
      <c r="N738" s="4" t="s">
        <v>4459</v>
      </c>
      <c r="O738" s="4" t="s">
        <v>51</v>
      </c>
      <c r="P738" s="4" t="s">
        <v>4460</v>
      </c>
    </row>
    <row r="739">
      <c r="A739" s="4" t="s">
        <v>829</v>
      </c>
      <c r="B739" s="4">
        <v>630.0</v>
      </c>
      <c r="F739" s="4" t="s">
        <v>830</v>
      </c>
      <c r="G739" s="4" t="s">
        <v>105</v>
      </c>
      <c r="H739" s="4" t="s">
        <v>43</v>
      </c>
      <c r="I739" s="4" t="s">
        <v>43</v>
      </c>
      <c r="J739" s="4" t="s">
        <v>43</v>
      </c>
      <c r="K739" s="5" t="str">
        <f>HYPERLINK("https://www.instagram.com/p/BIFlBVygRtn/","Open Post")</f>
        <v>Open Post</v>
      </c>
      <c r="L739" s="4" t="s">
        <v>4461</v>
      </c>
      <c r="M739" s="4" t="s">
        <v>4462</v>
      </c>
      <c r="N739" s="4" t="s">
        <v>4463</v>
      </c>
      <c r="O739" s="4" t="s">
        <v>51</v>
      </c>
      <c r="P739" s="4" t="s">
        <v>4464</v>
      </c>
    </row>
    <row r="740">
      <c r="A740" s="4" t="s">
        <v>829</v>
      </c>
      <c r="B740" s="4">
        <v>631.0</v>
      </c>
      <c r="F740" s="4" t="s">
        <v>830</v>
      </c>
      <c r="G740" s="4" t="s">
        <v>4467</v>
      </c>
      <c r="H740" s="4" t="s">
        <v>43</v>
      </c>
      <c r="I740" s="4" t="s">
        <v>43</v>
      </c>
      <c r="J740" s="4" t="s">
        <v>43</v>
      </c>
      <c r="K740" s="5" t="str">
        <f>HYPERLINK("https://www.instagram.com/p/BHp8GpWgd8a/","Open Post")</f>
        <v>Open Post</v>
      </c>
      <c r="L740" s="4" t="s">
        <v>4468</v>
      </c>
      <c r="M740" s="4" t="s">
        <v>4469</v>
      </c>
      <c r="N740" s="4" t="s">
        <v>4470</v>
      </c>
      <c r="O740" s="4" t="s">
        <v>51</v>
      </c>
      <c r="P740" s="4" t="s">
        <v>4471</v>
      </c>
    </row>
    <row r="741">
      <c r="A741" s="4" t="s">
        <v>829</v>
      </c>
      <c r="B741" s="4">
        <v>632.0</v>
      </c>
      <c r="F741" s="4" t="s">
        <v>830</v>
      </c>
      <c r="G741" s="4" t="s">
        <v>4472</v>
      </c>
      <c r="H741" s="4" t="s">
        <v>43</v>
      </c>
      <c r="I741" s="4" t="s">
        <v>43</v>
      </c>
      <c r="J741" s="4" t="s">
        <v>43</v>
      </c>
      <c r="K741" s="5" t="str">
        <f>HYPERLINK("https://www.instagram.com/p/BHm--8LjrGC/","Open Post")</f>
        <v>Open Post</v>
      </c>
      <c r="L741" s="4" t="s">
        <v>4474</v>
      </c>
      <c r="M741" s="4" t="s">
        <v>4475</v>
      </c>
      <c r="N741" s="4" t="s">
        <v>4476</v>
      </c>
      <c r="O741" s="4" t="s">
        <v>51</v>
      </c>
      <c r="P741" s="4" t="s">
        <v>4477</v>
      </c>
    </row>
    <row r="742">
      <c r="A742" s="4" t="s">
        <v>829</v>
      </c>
      <c r="B742" s="4">
        <v>633.0</v>
      </c>
      <c r="F742" s="4" t="s">
        <v>830</v>
      </c>
      <c r="G742" s="4" t="s">
        <v>4478</v>
      </c>
      <c r="H742" s="4" t="s">
        <v>43</v>
      </c>
      <c r="I742" s="4" t="s">
        <v>43</v>
      </c>
      <c r="J742" s="4" t="s">
        <v>43</v>
      </c>
      <c r="K742" s="5" t="str">
        <f>HYPERLINK("https://www.instagram.com/p/BHmT-iTjALq/","Open Post")</f>
        <v>Open Post</v>
      </c>
      <c r="L742" s="4" t="s">
        <v>4480</v>
      </c>
      <c r="M742" s="4" t="s">
        <v>4481</v>
      </c>
      <c r="N742" s="4" t="s">
        <v>4482</v>
      </c>
      <c r="O742" s="4" t="s">
        <v>51</v>
      </c>
      <c r="P742" s="4" t="s">
        <v>4483</v>
      </c>
    </row>
    <row r="743">
      <c r="A743" s="4" t="s">
        <v>829</v>
      </c>
      <c r="B743" s="4">
        <v>634.0</v>
      </c>
      <c r="F743" s="4" t="s">
        <v>830</v>
      </c>
      <c r="G743" s="4" t="s">
        <v>4484</v>
      </c>
      <c r="H743" s="4" t="s">
        <v>43</v>
      </c>
      <c r="I743" s="4" t="s">
        <v>43</v>
      </c>
      <c r="J743" s="4" t="s">
        <v>43</v>
      </c>
      <c r="K743" s="5" t="str">
        <f>HYPERLINK("https://www.instagram.com/p/BHXI7C4gp2z/","Open Post")</f>
        <v>Open Post</v>
      </c>
      <c r="L743" s="4" t="s">
        <v>4486</v>
      </c>
      <c r="M743" s="4" t="s">
        <v>4487</v>
      </c>
      <c r="N743" s="4" t="s">
        <v>4488</v>
      </c>
      <c r="O743" s="4" t="s">
        <v>51</v>
      </c>
      <c r="P743" s="4" t="s">
        <v>4489</v>
      </c>
    </row>
    <row r="744">
      <c r="A744" s="4" t="s">
        <v>829</v>
      </c>
      <c r="B744" s="4">
        <v>635.0</v>
      </c>
      <c r="F744" s="4" t="s">
        <v>830</v>
      </c>
      <c r="G744" s="4" t="s">
        <v>957</v>
      </c>
      <c r="H744" s="4" t="s">
        <v>43</v>
      </c>
      <c r="I744" s="4" t="s">
        <v>43</v>
      </c>
      <c r="J744" s="4" t="s">
        <v>43</v>
      </c>
      <c r="K744" s="5" t="str">
        <f>HYPERLINK("https://www.instagram.com/p/BHUe3m1AO7z/","Open Post")</f>
        <v>Open Post</v>
      </c>
      <c r="L744" s="4" t="s">
        <v>4490</v>
      </c>
      <c r="M744" s="4" t="s">
        <v>4491</v>
      </c>
      <c r="N744" s="4" t="s">
        <v>4492</v>
      </c>
      <c r="O744" s="4" t="s">
        <v>51</v>
      </c>
      <c r="P744" s="4" t="s">
        <v>4493</v>
      </c>
    </row>
    <row r="745">
      <c r="A745" s="4" t="s">
        <v>829</v>
      </c>
      <c r="B745" s="4">
        <v>636.0</v>
      </c>
      <c r="F745" s="4" t="s">
        <v>830</v>
      </c>
      <c r="G745" s="4" t="s">
        <v>105</v>
      </c>
      <c r="H745" s="4" t="s">
        <v>43</v>
      </c>
      <c r="I745" s="4" t="s">
        <v>43</v>
      </c>
      <c r="J745" s="4" t="s">
        <v>43</v>
      </c>
      <c r="K745" s="5" t="str">
        <f>HYPERLINK("https://www.instagram.com/p/BHP7XBXAp8v/","Open Post")</f>
        <v>Open Post</v>
      </c>
      <c r="L745" s="4" t="s">
        <v>4495</v>
      </c>
      <c r="M745" s="4" t="s">
        <v>4496</v>
      </c>
      <c r="N745" s="4" t="s">
        <v>4497</v>
      </c>
      <c r="O745" s="4" t="s">
        <v>51</v>
      </c>
      <c r="P745" s="4" t="s">
        <v>4498</v>
      </c>
    </row>
    <row r="746">
      <c r="A746" s="4" t="s">
        <v>829</v>
      </c>
      <c r="B746" s="4">
        <v>637.0</v>
      </c>
      <c r="F746" s="4" t="s">
        <v>830</v>
      </c>
      <c r="G746" s="4" t="s">
        <v>306</v>
      </c>
      <c r="H746" s="4" t="s">
        <v>43</v>
      </c>
      <c r="I746" s="4" t="s">
        <v>43</v>
      </c>
      <c r="J746" s="4" t="s">
        <v>43</v>
      </c>
      <c r="K746" s="5" t="str">
        <f>HYPERLINK("https://www.instagram.com/p/BGd6C68mEd8/","Open Post")</f>
        <v>Open Post</v>
      </c>
      <c r="L746" s="4" t="s">
        <v>4500</v>
      </c>
      <c r="M746" s="4" t="s">
        <v>49</v>
      </c>
      <c r="N746" s="4" t="s">
        <v>4501</v>
      </c>
      <c r="O746" s="4" t="s">
        <v>51</v>
      </c>
      <c r="P746" s="4" t="s">
        <v>4502</v>
      </c>
    </row>
    <row r="747">
      <c r="A747" s="4" t="s">
        <v>829</v>
      </c>
      <c r="B747" s="4">
        <v>638.0</v>
      </c>
      <c r="F747" s="4" t="s">
        <v>830</v>
      </c>
      <c r="G747" s="4" t="s">
        <v>957</v>
      </c>
      <c r="H747" s="4" t="s">
        <v>43</v>
      </c>
      <c r="I747" s="4" t="s">
        <v>43</v>
      </c>
      <c r="J747" s="4" t="s">
        <v>43</v>
      </c>
      <c r="K747" s="5" t="str">
        <f>HYPERLINK("https://www.instagram.com/p/BGUl7Hrxemz/","Open Post")</f>
        <v>Open Post</v>
      </c>
      <c r="L747" s="4" t="s">
        <v>4504</v>
      </c>
      <c r="M747" s="4" t="s">
        <v>49</v>
      </c>
      <c r="N747" s="4" t="s">
        <v>4505</v>
      </c>
      <c r="O747" s="4" t="s">
        <v>51</v>
      </c>
      <c r="P747" s="4" t="s">
        <v>4507</v>
      </c>
    </row>
    <row r="748">
      <c r="A748" s="4" t="s">
        <v>829</v>
      </c>
      <c r="B748" s="4">
        <v>639.0</v>
      </c>
      <c r="F748" s="4" t="s">
        <v>830</v>
      </c>
      <c r="G748" s="4" t="s">
        <v>4508</v>
      </c>
      <c r="H748" s="4" t="s">
        <v>43</v>
      </c>
      <c r="I748" s="4" t="s">
        <v>43</v>
      </c>
      <c r="J748" s="4" t="s">
        <v>43</v>
      </c>
      <c r="K748" s="5" t="str">
        <f>HYPERLINK("https://www.instagram.com/p/BFo_X6qJjSR/","Open Post")</f>
        <v>Open Post</v>
      </c>
      <c r="L748" s="4" t="s">
        <v>4509</v>
      </c>
      <c r="M748" s="4" t="s">
        <v>4510</v>
      </c>
      <c r="N748" s="4" t="s">
        <v>4511</v>
      </c>
      <c r="O748" s="4" t="s">
        <v>51</v>
      </c>
      <c r="P748" s="4" t="s">
        <v>4512</v>
      </c>
    </row>
    <row r="749">
      <c r="A749" s="4" t="s">
        <v>829</v>
      </c>
      <c r="B749" s="4">
        <v>640.0</v>
      </c>
      <c r="F749" s="4" t="s">
        <v>830</v>
      </c>
      <c r="G749" s="4" t="s">
        <v>3024</v>
      </c>
      <c r="H749" s="4" t="s">
        <v>43</v>
      </c>
      <c r="I749" s="4" t="s">
        <v>43</v>
      </c>
      <c r="J749" s="4" t="s">
        <v>43</v>
      </c>
      <c r="K749" s="5" t="str">
        <f>HYPERLINK("https://www.instagram.com/p/BEMG9XpHgSJ/","Open Post")</f>
        <v>Open Post</v>
      </c>
      <c r="L749" s="4" t="s">
        <v>4514</v>
      </c>
      <c r="M749" s="4" t="s">
        <v>4515</v>
      </c>
      <c r="N749" s="4" t="s">
        <v>4516</v>
      </c>
      <c r="O749" s="4" t="s">
        <v>51</v>
      </c>
      <c r="P749" s="4" t="s">
        <v>4517</v>
      </c>
    </row>
    <row r="750">
      <c r="A750" s="4" t="s">
        <v>829</v>
      </c>
      <c r="B750" s="4">
        <v>641.0</v>
      </c>
      <c r="F750" s="4" t="s">
        <v>830</v>
      </c>
      <c r="G750" s="4" t="s">
        <v>871</v>
      </c>
      <c r="H750" s="4" t="s">
        <v>43</v>
      </c>
      <c r="I750" s="4" t="s">
        <v>43</v>
      </c>
      <c r="J750" s="4" t="s">
        <v>43</v>
      </c>
      <c r="K750" s="5" t="str">
        <f>HYPERLINK("https://www.instagram.com/p/BEGIZfgIt05/","Open Post")</f>
        <v>Open Post</v>
      </c>
      <c r="L750" s="4" t="s">
        <v>4520</v>
      </c>
      <c r="M750" s="4" t="s">
        <v>4521</v>
      </c>
      <c r="N750" s="4" t="s">
        <v>4522</v>
      </c>
      <c r="O750" s="4" t="s">
        <v>51</v>
      </c>
      <c r="P750" s="4" t="s">
        <v>4523</v>
      </c>
    </row>
    <row r="751">
      <c r="A751" s="4" t="s">
        <v>829</v>
      </c>
      <c r="B751" s="4">
        <v>642.0</v>
      </c>
      <c r="F751" s="4" t="s">
        <v>830</v>
      </c>
      <c r="G751" s="4" t="s">
        <v>4525</v>
      </c>
      <c r="H751" s="4" t="s">
        <v>43</v>
      </c>
      <c r="I751" s="4" t="s">
        <v>43</v>
      </c>
      <c r="J751" s="4" t="s">
        <v>43</v>
      </c>
      <c r="K751" s="5" t="str">
        <f>HYPERLINK("https://www.instagram.com/p/BDvY7g4MkwS/","Open Post")</f>
        <v>Open Post</v>
      </c>
      <c r="L751" s="4" t="s">
        <v>4526</v>
      </c>
      <c r="M751" s="4" t="s">
        <v>4527</v>
      </c>
      <c r="N751" s="4" t="s">
        <v>4528</v>
      </c>
      <c r="O751" s="4" t="s">
        <v>51</v>
      </c>
      <c r="P751" s="4" t="s">
        <v>4529</v>
      </c>
    </row>
    <row r="752">
      <c r="A752" s="4" t="s">
        <v>829</v>
      </c>
      <c r="B752" s="4">
        <v>643.0</v>
      </c>
      <c r="F752" s="4" t="s">
        <v>830</v>
      </c>
      <c r="G752" s="4" t="s">
        <v>389</v>
      </c>
      <c r="H752" s="4" t="s">
        <v>43</v>
      </c>
      <c r="I752" s="4" t="s">
        <v>43</v>
      </c>
      <c r="J752" s="4" t="s">
        <v>43</v>
      </c>
      <c r="K752" s="5" t="str">
        <f>HYPERLINK("https://www.instagram.com/p/BDnkk4ERJpA/","Open Post")</f>
        <v>Open Post</v>
      </c>
      <c r="L752" s="4" t="s">
        <v>4532</v>
      </c>
      <c r="M752" s="4" t="s">
        <v>4533</v>
      </c>
      <c r="N752" s="4" t="s">
        <v>4534</v>
      </c>
      <c r="O752" s="4" t="s">
        <v>51</v>
      </c>
      <c r="P752" s="4" t="s">
        <v>4535</v>
      </c>
    </row>
    <row r="753">
      <c r="A753" s="4" t="s">
        <v>829</v>
      </c>
      <c r="B753" s="4">
        <v>644.0</v>
      </c>
      <c r="F753" s="4" t="s">
        <v>830</v>
      </c>
      <c r="G753" s="4" t="s">
        <v>431</v>
      </c>
      <c r="H753" s="4" t="s">
        <v>43</v>
      </c>
      <c r="I753" s="4" t="s">
        <v>43</v>
      </c>
      <c r="J753" s="4" t="s">
        <v>43</v>
      </c>
      <c r="K753" s="5" t="str">
        <f>HYPERLINK("https://www.instagram.com/p/BDd6zzeAp-A/","Open Post")</f>
        <v>Open Post</v>
      </c>
      <c r="L753" s="4" t="s">
        <v>4536</v>
      </c>
      <c r="M753" s="4" t="s">
        <v>4537</v>
      </c>
      <c r="N753" s="4" t="s">
        <v>4538</v>
      </c>
      <c r="O753" s="4" t="s">
        <v>51</v>
      </c>
      <c r="P753" s="4" t="s">
        <v>4539</v>
      </c>
    </row>
    <row r="754">
      <c r="A754" s="4" t="s">
        <v>829</v>
      </c>
      <c r="B754" s="4">
        <v>645.0</v>
      </c>
      <c r="F754" s="4" t="s">
        <v>830</v>
      </c>
      <c r="G754" s="4" t="s">
        <v>389</v>
      </c>
      <c r="H754" s="4" t="s">
        <v>43</v>
      </c>
      <c r="I754" s="4" t="s">
        <v>43</v>
      </c>
      <c r="J754" s="4" t="s">
        <v>43</v>
      </c>
      <c r="K754" s="5" t="str">
        <f>HYPERLINK("https://www.instagram.com/p/BDOPc_EOam0/","Open Post")</f>
        <v>Open Post</v>
      </c>
      <c r="L754" s="4" t="s">
        <v>4542</v>
      </c>
      <c r="M754" s="4" t="s">
        <v>4543</v>
      </c>
      <c r="N754" s="4" t="s">
        <v>4544</v>
      </c>
      <c r="O754" s="4" t="s">
        <v>51</v>
      </c>
      <c r="P754" s="4" t="s">
        <v>4545</v>
      </c>
    </row>
    <row r="755">
      <c r="A755" s="4" t="s">
        <v>829</v>
      </c>
      <c r="B755" s="4">
        <v>646.0</v>
      </c>
      <c r="F755" s="4" t="s">
        <v>830</v>
      </c>
      <c r="G755" s="4" t="s">
        <v>4546</v>
      </c>
      <c r="H755" s="4" t="s">
        <v>43</v>
      </c>
      <c r="I755" s="4" t="s">
        <v>43</v>
      </c>
      <c r="J755" s="4" t="s">
        <v>43</v>
      </c>
      <c r="K755" s="5" t="str">
        <f>HYPERLINK("https://www.instagram.com/p/BDGQ_KUReuW/","Open Post")</f>
        <v>Open Post</v>
      </c>
      <c r="L755" s="4" t="s">
        <v>4547</v>
      </c>
      <c r="M755" s="4" t="s">
        <v>4548</v>
      </c>
      <c r="N755" s="4" t="s">
        <v>4549</v>
      </c>
      <c r="O755" s="4" t="s">
        <v>51</v>
      </c>
      <c r="P755" s="4" t="s">
        <v>4550</v>
      </c>
    </row>
    <row r="756">
      <c r="A756" s="4" t="s">
        <v>829</v>
      </c>
      <c r="B756" s="4">
        <v>647.0</v>
      </c>
      <c r="F756" s="4" t="s">
        <v>830</v>
      </c>
      <c r="G756" s="4" t="s">
        <v>4546</v>
      </c>
      <c r="H756" s="4" t="s">
        <v>43</v>
      </c>
      <c r="I756" s="4" t="s">
        <v>43</v>
      </c>
      <c r="J756" s="4" t="s">
        <v>43</v>
      </c>
      <c r="K756" s="5" t="str">
        <f>HYPERLINK("https://www.instagram.com/p/BDGQwzoxet3/","Open Post")</f>
        <v>Open Post</v>
      </c>
      <c r="L756" s="4" t="s">
        <v>4552</v>
      </c>
      <c r="M756" s="4" t="s">
        <v>4548</v>
      </c>
      <c r="N756" s="4" t="s">
        <v>4553</v>
      </c>
      <c r="O756" s="4" t="s">
        <v>51</v>
      </c>
      <c r="P756" s="4" t="s">
        <v>4554</v>
      </c>
    </row>
    <row r="757">
      <c r="A757" s="4" t="s">
        <v>829</v>
      </c>
      <c r="B757" s="4">
        <v>648.0</v>
      </c>
      <c r="F757" s="4" t="s">
        <v>830</v>
      </c>
      <c r="G757" s="4" t="s">
        <v>306</v>
      </c>
      <c r="H757" s="4" t="s">
        <v>43</v>
      </c>
      <c r="I757" s="4" t="s">
        <v>43</v>
      </c>
      <c r="J757" s="4" t="s">
        <v>43</v>
      </c>
      <c r="K757" s="5" t="str">
        <f>HYPERLINK("https://www.instagram.com/p/BDEiwofg9ri/","Open Post")</f>
        <v>Open Post</v>
      </c>
      <c r="L757" s="4" t="s">
        <v>4557</v>
      </c>
      <c r="M757" s="4" t="s">
        <v>49</v>
      </c>
      <c r="N757" s="4" t="s">
        <v>4558</v>
      </c>
      <c r="O757" s="4" t="s">
        <v>51</v>
      </c>
      <c r="P757" s="4" t="s">
        <v>4559</v>
      </c>
    </row>
    <row r="758">
      <c r="A758" s="4" t="s">
        <v>829</v>
      </c>
      <c r="B758" s="4">
        <v>649.0</v>
      </c>
      <c r="F758" s="4" t="s">
        <v>830</v>
      </c>
      <c r="G758" s="4" t="s">
        <v>4560</v>
      </c>
      <c r="H758" s="4" t="s">
        <v>43</v>
      </c>
      <c r="I758" s="4" t="s">
        <v>43</v>
      </c>
      <c r="J758" s="4" t="s">
        <v>43</v>
      </c>
      <c r="K758" s="5" t="str">
        <f>HYPERLINK("https://www.instagram.com/p/BDEDXY4HPR9/","Open Post")</f>
        <v>Open Post</v>
      </c>
      <c r="L758" s="8" t="s">
        <v>4561</v>
      </c>
      <c r="M758" s="4" t="s">
        <v>4562</v>
      </c>
      <c r="N758" s="4" t="s">
        <v>4563</v>
      </c>
      <c r="O758" s="4" t="s">
        <v>51</v>
      </c>
      <c r="P758" s="4" t="s">
        <v>4564</v>
      </c>
    </row>
    <row r="759">
      <c r="A759" s="4" t="s">
        <v>829</v>
      </c>
      <c r="B759" s="4">
        <v>650.0</v>
      </c>
      <c r="F759" s="4" t="s">
        <v>830</v>
      </c>
      <c r="G759" s="4" t="s">
        <v>166</v>
      </c>
      <c r="H759" s="4" t="s">
        <v>43</v>
      </c>
      <c r="I759" s="4" t="s">
        <v>43</v>
      </c>
      <c r="J759" s="4" t="s">
        <v>43</v>
      </c>
      <c r="K759" s="5" t="str">
        <f>HYPERLINK("https://www.instagram.com/p/BDDIXQrlKQL/","Open Post")</f>
        <v>Open Post</v>
      </c>
      <c r="L759" s="4" t="s">
        <v>4567</v>
      </c>
      <c r="M759" s="4" t="s">
        <v>4568</v>
      </c>
      <c r="N759" s="4" t="s">
        <v>4569</v>
      </c>
      <c r="O759" s="4" t="s">
        <v>51</v>
      </c>
      <c r="P759" s="4" t="s">
        <v>4570</v>
      </c>
    </row>
    <row r="760">
      <c r="A760" s="4" t="s">
        <v>829</v>
      </c>
      <c r="B760" s="4">
        <v>651.0</v>
      </c>
      <c r="F760" s="4" t="s">
        <v>830</v>
      </c>
      <c r="G760" s="4" t="s">
        <v>871</v>
      </c>
      <c r="H760" s="4" t="s">
        <v>43</v>
      </c>
      <c r="I760" s="4" t="s">
        <v>43</v>
      </c>
      <c r="J760" s="4" t="s">
        <v>43</v>
      </c>
      <c r="K760" s="5" t="str">
        <f>HYPERLINK("https://www.instagram.com/p/BCu0T_sHBm9/","Open Post")</f>
        <v>Open Post</v>
      </c>
      <c r="L760" s="4" t="s">
        <v>4571</v>
      </c>
      <c r="M760" s="4" t="s">
        <v>4572</v>
      </c>
      <c r="N760" s="4" t="s">
        <v>4573</v>
      </c>
      <c r="O760" s="4" t="s">
        <v>51</v>
      </c>
      <c r="P760" s="4" t="s">
        <v>4574</v>
      </c>
    </row>
    <row r="761">
      <c r="A761" s="4" t="s">
        <v>829</v>
      </c>
      <c r="B761" s="4">
        <v>652.0</v>
      </c>
      <c r="F761" s="4" t="s">
        <v>830</v>
      </c>
      <c r="G761" s="4" t="s">
        <v>957</v>
      </c>
      <c r="H761" s="4" t="s">
        <v>43</v>
      </c>
      <c r="I761" s="4" t="s">
        <v>43</v>
      </c>
      <c r="J761" s="4" t="s">
        <v>43</v>
      </c>
      <c r="K761" s="5" t="str">
        <f>HYPERLINK("https://www.instagram.com/p/BB_AxTTDU5w/","Open Post")</f>
        <v>Open Post</v>
      </c>
      <c r="L761" s="4" t="s">
        <v>4576</v>
      </c>
      <c r="M761" s="4" t="s">
        <v>4577</v>
      </c>
      <c r="N761" s="4" t="s">
        <v>4578</v>
      </c>
      <c r="O761" s="4" t="s">
        <v>51</v>
      </c>
      <c r="P761" s="4" t="s">
        <v>4580</v>
      </c>
    </row>
    <row r="762">
      <c r="A762" s="4" t="s">
        <v>829</v>
      </c>
      <c r="B762" s="4">
        <v>653.0</v>
      </c>
      <c r="F762" s="4" t="s">
        <v>830</v>
      </c>
      <c r="G762" s="4" t="s">
        <v>340</v>
      </c>
      <c r="H762" s="4" t="s">
        <v>43</v>
      </c>
      <c r="I762" s="4" t="s">
        <v>43</v>
      </c>
      <c r="J762" s="4" t="s">
        <v>43</v>
      </c>
      <c r="K762" s="5" t="str">
        <f>HYPERLINK("https://www.instagram.com/p/BB-pC8QOdn8/","Open Post")</f>
        <v>Open Post</v>
      </c>
      <c r="L762" s="4" t="s">
        <v>4583</v>
      </c>
      <c r="M762" s="4" t="s">
        <v>4584</v>
      </c>
      <c r="N762" s="4" t="s">
        <v>4585</v>
      </c>
      <c r="O762" s="4" t="s">
        <v>51</v>
      </c>
      <c r="P762" s="4" t="s">
        <v>4587</v>
      </c>
    </row>
    <row r="763">
      <c r="A763" s="4" t="s">
        <v>829</v>
      </c>
      <c r="B763" s="4">
        <v>654.0</v>
      </c>
      <c r="F763" s="4" t="s">
        <v>830</v>
      </c>
      <c r="G763" s="4" t="s">
        <v>431</v>
      </c>
      <c r="H763" s="4" t="s">
        <v>43</v>
      </c>
      <c r="I763" s="4" t="s">
        <v>43</v>
      </c>
      <c r="J763" s="4" t="s">
        <v>43</v>
      </c>
      <c r="K763" s="5" t="str">
        <f>HYPERLINK("https://www.instagram.com/p/BB-BvaRgu-p/","Open Post")</f>
        <v>Open Post</v>
      </c>
      <c r="L763" s="4" t="s">
        <v>4592</v>
      </c>
      <c r="M763" s="4" t="s">
        <v>4593</v>
      </c>
      <c r="N763" s="4" t="s">
        <v>4594</v>
      </c>
      <c r="O763" s="4" t="s">
        <v>51</v>
      </c>
      <c r="P763" s="4" t="s">
        <v>4595</v>
      </c>
    </row>
    <row r="764">
      <c r="A764" s="4" t="s">
        <v>829</v>
      </c>
      <c r="B764" s="4">
        <v>655.0</v>
      </c>
      <c r="F764" s="4" t="s">
        <v>830</v>
      </c>
      <c r="G764" s="4" t="s">
        <v>1041</v>
      </c>
      <c r="H764" s="4" t="s">
        <v>43</v>
      </c>
      <c r="I764" s="4" t="s">
        <v>43</v>
      </c>
      <c r="J764" s="4" t="s">
        <v>43</v>
      </c>
      <c r="K764" s="5" t="str">
        <f>HYPERLINK("https://www.instagram.com/p/BAJvEXUymLz/","Open Post")</f>
        <v>Open Post</v>
      </c>
      <c r="L764" s="4" t="s">
        <v>4599</v>
      </c>
      <c r="M764" s="4" t="s">
        <v>49</v>
      </c>
      <c r="N764" s="4" t="s">
        <v>4600</v>
      </c>
      <c r="O764" s="4" t="s">
        <v>51</v>
      </c>
      <c r="P764" s="4" t="s">
        <v>4601</v>
      </c>
    </row>
    <row r="765">
      <c r="A765" s="4" t="s">
        <v>829</v>
      </c>
      <c r="B765" s="4">
        <v>656.0</v>
      </c>
      <c r="F765" s="4" t="s">
        <v>830</v>
      </c>
      <c r="G765" s="4" t="s">
        <v>871</v>
      </c>
      <c r="H765" s="4" t="s">
        <v>43</v>
      </c>
      <c r="I765" s="4" t="s">
        <v>43</v>
      </c>
      <c r="J765" s="4" t="s">
        <v>43</v>
      </c>
      <c r="K765" s="5" t="str">
        <f>HYPERLINK("https://www.instagram.com/p/BAIOARtuaqB/","Open Post")</f>
        <v>Open Post</v>
      </c>
      <c r="L765" s="4" t="s">
        <v>4602</v>
      </c>
      <c r="M765" s="4" t="s">
        <v>4603</v>
      </c>
      <c r="N765" s="4" t="s">
        <v>4604</v>
      </c>
      <c r="O765" s="4" t="s">
        <v>51</v>
      </c>
      <c r="P765" s="4" t="s">
        <v>4605</v>
      </c>
    </row>
    <row r="766">
      <c r="A766" s="4" t="s">
        <v>829</v>
      </c>
      <c r="B766" s="4">
        <v>657.0</v>
      </c>
      <c r="F766" s="4" t="s">
        <v>830</v>
      </c>
      <c r="G766" s="4" t="s">
        <v>306</v>
      </c>
      <c r="H766" s="4" t="s">
        <v>43</v>
      </c>
      <c r="I766" s="4" t="s">
        <v>43</v>
      </c>
      <c r="J766" s="4" t="s">
        <v>43</v>
      </c>
      <c r="K766" s="5" t="str">
        <f>HYPERLINK("https://www.instagram.com/p/_64XAaJN5E/","Open Post")</f>
        <v>Open Post</v>
      </c>
      <c r="L766" s="4" t="s">
        <v>4609</v>
      </c>
      <c r="M766" s="4" t="s">
        <v>49</v>
      </c>
      <c r="N766" s="4" t="s">
        <v>4610</v>
      </c>
      <c r="O766" s="4" t="s">
        <v>51</v>
      </c>
      <c r="P766" s="4" t="s">
        <v>4611</v>
      </c>
    </row>
    <row r="767">
      <c r="A767" s="4" t="s">
        <v>829</v>
      </c>
      <c r="B767" s="4">
        <v>658.0</v>
      </c>
      <c r="F767" s="4" t="s">
        <v>830</v>
      </c>
      <c r="G767" s="4" t="s">
        <v>871</v>
      </c>
      <c r="H767" s="4" t="s">
        <v>43</v>
      </c>
      <c r="I767" s="4" t="s">
        <v>43</v>
      </c>
      <c r="J767" s="4" t="s">
        <v>43</v>
      </c>
      <c r="K767" s="5" t="str">
        <f>HYPERLINK("https://www.instagram.com/p/_H9fYeOaqV/","Open Post")</f>
        <v>Open Post</v>
      </c>
      <c r="L767" s="4" t="s">
        <v>4613</v>
      </c>
      <c r="M767" s="4" t="s">
        <v>4614</v>
      </c>
      <c r="N767" s="4" t="s">
        <v>4615</v>
      </c>
      <c r="O767" s="4" t="s">
        <v>51</v>
      </c>
      <c r="P767" s="4" t="s">
        <v>4616</v>
      </c>
    </row>
    <row r="768">
      <c r="A768" s="4" t="s">
        <v>829</v>
      </c>
      <c r="B768" s="4">
        <v>659.0</v>
      </c>
      <c r="F768" s="4" t="s">
        <v>830</v>
      </c>
      <c r="G768" s="4" t="s">
        <v>4617</v>
      </c>
      <c r="H768" s="4" t="s">
        <v>43</v>
      </c>
      <c r="I768" s="4" t="s">
        <v>43</v>
      </c>
      <c r="J768" s="4" t="s">
        <v>43</v>
      </c>
      <c r="K768" s="5" t="str">
        <f>HYPERLINK("https://www.instagram.com/p/-zV8TglB_A/","Open Post")</f>
        <v>Open Post</v>
      </c>
      <c r="L768" s="4" t="s">
        <v>4618</v>
      </c>
      <c r="M768" s="4" t="s">
        <v>4619</v>
      </c>
      <c r="N768" s="4" t="s">
        <v>4620</v>
      </c>
      <c r="O768" s="4" t="s">
        <v>51</v>
      </c>
      <c r="P768" s="4" t="s">
        <v>4622</v>
      </c>
    </row>
    <row r="769">
      <c r="A769" s="4" t="s">
        <v>829</v>
      </c>
      <c r="B769" s="4">
        <v>660.0</v>
      </c>
      <c r="F769" s="4" t="s">
        <v>830</v>
      </c>
      <c r="G769" s="4" t="s">
        <v>306</v>
      </c>
      <c r="H769" s="4" t="s">
        <v>43</v>
      </c>
      <c r="I769" s="4" t="s">
        <v>43</v>
      </c>
      <c r="J769" s="4" t="s">
        <v>43</v>
      </c>
      <c r="K769" s="5" t="str">
        <f>HYPERLINK("https://www.instagram.com/p/-B_a9mlzT9/","Open Post")</f>
        <v>Open Post</v>
      </c>
      <c r="L769" s="4" t="s">
        <v>4624</v>
      </c>
      <c r="M769" s="4" t="s">
        <v>49</v>
      </c>
      <c r="N769" s="4" t="s">
        <v>4625</v>
      </c>
      <c r="O769" s="4" t="s">
        <v>51</v>
      </c>
      <c r="P769" s="4" t="s">
        <v>4626</v>
      </c>
    </row>
    <row r="770">
      <c r="A770" s="4" t="s">
        <v>829</v>
      </c>
      <c r="B770" s="4">
        <v>661.0</v>
      </c>
      <c r="F770" s="4" t="s">
        <v>830</v>
      </c>
      <c r="G770" s="4" t="s">
        <v>326</v>
      </c>
      <c r="H770" s="4" t="s">
        <v>43</v>
      </c>
      <c r="I770" s="4" t="s">
        <v>43</v>
      </c>
      <c r="J770" s="4" t="s">
        <v>43</v>
      </c>
      <c r="K770" s="5" t="str">
        <f>HYPERLINK("https://www.instagram.com/p/95ICsahB57/","Open Post")</f>
        <v>Open Post</v>
      </c>
      <c r="L770" s="4" t="s">
        <v>4628</v>
      </c>
      <c r="M770" s="4" t="s">
        <v>4630</v>
      </c>
      <c r="N770" s="4" t="s">
        <v>4631</v>
      </c>
      <c r="O770" s="4" t="s">
        <v>51</v>
      </c>
      <c r="P770" s="4" t="s">
        <v>4632</v>
      </c>
    </row>
    <row r="771">
      <c r="A771" s="4" t="s">
        <v>829</v>
      </c>
      <c r="B771" s="4">
        <v>662.0</v>
      </c>
      <c r="F771" s="4" t="s">
        <v>830</v>
      </c>
      <c r="G771" s="4" t="s">
        <v>326</v>
      </c>
      <c r="H771" s="4" t="s">
        <v>43</v>
      </c>
      <c r="I771" s="4" t="s">
        <v>43</v>
      </c>
      <c r="J771" s="4" t="s">
        <v>43</v>
      </c>
      <c r="K771" s="5" t="str">
        <f>HYPERLINK("https://www.instagram.com/p/9MCclGB3n2/","Open Post")</f>
        <v>Open Post</v>
      </c>
      <c r="L771" s="4" t="s">
        <v>4634</v>
      </c>
      <c r="M771" s="4" t="s">
        <v>4635</v>
      </c>
      <c r="N771" s="4" t="s">
        <v>4636</v>
      </c>
      <c r="O771" s="4" t="s">
        <v>51</v>
      </c>
      <c r="P771" s="4" t="s">
        <v>4637</v>
      </c>
    </row>
    <row r="772">
      <c r="A772" s="4" t="s">
        <v>829</v>
      </c>
      <c r="B772" s="4">
        <v>663.0</v>
      </c>
      <c r="F772" s="4" t="s">
        <v>830</v>
      </c>
      <c r="G772" s="4" t="s">
        <v>871</v>
      </c>
      <c r="H772" s="4" t="s">
        <v>43</v>
      </c>
      <c r="I772" s="4" t="s">
        <v>43</v>
      </c>
      <c r="J772" s="4" t="s">
        <v>43</v>
      </c>
      <c r="K772" s="5" t="str">
        <f>HYPERLINK("https://www.instagram.com/p/8zmiwkmf39/","Open Post")</f>
        <v>Open Post</v>
      </c>
      <c r="L772" s="4" t="s">
        <v>4639</v>
      </c>
      <c r="M772" s="4" t="s">
        <v>4640</v>
      </c>
      <c r="N772" s="4" t="s">
        <v>4641</v>
      </c>
      <c r="O772" s="4" t="s">
        <v>51</v>
      </c>
      <c r="P772" s="4" t="s">
        <v>4642</v>
      </c>
    </row>
    <row r="773">
      <c r="A773" s="4" t="s">
        <v>829</v>
      </c>
      <c r="B773" s="4">
        <v>664.0</v>
      </c>
      <c r="F773" s="4" t="s">
        <v>830</v>
      </c>
      <c r="G773" s="4" t="s">
        <v>957</v>
      </c>
      <c r="H773" s="4" t="s">
        <v>43</v>
      </c>
      <c r="I773" s="4" t="s">
        <v>43</v>
      </c>
      <c r="J773" s="4" t="s">
        <v>43</v>
      </c>
      <c r="K773" s="5" t="str">
        <f>HYPERLINK("https://www.instagram.com/p/8lygd3CCJC/","Open Post")</f>
        <v>Open Post</v>
      </c>
      <c r="L773" s="4" t="s">
        <v>4644</v>
      </c>
      <c r="M773" s="4" t="s">
        <v>4082</v>
      </c>
      <c r="N773" s="4" t="s">
        <v>4645</v>
      </c>
      <c r="O773" s="4" t="s">
        <v>51</v>
      </c>
      <c r="P773" s="4" t="s">
        <v>4646</v>
      </c>
    </row>
    <row r="774">
      <c r="A774" s="4" t="s">
        <v>829</v>
      </c>
      <c r="B774" s="4">
        <v>665.0</v>
      </c>
      <c r="F774" s="4" t="s">
        <v>830</v>
      </c>
      <c r="G774" s="4" t="s">
        <v>166</v>
      </c>
      <c r="H774" s="4" t="s">
        <v>43</v>
      </c>
      <c r="I774" s="4" t="s">
        <v>43</v>
      </c>
      <c r="J774" s="4" t="s">
        <v>43</v>
      </c>
      <c r="K774" s="5" t="str">
        <f>HYPERLINK("https://www.instagram.com/p/8JmeniubSx/","Open Post")</f>
        <v>Open Post</v>
      </c>
      <c r="L774" s="4" t="s">
        <v>4648</v>
      </c>
      <c r="M774" s="4" t="s">
        <v>4649</v>
      </c>
      <c r="N774" s="4" t="s">
        <v>4650</v>
      </c>
      <c r="O774" s="4" t="s">
        <v>51</v>
      </c>
      <c r="P774" s="4" t="s">
        <v>4651</v>
      </c>
    </row>
    <row r="775">
      <c r="A775" s="4" t="s">
        <v>829</v>
      </c>
      <c r="B775" s="4">
        <v>666.0</v>
      </c>
      <c r="F775" s="4" t="s">
        <v>830</v>
      </c>
      <c r="G775" s="4" t="s">
        <v>871</v>
      </c>
      <c r="H775" s="4" t="s">
        <v>43</v>
      </c>
      <c r="I775" s="4" t="s">
        <v>43</v>
      </c>
      <c r="J775" s="4" t="s">
        <v>43</v>
      </c>
      <c r="K775" s="5" t="str">
        <f>HYPERLINK("https://www.instagram.com/p/7ISWVgOarO/","Open Post")</f>
        <v>Open Post</v>
      </c>
      <c r="L775" s="4" t="s">
        <v>4653</v>
      </c>
      <c r="M775" s="4" t="s">
        <v>4654</v>
      </c>
      <c r="N775" s="4" t="s">
        <v>4655</v>
      </c>
      <c r="O775" s="4" t="s">
        <v>51</v>
      </c>
      <c r="P775" s="4" t="s">
        <v>4656</v>
      </c>
    </row>
    <row r="776">
      <c r="A776" s="4" t="s">
        <v>829</v>
      </c>
      <c r="B776" s="4">
        <v>667.0</v>
      </c>
      <c r="F776" s="4" t="s">
        <v>830</v>
      </c>
      <c r="G776" s="4" t="s">
        <v>431</v>
      </c>
      <c r="H776" s="4" t="s">
        <v>43</v>
      </c>
      <c r="I776" s="4" t="s">
        <v>43</v>
      </c>
      <c r="J776" s="4" t="s">
        <v>43</v>
      </c>
      <c r="K776" s="5" t="str">
        <f>HYPERLINK("https://www.instagram.com/p/1jJQdmsk0w/","Open Post")</f>
        <v>Open Post</v>
      </c>
      <c r="L776" s="4" t="s">
        <v>4660</v>
      </c>
      <c r="M776" s="4" t="s">
        <v>4661</v>
      </c>
      <c r="N776" s="4" t="s">
        <v>4662</v>
      </c>
      <c r="O776" s="4" t="s">
        <v>51</v>
      </c>
      <c r="P776" s="4" t="s">
        <v>4663</v>
      </c>
    </row>
    <row r="777">
      <c r="A777" s="4" t="s">
        <v>829</v>
      </c>
      <c r="B777" s="4">
        <v>668.0</v>
      </c>
      <c r="F777" s="4" t="s">
        <v>830</v>
      </c>
      <c r="G777" s="4" t="s">
        <v>4664</v>
      </c>
      <c r="H777" s="4" t="s">
        <v>43</v>
      </c>
      <c r="I777" s="4" t="s">
        <v>43</v>
      </c>
      <c r="J777" s="4" t="s">
        <v>43</v>
      </c>
      <c r="K777" s="5" t="str">
        <f>HYPERLINK("https://www.instagram.com/p/dpXRy1SWcl/","Open Post")</f>
        <v>Open Post</v>
      </c>
      <c r="L777" s="4" t="s">
        <v>4666</v>
      </c>
      <c r="M777" s="4" t="s">
        <v>4667</v>
      </c>
      <c r="N777" s="4" t="s">
        <v>4668</v>
      </c>
      <c r="O777" s="4" t="s">
        <v>51</v>
      </c>
      <c r="P777" s="4" t="s">
        <v>4669</v>
      </c>
    </row>
    <row r="779">
      <c r="A779" s="4" t="s">
        <v>4671</v>
      </c>
      <c r="B779" s="4">
        <v>1.0</v>
      </c>
      <c r="F779" s="4" t="s">
        <v>830</v>
      </c>
      <c r="G779" s="4" t="s">
        <v>306</v>
      </c>
      <c r="H779" s="4" t="s">
        <v>43</v>
      </c>
      <c r="I779" s="4" t="s">
        <v>43</v>
      </c>
      <c r="J779" s="4" t="s">
        <v>43</v>
      </c>
      <c r="K779" s="5" t="str">
        <f>HYPERLINK("https://www.instagram.com/p/DbVYp8_uoCw/","Open Post")</f>
        <v>Open Post</v>
      </c>
      <c r="L779" s="4" t="s">
        <v>370</v>
      </c>
      <c r="M779" s="4" t="s">
        <v>49</v>
      </c>
      <c r="N779" s="4" t="s">
        <v>836</v>
      </c>
      <c r="O779" s="4" t="s">
        <v>51</v>
      </c>
      <c r="P779" s="4" t="s">
        <v>4673</v>
      </c>
    </row>
    <row r="780">
      <c r="A780" s="4" t="s">
        <v>4671</v>
      </c>
      <c r="B780" s="4">
        <v>2.0</v>
      </c>
      <c r="F780" s="4" t="s">
        <v>869</v>
      </c>
      <c r="G780" s="4" t="s">
        <v>166</v>
      </c>
      <c r="H780" s="4" t="s">
        <v>43</v>
      </c>
      <c r="I780" s="4" t="s">
        <v>43</v>
      </c>
      <c r="J780" s="4" t="s">
        <v>43</v>
      </c>
      <c r="K780" s="5" t="str">
        <f>HYPERLINK("https://www.instagram.com/p/DYZVm4dgPkF/","Open Post")</f>
        <v>Open Post</v>
      </c>
      <c r="L780" s="4" t="s">
        <v>4676</v>
      </c>
      <c r="M780" s="4" t="s">
        <v>49</v>
      </c>
      <c r="N780" s="4" t="s">
        <v>4677</v>
      </c>
      <c r="O780" s="4" t="s">
        <v>51</v>
      </c>
      <c r="P780" s="4" t="s">
        <v>4679</v>
      </c>
    </row>
    <row r="781">
      <c r="A781" s="4" t="s">
        <v>4671</v>
      </c>
      <c r="B781" s="4">
        <v>3.0</v>
      </c>
      <c r="F781" s="4" t="s">
        <v>869</v>
      </c>
      <c r="G781" s="4" t="s">
        <v>4680</v>
      </c>
      <c r="H781" s="4" t="s">
        <v>43</v>
      </c>
      <c r="I781" s="4" t="s">
        <v>43</v>
      </c>
      <c r="J781" s="4" t="s">
        <v>43</v>
      </c>
      <c r="K781" s="5" t="str">
        <f>HYPERLINK("https://www.instagram.com/p/DMxkh9cMAyE/","Open Post")</f>
        <v>Open Post</v>
      </c>
      <c r="L781" s="4" t="s">
        <v>4681</v>
      </c>
      <c r="M781" s="4" t="s">
        <v>4682</v>
      </c>
      <c r="N781" s="4" t="s">
        <v>4683</v>
      </c>
      <c r="O781" s="4" t="s">
        <v>51</v>
      </c>
      <c r="P781" s="4" t="s">
        <v>4684</v>
      </c>
    </row>
    <row r="782">
      <c r="A782" s="4" t="s">
        <v>4671</v>
      </c>
      <c r="B782" s="4">
        <v>4.0</v>
      </c>
      <c r="F782" s="4" t="s">
        <v>830</v>
      </c>
      <c r="G782" s="4" t="s">
        <v>4687</v>
      </c>
      <c r="H782" s="4" t="s">
        <v>43</v>
      </c>
      <c r="I782" s="4" t="s">
        <v>43</v>
      </c>
      <c r="J782" s="4" t="s">
        <v>43</v>
      </c>
      <c r="K782" s="5" t="str">
        <f>HYPERLINK("https://www.instagram.com/p/Cz26h7Vr1PP/","Open Post")</f>
        <v>Open Post</v>
      </c>
      <c r="L782" s="4" t="s">
        <v>4688</v>
      </c>
      <c r="M782" s="4" t="s">
        <v>4690</v>
      </c>
      <c r="N782" s="4" t="s">
        <v>4691</v>
      </c>
      <c r="O782" s="4" t="s">
        <v>51</v>
      </c>
      <c r="P782" s="4" t="s">
        <v>4692</v>
      </c>
    </row>
    <row r="783">
      <c r="A783" s="4" t="s">
        <v>4671</v>
      </c>
      <c r="B783" s="4">
        <v>5.0</v>
      </c>
      <c r="F783" s="4" t="s">
        <v>869</v>
      </c>
      <c r="G783" s="4" t="s">
        <v>4693</v>
      </c>
      <c r="H783" s="4" t="s">
        <v>43</v>
      </c>
      <c r="I783" s="4" t="s">
        <v>43</v>
      </c>
      <c r="J783" s="4" t="s">
        <v>43</v>
      </c>
      <c r="K783" s="5" t="str">
        <f>HYPERLINK("https://www.instagram.com/p/CqBOWfJyP89/","Open Post")</f>
        <v>Open Post</v>
      </c>
      <c r="L783" s="4" t="s">
        <v>4697</v>
      </c>
      <c r="M783" s="4" t="s">
        <v>4698</v>
      </c>
      <c r="N783" s="4" t="s">
        <v>4700</v>
      </c>
      <c r="O783" s="4" t="s">
        <v>51</v>
      </c>
      <c r="P783" s="4" t="s">
        <v>4701</v>
      </c>
    </row>
    <row r="784">
      <c r="A784" s="4" t="s">
        <v>4671</v>
      </c>
      <c r="B784" s="4">
        <v>6.0</v>
      </c>
      <c r="F784" s="4" t="s">
        <v>869</v>
      </c>
      <c r="G784" s="4" t="s">
        <v>4702</v>
      </c>
      <c r="H784" s="4" t="s">
        <v>43</v>
      </c>
      <c r="I784" s="4" t="s">
        <v>43</v>
      </c>
      <c r="J784" s="4" t="s">
        <v>43</v>
      </c>
      <c r="K784" s="5" t="str">
        <f>HYPERLINK("https://www.instagram.com/p/CkQEJals7Oi/","Open Post")</f>
        <v>Open Post</v>
      </c>
      <c r="L784" s="4" t="s">
        <v>4705</v>
      </c>
      <c r="M784" s="4" t="s">
        <v>4706</v>
      </c>
      <c r="N784" s="4" t="s">
        <v>881</v>
      </c>
      <c r="O784" s="4" t="s">
        <v>51</v>
      </c>
      <c r="P784" s="4" t="s">
        <v>4707</v>
      </c>
    </row>
    <row r="785">
      <c r="A785" s="4" t="s">
        <v>4671</v>
      </c>
      <c r="B785" s="4">
        <v>7.0</v>
      </c>
      <c r="F785" s="4" t="s">
        <v>869</v>
      </c>
      <c r="G785" s="4" t="s">
        <v>4708</v>
      </c>
      <c r="H785" s="4" t="s">
        <v>43</v>
      </c>
      <c r="I785" s="4" t="s">
        <v>43</v>
      </c>
      <c r="J785" s="4" t="s">
        <v>43</v>
      </c>
      <c r="K785" s="5" t="str">
        <f>HYPERLINK("https://www.instagram.com/p/CjnUkS8P5P3/","Open Post")</f>
        <v>Open Post</v>
      </c>
      <c r="L785" s="4" t="s">
        <v>4710</v>
      </c>
      <c r="M785" s="4" t="s">
        <v>4711</v>
      </c>
      <c r="N785" s="4" t="s">
        <v>4712</v>
      </c>
      <c r="O785" s="4" t="s">
        <v>51</v>
      </c>
      <c r="P785" s="4" t="s">
        <v>4713</v>
      </c>
    </row>
    <row r="786">
      <c r="A786" s="4" t="s">
        <v>4671</v>
      </c>
      <c r="B786" s="4">
        <v>8.0</v>
      </c>
      <c r="F786" s="4" t="s">
        <v>830</v>
      </c>
      <c r="G786" s="4" t="s">
        <v>4715</v>
      </c>
      <c r="H786" s="4" t="s">
        <v>43</v>
      </c>
      <c r="I786" s="4" t="s">
        <v>43</v>
      </c>
      <c r="J786" s="4" t="s">
        <v>43</v>
      </c>
      <c r="K786" s="5" t="str">
        <f>HYPERLINK("https://www.instagram.com/p/CgjRvEhhYkz/","Open Post")</f>
        <v>Open Post</v>
      </c>
      <c r="L786" s="4" t="s">
        <v>4716</v>
      </c>
      <c r="M786" s="4" t="s">
        <v>4717</v>
      </c>
      <c r="N786" s="4" t="s">
        <v>900</v>
      </c>
      <c r="O786" s="4" t="s">
        <v>51</v>
      </c>
      <c r="P786" s="4" t="s">
        <v>4718</v>
      </c>
    </row>
    <row r="787">
      <c r="A787" s="4" t="s">
        <v>4671</v>
      </c>
      <c r="B787" s="4">
        <v>9.0</v>
      </c>
      <c r="F787" s="4" t="s">
        <v>869</v>
      </c>
      <c r="G787" s="4" t="s">
        <v>306</v>
      </c>
      <c r="H787" s="4" t="s">
        <v>43</v>
      </c>
      <c r="I787" s="4" t="s">
        <v>43</v>
      </c>
      <c r="J787" s="4" t="s">
        <v>43</v>
      </c>
      <c r="K787" s="5" t="str">
        <f>HYPERLINK("https://www.instagram.com/p/CeToVfyFntP/","Open Post")</f>
        <v>Open Post</v>
      </c>
      <c r="L787" s="4" t="s">
        <v>4721</v>
      </c>
      <c r="M787" s="4" t="s">
        <v>49</v>
      </c>
      <c r="N787" s="4" t="s">
        <v>4723</v>
      </c>
      <c r="O787" s="4" t="s">
        <v>51</v>
      </c>
      <c r="P787" s="4" t="s">
        <v>4724</v>
      </c>
    </row>
    <row r="788">
      <c r="A788" s="4" t="s">
        <v>4671</v>
      </c>
      <c r="B788" s="4">
        <v>10.0</v>
      </c>
      <c r="F788" s="4" t="s">
        <v>830</v>
      </c>
      <c r="G788" s="4" t="s">
        <v>4693</v>
      </c>
      <c r="H788" s="4" t="s">
        <v>43</v>
      </c>
      <c r="I788" s="4" t="s">
        <v>43</v>
      </c>
      <c r="J788" s="4" t="s">
        <v>43</v>
      </c>
      <c r="K788" s="5" t="str">
        <f>HYPERLINK("https://www.instagram.com/p/CdU97ldJjyD/","Open Post")</f>
        <v>Open Post</v>
      </c>
      <c r="L788" s="4" t="s">
        <v>4725</v>
      </c>
      <c r="M788" s="4" t="s">
        <v>4726</v>
      </c>
      <c r="N788" s="4" t="s">
        <v>917</v>
      </c>
      <c r="O788" s="4" t="s">
        <v>51</v>
      </c>
      <c r="P788" s="4" t="s">
        <v>4727</v>
      </c>
    </row>
    <row r="789">
      <c r="A789" s="4" t="s">
        <v>4671</v>
      </c>
      <c r="B789" s="4">
        <v>11.0</v>
      </c>
      <c r="F789" s="4" t="s">
        <v>830</v>
      </c>
      <c r="G789" s="4" t="s">
        <v>4693</v>
      </c>
      <c r="H789" s="4" t="s">
        <v>43</v>
      </c>
      <c r="I789" s="4" t="s">
        <v>43</v>
      </c>
      <c r="J789" s="4" t="s">
        <v>43</v>
      </c>
      <c r="K789" s="5" t="str">
        <f>HYPERLINK("https://www.instagram.com/p/CWYItKUAjHW/","Open Post")</f>
        <v>Open Post</v>
      </c>
      <c r="L789" s="4" t="s">
        <v>4729</v>
      </c>
      <c r="M789" s="4" t="s">
        <v>4730</v>
      </c>
      <c r="N789" s="4" t="s">
        <v>923</v>
      </c>
      <c r="O789" s="4" t="s">
        <v>51</v>
      </c>
      <c r="P789" s="4" t="s">
        <v>4731</v>
      </c>
    </row>
    <row r="790">
      <c r="A790" s="4" t="s">
        <v>4671</v>
      </c>
      <c r="B790" s="4">
        <v>12.0</v>
      </c>
      <c r="F790" s="4" t="s">
        <v>57</v>
      </c>
      <c r="G790" s="4" t="s">
        <v>4732</v>
      </c>
      <c r="H790" s="4" t="s">
        <v>43</v>
      </c>
      <c r="I790" s="4">
        <v>60.0</v>
      </c>
      <c r="J790" s="4" t="s">
        <v>43</v>
      </c>
      <c r="K790" s="5" t="str">
        <f>HYPERLINK("https://www.instagram.com/reel/CRqthtansyJ/?utm_source=ig_web_copy_link&amp;stkn=MzRlODBiNWFlZA==","Open Reel")</f>
        <v>Open Reel</v>
      </c>
      <c r="L790" s="4" t="s">
        <v>546</v>
      </c>
      <c r="M790" s="4" t="s">
        <v>547</v>
      </c>
      <c r="N790" s="4" t="s">
        <v>172</v>
      </c>
      <c r="O790" s="4" t="s">
        <v>74</v>
      </c>
      <c r="P790" s="4" t="s">
        <v>4735</v>
      </c>
    </row>
    <row r="791">
      <c r="A791" s="4" t="s">
        <v>4671</v>
      </c>
      <c r="B791" s="4">
        <v>13.0</v>
      </c>
      <c r="F791" s="4" t="s">
        <v>869</v>
      </c>
      <c r="G791" s="4" t="s">
        <v>4736</v>
      </c>
      <c r="H791" s="4" t="s">
        <v>43</v>
      </c>
      <c r="I791" s="4" t="s">
        <v>43</v>
      </c>
      <c r="J791" s="4" t="s">
        <v>43</v>
      </c>
      <c r="K791" s="5" t="str">
        <f>HYPERLINK("https://www.instagram.com/p/CCcteqDDhpj/","Open Post")</f>
        <v>Open Post</v>
      </c>
      <c r="L791" s="10" t="s">
        <v>4737</v>
      </c>
      <c r="M791" s="10" t="s">
        <v>4738</v>
      </c>
      <c r="N791" s="4" t="s">
        <v>4739</v>
      </c>
      <c r="O791" s="4" t="s">
        <v>51</v>
      </c>
      <c r="P791" s="4" t="s">
        <v>4741</v>
      </c>
    </row>
    <row r="792">
      <c r="A792" s="4" t="s">
        <v>4671</v>
      </c>
      <c r="B792" s="4">
        <v>14.0</v>
      </c>
      <c r="F792" s="4" t="s">
        <v>57</v>
      </c>
      <c r="G792" s="4" t="s">
        <v>4687</v>
      </c>
      <c r="H792" s="4">
        <v>15.0</v>
      </c>
      <c r="I792" s="4" t="s">
        <v>43</v>
      </c>
      <c r="J792" s="4" t="s">
        <v>43</v>
      </c>
      <c r="K792" s="5" t="str">
        <f>HYPERLINK("https://www.instagram.com/p/B60XJCNJJ4o/?utm_source=ig_web_copy_link&amp;stkn=MzRlODBiNWFlZA==","Open Reel")</f>
        <v>Open Reel</v>
      </c>
      <c r="L792" s="4" t="s">
        <v>4743</v>
      </c>
      <c r="M792" s="4" t="s">
        <v>4744</v>
      </c>
      <c r="N792" s="4" t="s">
        <v>189</v>
      </c>
      <c r="O792" s="4" t="s">
        <v>74</v>
      </c>
      <c r="P792" s="4" t="s">
        <v>4745</v>
      </c>
    </row>
    <row r="793">
      <c r="A793" s="4" t="s">
        <v>4671</v>
      </c>
      <c r="B793" s="4">
        <v>15.0</v>
      </c>
      <c r="F793" s="4" t="s">
        <v>869</v>
      </c>
      <c r="G793" s="4" t="s">
        <v>4693</v>
      </c>
      <c r="H793" s="4" t="s">
        <v>43</v>
      </c>
      <c r="I793" s="4" t="s">
        <v>43</v>
      </c>
      <c r="J793" s="4" t="s">
        <v>43</v>
      </c>
      <c r="K793" s="5" t="str">
        <f>HYPERLINK("https://www.instagram.com/p/By8k43SAh5j/","Open Post")</f>
        <v>Open Post</v>
      </c>
      <c r="L793" s="4" t="s">
        <v>4747</v>
      </c>
      <c r="M793" s="4" t="s">
        <v>4748</v>
      </c>
      <c r="N793" s="4" t="s">
        <v>4749</v>
      </c>
      <c r="O793" s="4" t="s">
        <v>51</v>
      </c>
      <c r="P793" s="4" t="s">
        <v>4751</v>
      </c>
    </row>
    <row r="794">
      <c r="A794" s="4" t="s">
        <v>4671</v>
      </c>
      <c r="B794" s="4">
        <v>16.0</v>
      </c>
      <c r="F794" s="4" t="s">
        <v>869</v>
      </c>
      <c r="G794" s="4" t="s">
        <v>4708</v>
      </c>
      <c r="H794" s="4" t="s">
        <v>43</v>
      </c>
      <c r="I794" s="4" t="s">
        <v>43</v>
      </c>
      <c r="J794" s="4" t="s">
        <v>43</v>
      </c>
      <c r="K794" s="5" t="str">
        <f>HYPERLINK("https://www.instagram.com/p/BytGF6wAuBS/","Open Post")</f>
        <v>Open Post</v>
      </c>
      <c r="L794" s="4" t="s">
        <v>4753</v>
      </c>
      <c r="M794" s="4" t="s">
        <v>4754</v>
      </c>
      <c r="N794" s="4" t="s">
        <v>966</v>
      </c>
      <c r="O794" s="4" t="s">
        <v>51</v>
      </c>
      <c r="P794" s="4" t="s">
        <v>4755</v>
      </c>
    </row>
    <row r="795">
      <c r="A795" s="4" t="s">
        <v>4671</v>
      </c>
      <c r="B795" s="4">
        <v>17.0</v>
      </c>
      <c r="F795" s="4" t="s">
        <v>830</v>
      </c>
      <c r="G795" s="4" t="s">
        <v>4756</v>
      </c>
      <c r="H795" s="4" t="s">
        <v>43</v>
      </c>
      <c r="I795" s="4" t="s">
        <v>43</v>
      </c>
      <c r="J795" s="4" t="s">
        <v>43</v>
      </c>
      <c r="K795" s="5" t="str">
        <f>HYPERLINK("https://www.instagram.com/p/BwbkVEtFvCg/","Open Post")</f>
        <v>Open Post</v>
      </c>
      <c r="L795" s="4" t="s">
        <v>2389</v>
      </c>
      <c r="M795" s="4" t="s">
        <v>2390</v>
      </c>
      <c r="N795" s="4" t="s">
        <v>976</v>
      </c>
      <c r="O795" s="4" t="s">
        <v>51</v>
      </c>
      <c r="P795" s="4" t="s">
        <v>4759</v>
      </c>
    </row>
    <row r="796">
      <c r="A796" s="4" t="s">
        <v>4671</v>
      </c>
      <c r="B796" s="4">
        <v>18.0</v>
      </c>
      <c r="F796" s="4" t="s">
        <v>869</v>
      </c>
      <c r="G796" s="4" t="s">
        <v>4693</v>
      </c>
      <c r="H796" s="4" t="s">
        <v>43</v>
      </c>
      <c r="I796" s="4" t="s">
        <v>43</v>
      </c>
      <c r="J796" s="4" t="s">
        <v>43</v>
      </c>
      <c r="K796" s="5" t="str">
        <f>HYPERLINK("https://www.instagram.com/p/BwHJUS7A0-z/","Open Post")</f>
        <v>Open Post</v>
      </c>
      <c r="L796" s="4" t="s">
        <v>4760</v>
      </c>
      <c r="M796" s="4" t="s">
        <v>4761</v>
      </c>
      <c r="N796" s="4" t="s">
        <v>4762</v>
      </c>
      <c r="O796" s="4" t="s">
        <v>51</v>
      </c>
      <c r="P796" s="4" t="s">
        <v>4764</v>
      </c>
    </row>
    <row r="797">
      <c r="A797" s="4" t="s">
        <v>4671</v>
      </c>
      <c r="B797" s="4">
        <v>19.0</v>
      </c>
      <c r="F797" s="4" t="s">
        <v>869</v>
      </c>
      <c r="G797" s="4" t="s">
        <v>4708</v>
      </c>
      <c r="H797" s="4" t="s">
        <v>43</v>
      </c>
      <c r="I797" s="4" t="s">
        <v>43</v>
      </c>
      <c r="J797" s="4" t="s">
        <v>43</v>
      </c>
      <c r="K797" s="5" t="str">
        <f>HYPERLINK("https://www.instagram.com/p/BwFRI1ugmtI/","Open Post")</f>
        <v>Open Post</v>
      </c>
      <c r="L797" s="4" t="s">
        <v>4765</v>
      </c>
      <c r="M797" s="4" t="s">
        <v>4766</v>
      </c>
      <c r="N797" s="4" t="s">
        <v>4767</v>
      </c>
      <c r="O797" s="4" t="s">
        <v>51</v>
      </c>
      <c r="P797" s="4" t="s">
        <v>4768</v>
      </c>
    </row>
    <row r="798">
      <c r="A798" s="4" t="s">
        <v>4671</v>
      </c>
      <c r="B798" s="4">
        <v>20.0</v>
      </c>
      <c r="F798" s="4" t="s">
        <v>830</v>
      </c>
      <c r="G798" s="4" t="s">
        <v>207</v>
      </c>
      <c r="H798" s="4" t="s">
        <v>43</v>
      </c>
      <c r="I798" s="4" t="s">
        <v>43</v>
      </c>
      <c r="J798" s="4" t="s">
        <v>43</v>
      </c>
      <c r="K798" s="5" t="str">
        <f>HYPERLINK("https://www.instagram.com/p/Bv2fM8zns2D/","Open Post")</f>
        <v>Open Post</v>
      </c>
      <c r="L798" s="4" t="s">
        <v>4772</v>
      </c>
      <c r="M798" s="4" t="s">
        <v>4773</v>
      </c>
      <c r="N798" s="4" t="s">
        <v>4774</v>
      </c>
      <c r="O798" s="4" t="s">
        <v>51</v>
      </c>
      <c r="P798" s="4" t="s">
        <v>4776</v>
      </c>
    </row>
    <row r="799">
      <c r="A799" s="4" t="s">
        <v>4671</v>
      </c>
      <c r="B799" s="4">
        <v>21.0</v>
      </c>
      <c r="F799" s="4" t="s">
        <v>830</v>
      </c>
      <c r="G799" s="4" t="s">
        <v>4736</v>
      </c>
      <c r="H799" s="4" t="s">
        <v>43</v>
      </c>
      <c r="I799" s="4" t="s">
        <v>43</v>
      </c>
      <c r="J799" s="4" t="s">
        <v>43</v>
      </c>
      <c r="K799" s="5" t="str">
        <f>HYPERLINK("https://www.instagram.com/p/BoqsOi7HtO2/","Open Post")</f>
        <v>Open Post</v>
      </c>
      <c r="L799" s="4" t="s">
        <v>4778</v>
      </c>
      <c r="M799" s="4" t="s">
        <v>4779</v>
      </c>
      <c r="N799" s="4" t="s">
        <v>1010</v>
      </c>
      <c r="O799" s="4" t="s">
        <v>51</v>
      </c>
      <c r="P799" s="4" t="s">
        <v>4782</v>
      </c>
    </row>
    <row r="800">
      <c r="A800" s="4" t="s">
        <v>4671</v>
      </c>
      <c r="B800" s="4">
        <v>22.0</v>
      </c>
      <c r="F800" s="4" t="s">
        <v>830</v>
      </c>
      <c r="G800" s="4" t="s">
        <v>4783</v>
      </c>
      <c r="H800" s="4" t="s">
        <v>43</v>
      </c>
      <c r="I800" s="4" t="s">
        <v>43</v>
      </c>
      <c r="J800" s="4" t="s">
        <v>43</v>
      </c>
      <c r="K800" s="5" t="str">
        <f>HYPERLINK("https://www.instagram.com/p/Bh_fNdJlD8y/","Open Post")</f>
        <v>Open Post</v>
      </c>
      <c r="L800" s="4" t="s">
        <v>4785</v>
      </c>
      <c r="M800" s="4" t="s">
        <v>4786</v>
      </c>
      <c r="N800" s="4" t="s">
        <v>1020</v>
      </c>
      <c r="O800" s="4" t="s">
        <v>51</v>
      </c>
      <c r="P800" s="4" t="s">
        <v>4787</v>
      </c>
    </row>
    <row r="802">
      <c r="A802" s="4" t="s">
        <v>4788</v>
      </c>
      <c r="B802" s="4">
        <v>1.0</v>
      </c>
      <c r="F802" s="4" t="s">
        <v>57</v>
      </c>
      <c r="G802" s="4" t="s">
        <v>4789</v>
      </c>
      <c r="H802" s="4" t="s">
        <v>43</v>
      </c>
      <c r="I802" s="4" t="s">
        <v>43</v>
      </c>
      <c r="J802" s="4" t="s">
        <v>43</v>
      </c>
      <c r="K802" s="5" t="str">
        <f>HYPERLINK("https://www.instagram.com/reel/Dc_Yxsch-6v/?utm_source=ig_web_copy_link&amp;stkn=MzRlODBiNWFlZA==","Open Reel")</f>
        <v>Open Reel</v>
      </c>
      <c r="L802" s="4" t="s">
        <v>4792</v>
      </c>
      <c r="M802" s="4" t="s">
        <v>4793</v>
      </c>
      <c r="N802" s="4" t="s">
        <v>262</v>
      </c>
      <c r="O802" s="4" t="s">
        <v>74</v>
      </c>
      <c r="P802" s="4" t="s">
        <v>4794</v>
      </c>
    </row>
    <row r="803">
      <c r="A803" s="4" t="s">
        <v>4788</v>
      </c>
      <c r="B803" s="4">
        <v>2.0</v>
      </c>
      <c r="F803" s="4" t="s">
        <v>57</v>
      </c>
      <c r="G803" s="4" t="s">
        <v>166</v>
      </c>
      <c r="H803" s="4" t="s">
        <v>43</v>
      </c>
      <c r="I803" s="4">
        <v>66.0</v>
      </c>
      <c r="J803" s="4" t="s">
        <v>43</v>
      </c>
      <c r="K803" s="5" t="str">
        <f>HYPERLINK("https://www.instagram.com/reel/DcAI3PDtYYZ/?utm_source=ig_web_copy_link&amp;stkn=MzRlODBiNWFlZA==","Open Reel")</f>
        <v>Open Reel</v>
      </c>
      <c r="L803" s="4" t="s">
        <v>4797</v>
      </c>
      <c r="M803" s="4" t="s">
        <v>4798</v>
      </c>
      <c r="N803" s="4" t="s">
        <v>73</v>
      </c>
      <c r="O803" s="4" t="s">
        <v>74</v>
      </c>
      <c r="P803" s="4" t="s">
        <v>4799</v>
      </c>
    </row>
    <row r="804">
      <c r="A804" s="4" t="s">
        <v>4788</v>
      </c>
      <c r="B804" s="4">
        <v>3.0</v>
      </c>
      <c r="F804" s="4" t="s">
        <v>57</v>
      </c>
      <c r="G804" s="4" t="s">
        <v>166</v>
      </c>
      <c r="H804" s="4" t="s">
        <v>43</v>
      </c>
      <c r="I804" s="4">
        <v>4.0</v>
      </c>
      <c r="J804" s="4" t="s">
        <v>43</v>
      </c>
      <c r="K804" s="5" t="str">
        <f>HYPERLINK("https://www.instagram.com/reel/Db-0I7IIQK6/?utm_source=ig_web_copy_link&amp;stkn=MzRlODBiNWFlZA==","Open Reel")</f>
        <v>Open Reel</v>
      </c>
      <c r="L804" s="4" t="s">
        <v>4800</v>
      </c>
      <c r="M804" s="4" t="s">
        <v>4801</v>
      </c>
      <c r="N804" s="4" t="s">
        <v>82</v>
      </c>
      <c r="O804" s="4" t="s">
        <v>74</v>
      </c>
      <c r="P804" s="4" t="s">
        <v>4802</v>
      </c>
    </row>
    <row r="805">
      <c r="A805" s="4" t="s">
        <v>4788</v>
      </c>
      <c r="B805" s="4">
        <v>4.0</v>
      </c>
      <c r="F805" s="4" t="s">
        <v>57</v>
      </c>
      <c r="G805" s="4" t="s">
        <v>85</v>
      </c>
      <c r="H805" s="4" t="s">
        <v>43</v>
      </c>
      <c r="I805" s="4">
        <v>19.0</v>
      </c>
      <c r="J805" s="4" t="s">
        <v>43</v>
      </c>
      <c r="K805" s="5" t="str">
        <f>HYPERLINK("https://www.instagram.com/reel/DaueRh8oKDb/?utm_source=ig_web_copy_link&amp;stkn=MzRlODBiNWFlZA==","Open Reel")</f>
        <v>Open Reel</v>
      </c>
      <c r="L805" s="4" t="s">
        <v>4805</v>
      </c>
      <c r="M805" s="4" t="s">
        <v>49</v>
      </c>
      <c r="N805" s="4" t="s">
        <v>93</v>
      </c>
      <c r="O805" s="4" t="s">
        <v>74</v>
      </c>
      <c r="P805" s="4" t="s">
        <v>4806</v>
      </c>
    </row>
    <row r="806">
      <c r="A806" s="4" t="s">
        <v>4788</v>
      </c>
      <c r="B806" s="4">
        <v>5.0</v>
      </c>
      <c r="F806" s="4" t="s">
        <v>869</v>
      </c>
      <c r="G806" s="4" t="s">
        <v>4807</v>
      </c>
      <c r="H806" s="4" t="s">
        <v>43</v>
      </c>
      <c r="I806" s="4" t="s">
        <v>43</v>
      </c>
      <c r="J806" s="4" t="s">
        <v>43</v>
      </c>
      <c r="K806" s="5" t="str">
        <f>HYPERLINK("https://www.instagram.com/p/Dajx_9ljI3S/","Open Post")</f>
        <v>Open Post</v>
      </c>
      <c r="L806" s="4" t="s">
        <v>4809</v>
      </c>
      <c r="M806" s="4" t="s">
        <v>4810</v>
      </c>
      <c r="N806" s="4" t="s">
        <v>4700</v>
      </c>
      <c r="O806" s="4" t="s">
        <v>51</v>
      </c>
      <c r="P806" s="4" t="s">
        <v>4701</v>
      </c>
    </row>
    <row r="807">
      <c r="A807" s="4" t="s">
        <v>4788</v>
      </c>
      <c r="B807" s="4">
        <v>6.0</v>
      </c>
      <c r="F807" s="4" t="s">
        <v>57</v>
      </c>
      <c r="G807" s="4" t="s">
        <v>4811</v>
      </c>
      <c r="H807" s="4" t="s">
        <v>43</v>
      </c>
      <c r="I807" s="4" t="s">
        <v>43</v>
      </c>
      <c r="J807" s="4" t="s">
        <v>43</v>
      </c>
      <c r="K807" s="5" t="str">
        <f>HYPERLINK("https://www.instagram.com/reel/DafiqzlqTaI/?utm_source=ig_web_copy_link&amp;stkn=MzRlODBiNWFlZA==","Open Reel")</f>
        <v>Open Reel</v>
      </c>
      <c r="L807" s="4" t="s">
        <v>4813</v>
      </c>
      <c r="M807" s="4" t="s">
        <v>4814</v>
      </c>
      <c r="N807" s="4" t="s">
        <v>110</v>
      </c>
      <c r="O807" s="4" t="s">
        <v>74</v>
      </c>
      <c r="P807" s="4" t="s">
        <v>4815</v>
      </c>
    </row>
    <row r="808">
      <c r="A808" s="4" t="s">
        <v>4788</v>
      </c>
      <c r="B808" s="4">
        <v>7.0</v>
      </c>
      <c r="F808" s="4" t="s">
        <v>830</v>
      </c>
      <c r="G808" s="4" t="s">
        <v>4807</v>
      </c>
      <c r="H808" s="4" t="s">
        <v>43</v>
      </c>
      <c r="I808" s="4" t="s">
        <v>43</v>
      </c>
      <c r="J808" s="4" t="s">
        <v>43</v>
      </c>
      <c r="K808" s="5" t="str">
        <f>HYPERLINK("https://www.instagram.com/p/DZw8L4ukk5L/","Open Post")</f>
        <v>Open Post</v>
      </c>
      <c r="L808" s="4" t="s">
        <v>4819</v>
      </c>
      <c r="M808" s="4" t="s">
        <v>4820</v>
      </c>
      <c r="N808" s="4" t="s">
        <v>890</v>
      </c>
      <c r="O808" s="4" t="s">
        <v>51</v>
      </c>
      <c r="P808" s="4" t="s">
        <v>4713</v>
      </c>
    </row>
    <row r="809">
      <c r="A809" s="4" t="s">
        <v>4788</v>
      </c>
      <c r="B809" s="4">
        <v>8.0</v>
      </c>
      <c r="F809" s="4" t="s">
        <v>57</v>
      </c>
      <c r="G809" s="4" t="s">
        <v>85</v>
      </c>
      <c r="H809" s="4" t="s">
        <v>43</v>
      </c>
      <c r="I809" s="4">
        <v>46.0</v>
      </c>
      <c r="J809" s="4" t="s">
        <v>43</v>
      </c>
      <c r="K809" s="5" t="str">
        <f>HYPERLINK("https://www.instagram.com/reel/DZb4Vz-o0z8/?utm_source=ig_web_copy_link&amp;stkn=MzRlODBiNWFlZA==","Open Reel")</f>
        <v>Open Reel</v>
      </c>
      <c r="L809" s="4" t="s">
        <v>4822</v>
      </c>
      <c r="M809" s="4" t="s">
        <v>49</v>
      </c>
      <c r="N809" s="4" t="s">
        <v>401</v>
      </c>
      <c r="O809" s="4" t="s">
        <v>74</v>
      </c>
      <c r="P809" s="4" t="s">
        <v>4824</v>
      </c>
    </row>
    <row r="810">
      <c r="A810" s="4" t="s">
        <v>4788</v>
      </c>
      <c r="B810" s="4">
        <v>9.0</v>
      </c>
      <c r="F810" s="4" t="s">
        <v>57</v>
      </c>
      <c r="G810" s="4" t="s">
        <v>4807</v>
      </c>
      <c r="H810" s="4" t="s">
        <v>43</v>
      </c>
      <c r="I810" s="4">
        <v>59.0</v>
      </c>
      <c r="J810" s="4" t="s">
        <v>43</v>
      </c>
      <c r="K810" s="5" t="str">
        <f>HYPERLINK("https://www.instagram.com/reel/DZAqjXCh0zv/?utm_source=ig_web_copy_link&amp;stkn=MzRlODBiNWFlZA==","Open Reel")</f>
        <v>Open Reel</v>
      </c>
      <c r="L810" s="4" t="s">
        <v>4827</v>
      </c>
      <c r="M810" s="4" t="s">
        <v>4828</v>
      </c>
      <c r="N810" s="4" t="s">
        <v>142</v>
      </c>
      <c r="O810" s="4" t="s">
        <v>74</v>
      </c>
      <c r="P810" s="4" t="s">
        <v>4829</v>
      </c>
    </row>
    <row r="811">
      <c r="A811" s="4" t="s">
        <v>4788</v>
      </c>
      <c r="B811" s="4">
        <v>10.0</v>
      </c>
      <c r="F811" s="4" t="s">
        <v>830</v>
      </c>
      <c r="G811" s="4" t="s">
        <v>4807</v>
      </c>
      <c r="H811" s="4" t="s">
        <v>43</v>
      </c>
      <c r="I811" s="4" t="s">
        <v>43</v>
      </c>
      <c r="J811" s="4" t="s">
        <v>43</v>
      </c>
      <c r="K811" s="5" t="str">
        <f>HYPERLINK("https://www.instagram.com/p/DYWhZj5Aokh/","Open Post")</f>
        <v>Open Post</v>
      </c>
      <c r="L811" s="4" t="s">
        <v>4830</v>
      </c>
      <c r="M811" s="4" t="s">
        <v>49</v>
      </c>
      <c r="N811" s="4" t="s">
        <v>917</v>
      </c>
      <c r="O811" s="4" t="s">
        <v>51</v>
      </c>
      <c r="P811" s="4" t="s">
        <v>4727</v>
      </c>
    </row>
    <row r="812">
      <c r="A812" s="4" t="s">
        <v>4788</v>
      </c>
      <c r="B812" s="4">
        <v>11.0</v>
      </c>
      <c r="F812" s="4" t="s">
        <v>57</v>
      </c>
      <c r="G812" s="4" t="s">
        <v>166</v>
      </c>
      <c r="H812" s="4" t="s">
        <v>43</v>
      </c>
      <c r="I812" s="4">
        <v>11.0</v>
      </c>
      <c r="J812" s="4" t="s">
        <v>43</v>
      </c>
      <c r="K812" s="5" t="str">
        <f>HYPERLINK("https://www.instagram.com/reel/DYMUl_nIzMe/?utm_source=ig_web_copy_link&amp;stkn=MzRlODBiNWFlZA==","Open Reel")</f>
        <v>Open Reel</v>
      </c>
      <c r="L812" s="4" t="s">
        <v>4832</v>
      </c>
      <c r="M812" s="4" t="s">
        <v>49</v>
      </c>
      <c r="N812" s="4" t="s">
        <v>324</v>
      </c>
      <c r="O812" s="4" t="s">
        <v>74</v>
      </c>
      <c r="P812" s="4" t="s">
        <v>4833</v>
      </c>
    </row>
    <row r="813">
      <c r="A813" s="4" t="s">
        <v>4788</v>
      </c>
      <c r="B813" s="4">
        <v>12.0</v>
      </c>
      <c r="F813" s="4" t="s">
        <v>869</v>
      </c>
      <c r="G813" s="4" t="s">
        <v>4807</v>
      </c>
      <c r="H813" s="4" t="s">
        <v>43</v>
      </c>
      <c r="I813" s="4" t="s">
        <v>43</v>
      </c>
      <c r="J813" s="4" t="s">
        <v>43</v>
      </c>
      <c r="K813" s="5" t="str">
        <f>HYPERLINK("https://www.instagram.com/p/DXpBbAQFYRL/","Open Post")</f>
        <v>Open Post</v>
      </c>
      <c r="L813" s="4" t="s">
        <v>4836</v>
      </c>
      <c r="M813" s="4" t="s">
        <v>4837</v>
      </c>
      <c r="N813" s="4" t="s">
        <v>4838</v>
      </c>
      <c r="O813" s="4" t="s">
        <v>51</v>
      </c>
      <c r="P813" s="4" t="s">
        <v>4839</v>
      </c>
    </row>
    <row r="814">
      <c r="A814" s="4" t="s">
        <v>4788</v>
      </c>
      <c r="B814" s="4">
        <v>13.0</v>
      </c>
      <c r="F814" s="4" t="s">
        <v>830</v>
      </c>
      <c r="G814" s="4" t="s">
        <v>346</v>
      </c>
      <c r="H814" s="4" t="s">
        <v>43</v>
      </c>
      <c r="I814" s="4" t="s">
        <v>43</v>
      </c>
      <c r="J814" s="4" t="s">
        <v>43</v>
      </c>
      <c r="K814" s="5" t="str">
        <f>HYPERLINK("https://www.instagram.com/p/DWT_63wCI1O/","Open Post")</f>
        <v>Open Post</v>
      </c>
      <c r="L814" s="4" t="s">
        <v>4842</v>
      </c>
      <c r="M814" s="4" t="s">
        <v>4843</v>
      </c>
      <c r="N814" s="4" t="s">
        <v>937</v>
      </c>
      <c r="O814" s="4" t="s">
        <v>51</v>
      </c>
      <c r="P814" s="4" t="s">
        <v>4741</v>
      </c>
    </row>
    <row r="815">
      <c r="A815" s="4" t="s">
        <v>4788</v>
      </c>
      <c r="B815" s="4">
        <v>14.0</v>
      </c>
      <c r="F815" s="4" t="s">
        <v>57</v>
      </c>
      <c r="G815" s="4" t="s">
        <v>4687</v>
      </c>
      <c r="H815" s="4" t="s">
        <v>43</v>
      </c>
      <c r="I815" s="4">
        <v>3.0</v>
      </c>
      <c r="J815" s="4" t="s">
        <v>43</v>
      </c>
      <c r="K815" s="5" t="str">
        <f>HYPERLINK("https://www.instagram.com/reel/DSiQJYxkZOn/?utm_source=ig_web_copy_link&amp;stkn=MzRlODBiNWFlZA==","Open Reel")</f>
        <v>Open Reel</v>
      </c>
      <c r="L815" s="4" t="s">
        <v>4847</v>
      </c>
      <c r="M815" s="4" t="s">
        <v>4848</v>
      </c>
      <c r="N815" s="4" t="s">
        <v>189</v>
      </c>
      <c r="O815" s="4" t="s">
        <v>74</v>
      </c>
      <c r="P815" s="4" t="s">
        <v>4745</v>
      </c>
    </row>
    <row r="816">
      <c r="A816" s="4" t="s">
        <v>4788</v>
      </c>
      <c r="B816" s="4">
        <v>15.0</v>
      </c>
      <c r="F816" s="4" t="s">
        <v>869</v>
      </c>
      <c r="G816" s="4" t="s">
        <v>166</v>
      </c>
      <c r="H816" s="4" t="s">
        <v>43</v>
      </c>
      <c r="I816" s="4" t="s">
        <v>43</v>
      </c>
      <c r="J816" s="4" t="s">
        <v>43</v>
      </c>
      <c r="K816" s="5" t="str">
        <f>HYPERLINK("https://www.instagram.com/p/DRCRksICH8d/","Open Post")</f>
        <v>Open Post</v>
      </c>
      <c r="L816" s="4" t="s">
        <v>4851</v>
      </c>
      <c r="M816" s="4" t="s">
        <v>4852</v>
      </c>
      <c r="N816" s="4" t="s">
        <v>4749</v>
      </c>
      <c r="O816" s="4" t="s">
        <v>51</v>
      </c>
      <c r="P816" s="4" t="s">
        <v>4751</v>
      </c>
    </row>
    <row r="817">
      <c r="A817" s="4" t="s">
        <v>4788</v>
      </c>
      <c r="B817" s="4">
        <v>16.0</v>
      </c>
      <c r="F817" s="4" t="s">
        <v>869</v>
      </c>
      <c r="G817" s="4" t="s">
        <v>4680</v>
      </c>
      <c r="H817" s="4" t="s">
        <v>43</v>
      </c>
      <c r="I817" s="4" t="s">
        <v>43</v>
      </c>
      <c r="J817" s="4" t="s">
        <v>43</v>
      </c>
      <c r="K817" s="5" t="str">
        <f>HYPERLINK("https://www.instagram.com/p/DQcHY7QAW8K/","Open Post")</f>
        <v>Open Post</v>
      </c>
      <c r="L817" s="4" t="s">
        <v>4854</v>
      </c>
      <c r="M817" s="4" t="s">
        <v>4855</v>
      </c>
      <c r="N817" s="4" t="s">
        <v>966</v>
      </c>
      <c r="O817" s="4" t="s">
        <v>51</v>
      </c>
      <c r="P817" s="4" t="s">
        <v>4755</v>
      </c>
    </row>
    <row r="818">
      <c r="A818" s="4" t="s">
        <v>4788</v>
      </c>
      <c r="B818" s="4">
        <v>17.0</v>
      </c>
      <c r="F818" s="4" t="s">
        <v>869</v>
      </c>
      <c r="G818" s="4" t="s">
        <v>4789</v>
      </c>
      <c r="H818" s="4" t="s">
        <v>43</v>
      </c>
      <c r="I818" s="4" t="s">
        <v>43</v>
      </c>
      <c r="J818" s="4" t="s">
        <v>43</v>
      </c>
      <c r="K818" s="5" t="str">
        <f>HYPERLINK("https://www.instagram.com/p/DOnxJKcjGzU/","Open Post")</f>
        <v>Open Post</v>
      </c>
      <c r="L818" s="4" t="s">
        <v>4860</v>
      </c>
      <c r="M818" s="4" t="s">
        <v>49</v>
      </c>
      <c r="N818" s="4" t="s">
        <v>4861</v>
      </c>
      <c r="O818" s="4" t="s">
        <v>51</v>
      </c>
      <c r="P818" s="4" t="s">
        <v>4759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c r="B1" s="1"/>
      <c r="C1" s="1"/>
      <c r="D1" s="1"/>
      <c r="E1" s="1"/>
      <c r="F1" s="1"/>
      <c r="G1" s="1"/>
      <c r="H1" s="1"/>
      <c r="I1" s="1"/>
      <c r="J1" s="1"/>
      <c r="K1" s="1"/>
      <c r="L1" s="1"/>
      <c r="M1" s="1"/>
      <c r="N1" s="1"/>
      <c r="O1" s="1"/>
      <c r="P1" s="1"/>
      <c r="Q1" s="2"/>
      <c r="R1" s="2"/>
      <c r="S1" s="2"/>
      <c r="T1" s="2"/>
      <c r="U1" s="2"/>
      <c r="V1" s="2"/>
      <c r="W1" s="2"/>
      <c r="X1" s="2"/>
      <c r="Y1" s="2"/>
      <c r="Z1" s="2"/>
    </row>
    <row r="2">
      <c r="A2" s="4" t="s">
        <v>1</v>
      </c>
      <c r="B2" s="4" t="s">
        <v>25</v>
      </c>
      <c r="C2" s="4" t="s">
        <v>27</v>
      </c>
      <c r="D2" s="4" t="s">
        <v>28</v>
      </c>
      <c r="E2" s="4" t="s">
        <v>29</v>
      </c>
      <c r="F2" s="4" t="s">
        <v>30</v>
      </c>
      <c r="G2" s="4" t="s">
        <v>31</v>
      </c>
      <c r="H2" s="4" t="s">
        <v>22</v>
      </c>
      <c r="I2" s="4" t="s">
        <v>32</v>
      </c>
      <c r="J2" s="4" t="s">
        <v>33</v>
      </c>
      <c r="K2" s="4" t="s">
        <v>34</v>
      </c>
      <c r="L2" s="4" t="s">
        <v>35</v>
      </c>
      <c r="M2" s="4" t="s">
        <v>36</v>
      </c>
      <c r="N2" s="4" t="s">
        <v>37</v>
      </c>
      <c r="O2" s="4" t="s">
        <v>24</v>
      </c>
      <c r="P2" s="4" t="s">
        <v>26</v>
      </c>
    </row>
    <row r="3">
      <c r="A3" s="4" t="s">
        <v>40</v>
      </c>
      <c r="B3" s="4" t="s">
        <v>40</v>
      </c>
      <c r="C3" s="4">
        <v>1.0</v>
      </c>
      <c r="D3" s="5" t="str">
        <f>HYPERLINK("https://www.linkedin.com/ad-library/detail/1523874474","Open Ad")</f>
        <v>Open Ad</v>
      </c>
      <c r="E3" s="4" t="s">
        <v>52</v>
      </c>
      <c r="F3" s="4" t="s">
        <v>54</v>
      </c>
      <c r="G3" s="4" t="s">
        <v>55</v>
      </c>
      <c r="H3" s="4" t="s">
        <v>49</v>
      </c>
      <c r="I3" s="4" t="s">
        <v>56</v>
      </c>
      <c r="J3" s="4" t="s">
        <v>52</v>
      </c>
      <c r="K3" s="4" t="s">
        <v>59</v>
      </c>
      <c r="L3" s="4" t="s">
        <v>60</v>
      </c>
      <c r="M3" s="4" t="s">
        <v>61</v>
      </c>
      <c r="N3" s="4" t="s">
        <v>62</v>
      </c>
      <c r="O3" s="4" t="s">
        <v>63</v>
      </c>
      <c r="P3" s="4" t="s">
        <v>64</v>
      </c>
    </row>
    <row r="4">
      <c r="A4" s="4" t="s">
        <v>40</v>
      </c>
      <c r="B4" s="4" t="s">
        <v>40</v>
      </c>
      <c r="C4" s="4">
        <v>2.0</v>
      </c>
      <c r="D4" s="5" t="str">
        <f>HYPERLINK("https://www.linkedin.com/ad-library/detail/1523825024","Open Ad")</f>
        <v>Open Ad</v>
      </c>
      <c r="E4" s="4" t="s">
        <v>52</v>
      </c>
      <c r="F4" s="4" t="s">
        <v>54</v>
      </c>
      <c r="G4" s="4" t="s">
        <v>69</v>
      </c>
      <c r="H4" s="4" t="s">
        <v>49</v>
      </c>
      <c r="I4" s="4" t="s">
        <v>56</v>
      </c>
      <c r="J4" s="4" t="s">
        <v>52</v>
      </c>
      <c r="K4" s="4" t="s">
        <v>59</v>
      </c>
      <c r="L4" s="4" t="s">
        <v>60</v>
      </c>
      <c r="M4" s="4" t="s">
        <v>61</v>
      </c>
      <c r="N4" s="4" t="s">
        <v>76</v>
      </c>
      <c r="O4" s="4" t="s">
        <v>63</v>
      </c>
      <c r="P4" s="4" t="s">
        <v>64</v>
      </c>
    </row>
    <row r="5">
      <c r="A5" s="4" t="s">
        <v>40</v>
      </c>
      <c r="B5" s="4" t="s">
        <v>40</v>
      </c>
      <c r="C5" s="4">
        <v>3.0</v>
      </c>
      <c r="D5" s="5" t="str">
        <f>HYPERLINK("https://www.linkedin.com/ad-library/detail/1514801434","Open Ad")</f>
        <v>Open Ad</v>
      </c>
      <c r="E5" s="4" t="s">
        <v>78</v>
      </c>
      <c r="F5" s="8" t="s">
        <v>79</v>
      </c>
      <c r="G5" s="4" t="s">
        <v>81</v>
      </c>
      <c r="H5" s="4" t="s">
        <v>49</v>
      </c>
      <c r="I5" s="4" t="s">
        <v>83</v>
      </c>
      <c r="J5" s="4" t="s">
        <v>78</v>
      </c>
      <c r="K5" s="5" t="str">
        <f>HYPERLINK("https://media.licdn.com/dms/image/v2/D4E10AQGS9fqoxfcK4A/image-shrink_1280/B4EaAed6E.IUAg-/0/1787217551986/zoominfo_learnmore_nonhuman1_373_visibility_1080x1080png?e=2147483647&amp;v=beta&amp;t=0LJCDSf_ZnEGJiIpA0LiuhUGYVQdKCRdAEytBamjNbQ","View Creative")</f>
        <v>View Creative</v>
      </c>
      <c r="L5" s="4" t="s">
        <v>60</v>
      </c>
      <c r="M5" s="4" t="s">
        <v>61</v>
      </c>
      <c r="N5" s="4" t="s">
        <v>88</v>
      </c>
      <c r="O5" s="4" t="s">
        <v>89</v>
      </c>
      <c r="P5" s="4" t="s">
        <v>91</v>
      </c>
    </row>
    <row r="6">
      <c r="A6" s="4" t="s">
        <v>40</v>
      </c>
      <c r="B6" s="4" t="s">
        <v>40</v>
      </c>
      <c r="C6" s="4">
        <v>4.0</v>
      </c>
      <c r="D6" s="5" t="str">
        <f>HYPERLINK("https://www.linkedin.com/ad-library/detail/1524123984","Open Ad")</f>
        <v>Open Ad</v>
      </c>
      <c r="E6" s="4" t="s">
        <v>78</v>
      </c>
      <c r="F6" s="4" t="s">
        <v>54</v>
      </c>
      <c r="G6" s="4" t="s">
        <v>97</v>
      </c>
      <c r="H6" s="4" t="s">
        <v>99</v>
      </c>
      <c r="I6" s="4" t="s">
        <v>100</v>
      </c>
      <c r="J6" s="4" t="s">
        <v>78</v>
      </c>
      <c r="K6" s="5" t="str">
        <f>HYPERLINK("https://media.licdn.com/dms/image/v2/D4D22AQEzTH8Km1cu2A/feedshare-image-high-res/B4DaAjbqjJI8AY-/0/1787300850331?e=2147483647&amp;v=beta&amp;t=rGQP8DaToxmMTaoluPZFzVDoXIdBkDbaJcmyrAxk-bk","View Creative")</f>
        <v>View Creative</v>
      </c>
      <c r="L6" s="4" t="s">
        <v>106</v>
      </c>
      <c r="M6" s="4" t="s">
        <v>61</v>
      </c>
      <c r="O6" s="4" t="s">
        <v>89</v>
      </c>
      <c r="P6" s="4" t="s">
        <v>107</v>
      </c>
    </row>
    <row r="7">
      <c r="A7" s="4" t="s">
        <v>40</v>
      </c>
      <c r="B7" s="4" t="s">
        <v>40</v>
      </c>
      <c r="C7" s="4">
        <v>5.0</v>
      </c>
      <c r="D7" s="5" t="str">
        <f>HYPERLINK("https://www.linkedin.com/ad-library/detail/1541390624","Open Ad")</f>
        <v>Open Ad</v>
      </c>
      <c r="E7" s="4" t="s">
        <v>78</v>
      </c>
      <c r="F7" s="4" t="s">
        <v>54</v>
      </c>
      <c r="G7" s="4" t="s">
        <v>114</v>
      </c>
      <c r="H7" s="4" t="s">
        <v>49</v>
      </c>
      <c r="I7" s="4" t="s">
        <v>116</v>
      </c>
      <c r="J7" s="4" t="s">
        <v>78</v>
      </c>
      <c r="K7" s="4" t="s">
        <v>59</v>
      </c>
      <c r="L7" s="4" t="s">
        <v>60</v>
      </c>
      <c r="M7" s="4" t="s">
        <v>61</v>
      </c>
      <c r="N7" s="4" t="s">
        <v>117</v>
      </c>
      <c r="O7" s="4" t="s">
        <v>63</v>
      </c>
      <c r="P7" s="4" t="s">
        <v>64</v>
      </c>
    </row>
    <row r="8">
      <c r="A8" s="4" t="s">
        <v>40</v>
      </c>
      <c r="B8" s="4" t="s">
        <v>40</v>
      </c>
      <c r="C8" s="4">
        <v>6.0</v>
      </c>
      <c r="D8" s="5" t="str">
        <f>HYPERLINK("https://www.linkedin.com/ad-library/detail/1515108684","Open Ad")</f>
        <v>Open Ad</v>
      </c>
      <c r="E8" s="4" t="s">
        <v>121</v>
      </c>
      <c r="F8" s="4" t="s">
        <v>123</v>
      </c>
      <c r="G8" s="4" t="s">
        <v>124</v>
      </c>
      <c r="H8" s="4" t="s">
        <v>49</v>
      </c>
      <c r="I8" s="4" t="s">
        <v>105</v>
      </c>
      <c r="J8" s="4" t="s">
        <v>121</v>
      </c>
      <c r="K8" s="5" t="str">
        <f>HYPERLINK("https://dms.licdn.com/playlist/vid/v2/D4E10AQHiYxJoXOY2OQ/mp4-640p-30fp-crf28/B4EaAjq1W3HwBo-/0/1787304834906?e=2147483647&amp;v=beta&amp;t=nQiQOxVDrP8WwNYbjrdJlXMW2mdCaG4H3wYMm8wNBOQ","View Creative")</f>
        <v>View Creative</v>
      </c>
      <c r="L8" s="4" t="s">
        <v>128</v>
      </c>
      <c r="M8" s="4" t="s">
        <v>61</v>
      </c>
      <c r="O8" s="4" t="s">
        <v>89</v>
      </c>
      <c r="P8" s="4" t="s">
        <v>130</v>
      </c>
    </row>
    <row r="9">
      <c r="A9" s="4" t="s">
        <v>40</v>
      </c>
      <c r="B9" s="4" t="s">
        <v>40</v>
      </c>
      <c r="C9" s="4">
        <v>7.0</v>
      </c>
      <c r="D9" s="5" t="str">
        <f>HYPERLINK("https://www.linkedin.com/ad-library/detail/1530233894","Open Ad")</f>
        <v>Open Ad</v>
      </c>
      <c r="E9" s="4" t="s">
        <v>78</v>
      </c>
      <c r="F9" s="4" t="s">
        <v>54</v>
      </c>
      <c r="G9" s="4" t="s">
        <v>138</v>
      </c>
      <c r="H9" s="4" t="s">
        <v>139</v>
      </c>
      <c r="I9" s="4" t="s">
        <v>140</v>
      </c>
      <c r="J9" s="4" t="s">
        <v>78</v>
      </c>
      <c r="K9" s="5" t="str">
        <f>HYPERLINK("https://media.licdn.com/dms/image/v2/D4E22AQFVlUcHOVJ17A/feedshare-image-high-res/B4EaAUjso5JwAU-/0/1787051297791?e=2147483647&amp;v=beta&amp;t=EYHu6B7k-ZM42T33VLaXgJ2GOsz8TQBp9CPs1HnmQfI","View Creative")</f>
        <v>View Creative</v>
      </c>
      <c r="L9" s="4" t="s">
        <v>106</v>
      </c>
      <c r="M9" s="4" t="s">
        <v>61</v>
      </c>
      <c r="O9" s="4" t="s">
        <v>89</v>
      </c>
      <c r="P9" s="4" t="s">
        <v>144</v>
      </c>
    </row>
    <row r="10">
      <c r="A10" s="4" t="s">
        <v>40</v>
      </c>
      <c r="B10" s="4" t="s">
        <v>40</v>
      </c>
      <c r="C10" s="4">
        <v>8.0</v>
      </c>
      <c r="D10" s="5" t="str">
        <f>HYPERLINK("https://www.linkedin.com/ad-library/detail/1515109674","Open Ad")</f>
        <v>Open Ad</v>
      </c>
      <c r="E10" s="4" t="s">
        <v>78</v>
      </c>
      <c r="F10" s="8" t="s">
        <v>79</v>
      </c>
      <c r="G10" s="4" t="s">
        <v>81</v>
      </c>
      <c r="H10" s="4" t="s">
        <v>49</v>
      </c>
      <c r="I10" s="4" t="s">
        <v>83</v>
      </c>
      <c r="J10" s="4" t="s">
        <v>78</v>
      </c>
      <c r="K10" s="5" t="str">
        <f>HYPERLINK("https://media.licdn.com/dms/image/v2/D4E10AQFoBQmX7JYNMA/image-shrink_1280/B4EaAkDtxrKsAc-/0/1787311349209/zoominfo_learnmore_human2_zoominfo_dominate_1080x1080png?e=2147483647&amp;v=beta&amp;t=WW2Yg6JNt1_AWlcnTMg1WC_o_ORHXbveyV8IeGCgP40","View Creative")</f>
        <v>View Creative</v>
      </c>
      <c r="L10" s="4" t="s">
        <v>60</v>
      </c>
      <c r="M10" s="4" t="s">
        <v>61</v>
      </c>
      <c r="N10" s="4" t="s">
        <v>88</v>
      </c>
      <c r="O10" s="4" t="s">
        <v>89</v>
      </c>
      <c r="P10" s="4" t="s">
        <v>156</v>
      </c>
    </row>
    <row r="11">
      <c r="A11" s="4" t="s">
        <v>40</v>
      </c>
      <c r="B11" s="4" t="s">
        <v>40</v>
      </c>
      <c r="C11" s="4">
        <v>9.0</v>
      </c>
      <c r="D11" s="5" t="str">
        <f>HYPERLINK("https://www.linkedin.com/ad-library/detail/1523824944","Open Ad")</f>
        <v>Open Ad</v>
      </c>
      <c r="E11" s="4" t="s">
        <v>52</v>
      </c>
      <c r="F11" s="4" t="s">
        <v>54</v>
      </c>
      <c r="G11" s="4" t="s">
        <v>164</v>
      </c>
      <c r="H11" s="4" t="s">
        <v>49</v>
      </c>
      <c r="I11" s="4" t="s">
        <v>166</v>
      </c>
      <c r="J11" s="4" t="s">
        <v>52</v>
      </c>
      <c r="K11" s="4" t="s">
        <v>59</v>
      </c>
      <c r="L11" s="4" t="s">
        <v>60</v>
      </c>
      <c r="M11" s="4" t="s">
        <v>61</v>
      </c>
      <c r="N11" s="4" t="s">
        <v>62</v>
      </c>
      <c r="O11" s="4" t="s">
        <v>63</v>
      </c>
      <c r="P11" s="4" t="s">
        <v>64</v>
      </c>
    </row>
    <row r="12">
      <c r="A12" s="4" t="s">
        <v>40</v>
      </c>
      <c r="B12" s="4" t="s">
        <v>40</v>
      </c>
      <c r="C12" s="4">
        <v>10.0</v>
      </c>
      <c r="D12" s="5" t="str">
        <f>HYPERLINK("https://www.linkedin.com/ad-library/detail/1515119384","Open Ad")</f>
        <v>Open Ad</v>
      </c>
      <c r="E12" s="4" t="s">
        <v>78</v>
      </c>
      <c r="F12" s="8" t="s">
        <v>79</v>
      </c>
      <c r="G12" s="4" t="s">
        <v>81</v>
      </c>
      <c r="H12" s="4" t="s">
        <v>49</v>
      </c>
      <c r="I12" s="4" t="s">
        <v>83</v>
      </c>
      <c r="J12" s="4" t="s">
        <v>78</v>
      </c>
      <c r="K12" s="5" t="str">
        <f>HYPERLINK("https://media.licdn.com/dms/image/v2/D4E10AQE1oGdAq-eNiw/image-shrink_1280/B4EaAkEGheKsAk-/0/1787311450488/zoominfo_learnmore_nonhuman2_373_visibility_1080x1080png?e=2147483647&amp;v=beta&amp;t=j7vbqd2h1dnHC-9dht648UgDTWH3SJqDMg6Q_kzdIiU","View Creative")</f>
        <v>View Creative</v>
      </c>
      <c r="L12" s="4" t="s">
        <v>60</v>
      </c>
      <c r="M12" s="4" t="s">
        <v>61</v>
      </c>
      <c r="N12" s="4" t="s">
        <v>176</v>
      </c>
      <c r="O12" s="4" t="s">
        <v>89</v>
      </c>
      <c r="P12" s="4" t="s">
        <v>177</v>
      </c>
    </row>
    <row r="13">
      <c r="A13" s="4" t="s">
        <v>40</v>
      </c>
      <c r="B13" s="4" t="s">
        <v>40</v>
      </c>
      <c r="C13" s="4">
        <v>11.0</v>
      </c>
      <c r="D13" s="5" t="str">
        <f>HYPERLINK("https://www.linkedin.com/ad-library/detail/1523764364","Open Ad")</f>
        <v>Open Ad</v>
      </c>
      <c r="E13" s="4" t="s">
        <v>52</v>
      </c>
      <c r="F13" s="4" t="s">
        <v>54</v>
      </c>
      <c r="G13" s="4" t="s">
        <v>55</v>
      </c>
      <c r="H13" s="4" t="s">
        <v>49</v>
      </c>
      <c r="I13" s="4" t="s">
        <v>56</v>
      </c>
      <c r="J13" s="4" t="s">
        <v>52</v>
      </c>
      <c r="K13" s="4" t="s">
        <v>59</v>
      </c>
      <c r="L13" s="4" t="s">
        <v>60</v>
      </c>
      <c r="M13" s="4" t="s">
        <v>61</v>
      </c>
      <c r="N13" s="4" t="s">
        <v>62</v>
      </c>
      <c r="O13" s="4" t="s">
        <v>63</v>
      </c>
      <c r="P13" s="4" t="s">
        <v>64</v>
      </c>
    </row>
    <row r="14">
      <c r="A14" s="4" t="s">
        <v>40</v>
      </c>
      <c r="B14" s="4" t="s">
        <v>40</v>
      </c>
      <c r="C14" s="4">
        <v>12.0</v>
      </c>
      <c r="D14" s="5" t="str">
        <f>HYPERLINK("https://www.linkedin.com/ad-library/detail/1523691424","Open Ad")</f>
        <v>Open Ad</v>
      </c>
      <c r="E14" s="4" t="s">
        <v>52</v>
      </c>
      <c r="F14" s="4" t="s">
        <v>54</v>
      </c>
      <c r="G14" s="4" t="s">
        <v>193</v>
      </c>
      <c r="H14" s="4" t="s">
        <v>49</v>
      </c>
      <c r="I14" s="4" t="s">
        <v>198</v>
      </c>
      <c r="J14" s="4" t="s">
        <v>52</v>
      </c>
      <c r="K14" s="4" t="s">
        <v>59</v>
      </c>
      <c r="L14" s="4" t="s">
        <v>60</v>
      </c>
      <c r="M14" s="4" t="s">
        <v>61</v>
      </c>
      <c r="N14" s="4" t="s">
        <v>200</v>
      </c>
      <c r="O14" s="4" t="s">
        <v>63</v>
      </c>
      <c r="P14" s="4" t="s">
        <v>64</v>
      </c>
    </row>
    <row r="15">
      <c r="A15" s="4" t="s">
        <v>40</v>
      </c>
      <c r="B15" s="4" t="s">
        <v>40</v>
      </c>
      <c r="C15" s="4">
        <v>13.0</v>
      </c>
      <c r="D15" s="5" t="str">
        <f>HYPERLINK("https://www.linkedin.com/ad-library/detail/1541605654","Open Ad")</f>
        <v>Open Ad</v>
      </c>
      <c r="E15" s="4" t="s">
        <v>121</v>
      </c>
      <c r="F15" s="4" t="s">
        <v>54</v>
      </c>
      <c r="G15" s="4" t="s">
        <v>204</v>
      </c>
      <c r="H15" s="4" t="s">
        <v>206</v>
      </c>
      <c r="I15" s="4" t="s">
        <v>207</v>
      </c>
      <c r="J15" s="4" t="s">
        <v>121</v>
      </c>
      <c r="K15" s="5" t="str">
        <f>HYPERLINK("https://dms.licdn.com/playlist/vid/v2/D4E05AQFZnNYsrfZmrQ/mp4-640p-30fp-crf28/B4EaBCY2IkHQB0-/0/1787820214688?e=2147483647&amp;v=beta&amp;t=KloVMKZPrazw_BYECErgMeNi1t-WOafXPPhtqCRihzk","View Creative")</f>
        <v>View Creative</v>
      </c>
      <c r="L15" s="4" t="s">
        <v>106</v>
      </c>
      <c r="M15" s="4" t="s">
        <v>61</v>
      </c>
      <c r="O15" s="4" t="s">
        <v>89</v>
      </c>
      <c r="P15" s="4" t="s">
        <v>214</v>
      </c>
    </row>
    <row r="16">
      <c r="A16" s="4" t="s">
        <v>40</v>
      </c>
      <c r="B16" s="4" t="s">
        <v>40</v>
      </c>
      <c r="C16" s="4">
        <v>14.0</v>
      </c>
      <c r="D16" s="5" t="str">
        <f>HYPERLINK("https://www.linkedin.com/ad-library/detail/1514941274","Open Ad")</f>
        <v>Open Ad</v>
      </c>
      <c r="E16" s="4" t="s">
        <v>78</v>
      </c>
      <c r="F16" s="8" t="s">
        <v>79</v>
      </c>
      <c r="G16" s="4" t="s">
        <v>81</v>
      </c>
      <c r="H16" s="4" t="s">
        <v>49</v>
      </c>
      <c r="I16" s="4" t="s">
        <v>83</v>
      </c>
      <c r="J16" s="4" t="s">
        <v>78</v>
      </c>
      <c r="K16" s="5" t="str">
        <f>HYPERLINK("https://media.licdn.com/dms/image/v2/D4E10AQFfjfof--np7g/image-shrink_1280/B4EaAedlfuHEAc-/0/1787217467631/zoominfo_learnmore_human1_373_visibility_1080x1080png?e=2147483647&amp;v=beta&amp;t=RgvKcFzCADjzilwq9qI6_St8ZF-AxwLY0wzmcTs8Wl4","View Creative")</f>
        <v>View Creative</v>
      </c>
      <c r="L16" s="4" t="s">
        <v>60</v>
      </c>
      <c r="M16" s="4" t="s">
        <v>61</v>
      </c>
      <c r="N16" s="4" t="s">
        <v>88</v>
      </c>
      <c r="O16" s="4" t="s">
        <v>89</v>
      </c>
      <c r="P16" s="4" t="s">
        <v>225</v>
      </c>
    </row>
    <row r="17">
      <c r="A17" s="4" t="s">
        <v>40</v>
      </c>
      <c r="B17" s="4" t="s">
        <v>40</v>
      </c>
      <c r="C17" s="4">
        <v>15.0</v>
      </c>
      <c r="D17" s="5" t="str">
        <f>HYPERLINK("https://www.linkedin.com/ad-library/detail/1523863334","Open Ad")</f>
        <v>Open Ad</v>
      </c>
      <c r="E17" s="4" t="s">
        <v>52</v>
      </c>
      <c r="F17" s="4" t="s">
        <v>54</v>
      </c>
      <c r="G17" s="4" t="s">
        <v>69</v>
      </c>
      <c r="H17" s="4" t="s">
        <v>49</v>
      </c>
      <c r="I17" s="4" t="s">
        <v>56</v>
      </c>
      <c r="J17" s="4" t="s">
        <v>52</v>
      </c>
      <c r="K17" s="4" t="s">
        <v>59</v>
      </c>
      <c r="L17" s="4" t="s">
        <v>60</v>
      </c>
      <c r="M17" s="4" t="s">
        <v>61</v>
      </c>
      <c r="N17" s="4" t="s">
        <v>62</v>
      </c>
      <c r="O17" s="4" t="s">
        <v>63</v>
      </c>
      <c r="P17" s="4" t="s">
        <v>64</v>
      </c>
    </row>
    <row r="18">
      <c r="A18" s="4" t="s">
        <v>40</v>
      </c>
      <c r="B18" s="4" t="s">
        <v>40</v>
      </c>
      <c r="C18" s="4">
        <v>16.0</v>
      </c>
      <c r="D18" s="5" t="str">
        <f>HYPERLINK("https://www.linkedin.com/ad-library/detail/1541489924","Open Ad")</f>
        <v>Open Ad</v>
      </c>
      <c r="E18" s="4" t="s">
        <v>78</v>
      </c>
      <c r="F18" s="4" t="s">
        <v>54</v>
      </c>
      <c r="G18" s="4" t="s">
        <v>114</v>
      </c>
      <c r="H18" s="4" t="s">
        <v>49</v>
      </c>
      <c r="I18" s="4" t="s">
        <v>116</v>
      </c>
      <c r="J18" s="4" t="s">
        <v>78</v>
      </c>
      <c r="K18" s="4" t="s">
        <v>59</v>
      </c>
      <c r="L18" s="4" t="s">
        <v>60</v>
      </c>
      <c r="M18" s="4" t="s">
        <v>61</v>
      </c>
      <c r="N18" s="4" t="s">
        <v>117</v>
      </c>
      <c r="O18" s="4" t="s">
        <v>63</v>
      </c>
      <c r="P18" s="4" t="s">
        <v>64</v>
      </c>
    </row>
    <row r="19">
      <c r="A19" s="4" t="s">
        <v>40</v>
      </c>
      <c r="B19" s="4" t="s">
        <v>40</v>
      </c>
      <c r="C19" s="4">
        <v>17.0</v>
      </c>
      <c r="D19" s="5" t="str">
        <f>HYPERLINK("https://www.linkedin.com/ad-library/detail/1515069404","Open Ad")</f>
        <v>Open Ad</v>
      </c>
      <c r="E19" s="4" t="s">
        <v>78</v>
      </c>
      <c r="F19" s="4" t="s">
        <v>54</v>
      </c>
      <c r="G19" s="4" t="s">
        <v>245</v>
      </c>
      <c r="H19" s="4" t="s">
        <v>246</v>
      </c>
      <c r="I19" s="4" t="s">
        <v>247</v>
      </c>
      <c r="J19" s="4" t="s">
        <v>78</v>
      </c>
      <c r="K19" s="5" t="str">
        <f>HYPERLINK("https://media.licdn.com/dms/image/v2/D4E22AQHPVwb3DbK6WQ/feedshare-shrink_800/B4EZ_wr2q9H8Ac-/0/1786449456143?e=2147483647&amp;v=beta&amp;t=bTLAcSUpn-hClxUrzfVuxNMPq7MO45EuIIwnkfJDhIc","View Creative")</f>
        <v>View Creative</v>
      </c>
      <c r="L19" s="4" t="s">
        <v>106</v>
      </c>
      <c r="M19" s="4" t="s">
        <v>61</v>
      </c>
      <c r="O19" s="4" t="s">
        <v>89</v>
      </c>
      <c r="P19" s="4" t="s">
        <v>255</v>
      </c>
    </row>
    <row r="20">
      <c r="A20" s="4" t="s">
        <v>40</v>
      </c>
      <c r="B20" s="4" t="s">
        <v>40</v>
      </c>
      <c r="C20" s="4">
        <v>18.0</v>
      </c>
      <c r="D20" s="5" t="str">
        <f>HYPERLINK("https://www.linkedin.com/ad-library/detail/1515129334","Open Ad")</f>
        <v>Open Ad</v>
      </c>
      <c r="E20" s="4" t="s">
        <v>78</v>
      </c>
      <c r="F20" s="8" t="s">
        <v>79</v>
      </c>
      <c r="G20" s="4" t="s">
        <v>81</v>
      </c>
      <c r="H20" s="4" t="s">
        <v>49</v>
      </c>
      <c r="I20" s="4" t="s">
        <v>83</v>
      </c>
      <c r="J20" s="4" t="s">
        <v>78</v>
      </c>
      <c r="K20" s="5" t="str">
        <f>HYPERLINK("https://media.licdn.com/dms/image/v2/D4E10AQFoBQmX7JYNMA/image-shrink_1280/B4EaAkDtxrKsAc-/0/1787311349209/zoominfo_learnmore_human2_zoominfo_dominate_1080x1080png?e=2147483647&amp;v=beta&amp;t=WW2Yg6JNt1_AWlcnTMg1WC_o_ORHXbveyV8IeGCgP40","View Creative")</f>
        <v>View Creative</v>
      </c>
      <c r="L20" s="4" t="s">
        <v>60</v>
      </c>
      <c r="M20" s="4" t="s">
        <v>61</v>
      </c>
      <c r="N20" s="4" t="s">
        <v>265</v>
      </c>
      <c r="O20" s="4" t="s">
        <v>89</v>
      </c>
      <c r="P20" s="4" t="s">
        <v>266</v>
      </c>
    </row>
    <row r="21">
      <c r="A21" s="4" t="s">
        <v>40</v>
      </c>
      <c r="B21" s="4" t="s">
        <v>40</v>
      </c>
      <c r="C21" s="4">
        <v>19.0</v>
      </c>
      <c r="D21" s="5" t="str">
        <f>HYPERLINK("https://www.linkedin.com/ad-library/detail/1518339964","Open Ad")</f>
        <v>Open Ad</v>
      </c>
      <c r="E21" s="4" t="s">
        <v>78</v>
      </c>
      <c r="F21" s="8" t="s">
        <v>79</v>
      </c>
      <c r="G21" s="4" t="s">
        <v>81</v>
      </c>
      <c r="H21" s="4" t="s">
        <v>49</v>
      </c>
      <c r="I21" s="4" t="s">
        <v>83</v>
      </c>
      <c r="J21" s="4" t="s">
        <v>78</v>
      </c>
      <c r="K21" s="5" t="str">
        <f>HYPERLINK("https://media.licdn.com/dms/image/v2/D4E10AQE1oGdAq-eNiw/image-shrink_1280/B4EaAkEGheKsAk-/0/1787311450488/zoominfo_learnmore_nonhuman2_373_visibility_1080x1080png?e=2147483647&amp;v=beta&amp;t=j7vbqd2h1dnHC-9dht648UgDTWH3SJqDMg6Q_kzdIiU","View Creative")</f>
        <v>View Creative</v>
      </c>
      <c r="L21" s="4" t="s">
        <v>60</v>
      </c>
      <c r="M21" s="4" t="s">
        <v>61</v>
      </c>
      <c r="N21" s="4" t="s">
        <v>88</v>
      </c>
      <c r="O21" s="4" t="s">
        <v>89</v>
      </c>
      <c r="P21" s="4" t="s">
        <v>276</v>
      </c>
    </row>
    <row r="22">
      <c r="A22" s="4" t="s">
        <v>40</v>
      </c>
      <c r="B22" s="4" t="s">
        <v>40</v>
      </c>
      <c r="C22" s="4">
        <v>20.0</v>
      </c>
      <c r="D22" s="5" t="str">
        <f>HYPERLINK("https://www.linkedin.com/ad-library/detail/1523774374","Open Ad")</f>
        <v>Open Ad</v>
      </c>
      <c r="E22" s="4" t="s">
        <v>52</v>
      </c>
      <c r="F22" s="4" t="s">
        <v>54</v>
      </c>
      <c r="G22" s="4" t="s">
        <v>69</v>
      </c>
      <c r="H22" s="4" t="s">
        <v>49</v>
      </c>
      <c r="I22" s="4" t="s">
        <v>56</v>
      </c>
      <c r="J22" s="4" t="s">
        <v>52</v>
      </c>
      <c r="K22" s="4" t="s">
        <v>59</v>
      </c>
      <c r="L22" s="4" t="s">
        <v>60</v>
      </c>
      <c r="M22" s="4" t="s">
        <v>61</v>
      </c>
      <c r="N22" s="4" t="s">
        <v>62</v>
      </c>
      <c r="O22" s="4" t="s">
        <v>63</v>
      </c>
      <c r="P22" s="4" t="s">
        <v>64</v>
      </c>
    </row>
    <row r="23">
      <c r="A23" s="4" t="s">
        <v>40</v>
      </c>
      <c r="B23" s="4" t="s">
        <v>40</v>
      </c>
      <c r="C23" s="4">
        <v>21.0</v>
      </c>
      <c r="D23" s="5" t="str">
        <f>HYPERLINK("https://www.linkedin.com/ad-library/detail/1523804394","Open Ad")</f>
        <v>Open Ad</v>
      </c>
      <c r="E23" s="4" t="s">
        <v>52</v>
      </c>
      <c r="F23" s="4" t="s">
        <v>54</v>
      </c>
      <c r="G23" s="4" t="s">
        <v>164</v>
      </c>
      <c r="H23" s="4" t="s">
        <v>49</v>
      </c>
      <c r="I23" s="4" t="s">
        <v>166</v>
      </c>
      <c r="J23" s="4" t="s">
        <v>52</v>
      </c>
      <c r="K23" s="4" t="s">
        <v>59</v>
      </c>
      <c r="L23" s="4" t="s">
        <v>60</v>
      </c>
      <c r="M23" s="4" t="s">
        <v>61</v>
      </c>
      <c r="N23" s="4" t="s">
        <v>76</v>
      </c>
      <c r="O23" s="4" t="s">
        <v>63</v>
      </c>
      <c r="P23" s="4" t="s">
        <v>64</v>
      </c>
    </row>
    <row r="24">
      <c r="A24" s="4" t="s">
        <v>40</v>
      </c>
      <c r="B24" s="4" t="s">
        <v>40</v>
      </c>
      <c r="C24" s="4">
        <v>22.0</v>
      </c>
      <c r="D24" s="5" t="str">
        <f>HYPERLINK("https://www.linkedin.com/ad-library/detail/1523662834","Open Ad")</f>
        <v>Open Ad</v>
      </c>
      <c r="E24" s="4" t="s">
        <v>52</v>
      </c>
      <c r="F24" s="4" t="s">
        <v>54</v>
      </c>
      <c r="G24" s="4" t="s">
        <v>55</v>
      </c>
      <c r="H24" s="4" t="s">
        <v>49</v>
      </c>
      <c r="I24" s="4" t="s">
        <v>56</v>
      </c>
      <c r="J24" s="4" t="s">
        <v>52</v>
      </c>
      <c r="K24" s="4" t="s">
        <v>59</v>
      </c>
      <c r="L24" s="4" t="s">
        <v>60</v>
      </c>
      <c r="M24" s="4" t="s">
        <v>61</v>
      </c>
      <c r="N24" s="4" t="s">
        <v>76</v>
      </c>
      <c r="O24" s="4" t="s">
        <v>63</v>
      </c>
      <c r="P24" s="4" t="s">
        <v>64</v>
      </c>
    </row>
    <row r="25">
      <c r="A25" s="4" t="s">
        <v>40</v>
      </c>
      <c r="B25" s="4" t="s">
        <v>40</v>
      </c>
      <c r="C25" s="4">
        <v>23.0</v>
      </c>
      <c r="D25" s="5" t="str">
        <f>HYPERLINK("https://www.linkedin.com/ad-library/detail/1523662614","Open Ad")</f>
        <v>Open Ad</v>
      </c>
      <c r="E25" s="4" t="s">
        <v>52</v>
      </c>
      <c r="F25" s="4" t="s">
        <v>54</v>
      </c>
      <c r="G25" s="4" t="s">
        <v>164</v>
      </c>
      <c r="H25" s="4" t="s">
        <v>49</v>
      </c>
      <c r="I25" s="4" t="s">
        <v>166</v>
      </c>
      <c r="J25" s="4" t="s">
        <v>52</v>
      </c>
      <c r="K25" s="4" t="s">
        <v>59</v>
      </c>
      <c r="L25" s="4" t="s">
        <v>60</v>
      </c>
      <c r="M25" s="4" t="s">
        <v>61</v>
      </c>
      <c r="N25" s="4" t="s">
        <v>62</v>
      </c>
      <c r="O25" s="4" t="s">
        <v>63</v>
      </c>
      <c r="P25" s="4" t="s">
        <v>64</v>
      </c>
    </row>
    <row r="26">
      <c r="A26" s="4" t="s">
        <v>40</v>
      </c>
      <c r="B26" s="4" t="s">
        <v>40</v>
      </c>
      <c r="C26" s="4">
        <v>24.0</v>
      </c>
      <c r="D26" s="5" t="str">
        <f>HYPERLINK("https://www.linkedin.com/ad-library/detail/1514830644","Open Ad")</f>
        <v>Open Ad</v>
      </c>
      <c r="E26" s="4" t="s">
        <v>78</v>
      </c>
      <c r="F26" s="8" t="s">
        <v>79</v>
      </c>
      <c r="G26" s="4" t="s">
        <v>81</v>
      </c>
      <c r="H26" s="4" t="s">
        <v>49</v>
      </c>
      <c r="I26" s="4" t="s">
        <v>83</v>
      </c>
      <c r="J26" s="4" t="s">
        <v>78</v>
      </c>
      <c r="K26" s="5" t="str">
        <f>HYPERLINK("https://media.licdn.com/dms/image/v2/D4E10AQGS9fqoxfcK4A/image-shrink_1280/B4EaAed6E.IUAg-/0/1787217551986/zoominfo_learnmore_nonhuman1_373_visibility_1080x1080png?e=2147483647&amp;v=beta&amp;t=0LJCDSf_ZnEGJiIpA0LiuhUGYVQdKCRdAEytBamjNbQ","View Creative")</f>
        <v>View Creative</v>
      </c>
      <c r="L26" s="4" t="s">
        <v>60</v>
      </c>
      <c r="M26" s="4" t="s">
        <v>61</v>
      </c>
      <c r="N26" s="4" t="s">
        <v>265</v>
      </c>
      <c r="O26" s="4" t="s">
        <v>89</v>
      </c>
      <c r="P26" s="4" t="s">
        <v>305</v>
      </c>
    </row>
    <row r="27">
      <c r="A27" s="4" t="s">
        <v>40</v>
      </c>
      <c r="B27" s="4" t="s">
        <v>40</v>
      </c>
      <c r="C27" s="4">
        <v>25.0</v>
      </c>
      <c r="D27" s="5" t="str">
        <f>HYPERLINK("https://www.linkedin.com/ad-library/detail/1514226134","Open Ad")</f>
        <v>Open Ad</v>
      </c>
      <c r="E27" s="4" t="s">
        <v>52</v>
      </c>
      <c r="F27" s="4" t="s">
        <v>54</v>
      </c>
      <c r="G27" s="4" t="s">
        <v>55</v>
      </c>
      <c r="H27" s="4" t="s">
        <v>49</v>
      </c>
      <c r="I27" s="4" t="s">
        <v>56</v>
      </c>
      <c r="J27" s="4" t="s">
        <v>52</v>
      </c>
      <c r="K27" s="4" t="s">
        <v>59</v>
      </c>
      <c r="L27" s="4" t="s">
        <v>60</v>
      </c>
      <c r="M27" s="4" t="s">
        <v>61</v>
      </c>
      <c r="N27" s="4" t="s">
        <v>309</v>
      </c>
      <c r="O27" s="4" t="s">
        <v>63</v>
      </c>
      <c r="P27" s="4" t="s">
        <v>64</v>
      </c>
    </row>
    <row r="28">
      <c r="A28" s="4" t="s">
        <v>40</v>
      </c>
      <c r="B28" s="4" t="s">
        <v>40</v>
      </c>
      <c r="C28" s="4">
        <v>26.0</v>
      </c>
      <c r="D28" s="5" t="str">
        <f>HYPERLINK("https://www.linkedin.com/ad-library/detail/1509096504","Open Ad")</f>
        <v>Open Ad</v>
      </c>
      <c r="E28" s="4" t="s">
        <v>52</v>
      </c>
      <c r="F28" s="4" t="s">
        <v>54</v>
      </c>
      <c r="G28" s="4" t="s">
        <v>313</v>
      </c>
      <c r="H28" s="4" t="s">
        <v>49</v>
      </c>
      <c r="I28" s="4" t="s">
        <v>198</v>
      </c>
      <c r="J28" s="4" t="s">
        <v>52</v>
      </c>
      <c r="K28" s="4" t="s">
        <v>59</v>
      </c>
      <c r="L28" s="4" t="s">
        <v>60</v>
      </c>
      <c r="M28" s="4" t="s">
        <v>61</v>
      </c>
      <c r="N28" s="4" t="s">
        <v>316</v>
      </c>
      <c r="O28" s="4" t="s">
        <v>63</v>
      </c>
      <c r="P28" s="4" t="s">
        <v>64</v>
      </c>
    </row>
    <row r="29">
      <c r="A29" s="4" t="s">
        <v>40</v>
      </c>
      <c r="B29" s="4" t="s">
        <v>40</v>
      </c>
      <c r="C29" s="4">
        <v>27.0</v>
      </c>
      <c r="D29" s="5" t="str">
        <f>HYPERLINK("https://www.linkedin.com/ad-library/detail/1514255774","Open Ad")</f>
        <v>Open Ad</v>
      </c>
      <c r="E29" s="4" t="s">
        <v>52</v>
      </c>
      <c r="F29" s="4" t="s">
        <v>54</v>
      </c>
      <c r="G29" s="4" t="s">
        <v>321</v>
      </c>
      <c r="H29" s="4" t="s">
        <v>49</v>
      </c>
      <c r="I29" s="4" t="s">
        <v>166</v>
      </c>
      <c r="J29" s="4" t="s">
        <v>52</v>
      </c>
      <c r="K29" s="4" t="s">
        <v>59</v>
      </c>
      <c r="L29" s="4" t="s">
        <v>60</v>
      </c>
      <c r="M29" s="4" t="s">
        <v>61</v>
      </c>
      <c r="N29" s="4" t="s">
        <v>316</v>
      </c>
      <c r="O29" s="4" t="s">
        <v>63</v>
      </c>
      <c r="P29" s="4" t="s">
        <v>64</v>
      </c>
    </row>
    <row r="30">
      <c r="A30" s="4" t="s">
        <v>40</v>
      </c>
      <c r="B30" s="4" t="s">
        <v>40</v>
      </c>
      <c r="C30" s="4">
        <v>28.0</v>
      </c>
      <c r="D30" s="5" t="str">
        <f>HYPERLINK("https://www.linkedin.com/ad-library/detail/1514255764","Open Ad")</f>
        <v>Open Ad</v>
      </c>
      <c r="E30" s="4" t="s">
        <v>52</v>
      </c>
      <c r="F30" s="4" t="s">
        <v>54</v>
      </c>
      <c r="G30" s="4" t="s">
        <v>193</v>
      </c>
      <c r="H30" s="4" t="s">
        <v>49</v>
      </c>
      <c r="I30" s="4" t="s">
        <v>198</v>
      </c>
      <c r="J30" s="4" t="s">
        <v>52</v>
      </c>
      <c r="K30" s="4" t="s">
        <v>59</v>
      </c>
      <c r="L30" s="4" t="s">
        <v>60</v>
      </c>
      <c r="M30" s="4" t="s">
        <v>61</v>
      </c>
      <c r="N30" s="4" t="s">
        <v>316</v>
      </c>
      <c r="O30" s="4" t="s">
        <v>63</v>
      </c>
      <c r="P30" s="4" t="s">
        <v>64</v>
      </c>
    </row>
    <row r="31">
      <c r="A31" s="4" t="s">
        <v>40</v>
      </c>
      <c r="B31" s="4" t="s">
        <v>40</v>
      </c>
      <c r="C31" s="4">
        <v>29.0</v>
      </c>
      <c r="D31" s="5" t="str">
        <f>HYPERLINK("https://www.linkedin.com/ad-library/detail/1514246114","Open Ad")</f>
        <v>Open Ad</v>
      </c>
      <c r="E31" s="4" t="s">
        <v>52</v>
      </c>
      <c r="F31" s="4" t="s">
        <v>54</v>
      </c>
      <c r="G31" s="4" t="s">
        <v>332</v>
      </c>
      <c r="H31" s="4" t="s">
        <v>49</v>
      </c>
      <c r="I31" s="4" t="s">
        <v>56</v>
      </c>
      <c r="J31" s="4" t="s">
        <v>52</v>
      </c>
      <c r="K31" s="4" t="s">
        <v>59</v>
      </c>
      <c r="L31" s="4" t="s">
        <v>60</v>
      </c>
      <c r="M31" s="4" t="s">
        <v>61</v>
      </c>
      <c r="N31" s="4" t="s">
        <v>316</v>
      </c>
      <c r="O31" s="4" t="s">
        <v>63</v>
      </c>
      <c r="P31" s="4" t="s">
        <v>64</v>
      </c>
    </row>
    <row r="32">
      <c r="A32" s="4" t="s">
        <v>40</v>
      </c>
      <c r="B32" s="4" t="s">
        <v>40</v>
      </c>
      <c r="C32" s="4">
        <v>30.0</v>
      </c>
      <c r="D32" s="5" t="str">
        <f>HYPERLINK("https://www.linkedin.com/ad-library/detail/1514206034","Open Ad")</f>
        <v>Open Ad</v>
      </c>
      <c r="E32" s="4" t="s">
        <v>52</v>
      </c>
      <c r="F32" s="4" t="s">
        <v>54</v>
      </c>
      <c r="G32" s="4" t="s">
        <v>339</v>
      </c>
      <c r="H32" s="4" t="s">
        <v>49</v>
      </c>
      <c r="I32" s="4" t="s">
        <v>340</v>
      </c>
      <c r="J32" s="4" t="s">
        <v>52</v>
      </c>
      <c r="K32" s="4" t="s">
        <v>59</v>
      </c>
      <c r="L32" s="4" t="s">
        <v>60</v>
      </c>
      <c r="M32" s="4" t="s">
        <v>61</v>
      </c>
      <c r="N32" s="4" t="s">
        <v>316</v>
      </c>
      <c r="O32" s="4" t="s">
        <v>63</v>
      </c>
      <c r="P32" s="4" t="s">
        <v>64</v>
      </c>
    </row>
    <row r="33">
      <c r="A33" s="4" t="s">
        <v>40</v>
      </c>
      <c r="B33" s="4" t="s">
        <v>40</v>
      </c>
      <c r="C33" s="4">
        <v>31.0</v>
      </c>
      <c r="D33" s="5" t="str">
        <f>HYPERLINK("https://www.linkedin.com/ad-library/detail/1509055904","Open Ad")</f>
        <v>Open Ad</v>
      </c>
      <c r="E33" s="4" t="s">
        <v>52</v>
      </c>
      <c r="F33" s="4" t="s">
        <v>54</v>
      </c>
      <c r="G33" s="4" t="s">
        <v>193</v>
      </c>
      <c r="H33" s="4" t="s">
        <v>49</v>
      </c>
      <c r="I33" s="4" t="s">
        <v>198</v>
      </c>
      <c r="J33" s="4" t="s">
        <v>52</v>
      </c>
      <c r="K33" s="4" t="s">
        <v>59</v>
      </c>
      <c r="L33" s="4" t="s">
        <v>60</v>
      </c>
      <c r="M33" s="4" t="s">
        <v>61</v>
      </c>
      <c r="N33" s="4" t="s">
        <v>316</v>
      </c>
      <c r="O33" s="4" t="s">
        <v>63</v>
      </c>
      <c r="P33" s="4" t="s">
        <v>64</v>
      </c>
    </row>
    <row r="34">
      <c r="A34" s="4" t="s">
        <v>40</v>
      </c>
      <c r="B34" s="4" t="s">
        <v>40</v>
      </c>
      <c r="C34" s="4">
        <v>32.0</v>
      </c>
      <c r="D34" s="5" t="str">
        <f>HYPERLINK("https://www.linkedin.com/ad-library/detail/1509156214","Open Ad")</f>
        <v>Open Ad</v>
      </c>
      <c r="E34" s="4" t="s">
        <v>52</v>
      </c>
      <c r="F34" s="4" t="s">
        <v>54</v>
      </c>
      <c r="G34" s="4" t="s">
        <v>353</v>
      </c>
      <c r="H34" s="4" t="s">
        <v>49</v>
      </c>
      <c r="I34" s="4" t="s">
        <v>166</v>
      </c>
      <c r="J34" s="4" t="s">
        <v>52</v>
      </c>
      <c r="K34" s="4" t="s">
        <v>59</v>
      </c>
      <c r="L34" s="4" t="s">
        <v>60</v>
      </c>
      <c r="M34" s="4" t="s">
        <v>61</v>
      </c>
      <c r="N34" s="4" t="s">
        <v>316</v>
      </c>
      <c r="O34" s="4" t="s">
        <v>63</v>
      </c>
      <c r="P34" s="4" t="s">
        <v>64</v>
      </c>
    </row>
    <row r="35">
      <c r="A35" s="4" t="s">
        <v>40</v>
      </c>
      <c r="B35" s="4" t="s">
        <v>40</v>
      </c>
      <c r="C35" s="4">
        <v>33.0</v>
      </c>
      <c r="D35" s="5" t="str">
        <f>HYPERLINK("https://www.linkedin.com/ad-library/detail/1514206084","Open Ad")</f>
        <v>Open Ad</v>
      </c>
      <c r="E35" s="4" t="s">
        <v>52</v>
      </c>
      <c r="F35" s="4" t="s">
        <v>54</v>
      </c>
      <c r="G35" s="4" t="s">
        <v>339</v>
      </c>
      <c r="H35" s="4" t="s">
        <v>49</v>
      </c>
      <c r="I35" s="4" t="s">
        <v>340</v>
      </c>
      <c r="J35" s="4" t="s">
        <v>52</v>
      </c>
      <c r="K35" s="4" t="s">
        <v>59</v>
      </c>
      <c r="L35" s="4" t="s">
        <v>60</v>
      </c>
      <c r="M35" s="4" t="s">
        <v>61</v>
      </c>
      <c r="N35" s="4" t="s">
        <v>316</v>
      </c>
      <c r="O35" s="4" t="s">
        <v>63</v>
      </c>
      <c r="P35" s="4" t="s">
        <v>64</v>
      </c>
    </row>
    <row r="36">
      <c r="A36" s="4" t="s">
        <v>40</v>
      </c>
      <c r="B36" s="4" t="s">
        <v>40</v>
      </c>
      <c r="C36" s="4">
        <v>34.0</v>
      </c>
      <c r="D36" s="5" t="str">
        <f>HYPERLINK("https://www.linkedin.com/ad-library/detail/1509065874","Open Ad")</f>
        <v>Open Ad</v>
      </c>
      <c r="E36" s="4" t="s">
        <v>52</v>
      </c>
      <c r="F36" s="4" t="s">
        <v>54</v>
      </c>
      <c r="G36" s="4" t="s">
        <v>362</v>
      </c>
      <c r="H36" s="4" t="s">
        <v>49</v>
      </c>
      <c r="I36" s="4" t="s">
        <v>364</v>
      </c>
      <c r="J36" s="4" t="s">
        <v>52</v>
      </c>
      <c r="K36" s="4" t="s">
        <v>59</v>
      </c>
      <c r="L36" s="4" t="s">
        <v>60</v>
      </c>
      <c r="M36" s="4" t="s">
        <v>61</v>
      </c>
      <c r="N36" s="4" t="s">
        <v>316</v>
      </c>
      <c r="O36" s="4" t="s">
        <v>63</v>
      </c>
      <c r="P36" s="4" t="s">
        <v>64</v>
      </c>
    </row>
    <row r="37">
      <c r="A37" s="4" t="s">
        <v>40</v>
      </c>
      <c r="B37" s="4" t="s">
        <v>40</v>
      </c>
      <c r="C37" s="4">
        <v>35.0</v>
      </c>
      <c r="D37" s="5" t="str">
        <f>HYPERLINK("https://www.linkedin.com/ad-library/detail/1509085744","Open Ad")</f>
        <v>Open Ad</v>
      </c>
      <c r="E37" s="4" t="s">
        <v>52</v>
      </c>
      <c r="F37" s="4" t="s">
        <v>54</v>
      </c>
      <c r="G37" s="4" t="s">
        <v>164</v>
      </c>
      <c r="H37" s="4" t="s">
        <v>49</v>
      </c>
      <c r="I37" s="4" t="s">
        <v>166</v>
      </c>
      <c r="J37" s="4" t="s">
        <v>52</v>
      </c>
      <c r="K37" s="4" t="s">
        <v>59</v>
      </c>
      <c r="L37" s="4" t="s">
        <v>60</v>
      </c>
      <c r="M37" s="4" t="s">
        <v>61</v>
      </c>
      <c r="N37" s="4" t="s">
        <v>316</v>
      </c>
      <c r="O37" s="4" t="s">
        <v>63</v>
      </c>
      <c r="P37" s="4" t="s">
        <v>64</v>
      </c>
    </row>
    <row r="38">
      <c r="A38" s="4" t="s">
        <v>40</v>
      </c>
      <c r="B38" s="4" t="s">
        <v>40</v>
      </c>
      <c r="C38" s="4">
        <v>36.0</v>
      </c>
      <c r="D38" s="5" t="str">
        <f>HYPERLINK("https://www.linkedin.com/ad-library/detail/1509085544","Open Ad")</f>
        <v>Open Ad</v>
      </c>
      <c r="E38" s="4" t="s">
        <v>52</v>
      </c>
      <c r="F38" s="4" t="s">
        <v>54</v>
      </c>
      <c r="G38" s="4" t="s">
        <v>55</v>
      </c>
      <c r="H38" s="4" t="s">
        <v>49</v>
      </c>
      <c r="I38" s="4" t="s">
        <v>56</v>
      </c>
      <c r="J38" s="4" t="s">
        <v>52</v>
      </c>
      <c r="K38" s="4" t="s">
        <v>59</v>
      </c>
      <c r="L38" s="4" t="s">
        <v>60</v>
      </c>
      <c r="M38" s="4" t="s">
        <v>61</v>
      </c>
      <c r="N38" s="4" t="s">
        <v>316</v>
      </c>
      <c r="O38" s="4" t="s">
        <v>63</v>
      </c>
      <c r="P38" s="4" t="s">
        <v>64</v>
      </c>
    </row>
    <row r="39">
      <c r="A39" s="4" t="s">
        <v>40</v>
      </c>
      <c r="B39" s="4" t="s">
        <v>40</v>
      </c>
      <c r="C39" s="4">
        <v>37.0</v>
      </c>
      <c r="D39" s="5" t="str">
        <f>HYPERLINK("https://www.linkedin.com/ad-library/detail/1514216204","Open Ad")</f>
        <v>Open Ad</v>
      </c>
      <c r="E39" s="4" t="s">
        <v>52</v>
      </c>
      <c r="F39" s="4" t="s">
        <v>54</v>
      </c>
      <c r="G39" s="4" t="s">
        <v>69</v>
      </c>
      <c r="H39" s="4" t="s">
        <v>49</v>
      </c>
      <c r="I39" s="4" t="s">
        <v>56</v>
      </c>
      <c r="J39" s="4" t="s">
        <v>52</v>
      </c>
      <c r="K39" s="4" t="s">
        <v>59</v>
      </c>
      <c r="L39" s="4" t="s">
        <v>60</v>
      </c>
      <c r="M39" s="4" t="s">
        <v>61</v>
      </c>
      <c r="N39" s="4" t="s">
        <v>316</v>
      </c>
      <c r="O39" s="4" t="s">
        <v>63</v>
      </c>
      <c r="P39" s="4" t="s">
        <v>64</v>
      </c>
    </row>
    <row r="40">
      <c r="A40" s="4" t="s">
        <v>40</v>
      </c>
      <c r="B40" s="4" t="s">
        <v>40</v>
      </c>
      <c r="C40" s="4">
        <v>38.0</v>
      </c>
      <c r="D40" s="5" t="str">
        <f>HYPERLINK("https://www.linkedin.com/ad-library/detail/1514286164","Open Ad")</f>
        <v>Open Ad</v>
      </c>
      <c r="E40" s="4" t="s">
        <v>52</v>
      </c>
      <c r="F40" s="4" t="s">
        <v>54</v>
      </c>
      <c r="G40" s="4" t="s">
        <v>332</v>
      </c>
      <c r="H40" s="4" t="s">
        <v>49</v>
      </c>
      <c r="I40" s="4" t="s">
        <v>56</v>
      </c>
      <c r="J40" s="4" t="s">
        <v>52</v>
      </c>
      <c r="K40" s="4" t="s">
        <v>59</v>
      </c>
      <c r="L40" s="4" t="s">
        <v>60</v>
      </c>
      <c r="M40" s="4" t="s">
        <v>61</v>
      </c>
      <c r="N40" s="4" t="s">
        <v>316</v>
      </c>
      <c r="O40" s="4" t="s">
        <v>63</v>
      </c>
      <c r="P40" s="4" t="s">
        <v>64</v>
      </c>
    </row>
    <row r="41">
      <c r="A41" s="4" t="s">
        <v>40</v>
      </c>
      <c r="B41" s="4" t="s">
        <v>40</v>
      </c>
      <c r="C41" s="4">
        <v>39.0</v>
      </c>
      <c r="D41" s="5" t="str">
        <f>HYPERLINK("https://www.linkedin.com/ad-library/detail/1509145744","Open Ad")</f>
        <v>Open Ad</v>
      </c>
      <c r="E41" s="4" t="s">
        <v>52</v>
      </c>
      <c r="F41" s="4" t="s">
        <v>54</v>
      </c>
      <c r="G41" s="4" t="s">
        <v>383</v>
      </c>
      <c r="H41" s="4" t="s">
        <v>49</v>
      </c>
      <c r="I41" s="4" t="s">
        <v>166</v>
      </c>
      <c r="J41" s="4" t="s">
        <v>52</v>
      </c>
      <c r="K41" s="4" t="s">
        <v>59</v>
      </c>
      <c r="L41" s="4" t="s">
        <v>60</v>
      </c>
      <c r="M41" s="4" t="s">
        <v>61</v>
      </c>
      <c r="N41" s="4" t="s">
        <v>316</v>
      </c>
      <c r="O41" s="4" t="s">
        <v>63</v>
      </c>
      <c r="P41" s="4" t="s">
        <v>64</v>
      </c>
    </row>
    <row r="42">
      <c r="A42" s="4" t="s">
        <v>40</v>
      </c>
      <c r="B42" s="4" t="s">
        <v>40</v>
      </c>
      <c r="C42" s="4">
        <v>40.0</v>
      </c>
      <c r="D42" s="5" t="str">
        <f>HYPERLINK("https://www.linkedin.com/ad-library/detail/1514216014","Open Ad")</f>
        <v>Open Ad</v>
      </c>
      <c r="E42" s="4" t="s">
        <v>52</v>
      </c>
      <c r="F42" s="4" t="s">
        <v>54</v>
      </c>
      <c r="G42" s="4" t="s">
        <v>164</v>
      </c>
      <c r="H42" s="4" t="s">
        <v>49</v>
      </c>
      <c r="I42" s="4" t="s">
        <v>166</v>
      </c>
      <c r="J42" s="4" t="s">
        <v>52</v>
      </c>
      <c r="K42" s="4" t="s">
        <v>59</v>
      </c>
      <c r="L42" s="4" t="s">
        <v>60</v>
      </c>
      <c r="M42" s="4" t="s">
        <v>61</v>
      </c>
      <c r="N42" s="4" t="s">
        <v>316</v>
      </c>
      <c r="O42" s="4" t="s">
        <v>63</v>
      </c>
      <c r="P42" s="4" t="s">
        <v>64</v>
      </c>
    </row>
    <row r="43">
      <c r="A43" s="4" t="s">
        <v>40</v>
      </c>
      <c r="B43" s="4" t="s">
        <v>40</v>
      </c>
      <c r="C43" s="4">
        <v>41.0</v>
      </c>
      <c r="D43" s="5" t="str">
        <f>HYPERLINK("https://www.linkedin.com/ad-library/detail/1514235994","Open Ad")</f>
        <v>Open Ad</v>
      </c>
      <c r="E43" s="4" t="s">
        <v>52</v>
      </c>
      <c r="F43" s="4" t="s">
        <v>54</v>
      </c>
      <c r="G43" s="4" t="s">
        <v>164</v>
      </c>
      <c r="H43" s="4" t="s">
        <v>49</v>
      </c>
      <c r="I43" s="4" t="s">
        <v>166</v>
      </c>
      <c r="J43" s="4" t="s">
        <v>52</v>
      </c>
      <c r="K43" s="4" t="s">
        <v>59</v>
      </c>
      <c r="L43" s="4" t="s">
        <v>60</v>
      </c>
      <c r="M43" s="4" t="s">
        <v>61</v>
      </c>
      <c r="N43" s="4" t="s">
        <v>316</v>
      </c>
      <c r="O43" s="4" t="s">
        <v>63</v>
      </c>
      <c r="P43" s="4" t="s">
        <v>64</v>
      </c>
    </row>
    <row r="44">
      <c r="A44" s="4" t="s">
        <v>40</v>
      </c>
      <c r="B44" s="4" t="s">
        <v>40</v>
      </c>
      <c r="C44" s="4">
        <v>42.0</v>
      </c>
      <c r="D44" s="5" t="str">
        <f>HYPERLINK("https://www.linkedin.com/ad-library/detail/1514890474","Open Ad")</f>
        <v>Open Ad</v>
      </c>
      <c r="E44" s="4" t="s">
        <v>78</v>
      </c>
      <c r="F44" s="8" t="s">
        <v>79</v>
      </c>
      <c r="G44" s="4" t="s">
        <v>81</v>
      </c>
      <c r="H44" s="4" t="s">
        <v>49</v>
      </c>
      <c r="I44" s="4" t="s">
        <v>83</v>
      </c>
      <c r="J44" s="4" t="s">
        <v>78</v>
      </c>
      <c r="K44" s="5" t="str">
        <f>HYPERLINK("https://media.licdn.com/dms/image/v2/D4E10AQFfjfof--np7g/image-shrink_1280/B4EaAedlfuHEAc-/0/1787217467631/zoominfo_learnmore_human1_373_visibility_1080x1080png?e=2147483647&amp;v=beta&amp;t=RgvKcFzCADjzilwq9qI6_St8ZF-AxwLY0wzmcTs8Wl4","View Creative")</f>
        <v>View Creative</v>
      </c>
      <c r="L44" s="4" t="s">
        <v>60</v>
      </c>
      <c r="M44" s="4" t="s">
        <v>61</v>
      </c>
      <c r="N44" s="4" t="s">
        <v>88</v>
      </c>
      <c r="O44" s="4" t="s">
        <v>89</v>
      </c>
      <c r="P44" s="4" t="s">
        <v>395</v>
      </c>
    </row>
    <row r="45">
      <c r="A45" s="4" t="s">
        <v>40</v>
      </c>
      <c r="B45" s="4" t="s">
        <v>40</v>
      </c>
      <c r="C45" s="4">
        <v>43.0</v>
      </c>
      <c r="D45" s="5" t="str">
        <f>HYPERLINK("https://www.linkedin.com/ad-library/detail/1514216064","Open Ad")</f>
        <v>Open Ad</v>
      </c>
      <c r="E45" s="4" t="s">
        <v>52</v>
      </c>
      <c r="F45" s="4" t="s">
        <v>54</v>
      </c>
      <c r="G45" s="4" t="s">
        <v>55</v>
      </c>
      <c r="H45" s="4" t="s">
        <v>49</v>
      </c>
      <c r="I45" s="4" t="s">
        <v>56</v>
      </c>
      <c r="J45" s="4" t="s">
        <v>52</v>
      </c>
      <c r="K45" s="4" t="s">
        <v>59</v>
      </c>
      <c r="L45" s="4" t="s">
        <v>60</v>
      </c>
      <c r="M45" s="4" t="s">
        <v>61</v>
      </c>
      <c r="N45" s="4" t="s">
        <v>316</v>
      </c>
      <c r="O45" s="4" t="s">
        <v>63</v>
      </c>
      <c r="P45" s="4" t="s">
        <v>64</v>
      </c>
    </row>
    <row r="46">
      <c r="A46" s="4" t="s">
        <v>40</v>
      </c>
      <c r="B46" s="4" t="s">
        <v>40</v>
      </c>
      <c r="C46" s="4">
        <v>44.0</v>
      </c>
      <c r="D46" s="5" t="str">
        <f>HYPERLINK("https://www.linkedin.com/ad-library/detail/1509106584","Open Ad")</f>
        <v>Open Ad</v>
      </c>
      <c r="E46" s="4" t="s">
        <v>52</v>
      </c>
      <c r="F46" s="4" t="s">
        <v>54</v>
      </c>
      <c r="G46" s="4" t="s">
        <v>193</v>
      </c>
      <c r="H46" s="4" t="s">
        <v>49</v>
      </c>
      <c r="I46" s="4" t="s">
        <v>198</v>
      </c>
      <c r="J46" s="4" t="s">
        <v>52</v>
      </c>
      <c r="K46" s="4" t="s">
        <v>59</v>
      </c>
      <c r="L46" s="4" t="s">
        <v>60</v>
      </c>
      <c r="M46" s="4" t="s">
        <v>61</v>
      </c>
      <c r="N46" s="4" t="s">
        <v>316</v>
      </c>
      <c r="O46" s="4" t="s">
        <v>63</v>
      </c>
      <c r="P46" s="4" t="s">
        <v>64</v>
      </c>
    </row>
    <row r="47">
      <c r="A47" s="4" t="s">
        <v>40</v>
      </c>
      <c r="B47" s="4" t="s">
        <v>40</v>
      </c>
      <c r="C47" s="4">
        <v>45.0</v>
      </c>
      <c r="D47" s="5" t="str">
        <f>HYPERLINK("https://www.linkedin.com/ad-library/detail/1509075304","Open Ad")</f>
        <v>Open Ad</v>
      </c>
      <c r="E47" s="4" t="s">
        <v>52</v>
      </c>
      <c r="F47" s="4" t="s">
        <v>54</v>
      </c>
      <c r="G47" s="4" t="s">
        <v>412</v>
      </c>
      <c r="H47" s="4" t="s">
        <v>49</v>
      </c>
      <c r="I47" s="4" t="s">
        <v>166</v>
      </c>
      <c r="J47" s="4" t="s">
        <v>52</v>
      </c>
      <c r="K47" s="4" t="s">
        <v>59</v>
      </c>
      <c r="L47" s="4" t="s">
        <v>60</v>
      </c>
      <c r="M47" s="4" t="s">
        <v>61</v>
      </c>
      <c r="N47" s="4" t="s">
        <v>316</v>
      </c>
      <c r="O47" s="4" t="s">
        <v>63</v>
      </c>
      <c r="P47" s="4" t="s">
        <v>64</v>
      </c>
    </row>
    <row r="48">
      <c r="A48" s="4" t="s">
        <v>40</v>
      </c>
      <c r="B48" s="4" t="s">
        <v>40</v>
      </c>
      <c r="C48" s="4">
        <v>46.0</v>
      </c>
      <c r="D48" s="5" t="str">
        <f>HYPERLINK("https://www.linkedin.com/ad-library/detail/1509056464","Open Ad")</f>
        <v>Open Ad</v>
      </c>
      <c r="E48" s="4" t="s">
        <v>52</v>
      </c>
      <c r="F48" s="4" t="s">
        <v>54</v>
      </c>
      <c r="G48" s="4" t="s">
        <v>69</v>
      </c>
      <c r="H48" s="4" t="s">
        <v>49</v>
      </c>
      <c r="I48" s="4" t="s">
        <v>56</v>
      </c>
      <c r="J48" s="4" t="s">
        <v>52</v>
      </c>
      <c r="K48" s="4" t="s">
        <v>59</v>
      </c>
      <c r="L48" s="4" t="s">
        <v>60</v>
      </c>
      <c r="M48" s="4" t="s">
        <v>61</v>
      </c>
      <c r="N48" s="4" t="s">
        <v>316</v>
      </c>
      <c r="O48" s="4" t="s">
        <v>63</v>
      </c>
      <c r="P48" s="4" t="s">
        <v>64</v>
      </c>
    </row>
    <row r="49">
      <c r="A49" s="4" t="s">
        <v>40</v>
      </c>
      <c r="B49" s="4" t="s">
        <v>40</v>
      </c>
      <c r="C49" s="4">
        <v>47.0</v>
      </c>
      <c r="D49" s="5" t="str">
        <f>HYPERLINK("https://www.linkedin.com/ad-library/detail/1514185544","Open Ad")</f>
        <v>Open Ad</v>
      </c>
      <c r="E49" s="4" t="s">
        <v>52</v>
      </c>
      <c r="F49" s="4" t="s">
        <v>54</v>
      </c>
      <c r="G49" s="4" t="s">
        <v>353</v>
      </c>
      <c r="H49" s="4" t="s">
        <v>49</v>
      </c>
      <c r="I49" s="4" t="s">
        <v>166</v>
      </c>
      <c r="J49" s="4" t="s">
        <v>52</v>
      </c>
      <c r="K49" s="4" t="s">
        <v>59</v>
      </c>
      <c r="L49" s="4" t="s">
        <v>60</v>
      </c>
      <c r="M49" s="4" t="s">
        <v>61</v>
      </c>
      <c r="N49" s="4" t="s">
        <v>316</v>
      </c>
      <c r="O49" s="4" t="s">
        <v>63</v>
      </c>
      <c r="P49" s="4" t="s">
        <v>64</v>
      </c>
    </row>
    <row r="50">
      <c r="A50" s="4" t="s">
        <v>40</v>
      </c>
      <c r="B50" s="4" t="s">
        <v>40</v>
      </c>
      <c r="C50" s="4">
        <v>48.0</v>
      </c>
      <c r="D50" s="5" t="str">
        <f>HYPERLINK("https://www.linkedin.com/ad-library/detail/1514225804","Open Ad")</f>
        <v>Open Ad</v>
      </c>
      <c r="E50" s="4" t="s">
        <v>52</v>
      </c>
      <c r="F50" s="4" t="s">
        <v>54</v>
      </c>
      <c r="G50" s="4" t="s">
        <v>321</v>
      </c>
      <c r="H50" s="4" t="s">
        <v>49</v>
      </c>
      <c r="I50" s="4" t="s">
        <v>166</v>
      </c>
      <c r="J50" s="4" t="s">
        <v>52</v>
      </c>
      <c r="K50" s="4" t="s">
        <v>59</v>
      </c>
      <c r="L50" s="4" t="s">
        <v>60</v>
      </c>
      <c r="M50" s="4" t="s">
        <v>61</v>
      </c>
      <c r="N50" s="4" t="s">
        <v>316</v>
      </c>
      <c r="O50" s="4" t="s">
        <v>63</v>
      </c>
      <c r="P50" s="4" t="s">
        <v>64</v>
      </c>
    </row>
    <row r="51">
      <c r="A51" s="4" t="s">
        <v>40</v>
      </c>
      <c r="B51" s="4" t="s">
        <v>40</v>
      </c>
      <c r="C51" s="4">
        <v>49.0</v>
      </c>
      <c r="D51" s="5" t="str">
        <f>HYPERLINK("https://www.linkedin.com/ad-library/detail/1539471116","Open Ad")</f>
        <v>Open Ad</v>
      </c>
      <c r="E51" s="4" t="s">
        <v>52</v>
      </c>
      <c r="F51" s="4" t="s">
        <v>54</v>
      </c>
      <c r="G51" s="4" t="s">
        <v>428</v>
      </c>
      <c r="H51" s="4" t="s">
        <v>49</v>
      </c>
      <c r="I51" s="4" t="s">
        <v>429</v>
      </c>
      <c r="J51" s="4" t="s">
        <v>52</v>
      </c>
      <c r="K51" s="4" t="s">
        <v>59</v>
      </c>
      <c r="L51" s="4" t="s">
        <v>60</v>
      </c>
      <c r="M51" s="4" t="s">
        <v>61</v>
      </c>
      <c r="N51" s="4" t="s">
        <v>430</v>
      </c>
      <c r="O51" s="4" t="s">
        <v>63</v>
      </c>
      <c r="P51" s="4" t="s">
        <v>64</v>
      </c>
    </row>
    <row r="52">
      <c r="A52" s="4" t="s">
        <v>40</v>
      </c>
      <c r="B52" s="4" t="s">
        <v>40</v>
      </c>
      <c r="C52" s="4">
        <v>50.0</v>
      </c>
      <c r="D52" s="5" t="str">
        <f>HYPERLINK("https://www.linkedin.com/ad-library/detail/1508211684","Open Ad")</f>
        <v>Open Ad</v>
      </c>
      <c r="E52" s="4" t="s">
        <v>78</v>
      </c>
      <c r="F52" s="4" t="s">
        <v>54</v>
      </c>
      <c r="G52" s="4" t="s">
        <v>436</v>
      </c>
      <c r="H52" s="4" t="s">
        <v>49</v>
      </c>
      <c r="I52" s="4" t="s">
        <v>166</v>
      </c>
      <c r="J52" s="4" t="s">
        <v>78</v>
      </c>
      <c r="K52" s="5" t="str">
        <f>HYPERLINK("https://media.licdn.com/dms/image/v2/D4E10AQH6c3lFr33oow/image-shrink_1280/B4EZ0KiRsEIgAc-/0/1773998251156/1200x1200png?e=2147483647&amp;v=beta&amp;t=58uBIH8WGxZlc4zBUAsOqSWyE94HstE6TtC8lGuLIjo","View Creative")</f>
        <v>View Creative</v>
      </c>
      <c r="L52" s="4" t="s">
        <v>60</v>
      </c>
      <c r="M52" s="4" t="s">
        <v>61</v>
      </c>
      <c r="N52" s="4" t="s">
        <v>439</v>
      </c>
      <c r="O52" s="4" t="s">
        <v>89</v>
      </c>
      <c r="P52" s="4" t="s">
        <v>440</v>
      </c>
    </row>
    <row r="53">
      <c r="A53" s="4" t="s">
        <v>40</v>
      </c>
      <c r="B53" s="4" t="s">
        <v>40</v>
      </c>
      <c r="C53" s="4">
        <v>51.0</v>
      </c>
      <c r="D53" s="5" t="str">
        <f>HYPERLINK("https://www.linkedin.com/ad-library/detail/1508181894","Open Ad")</f>
        <v>Open Ad</v>
      </c>
      <c r="E53" s="4" t="s">
        <v>78</v>
      </c>
      <c r="F53" s="4" t="s">
        <v>54</v>
      </c>
      <c r="G53" s="4" t="s">
        <v>436</v>
      </c>
      <c r="H53" s="4" t="s">
        <v>49</v>
      </c>
      <c r="I53" s="4" t="s">
        <v>166</v>
      </c>
      <c r="J53" s="4" t="s">
        <v>78</v>
      </c>
      <c r="K53" s="5" t="str">
        <f>HYPERLINK("https://media.licdn.com/dms/image/v2/D4E10AQHh-sW-Tkiq3w/image-shrink_1280/B4EZ0KhviYG8Ao-/0/1773998111322/1200x1200png?e=2147483647&amp;v=beta&amp;t=y-9d2AUAUbcdQrZqbXY_KrUK0HWwEMuP0ihuKaw_UyQ","View Creative")</f>
        <v>View Creative</v>
      </c>
      <c r="L53" s="4" t="s">
        <v>60</v>
      </c>
      <c r="M53" s="4" t="s">
        <v>61</v>
      </c>
      <c r="N53" s="4" t="s">
        <v>439</v>
      </c>
      <c r="O53" s="4" t="s">
        <v>89</v>
      </c>
      <c r="P53" s="4" t="s">
        <v>446</v>
      </c>
    </row>
    <row r="54">
      <c r="A54" s="4" t="s">
        <v>40</v>
      </c>
      <c r="B54" s="4" t="s">
        <v>40</v>
      </c>
      <c r="C54" s="4">
        <v>52.0</v>
      </c>
      <c r="D54" s="5" t="str">
        <f>HYPERLINK("https://www.linkedin.com/ad-library/detail/1505061714","Open Ad")</f>
        <v>Open Ad</v>
      </c>
      <c r="E54" s="4" t="s">
        <v>78</v>
      </c>
      <c r="F54" s="4" t="s">
        <v>54</v>
      </c>
      <c r="G54" s="4" t="s">
        <v>436</v>
      </c>
      <c r="H54" s="4" t="s">
        <v>49</v>
      </c>
      <c r="I54" s="4" t="s">
        <v>166</v>
      </c>
      <c r="J54" s="4" t="s">
        <v>78</v>
      </c>
      <c r="K54" s="5" t="str">
        <f>HYPERLINK("https://media.licdn.com/dms/image/v2/D4E10AQFS6BW-q5HYkw/image-shrink_1280/B4EZ0Kh3avHQAc-/0/1773998143748/1200x1200png?e=2147483647&amp;v=beta&amp;t=A8CXWi2P8cuh_IVWhLZzpj4tHsUilYxsuUhAMtAiGrk","View Creative")</f>
        <v>View Creative</v>
      </c>
      <c r="L54" s="4" t="s">
        <v>60</v>
      </c>
      <c r="M54" s="4" t="s">
        <v>61</v>
      </c>
      <c r="N54" s="4" t="s">
        <v>439</v>
      </c>
      <c r="O54" s="4" t="s">
        <v>89</v>
      </c>
      <c r="P54" s="4" t="s">
        <v>450</v>
      </c>
    </row>
    <row r="55">
      <c r="A55" s="4" t="s">
        <v>40</v>
      </c>
      <c r="B55" s="4" t="s">
        <v>40</v>
      </c>
      <c r="C55" s="4">
        <v>53.0</v>
      </c>
      <c r="D55" s="5" t="str">
        <f>HYPERLINK("https://www.linkedin.com/ad-library/detail/1494435674","Open Ad")</f>
        <v>Open Ad</v>
      </c>
      <c r="E55" s="4" t="s">
        <v>78</v>
      </c>
      <c r="F55" s="4" t="s">
        <v>54</v>
      </c>
      <c r="G55" s="4" t="s">
        <v>436</v>
      </c>
      <c r="H55" s="4" t="s">
        <v>49</v>
      </c>
      <c r="I55" s="4" t="s">
        <v>166</v>
      </c>
      <c r="J55" s="4" t="s">
        <v>78</v>
      </c>
      <c r="K55" s="5" t="str">
        <f>HYPERLINK("https://media.licdn.com/dms/image/v2/D4E10AQGXTKOK5_ATIw/image-shrink_1280/B4EZ0Kh_beHsAc-/0/1773998176446/1200x1200png?e=2147483647&amp;v=beta&amp;t=QG8pePVFrJNYrYPxiwuwxj59OcA2CPL_YEMAY4ru4Ac","View Creative")</f>
        <v>View Creative</v>
      </c>
      <c r="L55" s="4" t="s">
        <v>60</v>
      </c>
      <c r="M55" s="4" t="s">
        <v>61</v>
      </c>
      <c r="N55" s="4" t="s">
        <v>439</v>
      </c>
      <c r="O55" s="4" t="s">
        <v>89</v>
      </c>
      <c r="P55" s="4" t="s">
        <v>461</v>
      </c>
    </row>
    <row r="56">
      <c r="A56" s="4" t="s">
        <v>40</v>
      </c>
      <c r="B56" s="4" t="s">
        <v>40</v>
      </c>
      <c r="C56" s="4">
        <v>54.0</v>
      </c>
      <c r="D56" s="5" t="str">
        <f>HYPERLINK("https://www.linkedin.com/ad-library/detail/1505101804","Open Ad")</f>
        <v>Open Ad</v>
      </c>
      <c r="E56" s="4" t="s">
        <v>78</v>
      </c>
      <c r="F56" s="4" t="s">
        <v>54</v>
      </c>
      <c r="G56" s="4" t="s">
        <v>436</v>
      </c>
      <c r="H56" s="4" t="s">
        <v>49</v>
      </c>
      <c r="I56" s="4" t="s">
        <v>166</v>
      </c>
      <c r="J56" s="4" t="s">
        <v>78</v>
      </c>
      <c r="K56" s="5" t="str">
        <f>HYPERLINK("https://media.licdn.com/dms/image/v2/D4E10AQEo94mTGZdDlA/image-shrink_1280/B4EZ0Kie6TIUAc-/0/1773998305362/1200x1200png?e=2147483647&amp;v=beta&amp;t=I6zjBs-kWE9PPTf2tXRO-eMhaIVCuES9OTErMW4FNok","View Creative")</f>
        <v>View Creative</v>
      </c>
      <c r="L56" s="4" t="s">
        <v>60</v>
      </c>
      <c r="M56" s="4" t="s">
        <v>61</v>
      </c>
      <c r="N56" s="4" t="s">
        <v>465</v>
      </c>
      <c r="O56" s="4" t="s">
        <v>89</v>
      </c>
      <c r="P56" s="4" t="s">
        <v>469</v>
      </c>
    </row>
    <row r="57">
      <c r="A57" s="4" t="s">
        <v>40</v>
      </c>
      <c r="B57" s="4" t="s">
        <v>40</v>
      </c>
      <c r="C57" s="4">
        <v>55.0</v>
      </c>
      <c r="D57" s="5" t="str">
        <f>HYPERLINK("https://www.linkedin.com/ad-library/detail/1486705774","Open Ad")</f>
        <v>Open Ad</v>
      </c>
      <c r="E57" s="4" t="s">
        <v>78</v>
      </c>
      <c r="F57" s="4" t="s">
        <v>54</v>
      </c>
      <c r="G57" s="4" t="s">
        <v>473</v>
      </c>
      <c r="H57" s="4" t="s">
        <v>49</v>
      </c>
      <c r="I57" s="4" t="s">
        <v>100</v>
      </c>
      <c r="J57" s="4" t="s">
        <v>78</v>
      </c>
      <c r="K57" s="5" t="str">
        <f>HYPERLINK("https://media.licdn.com/dms/image/v2/D4D22AQEaIB1tLwnfOQ/feedshare-image-high-res/B4DZ.yE3jHIIAc-/0/1785399048863?e=2147483647&amp;v=beta&amp;t=LwZD7flPZBfTrWHdd55WQpOBqSG3T-jGCtS4PRqmaz8","View Creative")</f>
        <v>View Creative</v>
      </c>
      <c r="L57" s="4" t="s">
        <v>106</v>
      </c>
      <c r="M57" s="4" t="s">
        <v>61</v>
      </c>
      <c r="O57" s="4" t="s">
        <v>89</v>
      </c>
      <c r="P57" s="4" t="s">
        <v>482</v>
      </c>
    </row>
    <row r="58">
      <c r="A58" s="4" t="s">
        <v>40</v>
      </c>
      <c r="B58" s="4" t="s">
        <v>40</v>
      </c>
      <c r="C58" s="4">
        <v>56.0</v>
      </c>
      <c r="D58" s="5" t="str">
        <f>HYPERLINK("https://www.linkedin.com/ad-library/detail/1539660376","Open Ad")</f>
        <v>Open Ad</v>
      </c>
      <c r="E58" s="4" t="s">
        <v>52</v>
      </c>
      <c r="F58" s="4" t="s">
        <v>54</v>
      </c>
      <c r="G58" s="4" t="s">
        <v>485</v>
      </c>
      <c r="H58" s="4" t="s">
        <v>49</v>
      </c>
      <c r="I58" s="4" t="s">
        <v>166</v>
      </c>
      <c r="J58" s="4" t="s">
        <v>52</v>
      </c>
      <c r="K58" s="4" t="s">
        <v>59</v>
      </c>
      <c r="L58" s="4" t="s">
        <v>60</v>
      </c>
      <c r="M58" s="4" t="s">
        <v>61</v>
      </c>
      <c r="N58" s="4" t="s">
        <v>490</v>
      </c>
      <c r="O58" s="4" t="s">
        <v>63</v>
      </c>
      <c r="P58" s="4" t="s">
        <v>64</v>
      </c>
    </row>
    <row r="59">
      <c r="A59" s="4" t="s">
        <v>40</v>
      </c>
      <c r="B59" s="4" t="s">
        <v>40</v>
      </c>
      <c r="C59" s="4">
        <v>57.0</v>
      </c>
      <c r="D59" s="5" t="str">
        <f>HYPERLINK("https://www.linkedin.com/ad-library/detail/1509061234","Open Ad")</f>
        <v>Open Ad</v>
      </c>
      <c r="E59" s="4" t="s">
        <v>78</v>
      </c>
      <c r="F59" s="4" t="s">
        <v>494</v>
      </c>
      <c r="G59" s="4" t="s">
        <v>496</v>
      </c>
      <c r="H59" s="4" t="s">
        <v>49</v>
      </c>
      <c r="I59" s="4" t="s">
        <v>498</v>
      </c>
      <c r="J59" s="4" t="s">
        <v>78</v>
      </c>
      <c r="K59" s="5" t="str">
        <f>HYPERLINK("https://media.licdn.com/dms/image/v2/D4E10AQECOHSG8BPOvQ/image-shrink_1280/B4EaAffyRdI0Ac-/0/1787234821613/PS-Webinar-Practitioner-webinar-series-building-AIO-and-SEO-prompt-strategy-1080x10801png?e=2147483647&amp;v=beta&amp;t=ecoGnemX8JBqWUz0YCWkOhPbnuFkyiD4KjQh"&amp;"q1XWOhw","View Creative")</f>
        <v>View Creative</v>
      </c>
      <c r="L59" s="4" t="s">
        <v>60</v>
      </c>
      <c r="M59" s="4" t="s">
        <v>61</v>
      </c>
      <c r="N59" s="4" t="s">
        <v>506</v>
      </c>
      <c r="O59" s="4" t="s">
        <v>89</v>
      </c>
      <c r="P59" s="4" t="s">
        <v>507</v>
      </c>
    </row>
    <row r="60">
      <c r="A60" s="4" t="s">
        <v>40</v>
      </c>
      <c r="B60" s="4" t="s">
        <v>40</v>
      </c>
      <c r="C60" s="4">
        <v>58.0</v>
      </c>
      <c r="D60" s="5" t="str">
        <f>HYPERLINK("https://www.linkedin.com/ad-library/detail/1539511226","Open Ad")</f>
        <v>Open Ad</v>
      </c>
      <c r="E60" s="4" t="s">
        <v>52</v>
      </c>
      <c r="F60" s="4" t="s">
        <v>54</v>
      </c>
      <c r="G60" s="4" t="s">
        <v>509</v>
      </c>
      <c r="H60" s="4" t="s">
        <v>49</v>
      </c>
      <c r="I60" s="4" t="s">
        <v>56</v>
      </c>
      <c r="J60" s="4" t="s">
        <v>52</v>
      </c>
      <c r="K60" s="4" t="s">
        <v>59</v>
      </c>
      <c r="L60" s="4" t="s">
        <v>60</v>
      </c>
      <c r="M60" s="4" t="s">
        <v>61</v>
      </c>
      <c r="N60" s="4" t="s">
        <v>490</v>
      </c>
      <c r="O60" s="4" t="s">
        <v>63</v>
      </c>
      <c r="P60" s="4" t="s">
        <v>64</v>
      </c>
    </row>
    <row r="61">
      <c r="A61" s="4" t="s">
        <v>40</v>
      </c>
      <c r="B61" s="4" t="s">
        <v>40</v>
      </c>
      <c r="C61" s="4">
        <v>59.0</v>
      </c>
      <c r="D61" s="5" t="str">
        <f>HYPERLINK("https://www.linkedin.com/ad-library/detail/1539530806","Open Ad")</f>
        <v>Open Ad</v>
      </c>
      <c r="E61" s="4" t="s">
        <v>52</v>
      </c>
      <c r="F61" s="4" t="s">
        <v>54</v>
      </c>
      <c r="G61" s="4" t="s">
        <v>515</v>
      </c>
      <c r="H61" s="4" t="s">
        <v>49</v>
      </c>
      <c r="I61" s="4" t="s">
        <v>56</v>
      </c>
      <c r="J61" s="4" t="s">
        <v>52</v>
      </c>
      <c r="K61" s="4" t="s">
        <v>59</v>
      </c>
      <c r="L61" s="4" t="s">
        <v>60</v>
      </c>
      <c r="M61" s="4" t="s">
        <v>61</v>
      </c>
      <c r="N61" s="4" t="s">
        <v>516</v>
      </c>
      <c r="O61" s="4" t="s">
        <v>63</v>
      </c>
      <c r="P61" s="4" t="s">
        <v>64</v>
      </c>
    </row>
    <row r="62">
      <c r="A62" s="4" t="s">
        <v>40</v>
      </c>
      <c r="B62" s="4" t="s">
        <v>40</v>
      </c>
      <c r="C62" s="4">
        <v>60.0</v>
      </c>
      <c r="D62" s="5" t="str">
        <f>HYPERLINK("https://www.linkedin.com/ad-library/detail/1554435336","Open Ad")</f>
        <v>Open Ad</v>
      </c>
      <c r="E62" s="4" t="s">
        <v>78</v>
      </c>
      <c r="F62" s="4" t="s">
        <v>54</v>
      </c>
      <c r="G62" s="4" t="s">
        <v>436</v>
      </c>
      <c r="H62" s="4" t="s">
        <v>49</v>
      </c>
      <c r="I62" s="4" t="s">
        <v>166</v>
      </c>
      <c r="J62" s="4" t="s">
        <v>78</v>
      </c>
      <c r="K62" s="5" t="str">
        <f>HYPERLINK("https://media.licdn.com/dms/image/v2/D4E10AQGXTKOK5_ATIw/image-shrink_1280/B4EZ0Kh_beHsAc-/0/1773998176446/1200x1200png?e=2147483647&amp;v=beta&amp;t=QG8pePVFrJNYrYPxiwuwxj59OcA2CPL_YEMAY4ru4Ac","View Creative")</f>
        <v>View Creative</v>
      </c>
      <c r="L62" s="4" t="s">
        <v>60</v>
      </c>
      <c r="M62" s="4" t="s">
        <v>61</v>
      </c>
      <c r="N62" s="4" t="s">
        <v>523</v>
      </c>
      <c r="O62" s="4" t="s">
        <v>89</v>
      </c>
      <c r="P62" s="4" t="s">
        <v>524</v>
      </c>
    </row>
    <row r="63">
      <c r="A63" s="4" t="s">
        <v>40</v>
      </c>
      <c r="B63" s="4" t="s">
        <v>40</v>
      </c>
      <c r="C63" s="4">
        <v>61.0</v>
      </c>
      <c r="D63" s="5" t="str">
        <f>HYPERLINK("https://www.linkedin.com/ad-library/detail/1492423954","Open Ad")</f>
        <v>Open Ad</v>
      </c>
      <c r="E63" s="4" t="s">
        <v>78</v>
      </c>
      <c r="F63" s="4" t="s">
        <v>54</v>
      </c>
      <c r="G63" s="4" t="s">
        <v>529</v>
      </c>
      <c r="H63" s="4" t="s">
        <v>99</v>
      </c>
      <c r="I63" s="4" t="s">
        <v>530</v>
      </c>
      <c r="J63" s="4" t="s">
        <v>78</v>
      </c>
      <c r="K63" s="5" t="str">
        <f>HYPERLINK("https://media.licdn.com/dms/image/v2/D4D22AQGqJx9RfB_HVQ/feedshare-image-high-res/B4DZ.n3PEKLAAU-/0/1785227702923?e=2147483647&amp;v=beta&amp;t=Q5q94j9da-rWzfHq09apvo-xJ3xkXfUriKZ596u9whQ","View Creative")</f>
        <v>View Creative</v>
      </c>
      <c r="L63" s="4" t="s">
        <v>106</v>
      </c>
      <c r="M63" s="4" t="s">
        <v>61</v>
      </c>
      <c r="O63" s="4" t="s">
        <v>89</v>
      </c>
      <c r="P63" s="4" t="s">
        <v>535</v>
      </c>
    </row>
    <row r="64">
      <c r="A64" s="4" t="s">
        <v>40</v>
      </c>
      <c r="B64" s="4" t="s">
        <v>40</v>
      </c>
      <c r="C64" s="4">
        <v>62.0</v>
      </c>
      <c r="D64" s="5" t="str">
        <f>HYPERLINK("https://www.linkedin.com/ad-library/detail/1554305216","Open Ad")</f>
        <v>Open Ad</v>
      </c>
      <c r="E64" s="4" t="s">
        <v>78</v>
      </c>
      <c r="F64" s="4" t="s">
        <v>54</v>
      </c>
      <c r="G64" s="4" t="s">
        <v>436</v>
      </c>
      <c r="H64" s="4" t="s">
        <v>49</v>
      </c>
      <c r="I64" s="4" t="s">
        <v>166</v>
      </c>
      <c r="J64" s="4" t="s">
        <v>78</v>
      </c>
      <c r="K64" s="5" t="str">
        <f>HYPERLINK("https://media.licdn.com/dms/image/v2/D4E10AQHh-sW-Tkiq3w/image-shrink_1280/B4EZ0KhviYG8Ao-/0/1773998111322/1200x1200png?e=2147483647&amp;v=beta&amp;t=y-9d2AUAUbcdQrZqbXY_KrUK0HWwEMuP0ihuKaw_UyQ","View Creative")</f>
        <v>View Creative</v>
      </c>
      <c r="L64" s="4" t="s">
        <v>60</v>
      </c>
      <c r="M64" s="4" t="s">
        <v>61</v>
      </c>
      <c r="N64" s="4" t="s">
        <v>523</v>
      </c>
      <c r="O64" s="4" t="s">
        <v>89</v>
      </c>
      <c r="P64" s="4" t="s">
        <v>542</v>
      </c>
    </row>
    <row r="65">
      <c r="A65" s="4" t="s">
        <v>40</v>
      </c>
      <c r="B65" s="4" t="s">
        <v>40</v>
      </c>
      <c r="C65" s="4">
        <v>63.0</v>
      </c>
      <c r="D65" s="5" t="str">
        <f>HYPERLINK("https://www.linkedin.com/ad-library/detail/1554325536","Open Ad")</f>
        <v>Open Ad</v>
      </c>
      <c r="E65" s="4" t="s">
        <v>78</v>
      </c>
      <c r="F65" s="4" t="s">
        <v>54</v>
      </c>
      <c r="G65" s="4" t="s">
        <v>436</v>
      </c>
      <c r="H65" s="4" t="s">
        <v>49</v>
      </c>
      <c r="I65" s="4" t="s">
        <v>166</v>
      </c>
      <c r="J65" s="4" t="s">
        <v>78</v>
      </c>
      <c r="K65" s="5" t="str">
        <f>HYPERLINK("https://media.licdn.com/dms/image/v2/D4E10AQEo94mTGZdDlA/image-shrink_1280/B4EZ0Kie6TIUAc-/0/1773998305362/1200x1200png?e=2147483647&amp;v=beta&amp;t=I6zjBs-kWE9PPTf2tXRO-eMhaIVCuES9OTErMW4FNok","View Creative")</f>
        <v>View Creative</v>
      </c>
      <c r="L65" s="4" t="s">
        <v>60</v>
      </c>
      <c r="M65" s="4" t="s">
        <v>61</v>
      </c>
      <c r="N65" s="4" t="s">
        <v>551</v>
      </c>
      <c r="O65" s="4" t="s">
        <v>89</v>
      </c>
      <c r="P65" s="4" t="s">
        <v>552</v>
      </c>
    </row>
    <row r="66">
      <c r="A66" s="4" t="s">
        <v>40</v>
      </c>
      <c r="B66" s="4" t="s">
        <v>40</v>
      </c>
      <c r="C66" s="4">
        <v>64.0</v>
      </c>
      <c r="D66" s="5" t="str">
        <f>HYPERLINK("https://www.linkedin.com/ad-library/detail/1554425456","Open Ad")</f>
        <v>Open Ad</v>
      </c>
      <c r="E66" s="4" t="s">
        <v>78</v>
      </c>
      <c r="F66" s="4" t="s">
        <v>54</v>
      </c>
      <c r="G66" s="4" t="s">
        <v>436</v>
      </c>
      <c r="H66" s="4" t="s">
        <v>49</v>
      </c>
      <c r="I66" s="4" t="s">
        <v>166</v>
      </c>
      <c r="J66" s="4" t="s">
        <v>78</v>
      </c>
      <c r="K66" s="5" t="str">
        <f>HYPERLINK("https://media.licdn.com/dms/image/v2/D4E10AQEnwP_OOKvtQw/image-shrink_1280/B4EZ0KiYIcHQAc-/0/1773998277628/1200x1200png?e=2147483647&amp;v=beta&amp;t=SWcF5ZEA4WZ5MnktJgvmLbl13A1Vl3RL4wNtT5OH3vk","View Creative")</f>
        <v>View Creative</v>
      </c>
      <c r="L66" s="4" t="s">
        <v>60</v>
      </c>
      <c r="M66" s="4" t="s">
        <v>61</v>
      </c>
      <c r="N66" s="4" t="s">
        <v>551</v>
      </c>
      <c r="O66" s="4" t="s">
        <v>89</v>
      </c>
      <c r="P66" s="4" t="s">
        <v>558</v>
      </c>
    </row>
    <row r="67">
      <c r="A67" s="4" t="s">
        <v>40</v>
      </c>
      <c r="B67" s="4" t="s">
        <v>40</v>
      </c>
      <c r="C67" s="4">
        <v>65.0</v>
      </c>
      <c r="D67" s="5" t="str">
        <f>HYPERLINK("https://www.linkedin.com/ad-library/detail/1486980104","Open Ad")</f>
        <v>Open Ad</v>
      </c>
      <c r="E67" s="4" t="s">
        <v>78</v>
      </c>
      <c r="F67" s="4" t="s">
        <v>54</v>
      </c>
      <c r="G67" s="4" t="s">
        <v>566</v>
      </c>
      <c r="H67" s="4" t="s">
        <v>49</v>
      </c>
      <c r="I67" s="4" t="s">
        <v>140</v>
      </c>
      <c r="J67" s="4" t="s">
        <v>78</v>
      </c>
      <c r="K67" s="5" t="str">
        <f>HYPERLINK("https://media.licdn.com/dms/image/v2/D4D22AQH1S8lnm89_HQ/feedshare-shrink_1280/B4DZ.nNYkeJ4AM-/0/1785216731712?e=2147483647&amp;v=beta&amp;t=_Ux6A6zsWX_PPvgMFLig19YwaMjIBDh7ysV5Dy-xanc","View Creative")</f>
        <v>View Creative</v>
      </c>
      <c r="L67" s="4" t="s">
        <v>106</v>
      </c>
      <c r="M67" s="4" t="s">
        <v>61</v>
      </c>
      <c r="O67" s="4" t="s">
        <v>89</v>
      </c>
      <c r="P67" s="4" t="s">
        <v>568</v>
      </c>
    </row>
    <row r="68">
      <c r="A68" s="4" t="s">
        <v>40</v>
      </c>
      <c r="B68" s="4" t="s">
        <v>40</v>
      </c>
      <c r="C68" s="4">
        <v>66.0</v>
      </c>
      <c r="D68" s="5" t="str">
        <f>HYPERLINK("https://www.linkedin.com/ad-library/detail/1539600856","Open Ad")</f>
        <v>Open Ad</v>
      </c>
      <c r="E68" s="4" t="s">
        <v>52</v>
      </c>
      <c r="F68" s="4" t="s">
        <v>54</v>
      </c>
      <c r="G68" s="4" t="s">
        <v>485</v>
      </c>
      <c r="H68" s="4" t="s">
        <v>49</v>
      </c>
      <c r="I68" s="4" t="s">
        <v>166</v>
      </c>
      <c r="J68" s="4" t="s">
        <v>52</v>
      </c>
      <c r="K68" s="4" t="s">
        <v>59</v>
      </c>
      <c r="L68" s="4" t="s">
        <v>60</v>
      </c>
      <c r="M68" s="4" t="s">
        <v>61</v>
      </c>
      <c r="N68" s="4" t="s">
        <v>516</v>
      </c>
      <c r="O68" s="4" t="s">
        <v>63</v>
      </c>
      <c r="P68" s="4" t="s">
        <v>64</v>
      </c>
    </row>
    <row r="69">
      <c r="A69" s="4" t="s">
        <v>40</v>
      </c>
      <c r="B69" s="4" t="s">
        <v>40</v>
      </c>
      <c r="C69" s="4">
        <v>67.0</v>
      </c>
      <c r="D69" s="5" t="str">
        <f>HYPERLINK("https://www.linkedin.com/ad-library/detail/1539520896","Open Ad")</f>
        <v>Open Ad</v>
      </c>
      <c r="E69" s="4" t="s">
        <v>52</v>
      </c>
      <c r="F69" s="4" t="s">
        <v>54</v>
      </c>
      <c r="G69" s="4" t="s">
        <v>509</v>
      </c>
      <c r="H69" s="4" t="s">
        <v>49</v>
      </c>
      <c r="I69" s="4" t="s">
        <v>56</v>
      </c>
      <c r="J69" s="4" t="s">
        <v>52</v>
      </c>
      <c r="K69" s="4" t="s">
        <v>59</v>
      </c>
      <c r="L69" s="4" t="s">
        <v>60</v>
      </c>
      <c r="M69" s="4" t="s">
        <v>61</v>
      </c>
      <c r="N69" s="4" t="s">
        <v>490</v>
      </c>
      <c r="O69" s="4" t="s">
        <v>63</v>
      </c>
      <c r="P69" s="4" t="s">
        <v>64</v>
      </c>
    </row>
    <row r="70">
      <c r="A70" s="4" t="s">
        <v>40</v>
      </c>
      <c r="B70" s="4" t="s">
        <v>40</v>
      </c>
      <c r="C70" s="4">
        <v>68.0</v>
      </c>
      <c r="D70" s="5" t="str">
        <f>HYPERLINK("https://www.linkedin.com/ad-library/detail/1554405526","Open Ad")</f>
        <v>Open Ad</v>
      </c>
      <c r="E70" s="4" t="s">
        <v>78</v>
      </c>
      <c r="F70" s="4" t="s">
        <v>54</v>
      </c>
      <c r="G70" s="4" t="s">
        <v>436</v>
      </c>
      <c r="H70" s="4" t="s">
        <v>49</v>
      </c>
      <c r="I70" s="4" t="s">
        <v>166</v>
      </c>
      <c r="J70" s="4" t="s">
        <v>78</v>
      </c>
      <c r="K70" s="5" t="str">
        <f>HYPERLINK("https://media.licdn.com/dms/image/v2/D4E10AQH6c3lFr33oow/image-shrink_1280/B4EZ0KiRsEIgAc-/0/1773998251156/1200x1200png?e=2147483647&amp;v=beta&amp;t=58uBIH8WGxZlc4zBUAsOqSWyE94HstE6TtC8lGuLIjo","View Creative")</f>
        <v>View Creative</v>
      </c>
      <c r="L70" s="4" t="s">
        <v>60</v>
      </c>
      <c r="M70" s="4" t="s">
        <v>61</v>
      </c>
      <c r="N70" s="4" t="s">
        <v>523</v>
      </c>
      <c r="O70" s="4" t="s">
        <v>89</v>
      </c>
      <c r="P70" s="4" t="s">
        <v>587</v>
      </c>
    </row>
    <row r="71">
      <c r="A71" s="4" t="s">
        <v>40</v>
      </c>
      <c r="B71" s="4" t="s">
        <v>40</v>
      </c>
      <c r="C71" s="4">
        <v>69.0</v>
      </c>
      <c r="D71" s="5" t="str">
        <f>HYPERLINK("https://www.linkedin.com/ad-library/detail/1539441216","Open Ad")</f>
        <v>Open Ad</v>
      </c>
      <c r="E71" s="4" t="s">
        <v>52</v>
      </c>
      <c r="F71" s="4" t="s">
        <v>54</v>
      </c>
      <c r="G71" s="4" t="s">
        <v>509</v>
      </c>
      <c r="H71" s="4" t="s">
        <v>49</v>
      </c>
      <c r="I71" s="4" t="s">
        <v>56</v>
      </c>
      <c r="J71" s="4" t="s">
        <v>52</v>
      </c>
      <c r="K71" s="4" t="s">
        <v>59</v>
      </c>
      <c r="L71" s="4" t="s">
        <v>60</v>
      </c>
      <c r="M71" s="4" t="s">
        <v>61</v>
      </c>
      <c r="N71" s="4" t="s">
        <v>490</v>
      </c>
      <c r="O71" s="4" t="s">
        <v>63</v>
      </c>
      <c r="P71" s="4" t="s">
        <v>64</v>
      </c>
    </row>
    <row r="72">
      <c r="A72" s="4" t="s">
        <v>40</v>
      </c>
      <c r="B72" s="4" t="s">
        <v>40</v>
      </c>
      <c r="C72" s="4">
        <v>70.0</v>
      </c>
      <c r="D72" s="5" t="str">
        <f>HYPERLINK("https://www.linkedin.com/ad-library/detail/1505051684","Open Ad")</f>
        <v>Open Ad</v>
      </c>
      <c r="E72" s="4" t="s">
        <v>78</v>
      </c>
      <c r="F72" s="4" t="s">
        <v>54</v>
      </c>
      <c r="G72" s="4" t="s">
        <v>436</v>
      </c>
      <c r="H72" s="4" t="s">
        <v>49</v>
      </c>
      <c r="I72" s="4" t="s">
        <v>166</v>
      </c>
      <c r="J72" s="4" t="s">
        <v>78</v>
      </c>
      <c r="K72" s="5" t="str">
        <f>HYPERLINK("https://media.licdn.com/dms/image/v2/D4E10AQEnwP_OOKvtQw/image-shrink_1280/B4EZ0KiYIcHQAc-/0/1773998277628/1200x1200png?e=2147483647&amp;v=beta&amp;t=SWcF5ZEA4WZ5MnktJgvmLbl13A1Vl3RL4wNtT5OH3vk","View Creative")</f>
        <v>View Creative</v>
      </c>
      <c r="L72" s="4" t="s">
        <v>60</v>
      </c>
      <c r="M72" s="4" t="s">
        <v>61</v>
      </c>
      <c r="N72" s="4" t="s">
        <v>465</v>
      </c>
      <c r="O72" s="4" t="s">
        <v>89</v>
      </c>
      <c r="P72" s="4" t="s">
        <v>603</v>
      </c>
    </row>
    <row r="73">
      <c r="A73" s="4" t="s">
        <v>40</v>
      </c>
      <c r="B73" s="4" t="s">
        <v>40</v>
      </c>
      <c r="C73" s="4">
        <v>71.0</v>
      </c>
      <c r="D73" s="5" t="str">
        <f>HYPERLINK("https://www.linkedin.com/ad-library/detail/1554425466","Open Ad")</f>
        <v>Open Ad</v>
      </c>
      <c r="E73" s="4" t="s">
        <v>78</v>
      </c>
      <c r="F73" s="4" t="s">
        <v>54</v>
      </c>
      <c r="G73" s="4" t="s">
        <v>436</v>
      </c>
      <c r="H73" s="4" t="s">
        <v>49</v>
      </c>
      <c r="I73" s="4" t="s">
        <v>166</v>
      </c>
      <c r="J73" s="4" t="s">
        <v>78</v>
      </c>
      <c r="K73" s="5" t="str">
        <f>HYPERLINK("https://media.licdn.com/dms/image/v2/D4E10AQFS6BW-q5HYkw/image-shrink_1280/B4EZ0Kh3avHQAc-/0/1773998143748/1200x1200png?e=2147483647&amp;v=beta&amp;t=A8CXWi2P8cuh_IVWhLZzpj4tHsUilYxsuUhAMtAiGrk","View Creative")</f>
        <v>View Creative</v>
      </c>
      <c r="L73" s="4" t="s">
        <v>60</v>
      </c>
      <c r="M73" s="4" t="s">
        <v>61</v>
      </c>
      <c r="N73" s="4" t="s">
        <v>614</v>
      </c>
      <c r="O73" s="4" t="s">
        <v>89</v>
      </c>
      <c r="P73" s="4" t="s">
        <v>615</v>
      </c>
    </row>
    <row r="74">
      <c r="A74" s="4" t="s">
        <v>40</v>
      </c>
      <c r="B74" s="4" t="s">
        <v>40</v>
      </c>
      <c r="C74" s="4">
        <v>72.0</v>
      </c>
      <c r="D74" s="5" t="str">
        <f>HYPERLINK("https://www.linkedin.com/ad-library/detail/1539441286","Open Ad")</f>
        <v>Open Ad</v>
      </c>
      <c r="E74" s="4" t="s">
        <v>52</v>
      </c>
      <c r="F74" s="4" t="s">
        <v>54</v>
      </c>
      <c r="G74" s="4" t="s">
        <v>485</v>
      </c>
      <c r="H74" s="4" t="s">
        <v>49</v>
      </c>
      <c r="I74" s="4" t="s">
        <v>166</v>
      </c>
      <c r="J74" s="4" t="s">
        <v>52</v>
      </c>
      <c r="K74" s="4" t="s">
        <v>59</v>
      </c>
      <c r="L74" s="4" t="s">
        <v>60</v>
      </c>
      <c r="M74" s="4" t="s">
        <v>61</v>
      </c>
      <c r="N74" s="4" t="s">
        <v>490</v>
      </c>
      <c r="O74" s="4" t="s">
        <v>63</v>
      </c>
      <c r="P74" s="4" t="s">
        <v>64</v>
      </c>
    </row>
    <row r="75">
      <c r="A75" s="4" t="s">
        <v>40</v>
      </c>
      <c r="B75" s="4" t="s">
        <v>40</v>
      </c>
      <c r="C75" s="4">
        <v>73.0</v>
      </c>
      <c r="D75" s="5" t="str">
        <f>HYPERLINK("https://www.linkedin.com/ad-library/detail/1453007173","Open Ad")</f>
        <v>Open Ad</v>
      </c>
      <c r="E75" s="4" t="s">
        <v>52</v>
      </c>
      <c r="F75" s="4" t="s">
        <v>54</v>
      </c>
      <c r="G75" s="4" t="s">
        <v>515</v>
      </c>
      <c r="H75" s="4" t="s">
        <v>49</v>
      </c>
      <c r="I75" s="4" t="s">
        <v>56</v>
      </c>
      <c r="J75" s="4" t="s">
        <v>52</v>
      </c>
      <c r="K75" s="4" t="s">
        <v>59</v>
      </c>
      <c r="L75" s="4" t="s">
        <v>60</v>
      </c>
      <c r="M75" s="4" t="s">
        <v>61</v>
      </c>
      <c r="N75" s="4" t="s">
        <v>627</v>
      </c>
      <c r="O75" s="4" t="s">
        <v>63</v>
      </c>
      <c r="P75" s="4" t="s">
        <v>64</v>
      </c>
    </row>
    <row r="76">
      <c r="A76" s="4" t="s">
        <v>40</v>
      </c>
      <c r="B76" s="4" t="s">
        <v>40</v>
      </c>
      <c r="C76" s="4">
        <v>74.0</v>
      </c>
      <c r="D76" s="5" t="str">
        <f>HYPERLINK("https://www.linkedin.com/ad-library/detail/1467580174","Open Ad")</f>
        <v>Open Ad</v>
      </c>
      <c r="E76" s="4" t="s">
        <v>78</v>
      </c>
      <c r="F76" s="4" t="s">
        <v>629</v>
      </c>
      <c r="G76" s="4" t="s">
        <v>630</v>
      </c>
      <c r="H76" s="4" t="s">
        <v>49</v>
      </c>
      <c r="I76" s="4" t="s">
        <v>633</v>
      </c>
      <c r="J76" s="4" t="s">
        <v>78</v>
      </c>
      <c r="K76" s="5" t="str">
        <f>HYPERLINK("https://media.licdn.com/dms/image/v2/D4E10AQGsxKVWF7qggg/image-shrink_1280/B4EZ9v4T6gIsAc-/0/1784288461363/LN-Spotlight_calendar_1200_1200png?e=2147483647&amp;v=beta&amp;t=SxYeRW0468wZwBF7GsNdUZlb5GZ7KJGH1RCEYG0Zk4g","View Creative")</f>
        <v>View Creative</v>
      </c>
      <c r="L76" s="4" t="s">
        <v>128</v>
      </c>
      <c r="M76" s="4" t="s">
        <v>61</v>
      </c>
      <c r="O76" s="4" t="s">
        <v>89</v>
      </c>
      <c r="P76" s="4" t="s">
        <v>639</v>
      </c>
    </row>
    <row r="77">
      <c r="A77" s="4" t="s">
        <v>40</v>
      </c>
      <c r="B77" s="4" t="s">
        <v>40</v>
      </c>
      <c r="C77" s="4">
        <v>75.0</v>
      </c>
      <c r="D77" s="5" t="str">
        <f>HYPERLINK("https://www.linkedin.com/ad-library/detail/1458232374","Open Ad")</f>
        <v>Open Ad</v>
      </c>
      <c r="E77" s="4" t="s">
        <v>78</v>
      </c>
      <c r="F77" s="4" t="s">
        <v>643</v>
      </c>
      <c r="G77" s="4" t="s">
        <v>645</v>
      </c>
      <c r="H77" s="4" t="s">
        <v>49</v>
      </c>
      <c r="I77" s="4" t="s">
        <v>340</v>
      </c>
      <c r="J77" s="4" t="s">
        <v>78</v>
      </c>
      <c r="K77" s="5" t="str">
        <f>HYPERLINK("https://media.licdn.com/dms/image/v2/D4E10AQF0-BU5Kp9zrQ/image-shrink_1280/B4EZ7VQAsTHkAg-/0/1781694206161/Open-Role-Digital-Strategy-Consultant-7680-4320png?e=2147483647&amp;v=beta&amp;t=_V6Szm_AwbUFqSUv0pn1OUyGt1g2samIQz0tGdGadME","View Creative")</f>
        <v>View Creative</v>
      </c>
      <c r="L77" s="4" t="s">
        <v>106</v>
      </c>
      <c r="M77" s="4" t="s">
        <v>61</v>
      </c>
      <c r="O77" s="4" t="s">
        <v>89</v>
      </c>
      <c r="P77" s="4" t="s">
        <v>652</v>
      </c>
    </row>
    <row r="78">
      <c r="A78" s="4" t="s">
        <v>40</v>
      </c>
      <c r="B78" s="4" t="s">
        <v>40</v>
      </c>
      <c r="C78" s="4">
        <v>76.0</v>
      </c>
      <c r="D78" s="5" t="str">
        <f>HYPERLINK("https://www.linkedin.com/ad-library/detail/1467256324","Open Ad")</f>
        <v>Open Ad</v>
      </c>
      <c r="E78" s="4" t="s">
        <v>658</v>
      </c>
      <c r="F78" s="4" t="s">
        <v>54</v>
      </c>
      <c r="G78" s="4" t="s">
        <v>659</v>
      </c>
      <c r="H78" s="4" t="s">
        <v>49</v>
      </c>
      <c r="I78" s="4" t="s">
        <v>661</v>
      </c>
      <c r="J78" s="4" t="s">
        <v>658</v>
      </c>
      <c r="K78" s="5" t="str">
        <f>HYPERLINK("https://static.licdn.com/aero-v1/sc/h/9c8pery4andzj6ohjkjp54ma2","View Creative")</f>
        <v>View Creative</v>
      </c>
      <c r="L78" s="4" t="s">
        <v>662</v>
      </c>
      <c r="M78" s="4" t="s">
        <v>61</v>
      </c>
      <c r="N78" s="4" t="s">
        <v>663</v>
      </c>
      <c r="O78" s="4" t="s">
        <v>89</v>
      </c>
      <c r="P78" s="4" t="s">
        <v>665</v>
      </c>
    </row>
    <row r="79">
      <c r="A79" s="4" t="s">
        <v>40</v>
      </c>
      <c r="B79" s="4" t="s">
        <v>40</v>
      </c>
      <c r="C79" s="4">
        <v>77.0</v>
      </c>
      <c r="D79" s="5" t="str">
        <f>HYPERLINK("https://www.linkedin.com/ad-library/detail/1463824414","Open Ad")</f>
        <v>Open Ad</v>
      </c>
      <c r="E79" s="4" t="s">
        <v>52</v>
      </c>
      <c r="F79" s="4" t="s">
        <v>54</v>
      </c>
      <c r="G79" s="4" t="s">
        <v>428</v>
      </c>
      <c r="H79" s="4" t="s">
        <v>49</v>
      </c>
      <c r="I79" s="4" t="s">
        <v>429</v>
      </c>
      <c r="J79" s="4" t="s">
        <v>52</v>
      </c>
      <c r="K79" s="4" t="s">
        <v>59</v>
      </c>
      <c r="L79" s="4" t="s">
        <v>60</v>
      </c>
      <c r="M79" s="4" t="s">
        <v>61</v>
      </c>
      <c r="N79" s="4" t="s">
        <v>675</v>
      </c>
      <c r="O79" s="4" t="s">
        <v>63</v>
      </c>
      <c r="P79" s="4" t="s">
        <v>64</v>
      </c>
    </row>
    <row r="80">
      <c r="A80" s="4" t="s">
        <v>40</v>
      </c>
      <c r="B80" s="4" t="s">
        <v>40</v>
      </c>
      <c r="C80" s="4">
        <v>78.0</v>
      </c>
      <c r="D80" s="5" t="str">
        <f>HYPERLINK("https://www.linkedin.com/ad-library/detail/1453080093","Open Ad")</f>
        <v>Open Ad</v>
      </c>
      <c r="E80" s="4" t="s">
        <v>52</v>
      </c>
      <c r="F80" s="4" t="s">
        <v>54</v>
      </c>
      <c r="G80" s="4" t="s">
        <v>428</v>
      </c>
      <c r="H80" s="4" t="s">
        <v>49</v>
      </c>
      <c r="I80" s="4" t="s">
        <v>429</v>
      </c>
      <c r="J80" s="4" t="s">
        <v>52</v>
      </c>
      <c r="K80" s="4" t="s">
        <v>59</v>
      </c>
      <c r="L80" s="4" t="s">
        <v>60</v>
      </c>
      <c r="M80" s="4" t="s">
        <v>61</v>
      </c>
      <c r="N80" s="4" t="s">
        <v>627</v>
      </c>
      <c r="O80" s="4" t="s">
        <v>63</v>
      </c>
      <c r="P80" s="4" t="s">
        <v>64</v>
      </c>
    </row>
    <row r="81">
      <c r="A81" s="4" t="s">
        <v>40</v>
      </c>
      <c r="B81" s="4" t="s">
        <v>40</v>
      </c>
      <c r="C81" s="4">
        <v>79.0</v>
      </c>
      <c r="D81" s="5" t="str">
        <f>HYPERLINK("https://www.linkedin.com/ad-library/detail/1462277074","Open Ad")</f>
        <v>Open Ad</v>
      </c>
      <c r="E81" s="4" t="s">
        <v>78</v>
      </c>
      <c r="F81" s="4" t="s">
        <v>54</v>
      </c>
      <c r="G81" s="4" t="s">
        <v>687</v>
      </c>
      <c r="H81" s="4" t="s">
        <v>49</v>
      </c>
      <c r="I81" s="4" t="s">
        <v>688</v>
      </c>
      <c r="J81" s="4" t="s">
        <v>78</v>
      </c>
      <c r="K81" s="5" t="str">
        <f>HYPERLINK("https://media.licdn.com/dms/image/v2/D4E10AQGya4254YVE6g/image-shrink_1280/B4EZ8jx101KIAc-/0/1783011696683/Single-Image-1-1-Proven-tacticspng?e=2147483647&amp;v=beta&amp;t=TUDLCAdtMIwEHBWSmyuLzOWcYSLdWccCXP4smm8SAr4","View Creative")</f>
        <v>View Creative</v>
      </c>
      <c r="L81" s="4" t="s">
        <v>60</v>
      </c>
      <c r="M81" s="4" t="s">
        <v>61</v>
      </c>
      <c r="N81" s="4" t="s">
        <v>690</v>
      </c>
      <c r="O81" s="4" t="s">
        <v>89</v>
      </c>
      <c r="P81" s="4" t="s">
        <v>691</v>
      </c>
    </row>
    <row r="82">
      <c r="A82" s="4" t="s">
        <v>40</v>
      </c>
      <c r="B82" s="4" t="s">
        <v>40</v>
      </c>
      <c r="C82" s="4">
        <v>80.0</v>
      </c>
      <c r="D82" s="5" t="str">
        <f>HYPERLINK("https://www.linkedin.com/ad-library/detail/1453075053","Open Ad")</f>
        <v>Open Ad</v>
      </c>
      <c r="E82" s="4" t="s">
        <v>52</v>
      </c>
      <c r="F82" s="4" t="s">
        <v>54</v>
      </c>
      <c r="G82" s="4" t="s">
        <v>695</v>
      </c>
      <c r="H82" s="4" t="s">
        <v>49</v>
      </c>
      <c r="I82" s="4" t="s">
        <v>166</v>
      </c>
      <c r="J82" s="4" t="s">
        <v>52</v>
      </c>
      <c r="K82" s="4" t="s">
        <v>59</v>
      </c>
      <c r="L82" s="4" t="s">
        <v>60</v>
      </c>
      <c r="M82" s="4" t="s">
        <v>61</v>
      </c>
      <c r="N82" s="4" t="s">
        <v>698</v>
      </c>
      <c r="O82" s="4" t="s">
        <v>63</v>
      </c>
      <c r="P82" s="4" t="s">
        <v>64</v>
      </c>
    </row>
    <row r="83">
      <c r="A83" s="4" t="s">
        <v>40</v>
      </c>
      <c r="B83" s="4" t="s">
        <v>40</v>
      </c>
      <c r="C83" s="4">
        <v>81.0</v>
      </c>
      <c r="D83" s="5" t="str">
        <f>HYPERLINK("https://www.linkedin.com/ad-library/detail/1467446954","Open Ad")</f>
        <v>Open Ad</v>
      </c>
      <c r="E83" s="4" t="s">
        <v>78</v>
      </c>
      <c r="F83" s="4" t="s">
        <v>629</v>
      </c>
      <c r="G83" s="4" t="s">
        <v>630</v>
      </c>
      <c r="H83" s="4" t="s">
        <v>49</v>
      </c>
      <c r="I83" s="4" t="s">
        <v>633</v>
      </c>
      <c r="J83" s="4" t="s">
        <v>78</v>
      </c>
      <c r="K83" s="5" t="str">
        <f>HYPERLINK("https://media.licdn.com/dms/image/v2/D4E10AQGcrAayPdMdTA/image-shrink_1280/B4EZ9v4N4HHoAc-/0/1784288436703/LN-Spotlight_photo_1200_1200png?e=2147483647&amp;v=beta&amp;t=r9adK8HFXqOj5HpOnGUj674I6Oipbe7n-y-eFbeMHn8","View Creative")</f>
        <v>View Creative</v>
      </c>
      <c r="L83" s="4" t="s">
        <v>128</v>
      </c>
      <c r="M83" s="4" t="s">
        <v>61</v>
      </c>
      <c r="O83" s="4" t="s">
        <v>89</v>
      </c>
      <c r="P83" s="4" t="s">
        <v>705</v>
      </c>
    </row>
    <row r="84">
      <c r="A84" s="4" t="s">
        <v>40</v>
      </c>
      <c r="B84" s="4" t="s">
        <v>40</v>
      </c>
      <c r="C84" s="4">
        <v>82.0</v>
      </c>
      <c r="D84" s="5" t="str">
        <f>HYPERLINK("https://www.linkedin.com/ad-library/detail/1463785844","Open Ad")</f>
        <v>Open Ad</v>
      </c>
      <c r="E84" s="4" t="s">
        <v>52</v>
      </c>
      <c r="F84" s="4" t="s">
        <v>54</v>
      </c>
      <c r="G84" s="4" t="s">
        <v>515</v>
      </c>
      <c r="H84" s="4" t="s">
        <v>49</v>
      </c>
      <c r="I84" s="4" t="s">
        <v>56</v>
      </c>
      <c r="J84" s="4" t="s">
        <v>52</v>
      </c>
      <c r="K84" s="4" t="s">
        <v>59</v>
      </c>
      <c r="L84" s="4" t="s">
        <v>60</v>
      </c>
      <c r="M84" s="4" t="s">
        <v>61</v>
      </c>
      <c r="N84" s="4" t="s">
        <v>712</v>
      </c>
      <c r="O84" s="4" t="s">
        <v>63</v>
      </c>
      <c r="P84" s="4" t="s">
        <v>64</v>
      </c>
    </row>
    <row r="85">
      <c r="A85" s="4" t="s">
        <v>40</v>
      </c>
      <c r="B85" s="4" t="s">
        <v>40</v>
      </c>
      <c r="C85" s="4">
        <v>83.0</v>
      </c>
      <c r="D85" s="5" t="str">
        <f>HYPERLINK("https://www.linkedin.com/ad-library/detail/1462383574","Open Ad")</f>
        <v>Open Ad</v>
      </c>
      <c r="E85" s="4" t="s">
        <v>78</v>
      </c>
      <c r="F85" s="4" t="s">
        <v>54</v>
      </c>
      <c r="G85" s="4" t="s">
        <v>687</v>
      </c>
      <c r="H85" s="4" t="s">
        <v>49</v>
      </c>
      <c r="I85" s="4" t="s">
        <v>688</v>
      </c>
      <c r="J85" s="4" t="s">
        <v>78</v>
      </c>
      <c r="K85" s="5" t="str">
        <f>HYPERLINK("https://media.licdn.com/dms/image/v2/D4E10AQGya4254YVE6g/image-shrink_1280/B4EZ8jx101KIAc-/0/1783011696683/Single-Image-1-1-Proven-tacticspng?e=2147483647&amp;v=beta&amp;t=TUDLCAdtMIwEHBWSmyuLzOWcYSLdWccCXP4smm8SAr4","View Creative")</f>
        <v>View Creative</v>
      </c>
      <c r="L85" s="4" t="s">
        <v>60</v>
      </c>
      <c r="M85" s="4" t="s">
        <v>61</v>
      </c>
      <c r="N85" s="4" t="s">
        <v>690</v>
      </c>
      <c r="O85" s="4" t="s">
        <v>89</v>
      </c>
      <c r="P85" s="4" t="s">
        <v>723</v>
      </c>
    </row>
    <row r="86">
      <c r="A86" s="4" t="s">
        <v>40</v>
      </c>
      <c r="B86" s="4" t="s">
        <v>40</v>
      </c>
      <c r="C86" s="4">
        <v>84.0</v>
      </c>
      <c r="D86" s="5" t="str">
        <f>HYPERLINK("https://www.linkedin.com/ad-library/detail/1464566944","Open Ad")</f>
        <v>Open Ad</v>
      </c>
      <c r="E86" s="4" t="s">
        <v>78</v>
      </c>
      <c r="F86" s="4" t="s">
        <v>728</v>
      </c>
      <c r="G86" s="4" t="s">
        <v>729</v>
      </c>
      <c r="H86" s="4" t="s">
        <v>49</v>
      </c>
      <c r="I86" s="4" t="s">
        <v>661</v>
      </c>
      <c r="J86" s="4" t="s">
        <v>78</v>
      </c>
      <c r="K86" s="5" t="str">
        <f>HYPERLINK("https://media.licdn.com/dms/image/v2/D4E10AQFZ1VK5vcHKvw/image-shrink_1280/B4EZ9HEFirHAAc-/0/1783603683481/Open-Role-Senior-Project-Manager-7680-4320png?e=2147483647&amp;v=beta&amp;t=an0re-0ivRaF6HKJNiywJBtrroMlW2Qv3Puinnx9A8o","View Creative")</f>
        <v>View Creative</v>
      </c>
      <c r="L86" s="4" t="s">
        <v>60</v>
      </c>
      <c r="M86" s="4" t="s">
        <v>61</v>
      </c>
      <c r="N86" s="4" t="s">
        <v>736</v>
      </c>
      <c r="O86" s="4" t="s">
        <v>89</v>
      </c>
      <c r="P86" s="4" t="s">
        <v>738</v>
      </c>
    </row>
    <row r="87">
      <c r="A87" s="4" t="s">
        <v>40</v>
      </c>
      <c r="B87" s="4" t="s">
        <v>40</v>
      </c>
      <c r="C87" s="4">
        <v>85.0</v>
      </c>
      <c r="D87" s="5" t="str">
        <f>HYPERLINK("https://www.linkedin.com/ad-library/detail/1464632794","Open Ad")</f>
        <v>Open Ad</v>
      </c>
      <c r="E87" s="4" t="s">
        <v>78</v>
      </c>
      <c r="F87" s="4" t="s">
        <v>728</v>
      </c>
      <c r="G87" s="4" t="s">
        <v>729</v>
      </c>
      <c r="H87" s="4" t="s">
        <v>49</v>
      </c>
      <c r="I87" s="4" t="s">
        <v>661</v>
      </c>
      <c r="J87" s="4" t="s">
        <v>78</v>
      </c>
      <c r="K87" s="5" t="str">
        <f>HYPERLINK("https://media.licdn.com/dms/image/v2/D4E10AQHsoy46gzEDsA/image-shrink_1280/B4EZ9HEFjyJ0Ac-/0/1783603682276/Open-Role-Senior-Project-Manager-2430-4320png?e=2147483647&amp;v=beta&amp;t=7v6VFrmTNFA-c8Wc5_32T2MTUaDG0Y89Dcz9O6CQeho","View Creative")</f>
        <v>View Creative</v>
      </c>
      <c r="L87" s="4" t="s">
        <v>60</v>
      </c>
      <c r="M87" s="4" t="s">
        <v>61</v>
      </c>
      <c r="N87" s="4" t="s">
        <v>736</v>
      </c>
      <c r="O87" s="4" t="s">
        <v>89</v>
      </c>
      <c r="P87" s="4" t="s">
        <v>744</v>
      </c>
    </row>
    <row r="88">
      <c r="A88" s="4" t="s">
        <v>40</v>
      </c>
      <c r="B88" s="4" t="s">
        <v>40</v>
      </c>
      <c r="C88" s="4">
        <v>86.0</v>
      </c>
      <c r="D88" s="5" t="str">
        <f>HYPERLINK("https://www.linkedin.com/ad-library/detail/1464622904","Open Ad")</f>
        <v>Open Ad</v>
      </c>
      <c r="E88" s="4" t="s">
        <v>658</v>
      </c>
      <c r="F88" s="4" t="s">
        <v>54</v>
      </c>
      <c r="G88" s="4" t="s">
        <v>747</v>
      </c>
      <c r="H88" s="4" t="s">
        <v>49</v>
      </c>
      <c r="I88" s="4" t="s">
        <v>661</v>
      </c>
      <c r="J88" s="4" t="s">
        <v>658</v>
      </c>
      <c r="K88" s="5" t="str">
        <f>HYPERLINK("https://static.licdn.com/aero-v1/sc/h/9c8pery4andzj6ohjkjp54ma2","View Creative")</f>
        <v>View Creative</v>
      </c>
      <c r="L88" s="4" t="s">
        <v>662</v>
      </c>
      <c r="M88" s="4" t="s">
        <v>61</v>
      </c>
      <c r="N88" s="4" t="s">
        <v>736</v>
      </c>
      <c r="O88" s="4" t="s">
        <v>89</v>
      </c>
      <c r="P88" s="4" t="s">
        <v>751</v>
      </c>
    </row>
    <row r="89">
      <c r="A89" s="4" t="s">
        <v>40</v>
      </c>
      <c r="B89" s="4" t="s">
        <v>40</v>
      </c>
      <c r="C89" s="4">
        <v>87.0</v>
      </c>
      <c r="D89" s="5" t="str">
        <f>HYPERLINK("https://www.linkedin.com/ad-library/detail/1467331684","Open Ad")</f>
        <v>Open Ad</v>
      </c>
      <c r="E89" s="4" t="s">
        <v>78</v>
      </c>
      <c r="F89" s="4" t="s">
        <v>756</v>
      </c>
      <c r="G89" s="4" t="s">
        <v>758</v>
      </c>
      <c r="H89" s="4" t="s">
        <v>49</v>
      </c>
      <c r="I89" s="4" t="s">
        <v>661</v>
      </c>
      <c r="J89" s="4" t="s">
        <v>78</v>
      </c>
      <c r="K89" s="5" t="str">
        <f>HYPERLINK("https://media.licdn.com/dms/image/v2/D4E10AQHLMWUcCdw2ZQ/image-shrink_1280/B4EZ9rrgP7JIAc-/0/1784217995967/Open-Role-Senior-BI-Engineer-7680-4320png?e=2147483647&amp;v=beta&amp;t=CqharZmZOpugpE5ktYtdhYvPPRUH7mZb0JmBu4kUg2Y","View Creative")</f>
        <v>View Creative</v>
      </c>
      <c r="L89" s="4" t="s">
        <v>60</v>
      </c>
      <c r="M89" s="4" t="s">
        <v>61</v>
      </c>
      <c r="N89" s="4" t="s">
        <v>663</v>
      </c>
      <c r="O89" s="4" t="s">
        <v>89</v>
      </c>
      <c r="P89" s="4" t="s">
        <v>762</v>
      </c>
    </row>
    <row r="90">
      <c r="A90" s="4" t="s">
        <v>40</v>
      </c>
      <c r="B90" s="4" t="s">
        <v>40</v>
      </c>
      <c r="C90" s="4">
        <v>88.0</v>
      </c>
      <c r="D90" s="5" t="str">
        <f>HYPERLINK("https://www.linkedin.com/ad-library/detail/1467331694","Open Ad")</f>
        <v>Open Ad</v>
      </c>
      <c r="E90" s="4" t="s">
        <v>78</v>
      </c>
      <c r="F90" s="4" t="s">
        <v>756</v>
      </c>
      <c r="G90" s="4" t="s">
        <v>758</v>
      </c>
      <c r="H90" s="4" t="s">
        <v>49</v>
      </c>
      <c r="I90" s="4" t="s">
        <v>661</v>
      </c>
      <c r="J90" s="4" t="s">
        <v>78</v>
      </c>
      <c r="K90" s="5" t="str">
        <f>HYPERLINK("https://media.licdn.com/dms/image/v2/D4E10AQHG4h45y8oi0g/image-shrink_1280/B4EZ9rrqzFIwAc-/0/1784218038375/Open-Role-Senior-BI-Engineer-4320-4320png?e=2147483647&amp;v=beta&amp;t=_oMx73L4l6ZKi_GmmjLqOC9juDUuPI0iWX-oqc1grU0","View Creative")</f>
        <v>View Creative</v>
      </c>
      <c r="L90" s="4" t="s">
        <v>60</v>
      </c>
      <c r="M90" s="4" t="s">
        <v>61</v>
      </c>
      <c r="N90" s="4" t="s">
        <v>663</v>
      </c>
      <c r="O90" s="4" t="s">
        <v>89</v>
      </c>
      <c r="P90" s="4" t="s">
        <v>773</v>
      </c>
    </row>
    <row r="91">
      <c r="A91" s="4" t="s">
        <v>40</v>
      </c>
      <c r="B91" s="4" t="s">
        <v>40</v>
      </c>
      <c r="C91" s="4">
        <v>89.0</v>
      </c>
      <c r="D91" s="5" t="str">
        <f>HYPERLINK("https://www.linkedin.com/ad-library/detail/1467246414","Open Ad")</f>
        <v>Open Ad</v>
      </c>
      <c r="E91" s="4" t="s">
        <v>78</v>
      </c>
      <c r="F91" s="4" t="s">
        <v>756</v>
      </c>
      <c r="G91" s="4" t="s">
        <v>758</v>
      </c>
      <c r="H91" s="4" t="s">
        <v>49</v>
      </c>
      <c r="I91" s="4" t="s">
        <v>661</v>
      </c>
      <c r="J91" s="4" t="s">
        <v>78</v>
      </c>
      <c r="K91" s="5" t="str">
        <f>HYPERLINK("https://media.licdn.com/dms/image/v2/D4E10AQE4B7DbLQ3zNw/image-shrink_1280/B4EZ9rrgGAJgAc-/0/1784217994315/Open-Role-Senior-BI-Engineer-2430-4320png?e=2147483647&amp;v=beta&amp;t=wlkm1U3zzPh3E54NATixzFEDFK793f7WPGb4bEVmkXw","View Creative")</f>
        <v>View Creative</v>
      </c>
      <c r="L91" s="4" t="s">
        <v>60</v>
      </c>
      <c r="M91" s="4" t="s">
        <v>61</v>
      </c>
      <c r="N91" s="4" t="s">
        <v>663</v>
      </c>
      <c r="O91" s="4" t="s">
        <v>89</v>
      </c>
      <c r="P91" s="4" t="s">
        <v>784</v>
      </c>
    </row>
    <row r="92">
      <c r="A92" s="4" t="s">
        <v>40</v>
      </c>
      <c r="B92" s="4" t="s">
        <v>40</v>
      </c>
      <c r="C92" s="4">
        <v>90.0</v>
      </c>
      <c r="D92" s="5" t="str">
        <f>HYPERLINK("https://www.linkedin.com/ad-library/detail/1460619704","Open Ad")</f>
        <v>Open Ad</v>
      </c>
      <c r="E92" s="4" t="s">
        <v>658</v>
      </c>
      <c r="F92" s="4" t="s">
        <v>54</v>
      </c>
      <c r="G92" s="4" t="s">
        <v>791</v>
      </c>
      <c r="H92" s="4" t="s">
        <v>49</v>
      </c>
      <c r="I92" s="4" t="s">
        <v>661</v>
      </c>
      <c r="J92" s="4" t="s">
        <v>658</v>
      </c>
      <c r="K92" s="5" t="str">
        <f>HYPERLINK("https://static.licdn.com/aero-v1/sc/h/9c8pery4andzj6ohjkjp54ma2","View Creative")</f>
        <v>View Creative</v>
      </c>
      <c r="L92" s="4" t="s">
        <v>662</v>
      </c>
      <c r="M92" s="4" t="s">
        <v>61</v>
      </c>
      <c r="N92" s="4" t="s">
        <v>793</v>
      </c>
      <c r="O92" s="4" t="s">
        <v>89</v>
      </c>
      <c r="P92" s="4" t="s">
        <v>794</v>
      </c>
    </row>
    <row r="93">
      <c r="A93" s="4" t="s">
        <v>40</v>
      </c>
      <c r="B93" s="4" t="s">
        <v>40</v>
      </c>
      <c r="C93" s="4">
        <v>91.0</v>
      </c>
      <c r="D93" s="5" t="str">
        <f>HYPERLINK("https://www.linkedin.com/ad-library/detail/1458192884","Open Ad")</f>
        <v>Open Ad</v>
      </c>
      <c r="E93" s="4" t="s">
        <v>78</v>
      </c>
      <c r="F93" s="4" t="s">
        <v>643</v>
      </c>
      <c r="G93" s="4" t="s">
        <v>645</v>
      </c>
      <c r="H93" s="4" t="s">
        <v>49</v>
      </c>
      <c r="I93" s="4" t="s">
        <v>340</v>
      </c>
      <c r="J93" s="4" t="s">
        <v>78</v>
      </c>
      <c r="K93" s="5" t="str">
        <f>HYPERLINK("https://media.licdn.com/dms/image/v2/D4E10AQFXzfItc3KeZQ/image-shrink_1280/B4EZ7VQAnQHwAg-/0/1781694205498/Open-Role-Digital-Strategy-Consultant-4320-4320png?e=2147483647&amp;v=beta&amp;t=M2-yrq-KdlFwzCT2UYXQ7QO74RgustWOntqKD2PW2DY","View Creative")</f>
        <v>View Creative</v>
      </c>
      <c r="L93" s="4" t="s">
        <v>106</v>
      </c>
      <c r="M93" s="4" t="s">
        <v>61</v>
      </c>
      <c r="O93" s="4" t="s">
        <v>89</v>
      </c>
      <c r="P93" s="4" t="s">
        <v>803</v>
      </c>
    </row>
    <row r="94">
      <c r="A94" s="4" t="s">
        <v>40</v>
      </c>
      <c r="B94" s="4" t="s">
        <v>40</v>
      </c>
      <c r="C94" s="4">
        <v>92.0</v>
      </c>
      <c r="D94" s="5" t="str">
        <f>HYPERLINK("https://www.linkedin.com/ad-library/detail/1452996923","Open Ad")</f>
        <v>Open Ad</v>
      </c>
      <c r="E94" s="4" t="s">
        <v>52</v>
      </c>
      <c r="F94" s="4" t="s">
        <v>54</v>
      </c>
      <c r="G94" s="4" t="s">
        <v>808</v>
      </c>
      <c r="H94" s="4" t="s">
        <v>49</v>
      </c>
      <c r="I94" s="4" t="s">
        <v>661</v>
      </c>
      <c r="J94" s="4" t="s">
        <v>52</v>
      </c>
      <c r="K94" s="4" t="s">
        <v>59</v>
      </c>
      <c r="L94" s="4" t="s">
        <v>60</v>
      </c>
      <c r="M94" s="4" t="s">
        <v>61</v>
      </c>
      <c r="N94" s="4" t="s">
        <v>698</v>
      </c>
      <c r="O94" s="4" t="s">
        <v>63</v>
      </c>
      <c r="P94" s="4" t="s">
        <v>64</v>
      </c>
    </row>
    <row r="95">
      <c r="A95" s="4" t="s">
        <v>40</v>
      </c>
      <c r="B95" s="4" t="s">
        <v>40</v>
      </c>
      <c r="C95" s="4">
        <v>93.0</v>
      </c>
      <c r="D95" s="5" t="str">
        <f>HYPERLINK("https://www.linkedin.com/ad-library/detail/1463795434","Open Ad")</f>
        <v>Open Ad</v>
      </c>
      <c r="E95" s="4" t="s">
        <v>52</v>
      </c>
      <c r="F95" s="4" t="s">
        <v>54</v>
      </c>
      <c r="G95" s="4" t="s">
        <v>428</v>
      </c>
      <c r="H95" s="4" t="s">
        <v>49</v>
      </c>
      <c r="I95" s="4" t="s">
        <v>429</v>
      </c>
      <c r="J95" s="4" t="s">
        <v>52</v>
      </c>
      <c r="K95" s="4" t="s">
        <v>59</v>
      </c>
      <c r="L95" s="4" t="s">
        <v>60</v>
      </c>
      <c r="M95" s="4" t="s">
        <v>61</v>
      </c>
      <c r="N95" s="4" t="s">
        <v>815</v>
      </c>
      <c r="O95" s="4" t="s">
        <v>63</v>
      </c>
      <c r="P95" s="4" t="s">
        <v>64</v>
      </c>
    </row>
    <row r="96">
      <c r="A96" s="4" t="s">
        <v>40</v>
      </c>
      <c r="B96" s="4" t="s">
        <v>40</v>
      </c>
      <c r="C96" s="4">
        <v>94.0</v>
      </c>
      <c r="D96" s="5" t="str">
        <f>HYPERLINK("https://www.linkedin.com/ad-library/detail/1464548394","Open Ad")</f>
        <v>Open Ad</v>
      </c>
      <c r="E96" s="4" t="s">
        <v>78</v>
      </c>
      <c r="F96" s="4" t="s">
        <v>728</v>
      </c>
      <c r="G96" s="4" t="s">
        <v>729</v>
      </c>
      <c r="H96" s="4" t="s">
        <v>49</v>
      </c>
      <c r="I96" s="4" t="s">
        <v>661</v>
      </c>
      <c r="J96" s="4" t="s">
        <v>78</v>
      </c>
      <c r="K96" s="5" t="str">
        <f>HYPERLINK("https://media.licdn.com/dms/image/v2/D4E10AQEgCPK56xaPEA/image-shrink_1280/B4EZ9HEFlJHMAc-/0/1783603682778/Open-Role-Senior-Project-Manager-4320-4320png?e=2147483647&amp;v=beta&amp;t=b8o-bLzLx0dcc98ZGHBJlLNEcaB1HTyajxvBiQqKXiA","View Creative")</f>
        <v>View Creative</v>
      </c>
      <c r="L96" s="4" t="s">
        <v>60</v>
      </c>
      <c r="M96" s="4" t="s">
        <v>61</v>
      </c>
      <c r="N96" s="4" t="s">
        <v>736</v>
      </c>
      <c r="O96" s="4" t="s">
        <v>89</v>
      </c>
      <c r="P96" s="4" t="s">
        <v>827</v>
      </c>
    </row>
    <row r="97">
      <c r="A97" s="4" t="s">
        <v>40</v>
      </c>
      <c r="B97" s="4" t="s">
        <v>40</v>
      </c>
      <c r="C97" s="4">
        <v>95.0</v>
      </c>
      <c r="D97" s="5" t="str">
        <f>HYPERLINK("https://www.linkedin.com/ad-library/detail/1463667924","Open Ad")</f>
        <v>Open Ad</v>
      </c>
      <c r="E97" s="4" t="s">
        <v>52</v>
      </c>
      <c r="F97" s="4" t="s">
        <v>54</v>
      </c>
      <c r="G97" s="4" t="s">
        <v>515</v>
      </c>
      <c r="H97" s="4" t="s">
        <v>49</v>
      </c>
      <c r="I97" s="4" t="s">
        <v>56</v>
      </c>
      <c r="J97" s="4" t="s">
        <v>52</v>
      </c>
      <c r="K97" s="4" t="s">
        <v>59</v>
      </c>
      <c r="L97" s="4" t="s">
        <v>60</v>
      </c>
      <c r="M97" s="4" t="s">
        <v>61</v>
      </c>
      <c r="N97" s="4" t="s">
        <v>835</v>
      </c>
      <c r="O97" s="4" t="s">
        <v>63</v>
      </c>
      <c r="P97" s="4" t="s">
        <v>64</v>
      </c>
    </row>
    <row r="98">
      <c r="A98" s="4" t="s">
        <v>40</v>
      </c>
      <c r="B98" s="4" t="s">
        <v>40</v>
      </c>
      <c r="C98" s="4">
        <v>96.0</v>
      </c>
      <c r="D98" s="5" t="str">
        <f>HYPERLINK("https://www.linkedin.com/ad-library/detail/1467399674","Open Ad")</f>
        <v>Open Ad</v>
      </c>
      <c r="E98" s="4" t="s">
        <v>78</v>
      </c>
      <c r="F98" s="4" t="s">
        <v>629</v>
      </c>
      <c r="G98" s="4" t="s">
        <v>630</v>
      </c>
      <c r="H98" s="4" t="s">
        <v>49</v>
      </c>
      <c r="I98" s="4" t="s">
        <v>633</v>
      </c>
      <c r="J98" s="4" t="s">
        <v>78</v>
      </c>
      <c r="K98" s="5" t="str">
        <f>HYPERLINK("https://media.licdn.com/dms/image/v2/D4E10AQGn2QLHSqf3rg/image-shrink_1280/B4EZ9v4Ia0JkAc-/0/1784288414412/LN-Spotlight_graph_1200_1200png?e=2147483647&amp;v=beta&amp;t=dEtrxLFbXppt7jqXFHJUGNu8jP9OjE_6fheSmfwav-Y","View Creative")</f>
        <v>View Creative</v>
      </c>
      <c r="L98" s="4" t="s">
        <v>128</v>
      </c>
      <c r="M98" s="4" t="s">
        <v>61</v>
      </c>
      <c r="O98" s="4" t="s">
        <v>89</v>
      </c>
      <c r="P98" s="4" t="s">
        <v>842</v>
      </c>
    </row>
    <row r="99">
      <c r="A99" s="4" t="s">
        <v>40</v>
      </c>
      <c r="B99" s="4" t="s">
        <v>40</v>
      </c>
      <c r="C99" s="4">
        <v>97.0</v>
      </c>
      <c r="D99" s="5" t="str">
        <f>HYPERLINK("https://www.linkedin.com/ad-library/detail/1458282204","Open Ad")</f>
        <v>Open Ad</v>
      </c>
      <c r="E99" s="4" t="s">
        <v>78</v>
      </c>
      <c r="F99" s="4" t="s">
        <v>728</v>
      </c>
      <c r="G99" s="4" t="s">
        <v>846</v>
      </c>
      <c r="H99" s="4" t="s">
        <v>49</v>
      </c>
      <c r="I99" s="4" t="s">
        <v>661</v>
      </c>
      <c r="J99" s="4" t="s">
        <v>78</v>
      </c>
      <c r="K99" s="5" t="str">
        <f>HYPERLINK("https://media.licdn.com/dms/image/v2/D4E10AQEJYGMi4Guxcw/image-shrink_1280/B4EZ7VNGGLJIAo-/0/1781693441381/Open-Role-Onboarding-Consultant-4320-4320png?e=2147483647&amp;v=beta&amp;t=UQUEbJgsc40Aztd1lSAbjsj75TkPOWpyAL9c9WsvuEE","View Creative")</f>
        <v>View Creative</v>
      </c>
      <c r="L99" s="4" t="s">
        <v>106</v>
      </c>
      <c r="M99" s="4" t="s">
        <v>61</v>
      </c>
      <c r="O99" s="4" t="s">
        <v>89</v>
      </c>
      <c r="P99" s="4" t="s">
        <v>851</v>
      </c>
    </row>
    <row r="100">
      <c r="A100" s="4" t="s">
        <v>40</v>
      </c>
      <c r="B100" s="4" t="s">
        <v>40</v>
      </c>
      <c r="C100" s="4">
        <v>98.0</v>
      </c>
      <c r="D100" s="5" t="str">
        <f>HYPERLINK("https://www.linkedin.com/ad-library/detail/1458312264","Open Ad")</f>
        <v>Open Ad</v>
      </c>
      <c r="E100" s="4" t="s">
        <v>78</v>
      </c>
      <c r="F100" s="4" t="s">
        <v>643</v>
      </c>
      <c r="G100" s="4" t="s">
        <v>853</v>
      </c>
      <c r="H100" s="4" t="s">
        <v>49</v>
      </c>
      <c r="I100" s="4" t="s">
        <v>661</v>
      </c>
      <c r="J100" s="4" t="s">
        <v>78</v>
      </c>
      <c r="K100" s="5" t="str">
        <f>HYPERLINK("https://media.licdn.com/dms/image/v2/D4E10AQFNScRswV9lYQ/image-shrink_1280/B4EZ7VKRd_IcAg-/0/1781692701327/Open-Role-QA-Automation-Engineer-2430-4320png?e=2147483647&amp;v=beta&amp;t=bjAtN61UCvI8aixCC4AcQnv011vNBAwuMbNUIS7Orno","View Creative")</f>
        <v>View Creative</v>
      </c>
      <c r="L100" s="4" t="s">
        <v>60</v>
      </c>
      <c r="M100" s="4" t="s">
        <v>61</v>
      </c>
      <c r="N100" s="4" t="s">
        <v>856</v>
      </c>
      <c r="O100" s="4" t="s">
        <v>89</v>
      </c>
      <c r="P100" s="4" t="s">
        <v>857</v>
      </c>
    </row>
    <row r="101">
      <c r="A101" s="4" t="s">
        <v>40</v>
      </c>
      <c r="B101" s="4" t="s">
        <v>40</v>
      </c>
      <c r="C101" s="4">
        <v>99.0</v>
      </c>
      <c r="D101" s="5" t="str">
        <f>HYPERLINK("https://www.linkedin.com/ad-library/detail/1458232274","Open Ad")</f>
        <v>Open Ad</v>
      </c>
      <c r="E101" s="4" t="s">
        <v>78</v>
      </c>
      <c r="F101" s="4" t="s">
        <v>728</v>
      </c>
      <c r="G101" s="4" t="s">
        <v>846</v>
      </c>
      <c r="H101" s="4" t="s">
        <v>49</v>
      </c>
      <c r="I101" s="4" t="s">
        <v>661</v>
      </c>
      <c r="J101" s="4" t="s">
        <v>78</v>
      </c>
      <c r="K101" s="5" t="str">
        <f>HYPERLINK("https://media.licdn.com/dms/image/v2/D4E10AQE3nmfmBryonw/image-shrink_1280/B4EZ7VNGG3HkBs-/0/1781693442260/Open-Role-Onboarding-Consultant-7680-4320png?e=2147483647&amp;v=beta&amp;t=b4nlXBItBLrA30tlMelfNQow360bk4Y4Sfg0AQjz6jk","View Creative")</f>
        <v>View Creative</v>
      </c>
      <c r="L101" s="4" t="s">
        <v>106</v>
      </c>
      <c r="M101" s="4" t="s">
        <v>61</v>
      </c>
      <c r="O101" s="4" t="s">
        <v>89</v>
      </c>
      <c r="P101" s="4" t="s">
        <v>864</v>
      </c>
    </row>
    <row r="102">
      <c r="A102" s="4" t="s">
        <v>40</v>
      </c>
      <c r="B102" s="4" t="s">
        <v>40</v>
      </c>
      <c r="C102" s="4">
        <v>100.0</v>
      </c>
      <c r="D102" s="5" t="str">
        <f>HYPERLINK("https://www.linkedin.com/ad-library/detail/1450965254","Open Ad")</f>
        <v>Open Ad</v>
      </c>
      <c r="E102" s="4" t="s">
        <v>78</v>
      </c>
      <c r="F102" s="4" t="s">
        <v>870</v>
      </c>
      <c r="G102" s="4" t="s">
        <v>872</v>
      </c>
      <c r="H102" s="4" t="s">
        <v>49</v>
      </c>
      <c r="I102" s="4" t="s">
        <v>873</v>
      </c>
      <c r="J102" s="4" t="s">
        <v>78</v>
      </c>
      <c r="K102" s="5" t="str">
        <f>HYPERLINK("https://media.licdn.com/dms/image/v2/D4E10AQE9MZOuEmmF_A/image-shrink_1280/B4EZ64N33WIwAc-/0/1781207105551/Birghttalk-Thumbnail-Webinar-WhatshouldCMOsmeasureinanAIera_png?e=2147483647&amp;v=beta&amp;t=TOgIZzPo1rXqEmF5DB7wkNypUdt78LCWYqug_lYv8v4","View Creative")</f>
        <v>View Creative</v>
      </c>
      <c r="L102" s="4" t="s">
        <v>876</v>
      </c>
      <c r="M102" s="4" t="s">
        <v>61</v>
      </c>
      <c r="N102" s="4" t="s">
        <v>877</v>
      </c>
      <c r="O102" s="4" t="s">
        <v>89</v>
      </c>
      <c r="P102" s="4" t="s">
        <v>879</v>
      </c>
    </row>
    <row r="103">
      <c r="A103" s="4" t="s">
        <v>40</v>
      </c>
      <c r="B103" s="4" t="s">
        <v>40</v>
      </c>
      <c r="C103" s="4">
        <v>101.0</v>
      </c>
      <c r="D103" s="5" t="str">
        <f>HYPERLINK("https://www.linkedin.com/ad-library/detail/1451023044","Open Ad")</f>
        <v>Open Ad</v>
      </c>
      <c r="E103" s="4" t="s">
        <v>78</v>
      </c>
      <c r="F103" s="4" t="s">
        <v>643</v>
      </c>
      <c r="G103" s="4" t="s">
        <v>882</v>
      </c>
      <c r="H103" s="4" t="s">
        <v>49</v>
      </c>
      <c r="I103" s="4" t="s">
        <v>661</v>
      </c>
      <c r="J103" s="4" t="s">
        <v>78</v>
      </c>
      <c r="K103" s="5" t="str">
        <f>HYPERLINK("https://media.licdn.com/dms/image/v2/D4E10AQFImcCxL-xnDw/image-shrink_1280/B4EZ67sfHHKkAc-/0/1781265463248/Open-Role-Insights-Analyst-4320-4320png?e=2147483647&amp;v=beta&amp;t=tqGjERQeyWyMFJXg-wr4_N5aAAe3yCJPYNenKRO5bNU","View Creative")</f>
        <v>View Creative</v>
      </c>
      <c r="L103" s="4" t="s">
        <v>60</v>
      </c>
      <c r="M103" s="4" t="s">
        <v>61</v>
      </c>
      <c r="N103" s="4" t="s">
        <v>885</v>
      </c>
      <c r="O103" s="4" t="s">
        <v>89</v>
      </c>
      <c r="P103" s="4" t="s">
        <v>888</v>
      </c>
    </row>
    <row r="104">
      <c r="A104" s="4" t="s">
        <v>40</v>
      </c>
      <c r="B104" s="4" t="s">
        <v>40</v>
      </c>
      <c r="C104" s="4">
        <v>102.0</v>
      </c>
      <c r="D104" s="5" t="str">
        <f>HYPERLINK("https://www.linkedin.com/ad-library/detail/1313900874","Open Ad")</f>
        <v>Open Ad</v>
      </c>
      <c r="E104" s="4" t="s">
        <v>78</v>
      </c>
      <c r="F104" s="4" t="s">
        <v>756</v>
      </c>
      <c r="G104" s="4" t="s">
        <v>893</v>
      </c>
      <c r="H104" s="4" t="s">
        <v>49</v>
      </c>
      <c r="I104" s="4" t="s">
        <v>661</v>
      </c>
      <c r="J104" s="4" t="s">
        <v>78</v>
      </c>
      <c r="K104" s="5" t="str">
        <f>HYPERLINK("https://media.licdn.com/dms/image/v2/D4E10AQFDJ6vmwJG3gg/image-shrink_1280/B4EZ50durpHMAc-/0/1780070411743/Open-Role-Senior-BI-Engineer-2430-4320png?e=2147483647&amp;v=beta&amp;t=w3fm-7m8bxe9EgFzfneT3275HkphiLDNjKvhrWidNnE","View Creative")</f>
        <v>View Creative</v>
      </c>
      <c r="L104" s="4" t="s">
        <v>60</v>
      </c>
      <c r="M104" s="4" t="s">
        <v>61</v>
      </c>
      <c r="N104" s="4" t="s">
        <v>896</v>
      </c>
      <c r="O104" s="4" t="s">
        <v>89</v>
      </c>
      <c r="P104" s="4" t="s">
        <v>898</v>
      </c>
    </row>
    <row r="105">
      <c r="A105" s="4" t="s">
        <v>40</v>
      </c>
      <c r="B105" s="4" t="s">
        <v>40</v>
      </c>
      <c r="C105" s="4">
        <v>103.0</v>
      </c>
      <c r="D105" s="5" t="str">
        <f>HYPERLINK("https://www.linkedin.com/ad-library/detail/1314488364","Open Ad")</f>
        <v>Open Ad</v>
      </c>
      <c r="E105" s="4" t="s">
        <v>78</v>
      </c>
      <c r="F105" s="4" t="s">
        <v>643</v>
      </c>
      <c r="G105" s="4" t="s">
        <v>903</v>
      </c>
      <c r="H105" s="4" t="s">
        <v>49</v>
      </c>
      <c r="I105" s="4" t="s">
        <v>661</v>
      </c>
      <c r="J105" s="4" t="s">
        <v>78</v>
      </c>
      <c r="K105" s="5" t="str">
        <f>HYPERLINK("https://media.licdn.com/dms/image/v2/D4E10AQG44H73kpPaIA/image-shrink_1280/B4EZ50amWkHQAc-/0/1780069591457/Open-Role-Senior-Golang-Developer-4320-4320png?e=2147483647&amp;v=beta&amp;t=IN-uKoppaoFS0wac235DuSd_N7TWRrGV9imLmrpG_ZI","View Creative")</f>
        <v>View Creative</v>
      </c>
      <c r="L105" s="4" t="s">
        <v>60</v>
      </c>
      <c r="M105" s="4" t="s">
        <v>61</v>
      </c>
      <c r="N105" s="4" t="s">
        <v>906</v>
      </c>
      <c r="O105" s="4" t="s">
        <v>89</v>
      </c>
      <c r="P105" s="4" t="s">
        <v>909</v>
      </c>
    </row>
    <row r="106">
      <c r="A106" s="4" t="s">
        <v>40</v>
      </c>
      <c r="B106" s="4" t="s">
        <v>40</v>
      </c>
      <c r="C106" s="4">
        <v>104.0</v>
      </c>
      <c r="D106" s="5" t="str">
        <f>HYPERLINK("https://www.linkedin.com/ad-library/detail/1312413254","Open Ad")</f>
        <v>Open Ad</v>
      </c>
      <c r="E106" s="4" t="s">
        <v>78</v>
      </c>
      <c r="F106" s="4" t="s">
        <v>756</v>
      </c>
      <c r="G106" s="4" t="s">
        <v>893</v>
      </c>
      <c r="H106" s="4" t="s">
        <v>49</v>
      </c>
      <c r="I106" s="4" t="s">
        <v>661</v>
      </c>
      <c r="J106" s="4" t="s">
        <v>78</v>
      </c>
      <c r="K106" s="5" t="str">
        <f>HYPERLINK("https://media.licdn.com/dms/image/v2/D4E10AQEAs464v9JVXg/image-shrink_1280/B4EZ50dubmJMAc-/0/1780070412251/Open-Role-Senior-BI-Engineer-7680-4320png?e=2147483647&amp;v=beta&amp;t=lBavFuj8812e70qsMCQZvQHepi9EHCLWyAa0s2QmSD0","View Creative")</f>
        <v>View Creative</v>
      </c>
      <c r="L106" s="4" t="s">
        <v>60</v>
      </c>
      <c r="M106" s="4" t="s">
        <v>61</v>
      </c>
      <c r="N106" s="4" t="s">
        <v>896</v>
      </c>
      <c r="O106" s="4" t="s">
        <v>89</v>
      </c>
      <c r="P106" s="4" t="s">
        <v>914</v>
      </c>
    </row>
    <row r="107">
      <c r="A107" s="4" t="s">
        <v>40</v>
      </c>
      <c r="B107" s="4" t="s">
        <v>40</v>
      </c>
      <c r="C107" s="4">
        <v>105.0</v>
      </c>
      <c r="D107" s="5" t="str">
        <f>HYPERLINK("https://www.linkedin.com/ad-library/detail/1313703924","Open Ad")</f>
        <v>Open Ad</v>
      </c>
      <c r="E107" s="4" t="s">
        <v>78</v>
      </c>
      <c r="F107" s="4" t="s">
        <v>643</v>
      </c>
      <c r="G107" s="4" t="s">
        <v>903</v>
      </c>
      <c r="H107" s="4" t="s">
        <v>49</v>
      </c>
      <c r="I107" s="4" t="s">
        <v>661</v>
      </c>
      <c r="J107" s="4" t="s">
        <v>78</v>
      </c>
      <c r="K107" s="5" t="str">
        <f>HYPERLINK("https://media.licdn.com/dms/image/v2/D4E10AQG8qotgJm1UwQ/image-shrink_1280/B4EZ50ampSGQAs-/0/1780069592364/Open-Role-Senior-Golang-Developer-2430-4320png?e=2147483647&amp;v=beta&amp;t=VUF2il37kf0gc2COf-60SvALTZQZKeLatxo2MOr23wY","View Creative")</f>
        <v>View Creative</v>
      </c>
      <c r="L107" s="4" t="s">
        <v>60</v>
      </c>
      <c r="M107" s="4" t="s">
        <v>61</v>
      </c>
      <c r="N107" s="4" t="s">
        <v>906</v>
      </c>
      <c r="O107" s="4" t="s">
        <v>89</v>
      </c>
      <c r="P107" s="4" t="s">
        <v>921</v>
      </c>
    </row>
    <row r="108">
      <c r="A108" s="4" t="s">
        <v>40</v>
      </c>
      <c r="B108" s="4" t="s">
        <v>40</v>
      </c>
      <c r="C108" s="4">
        <v>106.0</v>
      </c>
      <c r="D108" s="5" t="str">
        <f>HYPERLINK("https://www.linkedin.com/ad-library/detail/1450974774","Open Ad")</f>
        <v>Open Ad</v>
      </c>
      <c r="E108" s="4" t="s">
        <v>78</v>
      </c>
      <c r="F108" s="4" t="s">
        <v>870</v>
      </c>
      <c r="G108" s="4" t="s">
        <v>872</v>
      </c>
      <c r="H108" s="4" t="s">
        <v>49</v>
      </c>
      <c r="I108" s="4" t="s">
        <v>873</v>
      </c>
      <c r="J108" s="4" t="s">
        <v>78</v>
      </c>
      <c r="K108" s="5" t="str">
        <f>HYPERLINK("https://media.licdn.com/dms/image/v2/D4E10AQELmvAO5Ie0Qw/image-shrink_1280/B4EZ63QCXHJ4Ac-/0/1781190895934/LN-Webinar-WhatshouldCMOsmeasureinanAIera_png?e=2147483647&amp;v=beta&amp;t=mG4vHJtqLMIyjd6MVe5fY3JOP7Cb3ks5sc5XLeoC3zI","View Creative")</f>
        <v>View Creative</v>
      </c>
      <c r="L108" s="4" t="s">
        <v>876</v>
      </c>
      <c r="M108" s="4" t="s">
        <v>61</v>
      </c>
      <c r="N108" s="4" t="s">
        <v>877</v>
      </c>
      <c r="O108" s="4" t="s">
        <v>89</v>
      </c>
      <c r="P108" s="4" t="s">
        <v>927</v>
      </c>
    </row>
    <row r="109">
      <c r="A109" s="4" t="s">
        <v>40</v>
      </c>
      <c r="B109" s="4" t="s">
        <v>40</v>
      </c>
      <c r="C109" s="4">
        <v>107.0</v>
      </c>
      <c r="D109" s="5" t="str">
        <f>HYPERLINK("https://www.linkedin.com/ad-library/detail/1451102924","Open Ad")</f>
        <v>Open Ad</v>
      </c>
      <c r="E109" s="4" t="s">
        <v>78</v>
      </c>
      <c r="F109" s="4" t="s">
        <v>643</v>
      </c>
      <c r="G109" s="4" t="s">
        <v>882</v>
      </c>
      <c r="H109" s="4" t="s">
        <v>49</v>
      </c>
      <c r="I109" s="4" t="s">
        <v>661</v>
      </c>
      <c r="J109" s="4" t="s">
        <v>78</v>
      </c>
      <c r="K109" s="5" t="str">
        <f>HYPERLINK("https://media.licdn.com/dms/image/v2/D4E10AQGPKf_eCBNnPw/image-shrink_1280/B4EZ67seylHAAc-/0/1781265461147/Open-Role-Insights-Analyst-2430-4320png?e=2147483647&amp;v=beta&amp;t=lR4D3IQ4Ii6nTNDjV2rIgyE4fxYlbQ7XIhrrteax7BM","View Creative")</f>
        <v>View Creative</v>
      </c>
      <c r="L109" s="4" t="s">
        <v>60</v>
      </c>
      <c r="M109" s="4" t="s">
        <v>61</v>
      </c>
      <c r="N109" s="4" t="s">
        <v>933</v>
      </c>
      <c r="O109" s="4" t="s">
        <v>89</v>
      </c>
      <c r="P109" s="4" t="s">
        <v>934</v>
      </c>
    </row>
    <row r="110">
      <c r="A110" s="4" t="s">
        <v>40</v>
      </c>
      <c r="B110" s="4" t="s">
        <v>40</v>
      </c>
      <c r="C110" s="4">
        <v>108.0</v>
      </c>
      <c r="D110" s="5" t="str">
        <f>HYPERLINK("https://www.linkedin.com/ad-library/detail/1314488564","Open Ad")</f>
        <v>Open Ad</v>
      </c>
      <c r="E110" s="4" t="s">
        <v>658</v>
      </c>
      <c r="F110" s="4" t="s">
        <v>54</v>
      </c>
      <c r="G110" s="4" t="s">
        <v>939</v>
      </c>
      <c r="H110" s="4" t="s">
        <v>49</v>
      </c>
      <c r="I110" s="4" t="s">
        <v>661</v>
      </c>
      <c r="J110" s="4" t="s">
        <v>658</v>
      </c>
      <c r="K110" s="5" t="str">
        <f>HYPERLINK("https://static.licdn.com/aero-v1/sc/h/9c8pery4andzj6ohjkjp54ma2","View Creative")</f>
        <v>View Creative</v>
      </c>
      <c r="L110" s="4" t="s">
        <v>662</v>
      </c>
      <c r="M110" s="4" t="s">
        <v>61</v>
      </c>
      <c r="N110" s="4" t="s">
        <v>943</v>
      </c>
      <c r="O110" s="4" t="s">
        <v>89</v>
      </c>
      <c r="P110" s="4" t="s">
        <v>945</v>
      </c>
    </row>
    <row r="111">
      <c r="A111" s="4" t="s">
        <v>40</v>
      </c>
      <c r="B111" s="4" t="s">
        <v>40</v>
      </c>
      <c r="C111" s="4">
        <v>109.0</v>
      </c>
      <c r="D111" s="5" t="str">
        <f>HYPERLINK("https://www.linkedin.com/ad-library/detail/1458292234","Open Ad")</f>
        <v>Open Ad</v>
      </c>
      <c r="E111" s="4" t="s">
        <v>78</v>
      </c>
      <c r="F111" s="4" t="s">
        <v>643</v>
      </c>
      <c r="G111" s="4" t="s">
        <v>853</v>
      </c>
      <c r="H111" s="4" t="s">
        <v>49</v>
      </c>
      <c r="I111" s="4" t="s">
        <v>661</v>
      </c>
      <c r="J111" s="4" t="s">
        <v>78</v>
      </c>
      <c r="K111" s="5" t="str">
        <f>HYPERLINK("https://media.licdn.com/dms/image/v2/D4E10AQHQ_5Bv0NEi4w/image-shrink_1280/B4EZ7VKXahJgAo-/0/1781692726468/Open-Role-QA-Automation-Engineer-7680-4320png?e=2147483647&amp;v=beta&amp;t=JbZpXq2PPcJzQFsGwbQDeAFZ3l55Mdm8b5X4lWJWLIc","View Creative")</f>
        <v>View Creative</v>
      </c>
      <c r="L111" s="4" t="s">
        <v>60</v>
      </c>
      <c r="M111" s="4" t="s">
        <v>61</v>
      </c>
      <c r="N111" s="4" t="s">
        <v>856</v>
      </c>
      <c r="O111" s="4" t="s">
        <v>89</v>
      </c>
      <c r="P111" s="4" t="s">
        <v>953</v>
      </c>
    </row>
    <row r="112">
      <c r="A112" s="4" t="s">
        <v>40</v>
      </c>
      <c r="B112" s="4" t="s">
        <v>40</v>
      </c>
      <c r="C112" s="4">
        <v>110.0</v>
      </c>
      <c r="D112" s="5" t="str">
        <f>HYPERLINK("https://www.linkedin.com/ad-library/detail/1450524154","Open Ad")</f>
        <v>Open Ad</v>
      </c>
      <c r="E112" s="4" t="s">
        <v>78</v>
      </c>
      <c r="F112" s="4" t="s">
        <v>870</v>
      </c>
      <c r="G112" s="4" t="s">
        <v>956</v>
      </c>
      <c r="H112" s="4" t="s">
        <v>49</v>
      </c>
      <c r="I112" s="4" t="s">
        <v>957</v>
      </c>
      <c r="J112" s="4" t="s">
        <v>78</v>
      </c>
      <c r="K112" s="5" t="str">
        <f>HYPERLINK("https://media.licdn.com/dms/image/v2/D4E10AQELmvAO5Ie0Qw/image-shrink_1280/B4EZ63QCXHJ4Ac-/0/1781190895934/LN-Webinar-WhatshouldCMOsmeasureinanAIera_png?e=2147483647&amp;v=beta&amp;t=mG4vHJtqLMIyjd6MVe5fY3JOP7Cb3ks5sc5XLeoC3zI","View Creative")</f>
        <v>View Creative</v>
      </c>
      <c r="L112" s="4" t="s">
        <v>876</v>
      </c>
      <c r="M112" s="4" t="s">
        <v>61</v>
      </c>
      <c r="N112" s="4" t="s">
        <v>877</v>
      </c>
      <c r="O112" s="4" t="s">
        <v>89</v>
      </c>
      <c r="P112" s="4" t="s">
        <v>961</v>
      </c>
    </row>
    <row r="113">
      <c r="A113" s="4" t="s">
        <v>40</v>
      </c>
      <c r="B113" s="4" t="s">
        <v>40</v>
      </c>
      <c r="C113" s="4">
        <v>111.0</v>
      </c>
      <c r="D113" s="5" t="str">
        <f>HYPERLINK("https://www.linkedin.com/ad-library/detail/1451003374","Open Ad")</f>
        <v>Open Ad</v>
      </c>
      <c r="E113" s="4" t="s">
        <v>78</v>
      </c>
      <c r="F113" s="4" t="s">
        <v>643</v>
      </c>
      <c r="G113" s="4" t="s">
        <v>882</v>
      </c>
      <c r="H113" s="4" t="s">
        <v>49</v>
      </c>
      <c r="I113" s="4" t="s">
        <v>661</v>
      </c>
      <c r="J113" s="4" t="s">
        <v>78</v>
      </c>
      <c r="K113" s="5" t="str">
        <f>HYPERLINK("https://media.licdn.com/dms/image/v2/D4E10AQFYNHEzcIAHhw/image-shrink_1280/B4EZ67srqEHwAc-/0/1781265514557/Open-Role-Insights-Analyst-7680-4320png?e=2147483647&amp;v=beta&amp;t=-3o5SKCgB0E2l-gXVXNnSQXdpRUrVR-Iv8QM0cYwPt8","View Creative")</f>
        <v>View Creative</v>
      </c>
      <c r="L113" s="4" t="s">
        <v>60</v>
      </c>
      <c r="M113" s="4" t="s">
        <v>61</v>
      </c>
      <c r="N113" s="4" t="s">
        <v>933</v>
      </c>
      <c r="O113" s="4" t="s">
        <v>89</v>
      </c>
      <c r="P113" s="4" t="s">
        <v>968</v>
      </c>
    </row>
    <row r="114">
      <c r="A114" s="4" t="s">
        <v>40</v>
      </c>
      <c r="B114" s="4" t="s">
        <v>40</v>
      </c>
      <c r="C114" s="4">
        <v>112.0</v>
      </c>
      <c r="D114" s="5" t="str">
        <f>HYPERLINK("https://www.linkedin.com/ad-library/detail/1314295134","Open Ad")</f>
        <v>Open Ad</v>
      </c>
      <c r="E114" s="4" t="s">
        <v>78</v>
      </c>
      <c r="F114" s="4" t="s">
        <v>643</v>
      </c>
      <c r="G114" s="4" t="s">
        <v>903</v>
      </c>
      <c r="H114" s="4" t="s">
        <v>49</v>
      </c>
      <c r="I114" s="4" t="s">
        <v>661</v>
      </c>
      <c r="J114" s="4" t="s">
        <v>78</v>
      </c>
      <c r="K114" s="5" t="str">
        <f>HYPERLINK("https://media.licdn.com/dms/image/v2/D4E10AQGT98nkWmKoYg/image-shrink_1280/B4EZ50amryIkAc-/0/1780069593638/Open-Role-Senior-Golang-Developer-7680-4320png?e=2147483647&amp;v=beta&amp;t=k37F5GEyEZDqikAONdrVjFSkk88qg4LlguigN_LZHG4","View Creative")</f>
        <v>View Creative</v>
      </c>
      <c r="L114" s="4" t="s">
        <v>60</v>
      </c>
      <c r="M114" s="4" t="s">
        <v>61</v>
      </c>
      <c r="N114" s="4" t="s">
        <v>906</v>
      </c>
      <c r="O114" s="4" t="s">
        <v>89</v>
      </c>
      <c r="P114" s="4" t="s">
        <v>978</v>
      </c>
    </row>
    <row r="115">
      <c r="A115" s="4" t="s">
        <v>40</v>
      </c>
      <c r="B115" s="4" t="s">
        <v>40</v>
      </c>
      <c r="C115" s="4">
        <v>113.0</v>
      </c>
      <c r="D115" s="5" t="str">
        <f>HYPERLINK("https://www.linkedin.com/ad-library/detail/1458262294","Open Ad")</f>
        <v>Open Ad</v>
      </c>
      <c r="E115" s="4" t="s">
        <v>78</v>
      </c>
      <c r="F115" s="4" t="s">
        <v>643</v>
      </c>
      <c r="G115" s="4" t="s">
        <v>645</v>
      </c>
      <c r="H115" s="4" t="s">
        <v>49</v>
      </c>
      <c r="I115" s="4" t="s">
        <v>340</v>
      </c>
      <c r="J115" s="4" t="s">
        <v>78</v>
      </c>
      <c r="K115" s="5" t="str">
        <f>HYPERLINK("https://media.licdn.com/dms/image/v2/D4E10AQHL0mcPt1ackQ/image-shrink_1280/B4EZ7VQAxnJYAc-/0/1781694205762/Open-Role-Digital-Strategy-Consultant-2430-4320png?e=2147483647&amp;v=beta&amp;t=rV7-9nK5MU389D3BJU0TE2OPA2OiKcgAvGXGZC8HDzs","View Creative")</f>
        <v>View Creative</v>
      </c>
      <c r="L115" s="4" t="s">
        <v>106</v>
      </c>
      <c r="M115" s="4" t="s">
        <v>61</v>
      </c>
      <c r="O115" s="4" t="s">
        <v>89</v>
      </c>
      <c r="P115" s="4" t="s">
        <v>986</v>
      </c>
    </row>
    <row r="116">
      <c r="A116" s="4" t="s">
        <v>40</v>
      </c>
      <c r="B116" s="4" t="s">
        <v>40</v>
      </c>
      <c r="C116" s="4">
        <v>114.0</v>
      </c>
      <c r="D116" s="5" t="str">
        <f>HYPERLINK("https://www.linkedin.com/ad-library/detail/1451042834","Open Ad")</f>
        <v>Open Ad</v>
      </c>
      <c r="E116" s="4" t="s">
        <v>658</v>
      </c>
      <c r="F116" s="4" t="s">
        <v>54</v>
      </c>
      <c r="G116" s="4" t="s">
        <v>991</v>
      </c>
      <c r="H116" s="4" t="s">
        <v>49</v>
      </c>
      <c r="I116" s="4" t="s">
        <v>661</v>
      </c>
      <c r="J116" s="4" t="s">
        <v>658</v>
      </c>
      <c r="K116" s="5" t="str">
        <f>HYPERLINK("https://static.licdn.com/aero-v1/sc/h/9c8pery4andzj6ohjkjp54ma2","View Creative")</f>
        <v>View Creative</v>
      </c>
      <c r="L116" s="4" t="s">
        <v>662</v>
      </c>
      <c r="M116" s="4" t="s">
        <v>61</v>
      </c>
      <c r="N116" s="4" t="s">
        <v>885</v>
      </c>
      <c r="O116" s="4" t="s">
        <v>89</v>
      </c>
      <c r="P116" s="4" t="s">
        <v>994</v>
      </c>
    </row>
    <row r="117">
      <c r="A117" s="4" t="s">
        <v>40</v>
      </c>
      <c r="B117" s="4" t="s">
        <v>40</v>
      </c>
      <c r="C117" s="4">
        <v>115.0</v>
      </c>
      <c r="D117" s="5" t="str">
        <f>HYPERLINK("https://www.linkedin.com/ad-library/detail/1458192694","Open Ad")</f>
        <v>Open Ad</v>
      </c>
      <c r="E117" s="4" t="s">
        <v>78</v>
      </c>
      <c r="F117" s="4" t="s">
        <v>728</v>
      </c>
      <c r="G117" s="4" t="s">
        <v>846</v>
      </c>
      <c r="H117" s="4" t="s">
        <v>49</v>
      </c>
      <c r="I117" s="4" t="s">
        <v>661</v>
      </c>
      <c r="J117" s="4" t="s">
        <v>78</v>
      </c>
      <c r="K117" s="5" t="str">
        <f>HYPERLINK("https://media.licdn.com/dms/image/v2/D4E10AQFt4F44hSr4oQ/image-shrink_1280/B4EZ7VNGEVHAAc-/0/1781693441208/Open-Role-Onboarding-Consultant-2430-4320png?e=2147483647&amp;v=beta&amp;t=lq-s5eUBVCxmvGbdoKlyHsKdExlxdNs-DSUlz9EHJFM","View Creative")</f>
        <v>View Creative</v>
      </c>
      <c r="L117" s="4" t="s">
        <v>106</v>
      </c>
      <c r="M117" s="4" t="s">
        <v>61</v>
      </c>
      <c r="O117" s="4" t="s">
        <v>89</v>
      </c>
      <c r="P117" s="4" t="s">
        <v>1003</v>
      </c>
    </row>
    <row r="118">
      <c r="A118" s="4" t="s">
        <v>40</v>
      </c>
      <c r="B118" s="4" t="s">
        <v>40</v>
      </c>
      <c r="C118" s="4">
        <v>116.0</v>
      </c>
      <c r="D118" s="5" t="str">
        <f>HYPERLINK("https://www.linkedin.com/ad-library/detail/1312612374","Open Ad")</f>
        <v>Open Ad</v>
      </c>
      <c r="E118" s="4" t="s">
        <v>658</v>
      </c>
      <c r="F118" s="4" t="s">
        <v>54</v>
      </c>
      <c r="G118" s="4" t="s">
        <v>1004</v>
      </c>
      <c r="H118" s="4" t="s">
        <v>49</v>
      </c>
      <c r="I118" s="4" t="s">
        <v>661</v>
      </c>
      <c r="J118" s="4" t="s">
        <v>658</v>
      </c>
      <c r="K118" s="5" t="str">
        <f>HYPERLINK("https://static.licdn.com/aero-v1/sc/h/9c8pery4andzj6ohjkjp54ma2","View Creative")</f>
        <v>View Creative</v>
      </c>
      <c r="L118" s="4" t="s">
        <v>662</v>
      </c>
      <c r="M118" s="4" t="s">
        <v>61</v>
      </c>
      <c r="N118" s="4" t="s">
        <v>1011</v>
      </c>
      <c r="O118" s="4" t="s">
        <v>89</v>
      </c>
      <c r="P118" s="4" t="s">
        <v>1012</v>
      </c>
    </row>
    <row r="119">
      <c r="A119" s="4" t="s">
        <v>40</v>
      </c>
      <c r="B119" s="4" t="s">
        <v>40</v>
      </c>
      <c r="C119" s="4">
        <v>117.0</v>
      </c>
      <c r="D119" s="5" t="str">
        <f>HYPERLINK("https://www.linkedin.com/ad-library/detail/1450593884","Open Ad")</f>
        <v>Open Ad</v>
      </c>
      <c r="E119" s="4" t="s">
        <v>78</v>
      </c>
      <c r="F119" s="4" t="s">
        <v>870</v>
      </c>
      <c r="G119" s="4" t="s">
        <v>956</v>
      </c>
      <c r="H119" s="4" t="s">
        <v>49</v>
      </c>
      <c r="I119" s="4" t="s">
        <v>957</v>
      </c>
      <c r="J119" s="4" t="s">
        <v>78</v>
      </c>
      <c r="K119" s="5" t="str">
        <f>HYPERLINK("https://media.licdn.com/dms/image/v2/D4E10AQE9MZOuEmmF_A/image-shrink_1280/B4EZ64N33WIwAc-/0/1781207105551/Birghttalk-Thumbnail-Webinar-WhatshouldCMOsmeasureinanAIera_png?e=2147483647&amp;v=beta&amp;t=TOgIZzPo1rXqEmF5DB7wkNypUdt78LCWYqug_lYv8v4","View Creative")</f>
        <v>View Creative</v>
      </c>
      <c r="L119" s="4" t="s">
        <v>876</v>
      </c>
      <c r="M119" s="4" t="s">
        <v>61</v>
      </c>
      <c r="N119" s="4" t="s">
        <v>877</v>
      </c>
      <c r="O119" s="4" t="s">
        <v>89</v>
      </c>
      <c r="P119" s="4" t="s">
        <v>1021</v>
      </c>
    </row>
    <row r="120">
      <c r="A120" s="4" t="s">
        <v>40</v>
      </c>
      <c r="B120" s="4" t="s">
        <v>40</v>
      </c>
      <c r="C120" s="4">
        <v>118.0</v>
      </c>
      <c r="D120" s="5" t="str">
        <f>HYPERLINK("https://www.linkedin.com/ad-library/detail/1458172174","Open Ad")</f>
        <v>Open Ad</v>
      </c>
      <c r="E120" s="4" t="s">
        <v>78</v>
      </c>
      <c r="F120" s="4" t="s">
        <v>643</v>
      </c>
      <c r="G120" s="4" t="s">
        <v>853</v>
      </c>
      <c r="H120" s="4" t="s">
        <v>49</v>
      </c>
      <c r="I120" s="4" t="s">
        <v>661</v>
      </c>
      <c r="J120" s="4" t="s">
        <v>78</v>
      </c>
      <c r="K120" s="5" t="str">
        <f>HYPERLINK("https://media.licdn.com/dms/image/v2/D4E10AQFyjsf9F_wy_Q/image-shrink_1280/B4EZ7VKRqVKIAc-/0/1781692702399/Open-Role-QA-Automation-Engineer-4320-4320png?e=2147483647&amp;v=beta&amp;t=DLdIkmzYvZZhATM9OLbhKqltb64kGtwFd3FHEXd2G8s","View Creative")</f>
        <v>View Creative</v>
      </c>
      <c r="L120" s="4" t="s">
        <v>60</v>
      </c>
      <c r="M120" s="4" t="s">
        <v>61</v>
      </c>
      <c r="N120" s="4" t="s">
        <v>1033</v>
      </c>
      <c r="O120" s="4" t="s">
        <v>89</v>
      </c>
      <c r="P120" s="4" t="s">
        <v>1034</v>
      </c>
    </row>
    <row r="121">
      <c r="A121" s="4" t="s">
        <v>40</v>
      </c>
      <c r="B121" s="4" t="s">
        <v>40</v>
      </c>
      <c r="C121" s="4">
        <v>119.0</v>
      </c>
      <c r="D121" s="5" t="str">
        <f>HYPERLINK("https://www.linkedin.com/ad-library/detail/1311012264","Open Ad")</f>
        <v>Open Ad</v>
      </c>
      <c r="E121" s="4" t="s">
        <v>78</v>
      </c>
      <c r="F121" s="4" t="s">
        <v>756</v>
      </c>
      <c r="G121" s="4" t="s">
        <v>893</v>
      </c>
      <c r="H121" s="4" t="s">
        <v>49</v>
      </c>
      <c r="I121" s="4" t="s">
        <v>661</v>
      </c>
      <c r="J121" s="4" t="s">
        <v>78</v>
      </c>
      <c r="K121" s="5" t="str">
        <f>HYPERLINK("https://media.licdn.com/dms/image/v2/D4E10AQEqITEB4oehGQ/image-shrink_1280/B4EZ50eIYvJMAg-/0/1780070517568/Open-Role-Senior-BI-Engineer-4320-4320png?e=2147483647&amp;v=beta&amp;t=7LAcAU52l9LPTI5b3MviavNFDjDDpX86YD2traim9Mc","View Creative")</f>
        <v>View Creative</v>
      </c>
      <c r="L121" s="4" t="s">
        <v>60</v>
      </c>
      <c r="M121" s="4" t="s">
        <v>61</v>
      </c>
      <c r="N121" s="4" t="s">
        <v>896</v>
      </c>
      <c r="O121" s="4" t="s">
        <v>89</v>
      </c>
      <c r="P121" s="4" t="s">
        <v>1040</v>
      </c>
    </row>
    <row r="122">
      <c r="A122" s="4" t="s">
        <v>40</v>
      </c>
      <c r="B122" s="4" t="s">
        <v>40</v>
      </c>
      <c r="C122" s="4">
        <v>120.0</v>
      </c>
      <c r="D122" s="5" t="str">
        <f>HYPERLINK("https://www.linkedin.com/ad-library/detail/1312111624","Open Ad")</f>
        <v>Open Ad</v>
      </c>
      <c r="E122" s="4" t="s">
        <v>658</v>
      </c>
      <c r="F122" s="4" t="s">
        <v>54</v>
      </c>
      <c r="G122" s="4" t="s">
        <v>791</v>
      </c>
      <c r="H122" s="4" t="s">
        <v>49</v>
      </c>
      <c r="I122" s="4" t="s">
        <v>661</v>
      </c>
      <c r="J122" s="4" t="s">
        <v>658</v>
      </c>
      <c r="K122" s="5" t="str">
        <f>HYPERLINK("https://static.licdn.com/aero-v1/sc/h/9c8pery4andzj6ohjkjp54ma2","View Creative")</f>
        <v>View Creative</v>
      </c>
      <c r="L122" s="4" t="s">
        <v>662</v>
      </c>
      <c r="M122" s="4" t="s">
        <v>61</v>
      </c>
      <c r="N122" s="4" t="s">
        <v>943</v>
      </c>
      <c r="O122" s="4" t="s">
        <v>89</v>
      </c>
      <c r="P122" s="4" t="s">
        <v>1046</v>
      </c>
    </row>
    <row r="123">
      <c r="A123" s="4" t="s">
        <v>40</v>
      </c>
      <c r="B123" s="4" t="s">
        <v>40</v>
      </c>
      <c r="C123" s="4">
        <v>121.0</v>
      </c>
      <c r="D123" s="5" t="str">
        <f>HYPERLINK("https://www.linkedin.com/ad-library/detail/1291797224","Open Ad")</f>
        <v>Open Ad</v>
      </c>
      <c r="E123" s="4" t="s">
        <v>78</v>
      </c>
      <c r="F123" s="4" t="s">
        <v>643</v>
      </c>
      <c r="G123" s="4" t="s">
        <v>1048</v>
      </c>
      <c r="H123" s="4" t="s">
        <v>49</v>
      </c>
      <c r="I123" s="4" t="s">
        <v>1049</v>
      </c>
      <c r="J123" s="4" t="s">
        <v>78</v>
      </c>
      <c r="K123" s="5" t="str">
        <f>HYPERLINK("https://media.licdn.com/dms/image/v2/D4E10AQF1tLlsumkciA/image-shrink_1280/B4EZ4HSIeqJgAc-/0/1778238655384/Open-Role-Events-Marketing-Manager-4320-4320png?e=2147483647&amp;v=beta&amp;t=AL-AHf4bM9cD9PAXsEDpvEdQ0v6ZGUf3DmEHnuSIOPw","View Creative")</f>
        <v>View Creative</v>
      </c>
      <c r="L123" s="4" t="s">
        <v>60</v>
      </c>
      <c r="M123" s="4" t="s">
        <v>61</v>
      </c>
      <c r="N123" s="4" t="s">
        <v>1056</v>
      </c>
      <c r="O123" s="4" t="s">
        <v>89</v>
      </c>
      <c r="P123" s="4" t="s">
        <v>1057</v>
      </c>
    </row>
    <row r="124">
      <c r="A124" s="4" t="s">
        <v>40</v>
      </c>
      <c r="B124" s="4" t="s">
        <v>40</v>
      </c>
      <c r="C124" s="4">
        <v>122.0</v>
      </c>
      <c r="D124" s="5" t="str">
        <f>HYPERLINK("https://www.linkedin.com/ad-library/detail/1291197034","Open Ad")</f>
        <v>Open Ad</v>
      </c>
      <c r="E124" s="4" t="s">
        <v>78</v>
      </c>
      <c r="F124" s="4" t="s">
        <v>643</v>
      </c>
      <c r="G124" s="4" t="s">
        <v>1048</v>
      </c>
      <c r="H124" s="4" t="s">
        <v>49</v>
      </c>
      <c r="I124" s="4" t="s">
        <v>1049</v>
      </c>
      <c r="J124" s="4" t="s">
        <v>78</v>
      </c>
      <c r="K124" s="5" t="str">
        <f>HYPERLINK("https://media.licdn.com/dms/image/v2/D4E10AQEsQCERIkFrSg/image-shrink_1280/B4EZ4HSIgFHcAg-/0/1778238655949/Open-Role-Events-Marketing-Manager-7680-4320png?e=2147483647&amp;v=beta&amp;t=3vCVZOlhw6LQTzfc_Jh5X21GdtLFVcO0R9Y_Hdgp3Q8","View Creative")</f>
        <v>View Creative</v>
      </c>
      <c r="L124" s="4" t="s">
        <v>60</v>
      </c>
      <c r="M124" s="4" t="s">
        <v>61</v>
      </c>
      <c r="N124" s="4" t="s">
        <v>1056</v>
      </c>
      <c r="O124" s="4" t="s">
        <v>89</v>
      </c>
      <c r="P124" s="4" t="s">
        <v>1061</v>
      </c>
    </row>
    <row r="125">
      <c r="A125" s="4" t="s">
        <v>40</v>
      </c>
      <c r="B125" s="4" t="s">
        <v>40</v>
      </c>
      <c r="C125" s="4">
        <v>123.0</v>
      </c>
      <c r="D125" s="5" t="str">
        <f>HYPERLINK("https://www.linkedin.com/ad-library/detail/1306596574","Open Ad")</f>
        <v>Open Ad</v>
      </c>
      <c r="E125" s="4" t="s">
        <v>78</v>
      </c>
      <c r="F125" s="4" t="s">
        <v>54</v>
      </c>
      <c r="G125" s="4" t="s">
        <v>1062</v>
      </c>
      <c r="H125" s="4" t="s">
        <v>49</v>
      </c>
      <c r="I125" s="4" t="s">
        <v>1063</v>
      </c>
      <c r="J125" s="4" t="s">
        <v>78</v>
      </c>
      <c r="K125" s="5" t="str">
        <f>HYPERLINK("https://media.licdn.com/dms/image/v2/D4E10AQFxERZGx9lwng/image-shrink_1280/B4EZ4hQIgmJAAc-/0/1778674338388/Define_AI_visibility-1200x1200-2png?e=2147483647&amp;v=beta&amp;t=qEG_f4GjIB47-9fIkJYP3BFgmDB5p4ZwEoO1Z0apcKs","View Creative")</f>
        <v>View Creative</v>
      </c>
      <c r="L125" s="4" t="s">
        <v>60</v>
      </c>
      <c r="M125" s="4" t="s">
        <v>61</v>
      </c>
      <c r="N125" s="4" t="s">
        <v>1069</v>
      </c>
      <c r="O125" s="4" t="s">
        <v>89</v>
      </c>
      <c r="P125" s="4" t="s">
        <v>1070</v>
      </c>
    </row>
    <row r="126">
      <c r="A126" s="4" t="s">
        <v>40</v>
      </c>
      <c r="B126" s="4" t="s">
        <v>40</v>
      </c>
      <c r="C126" s="4">
        <v>124.0</v>
      </c>
      <c r="D126" s="5" t="str">
        <f>HYPERLINK("https://www.linkedin.com/ad-library/detail/1307695294","Open Ad")</f>
        <v>Open Ad</v>
      </c>
      <c r="E126" s="4" t="s">
        <v>78</v>
      </c>
      <c r="F126" s="4" t="s">
        <v>54</v>
      </c>
      <c r="G126" s="4" t="s">
        <v>1076</v>
      </c>
      <c r="H126" s="4" t="s">
        <v>49</v>
      </c>
      <c r="I126" s="4" t="s">
        <v>1077</v>
      </c>
      <c r="J126" s="4" t="s">
        <v>78</v>
      </c>
      <c r="K126" s="5" t="str">
        <f>HYPERLINK("https://media.licdn.com/dms/image/v2/D4E10AQFwHfUzU1QbeQ/image-shrink_1280/B4EZ4hSuGDIcAc-/0/1778675016693/Is_your_brand_showing-1200x1200-3png?e=2147483647&amp;v=beta&amp;t=5-pay-tcKGdD_hUcPBmAnJMjvXTmUOpcu_HozuMQSQU","View Creative")</f>
        <v>View Creative</v>
      </c>
      <c r="L126" s="4" t="s">
        <v>60</v>
      </c>
      <c r="M126" s="4" t="s">
        <v>61</v>
      </c>
      <c r="N126" s="4" t="s">
        <v>1080</v>
      </c>
      <c r="O126" s="4" t="s">
        <v>89</v>
      </c>
      <c r="P126" s="4" t="s">
        <v>1083</v>
      </c>
    </row>
    <row r="127">
      <c r="A127" s="4" t="s">
        <v>40</v>
      </c>
      <c r="B127" s="4" t="s">
        <v>40</v>
      </c>
      <c r="C127" s="4">
        <v>125.0</v>
      </c>
      <c r="D127" s="5" t="str">
        <f>HYPERLINK("https://www.linkedin.com/ad-library/detail/1313703694","Open Ad")</f>
        <v>Open Ad</v>
      </c>
      <c r="E127" s="4" t="s">
        <v>78</v>
      </c>
      <c r="F127" s="4" t="s">
        <v>728</v>
      </c>
      <c r="G127" s="4" t="s">
        <v>1087</v>
      </c>
      <c r="H127" s="4" t="s">
        <v>49</v>
      </c>
      <c r="I127" s="4" t="s">
        <v>661</v>
      </c>
      <c r="J127" s="4" t="s">
        <v>78</v>
      </c>
      <c r="K127" s="5" t="str">
        <f>HYPERLINK("https://media.licdn.com/dms/image/v2/D4E10AQFW7QZy3OGRuQ/image-shrink_1280/B4EZ50Wgt3JMAc-/0/1780068519774/Open-Role-Data-Governance-Engineer-4320-4320png?e=2147483647&amp;v=beta&amp;t=D6mUngI2OBW3g10ad6HraTxt2BQpFqHfYPdtXsTp98Q","View Creative")</f>
        <v>View Creative</v>
      </c>
      <c r="L127" s="4" t="s">
        <v>60</v>
      </c>
      <c r="M127" s="4" t="s">
        <v>61</v>
      </c>
      <c r="N127" s="4" t="s">
        <v>1089</v>
      </c>
      <c r="O127" s="4" t="s">
        <v>89</v>
      </c>
      <c r="P127" s="4" t="s">
        <v>1091</v>
      </c>
    </row>
    <row r="128">
      <c r="A128" s="4" t="s">
        <v>40</v>
      </c>
      <c r="B128" s="4" t="s">
        <v>40</v>
      </c>
      <c r="C128" s="4">
        <v>126.0</v>
      </c>
      <c r="D128" s="5" t="str">
        <f>HYPERLINK("https://www.linkedin.com/ad-library/detail/1306297194","Open Ad")</f>
        <v>Open Ad</v>
      </c>
      <c r="E128" s="4" t="s">
        <v>78</v>
      </c>
      <c r="F128" s="4" t="s">
        <v>54</v>
      </c>
      <c r="G128" s="4" t="s">
        <v>1062</v>
      </c>
      <c r="H128" s="4" t="s">
        <v>49</v>
      </c>
      <c r="I128" s="4" t="s">
        <v>1063</v>
      </c>
      <c r="J128" s="4" t="s">
        <v>78</v>
      </c>
      <c r="K128" s="5" t="str">
        <f>HYPERLINK("https://media.licdn.com/dms/image/v2/D4E10AQHQzLMjD5FAbg/image-shrink_1280/B4EZ4hVjKoJgAc-/0/1778675758230/Winning_AI-1200x1200-1png?e=2147483647&amp;v=beta&amp;t=I-4UWyM35HWyu9wMIPpeVK6Y7n8EpOqTWmdXbco7GQI","View Creative")</f>
        <v>View Creative</v>
      </c>
      <c r="L128" s="4" t="s">
        <v>60</v>
      </c>
      <c r="M128" s="4" t="s">
        <v>61</v>
      </c>
      <c r="N128" s="4" t="s">
        <v>1080</v>
      </c>
      <c r="O128" s="4" t="s">
        <v>89</v>
      </c>
      <c r="P128" s="4" t="s">
        <v>1101</v>
      </c>
    </row>
    <row r="129">
      <c r="A129" s="4" t="s">
        <v>40</v>
      </c>
      <c r="B129" s="4" t="s">
        <v>40</v>
      </c>
      <c r="C129" s="4">
        <v>127.0</v>
      </c>
      <c r="D129" s="5" t="str">
        <f>HYPERLINK("https://www.linkedin.com/ad-library/detail/1296781534","Open Ad")</f>
        <v>Open Ad</v>
      </c>
      <c r="E129" s="4" t="s">
        <v>78</v>
      </c>
      <c r="F129" s="4" t="s">
        <v>643</v>
      </c>
      <c r="G129" s="4" t="s">
        <v>1109</v>
      </c>
      <c r="H129" s="4" t="s">
        <v>49</v>
      </c>
      <c r="I129" s="4" t="s">
        <v>661</v>
      </c>
      <c r="J129" s="4" t="s">
        <v>78</v>
      </c>
      <c r="K129" s="5" t="str">
        <f>HYPERLINK("https://media.licdn.com/dms/image/v2/D4E10AQH382MPl7_rEQ/image-shrink_1280/B4EZ4mI0taHQAc-/0/1778756309454/Open-Role-Finance-IT-Support-Specialist-7680-4320png?e=2147483647&amp;v=beta&amp;t=ohmZdnEzWJFvXLPFd_trf2tSe_10DRkadDd8lxKxXok","View Creative")</f>
        <v>View Creative</v>
      </c>
      <c r="L129" s="4" t="s">
        <v>106</v>
      </c>
      <c r="M129" s="4" t="s">
        <v>61</v>
      </c>
      <c r="O129" s="4" t="s">
        <v>89</v>
      </c>
      <c r="P129" s="4" t="s">
        <v>1116</v>
      </c>
    </row>
    <row r="130">
      <c r="A130" s="4" t="s">
        <v>40</v>
      </c>
      <c r="B130" s="4" t="s">
        <v>40</v>
      </c>
      <c r="C130" s="4">
        <v>128.0</v>
      </c>
      <c r="D130" s="5" t="str">
        <f>HYPERLINK("https://www.linkedin.com/ad-library/detail/1311412704","Open Ad")</f>
        <v>Open Ad</v>
      </c>
      <c r="E130" s="4" t="s">
        <v>78</v>
      </c>
      <c r="F130" s="4" t="s">
        <v>728</v>
      </c>
      <c r="G130" s="4" t="s">
        <v>1087</v>
      </c>
      <c r="H130" s="4" t="s">
        <v>49</v>
      </c>
      <c r="I130" s="4" t="s">
        <v>661</v>
      </c>
      <c r="J130" s="4" t="s">
        <v>78</v>
      </c>
      <c r="K130" s="5" t="str">
        <f>HYPERLINK("https://media.licdn.com/dms/image/v2/D4E10AQHO1UCE8tcF7A/image-shrink_1280/B4EZ50WgqzG0Ac-/0/1780068519304/Open-Role-Data-Governance-Engineer-2430-4320png?e=2147483647&amp;v=beta&amp;t=rbtQpwudcKuVAJuGJO5pKvSDsXk5L7sqIwSX0O-w0Q0","View Creative")</f>
        <v>View Creative</v>
      </c>
      <c r="L130" s="4" t="s">
        <v>60</v>
      </c>
      <c r="M130" s="4" t="s">
        <v>61</v>
      </c>
      <c r="N130" s="4" t="s">
        <v>1089</v>
      </c>
      <c r="O130" s="4" t="s">
        <v>89</v>
      </c>
      <c r="P130" s="4" t="s">
        <v>1126</v>
      </c>
    </row>
    <row r="131">
      <c r="A131" s="4" t="s">
        <v>40</v>
      </c>
      <c r="B131" s="4" t="s">
        <v>40</v>
      </c>
      <c r="C131" s="4">
        <v>129.0</v>
      </c>
      <c r="D131" s="5" t="str">
        <f>HYPERLINK("https://www.linkedin.com/ad-library/detail/1292197904","Open Ad")</f>
        <v>Open Ad</v>
      </c>
      <c r="E131" s="4" t="s">
        <v>78</v>
      </c>
      <c r="F131" s="4" t="s">
        <v>1130</v>
      </c>
      <c r="G131" s="4" t="s">
        <v>1131</v>
      </c>
      <c r="H131" s="4" t="s">
        <v>49</v>
      </c>
      <c r="I131" s="4" t="s">
        <v>661</v>
      </c>
      <c r="J131" s="4" t="s">
        <v>78</v>
      </c>
      <c r="K131" s="5" t="str">
        <f>HYPERLINK("https://media.licdn.com/dms/image/v2/D4E10AQGXhrOxmIoYTg/image-shrink_1280/B4EZ4HOKogJEAc-/0/1778237616284/Open-Role-Insights-Analyst-7680-43201png?e=2147483647&amp;v=beta&amp;t=qwCdsPouGTDoGqR9mBuprVthlkKNSc2aAnp4E7AQ44k","View Creative")</f>
        <v>View Creative</v>
      </c>
      <c r="L131" s="4" t="s">
        <v>60</v>
      </c>
      <c r="M131" s="4" t="s">
        <v>61</v>
      </c>
      <c r="N131" s="4" t="s">
        <v>1133</v>
      </c>
      <c r="O131" s="4" t="s">
        <v>89</v>
      </c>
      <c r="P131" s="4" t="s">
        <v>1136</v>
      </c>
    </row>
    <row r="132">
      <c r="A132" s="4" t="s">
        <v>40</v>
      </c>
      <c r="B132" s="4" t="s">
        <v>40</v>
      </c>
      <c r="C132" s="4">
        <v>130.0</v>
      </c>
      <c r="D132" s="5" t="str">
        <f>HYPERLINK("https://www.linkedin.com/ad-library/detail/1306996774","Open Ad")</f>
        <v>Open Ad</v>
      </c>
      <c r="E132" s="4" t="s">
        <v>78</v>
      </c>
      <c r="F132" s="4" t="s">
        <v>54</v>
      </c>
      <c r="G132" s="4" t="s">
        <v>1062</v>
      </c>
      <c r="H132" s="4" t="s">
        <v>49</v>
      </c>
      <c r="I132" s="4" t="s">
        <v>1063</v>
      </c>
      <c r="J132" s="4" t="s">
        <v>78</v>
      </c>
      <c r="K132" s="5" t="str">
        <f>HYPERLINK("https://media.licdn.com/dms/image/v2/D4E10AQFxERZGx9lwng/image-shrink_1280/B4EZ4hQIgmJAAc-/0/1778674338388/Define_AI_visibility-1200x1200-2png?e=2147483647&amp;v=beta&amp;t=qEG_f4GjIB47-9fIkJYP3BFgmDB5p4ZwEoO1Z0apcKs","View Creative")</f>
        <v>View Creative</v>
      </c>
      <c r="L132" s="4" t="s">
        <v>60</v>
      </c>
      <c r="M132" s="4" t="s">
        <v>61</v>
      </c>
      <c r="N132" s="4" t="s">
        <v>1080</v>
      </c>
      <c r="O132" s="4" t="s">
        <v>89</v>
      </c>
      <c r="P132" s="4" t="s">
        <v>1149</v>
      </c>
    </row>
    <row r="133">
      <c r="A133" s="4" t="s">
        <v>40</v>
      </c>
      <c r="B133" s="4" t="s">
        <v>40</v>
      </c>
      <c r="C133" s="4">
        <v>131.0</v>
      </c>
      <c r="D133" s="5" t="str">
        <f>HYPERLINK("https://www.linkedin.com/ad-library/detail/1296005034","Open Ad")</f>
        <v>Open Ad</v>
      </c>
      <c r="E133" s="4" t="s">
        <v>78</v>
      </c>
      <c r="F133" s="4" t="s">
        <v>643</v>
      </c>
      <c r="G133" s="4" t="s">
        <v>1157</v>
      </c>
      <c r="H133" s="4" t="s">
        <v>49</v>
      </c>
      <c r="I133" s="4" t="s">
        <v>661</v>
      </c>
      <c r="J133" s="4" t="s">
        <v>78</v>
      </c>
      <c r="K133" s="5" t="str">
        <f>HYPERLINK("https://media.licdn.com/dms/image/v2/D4E10AQG7StWZQ1DKhA/image-shrink_1280/B4EZ4mI0sfJAAc-/0/1778756308378/Open-Role-Finance-IT-Support-Specialist-2430-4320png?e=2147483647&amp;v=beta&amp;t=2Jo2np9aE_9Q_ykzeKizcFajTHa8ETASHo3YgQjEeA4","View Creative")</f>
        <v>View Creative</v>
      </c>
      <c r="L133" s="4" t="s">
        <v>106</v>
      </c>
      <c r="M133" s="4" t="s">
        <v>61</v>
      </c>
      <c r="O133" s="4" t="s">
        <v>89</v>
      </c>
      <c r="P133" s="4" t="s">
        <v>1163</v>
      </c>
    </row>
    <row r="134">
      <c r="A134" s="4" t="s">
        <v>40</v>
      </c>
      <c r="B134" s="4" t="s">
        <v>40</v>
      </c>
      <c r="C134" s="4">
        <v>132.0</v>
      </c>
      <c r="D134" s="5" t="str">
        <f>HYPERLINK("https://www.linkedin.com/ad-library/detail/1306996784","Open Ad")</f>
        <v>Open Ad</v>
      </c>
      <c r="E134" s="4" t="s">
        <v>78</v>
      </c>
      <c r="F134" s="4" t="s">
        <v>54</v>
      </c>
      <c r="G134" s="4" t="s">
        <v>1076</v>
      </c>
      <c r="H134" s="4" t="s">
        <v>49</v>
      </c>
      <c r="I134" s="4" t="s">
        <v>1077</v>
      </c>
      <c r="J134" s="4" t="s">
        <v>78</v>
      </c>
      <c r="K134" s="5" t="str">
        <f>HYPERLINK("https://media.licdn.com/dms/image/v2/D4E10AQFwHfUzU1QbeQ/image-shrink_1280/B4EZ4hSuGDIcAc-/0/1778675016693/Is_your_brand_showing-1200x1200-3png?e=2147483647&amp;v=beta&amp;t=5-pay-tcKGdD_hUcPBmAnJMjvXTmUOpcu_HozuMQSQU","View Creative")</f>
        <v>View Creative</v>
      </c>
      <c r="L134" s="4" t="s">
        <v>60</v>
      </c>
      <c r="M134" s="4" t="s">
        <v>61</v>
      </c>
      <c r="N134" s="4" t="s">
        <v>1080</v>
      </c>
      <c r="O134" s="4" t="s">
        <v>89</v>
      </c>
      <c r="P134" s="4" t="s">
        <v>1175</v>
      </c>
    </row>
    <row r="135">
      <c r="A135" s="4" t="s">
        <v>40</v>
      </c>
      <c r="B135" s="4" t="s">
        <v>40</v>
      </c>
      <c r="C135" s="4">
        <v>133.0</v>
      </c>
      <c r="D135" s="5" t="str">
        <f>HYPERLINK("https://www.linkedin.com/ad-library/detail/1305397644","Open Ad")</f>
        <v>Open Ad</v>
      </c>
      <c r="E135" s="4" t="s">
        <v>78</v>
      </c>
      <c r="F135" s="4" t="s">
        <v>54</v>
      </c>
      <c r="G135" s="4" t="s">
        <v>1076</v>
      </c>
      <c r="H135" s="4" t="s">
        <v>49</v>
      </c>
      <c r="I135" s="4" t="s">
        <v>1077</v>
      </c>
      <c r="J135" s="4" t="s">
        <v>78</v>
      </c>
      <c r="K135" s="5" t="str">
        <f>HYPERLINK("https://media.licdn.com/dms/image/v2/D4E10AQHQzLMjD5FAbg/image-shrink_1280/B4EZ4hVjKoJgAc-/0/1778675758230/Winning_AI-1200x1200-1png?e=2147483647&amp;v=beta&amp;t=I-4UWyM35HWyu9wMIPpeVK6Y7n8EpOqTWmdXbco7GQI","View Creative")</f>
        <v>View Creative</v>
      </c>
      <c r="L135" s="4" t="s">
        <v>60</v>
      </c>
      <c r="M135" s="4" t="s">
        <v>61</v>
      </c>
      <c r="N135" s="4" t="s">
        <v>1080</v>
      </c>
      <c r="O135" s="4" t="s">
        <v>89</v>
      </c>
      <c r="P135" s="4" t="s">
        <v>1186</v>
      </c>
    </row>
    <row r="136">
      <c r="A136" s="4" t="s">
        <v>40</v>
      </c>
      <c r="B136" s="4" t="s">
        <v>40</v>
      </c>
      <c r="C136" s="4">
        <v>134.0</v>
      </c>
      <c r="D136" s="5" t="str">
        <f>HYPERLINK("https://www.linkedin.com/ad-library/detail/1307790784","Open Ad")</f>
        <v>Open Ad</v>
      </c>
      <c r="E136" s="4" t="s">
        <v>78</v>
      </c>
      <c r="F136" s="4" t="s">
        <v>54</v>
      </c>
      <c r="G136" s="4" t="s">
        <v>1062</v>
      </c>
      <c r="H136" s="4" t="s">
        <v>49</v>
      </c>
      <c r="I136" s="4" t="s">
        <v>1063</v>
      </c>
      <c r="J136" s="4" t="s">
        <v>78</v>
      </c>
      <c r="K136" s="5" t="str">
        <f>HYPERLINK("https://media.licdn.com/dms/image/v2/D4E10AQFwHfUzU1QbeQ/image-shrink_1280/B4EZ4hSuGDIcAc-/0/1778675016693/Is_your_brand_showing-1200x1200-3png?e=2147483647&amp;v=beta&amp;t=5-pay-tcKGdD_hUcPBmAnJMjvXTmUOpcu_HozuMQSQU","View Creative")</f>
        <v>View Creative</v>
      </c>
      <c r="L136" s="4" t="s">
        <v>60</v>
      </c>
      <c r="M136" s="4" t="s">
        <v>61</v>
      </c>
      <c r="N136" s="4" t="s">
        <v>1080</v>
      </c>
      <c r="O136" s="4" t="s">
        <v>89</v>
      </c>
      <c r="P136" s="4" t="s">
        <v>1191</v>
      </c>
    </row>
    <row r="137">
      <c r="A137" s="4" t="s">
        <v>40</v>
      </c>
      <c r="B137" s="4" t="s">
        <v>40</v>
      </c>
      <c r="C137" s="4">
        <v>135.0</v>
      </c>
      <c r="D137" s="5" t="str">
        <f>HYPERLINK("https://www.linkedin.com/ad-library/detail/1306996534","Open Ad")</f>
        <v>Open Ad</v>
      </c>
      <c r="E137" s="4" t="s">
        <v>78</v>
      </c>
      <c r="F137" s="4" t="s">
        <v>54</v>
      </c>
      <c r="G137" s="4" t="s">
        <v>1062</v>
      </c>
      <c r="H137" s="4" t="s">
        <v>49</v>
      </c>
      <c r="I137" s="4" t="s">
        <v>1063</v>
      </c>
      <c r="J137" s="4" t="s">
        <v>78</v>
      </c>
      <c r="K137" s="5" t="str">
        <f>HYPERLINK("https://media.licdn.com/dms/image/v2/D4E10AQHQzLMjD5FAbg/image-shrink_1280/B4EZ4hVjKoJgAc-/0/1778675758230/Winning_AI-1200x1200-1png?e=2147483647&amp;v=beta&amp;t=I-4UWyM35HWyu9wMIPpeVK6Y7n8EpOqTWmdXbco7GQI","View Creative")</f>
        <v>View Creative</v>
      </c>
      <c r="L137" s="4" t="s">
        <v>60</v>
      </c>
      <c r="M137" s="4" t="s">
        <v>61</v>
      </c>
      <c r="N137" s="4" t="s">
        <v>1069</v>
      </c>
      <c r="O137" s="4" t="s">
        <v>89</v>
      </c>
      <c r="P137" s="4" t="s">
        <v>1199</v>
      </c>
    </row>
    <row r="138">
      <c r="A138" s="4" t="s">
        <v>40</v>
      </c>
      <c r="B138" s="4" t="s">
        <v>40</v>
      </c>
      <c r="C138" s="4">
        <v>136.0</v>
      </c>
      <c r="D138" s="5" t="str">
        <f>HYPERLINK("https://www.linkedin.com/ad-library/detail/1306696434","Open Ad")</f>
        <v>Open Ad</v>
      </c>
      <c r="E138" s="4" t="s">
        <v>78</v>
      </c>
      <c r="F138" s="4" t="s">
        <v>54</v>
      </c>
      <c r="G138" s="4" t="s">
        <v>1076</v>
      </c>
      <c r="H138" s="4" t="s">
        <v>49</v>
      </c>
      <c r="I138" s="4" t="s">
        <v>1077</v>
      </c>
      <c r="J138" s="4" t="s">
        <v>78</v>
      </c>
      <c r="K138" s="5" t="str">
        <f>HYPERLINK("https://media.licdn.com/dms/image/v2/D4E10AQFxERZGx9lwng/image-shrink_1280/B4EZ4hQIgmJAAc-/0/1778674338388/Define_AI_visibility-1200x1200-2png?e=2147483647&amp;v=beta&amp;t=qEG_f4GjIB47-9fIkJYP3BFgmDB5p4ZwEoO1Z0apcKs","View Creative")</f>
        <v>View Creative</v>
      </c>
      <c r="L138" s="4" t="s">
        <v>60</v>
      </c>
      <c r="M138" s="4" t="s">
        <v>61</v>
      </c>
      <c r="N138" s="4" t="s">
        <v>1080</v>
      </c>
      <c r="O138" s="4" t="s">
        <v>89</v>
      </c>
      <c r="P138" s="4" t="s">
        <v>1210</v>
      </c>
    </row>
    <row r="139">
      <c r="A139" s="4" t="s">
        <v>40</v>
      </c>
      <c r="B139" s="4" t="s">
        <v>40</v>
      </c>
      <c r="C139" s="4">
        <v>137.0</v>
      </c>
      <c r="D139" s="5" t="str">
        <f>HYPERLINK("https://www.linkedin.com/ad-library/detail/1291697134","Open Ad")</f>
        <v>Open Ad</v>
      </c>
      <c r="E139" s="4" t="s">
        <v>78</v>
      </c>
      <c r="F139" s="4" t="s">
        <v>643</v>
      </c>
      <c r="G139" s="4" t="s">
        <v>1048</v>
      </c>
      <c r="H139" s="4" t="s">
        <v>49</v>
      </c>
      <c r="I139" s="4" t="s">
        <v>1049</v>
      </c>
      <c r="J139" s="4" t="s">
        <v>78</v>
      </c>
      <c r="K139" s="5" t="str">
        <f>HYPERLINK("https://media.licdn.com/dms/image/v2/D4E10AQFyZiYo1neCqQ/image-shrink_1280/B4EZ4HSIbnJ4Ac-/0/1778238654942/Open-Role-Events-Marketing-Manager-2430-4320png?e=2147483647&amp;v=beta&amp;t=qaQHnckLGoNBR_ry6D2fEnSEvUmoefGdeJBMeMCcQkM","View Creative")</f>
        <v>View Creative</v>
      </c>
      <c r="L139" s="4" t="s">
        <v>60</v>
      </c>
      <c r="M139" s="4" t="s">
        <v>61</v>
      </c>
      <c r="N139" s="4" t="s">
        <v>1056</v>
      </c>
      <c r="O139" s="4" t="s">
        <v>89</v>
      </c>
      <c r="P139" s="4" t="s">
        <v>1223</v>
      </c>
    </row>
    <row r="140">
      <c r="A140" s="4" t="s">
        <v>40</v>
      </c>
      <c r="B140" s="4" t="s">
        <v>40</v>
      </c>
      <c r="C140" s="4">
        <v>138.0</v>
      </c>
      <c r="D140" s="5" t="str">
        <f>HYPERLINK("https://www.linkedin.com/ad-library/detail/1294504994","Open Ad")</f>
        <v>Open Ad</v>
      </c>
      <c r="E140" s="4" t="s">
        <v>658</v>
      </c>
      <c r="F140" s="4" t="s">
        <v>54</v>
      </c>
      <c r="G140" s="4" t="s">
        <v>1231</v>
      </c>
      <c r="H140" s="4" t="s">
        <v>49</v>
      </c>
      <c r="I140" s="4" t="s">
        <v>661</v>
      </c>
      <c r="J140" s="4" t="s">
        <v>658</v>
      </c>
      <c r="K140" s="5" t="str">
        <f>HYPERLINK("https://static.licdn.com/aero-v1/sc/h/9c8pery4andzj6ohjkjp54ma2","View Creative")</f>
        <v>View Creative</v>
      </c>
      <c r="L140" s="4" t="s">
        <v>662</v>
      </c>
      <c r="M140" s="4" t="s">
        <v>61</v>
      </c>
      <c r="O140" s="4" t="s">
        <v>89</v>
      </c>
      <c r="P140" s="4" t="s">
        <v>1237</v>
      </c>
    </row>
    <row r="141">
      <c r="A141" s="4" t="s">
        <v>40</v>
      </c>
      <c r="B141" s="4" t="s">
        <v>40</v>
      </c>
      <c r="C141" s="4">
        <v>139.0</v>
      </c>
      <c r="D141" s="5" t="str">
        <f>HYPERLINK("https://www.linkedin.com/ad-library/detail/1291296384","Open Ad")</f>
        <v>Open Ad</v>
      </c>
      <c r="E141" s="4" t="s">
        <v>78</v>
      </c>
      <c r="F141" s="4" t="s">
        <v>1130</v>
      </c>
      <c r="G141" s="4" t="s">
        <v>1131</v>
      </c>
      <c r="H141" s="4" t="s">
        <v>49</v>
      </c>
      <c r="I141" s="4" t="s">
        <v>661</v>
      </c>
      <c r="J141" s="4" t="s">
        <v>78</v>
      </c>
      <c r="K141" s="5" t="str">
        <f>HYPERLINK("https://media.licdn.com/dms/image/v2/D4E10AQGcGXPHyLqc0g/image-shrink_1280/B4EZ4HODfoJoAc-/0/1778237586655/Open-Role-Insights-Analyst-4320-43201png?e=2147483647&amp;v=beta&amp;t=JFYgU4dCtqVRvwZygTcjO2PNiDFsWLXKfBDd-wBdaI8","View Creative")</f>
        <v>View Creative</v>
      </c>
      <c r="L141" s="4" t="s">
        <v>60</v>
      </c>
      <c r="M141" s="4" t="s">
        <v>61</v>
      </c>
      <c r="N141" s="4" t="s">
        <v>1249</v>
      </c>
      <c r="O141" s="4" t="s">
        <v>89</v>
      </c>
      <c r="P141" s="4" t="s">
        <v>1251</v>
      </c>
    </row>
    <row r="142">
      <c r="A142" s="4" t="s">
        <v>40</v>
      </c>
      <c r="B142" s="4" t="s">
        <v>40</v>
      </c>
      <c r="C142" s="4">
        <v>140.0</v>
      </c>
      <c r="D142" s="5" t="str">
        <f>HYPERLINK("https://www.linkedin.com/ad-library/detail/1314585574","Open Ad")</f>
        <v>Open Ad</v>
      </c>
      <c r="E142" s="4" t="s">
        <v>78</v>
      </c>
      <c r="F142" s="4" t="s">
        <v>728</v>
      </c>
      <c r="G142" s="4" t="s">
        <v>1087</v>
      </c>
      <c r="H142" s="4" t="s">
        <v>49</v>
      </c>
      <c r="I142" s="4" t="s">
        <v>661</v>
      </c>
      <c r="J142" s="4" t="s">
        <v>78</v>
      </c>
      <c r="K142" s="5" t="str">
        <f>HYPERLINK("https://media.licdn.com/dms/image/v2/D4E10AQE6zK0lwJeuTQ/image-shrink_1280/B4EZ50Wur1G0Ac-/0/1780068577697/Open-Role-Data-Governance-Engineer-7680-4320png?e=2147483647&amp;v=beta&amp;t=vJJiIM5bdYtEYEy3SsCT_SmVA7JS4L9YnSEhRogjThc","View Creative")</f>
        <v>View Creative</v>
      </c>
      <c r="L142" s="4" t="s">
        <v>60</v>
      </c>
      <c r="M142" s="4" t="s">
        <v>61</v>
      </c>
      <c r="N142" s="4" t="s">
        <v>1089</v>
      </c>
      <c r="O142" s="4" t="s">
        <v>89</v>
      </c>
      <c r="P142" s="4" t="s">
        <v>1262</v>
      </c>
    </row>
    <row r="143">
      <c r="A143" s="4" t="s">
        <v>40</v>
      </c>
      <c r="B143" s="4" t="s">
        <v>40</v>
      </c>
      <c r="C143" s="4">
        <v>141.0</v>
      </c>
      <c r="D143" s="5" t="str">
        <f>HYPERLINK("https://www.linkedin.com/ad-library/detail/1306596634","Open Ad")</f>
        <v>Open Ad</v>
      </c>
      <c r="E143" s="4" t="s">
        <v>78</v>
      </c>
      <c r="F143" s="4" t="s">
        <v>54</v>
      </c>
      <c r="G143" s="4" t="s">
        <v>1076</v>
      </c>
      <c r="H143" s="4" t="s">
        <v>49</v>
      </c>
      <c r="I143" s="4" t="s">
        <v>1077</v>
      </c>
      <c r="J143" s="4" t="s">
        <v>78</v>
      </c>
      <c r="K143" s="5" t="str">
        <f>HYPERLINK("https://media.licdn.com/dms/image/v2/D4E10AQFxERZGx9lwng/image-shrink_1280/B4EZ4hQIgmJAAc-/0/1778674338388/Define_AI_visibility-1200x1200-2png?e=2147483647&amp;v=beta&amp;t=qEG_f4GjIB47-9fIkJYP3BFgmDB5p4ZwEoO1Z0apcKs","View Creative")</f>
        <v>View Creative</v>
      </c>
      <c r="L143" s="4" t="s">
        <v>60</v>
      </c>
      <c r="M143" s="4" t="s">
        <v>61</v>
      </c>
      <c r="N143" s="4" t="s">
        <v>1282</v>
      </c>
      <c r="O143" s="4" t="s">
        <v>89</v>
      </c>
      <c r="P143" s="4" t="s">
        <v>1284</v>
      </c>
    </row>
    <row r="144">
      <c r="A144" s="4" t="s">
        <v>40</v>
      </c>
      <c r="B144" s="4" t="s">
        <v>40</v>
      </c>
      <c r="C144" s="4">
        <v>142.0</v>
      </c>
      <c r="D144" s="5" t="str">
        <f>HYPERLINK("https://www.linkedin.com/ad-library/detail/1307695324","Open Ad")</f>
        <v>Open Ad</v>
      </c>
      <c r="E144" s="4" t="s">
        <v>78</v>
      </c>
      <c r="F144" s="4" t="s">
        <v>54</v>
      </c>
      <c r="G144" s="4" t="s">
        <v>1076</v>
      </c>
      <c r="H144" s="4" t="s">
        <v>49</v>
      </c>
      <c r="I144" s="4" t="s">
        <v>1077</v>
      </c>
      <c r="J144" s="4" t="s">
        <v>78</v>
      </c>
      <c r="K144" s="5" t="str">
        <f>HYPERLINK("https://media.licdn.com/dms/image/v2/D4E10AQHQzLMjD5FAbg/image-shrink_1280/B4EZ4hVjKoJgAc-/0/1778675758230/Winning_AI-1200x1200-1png?e=2147483647&amp;v=beta&amp;t=I-4UWyM35HWyu9wMIPpeVK6Y7n8EpOqTWmdXbco7GQI","View Creative")</f>
        <v>View Creative</v>
      </c>
      <c r="L144" s="4" t="s">
        <v>60</v>
      </c>
      <c r="M144" s="4" t="s">
        <v>61</v>
      </c>
      <c r="N144" s="4" t="s">
        <v>1080</v>
      </c>
      <c r="O144" s="4" t="s">
        <v>89</v>
      </c>
      <c r="P144" s="4" t="s">
        <v>1290</v>
      </c>
    </row>
    <row r="145">
      <c r="A145" s="4" t="s">
        <v>40</v>
      </c>
      <c r="B145" s="4" t="s">
        <v>40</v>
      </c>
      <c r="C145" s="4">
        <v>143.0</v>
      </c>
      <c r="D145" s="5" t="str">
        <f>HYPERLINK("https://www.linkedin.com/ad-library/detail/1296593754","Open Ad")</f>
        <v>Open Ad</v>
      </c>
      <c r="E145" s="4" t="s">
        <v>78</v>
      </c>
      <c r="F145" s="4" t="s">
        <v>643</v>
      </c>
      <c r="G145" s="4" t="s">
        <v>1157</v>
      </c>
      <c r="H145" s="4" t="s">
        <v>49</v>
      </c>
      <c r="I145" s="4" t="s">
        <v>661</v>
      </c>
      <c r="J145" s="4" t="s">
        <v>78</v>
      </c>
      <c r="K145" s="5" t="str">
        <f>HYPERLINK("https://media.licdn.com/dms/image/v2/D4E10AQF1lfVx_0GiqQ/image-shrink_1280/B4EZ4mI0qjG8Ac-/0/1778756308589/Open-Role-Finance-IT-Support-Specialist-4320-4320png?e=2147483647&amp;v=beta&amp;t=qW3C7mHXOck6R3JsbW9VflMwl1MC7GIZKfAJ0tPoHDE","View Creative")</f>
        <v>View Creative</v>
      </c>
      <c r="L145" s="4" t="s">
        <v>106</v>
      </c>
      <c r="M145" s="4" t="s">
        <v>61</v>
      </c>
      <c r="O145" s="4" t="s">
        <v>89</v>
      </c>
      <c r="P145" s="4" t="s">
        <v>1298</v>
      </c>
    </row>
    <row r="146">
      <c r="A146" s="4" t="s">
        <v>40</v>
      </c>
      <c r="B146" s="4" t="s">
        <v>40</v>
      </c>
      <c r="C146" s="4">
        <v>144.0</v>
      </c>
      <c r="D146" s="5" t="str">
        <f>HYPERLINK("https://www.linkedin.com/ad-library/detail/1306896734","Open Ad")</f>
        <v>Open Ad</v>
      </c>
      <c r="E146" s="4" t="s">
        <v>78</v>
      </c>
      <c r="F146" s="4" t="s">
        <v>54</v>
      </c>
      <c r="G146" s="4" t="s">
        <v>1062</v>
      </c>
      <c r="H146" s="4" t="s">
        <v>49</v>
      </c>
      <c r="I146" s="4" t="s">
        <v>1063</v>
      </c>
      <c r="J146" s="4" t="s">
        <v>78</v>
      </c>
      <c r="K146" s="5" t="str">
        <f>HYPERLINK("https://media.licdn.com/dms/image/v2/D4E10AQFwHfUzU1QbeQ/image-shrink_1280/B4EZ4hSuGDIcAc-/0/1778675016693/Is_your_brand_showing-1200x1200-3png?e=2147483647&amp;v=beta&amp;t=5-pay-tcKGdD_hUcPBmAnJMjvXTmUOpcu_HozuMQSQU","View Creative")</f>
        <v>View Creative</v>
      </c>
      <c r="L146" s="4" t="s">
        <v>60</v>
      </c>
      <c r="M146" s="4" t="s">
        <v>61</v>
      </c>
      <c r="N146" s="4" t="s">
        <v>1080</v>
      </c>
      <c r="O146" s="4" t="s">
        <v>89</v>
      </c>
      <c r="P146" s="4" t="s">
        <v>1305</v>
      </c>
    </row>
    <row r="147">
      <c r="A147" s="4" t="s">
        <v>40</v>
      </c>
      <c r="B147" s="4" t="s">
        <v>40</v>
      </c>
      <c r="C147" s="4">
        <v>145.0</v>
      </c>
      <c r="D147" s="5" t="str">
        <f>HYPERLINK("https://www.linkedin.com/ad-library/detail/1276294614","Open Ad")</f>
        <v>Open Ad</v>
      </c>
      <c r="E147" s="4" t="s">
        <v>78</v>
      </c>
      <c r="F147" s="4" t="s">
        <v>643</v>
      </c>
      <c r="G147" s="4" t="s">
        <v>1311</v>
      </c>
      <c r="H147" s="4" t="s">
        <v>49</v>
      </c>
      <c r="I147" s="4" t="s">
        <v>661</v>
      </c>
      <c r="J147" s="4" t="s">
        <v>78</v>
      </c>
      <c r="K147" s="5" t="str">
        <f>HYPERLINK("https://media.licdn.com/dms/image/v2/D4E10AQHoDJAUGghUHw/image-shrink_1280/B4EZ2bVJTiGYAg-/0/1776427506329/Open-Role-Onboarding-Consultant-Spanish-speaking-4320-43201png?e=2147483647&amp;v=beta&amp;t=5EQf5Xb5wqvRKamXcSrxa6akSlc4im3bn_IpcoanRZs","View Creative")</f>
        <v>View Creative</v>
      </c>
      <c r="L147" s="4" t="s">
        <v>60</v>
      </c>
      <c r="M147" s="4" t="s">
        <v>61</v>
      </c>
      <c r="N147" s="4" t="s">
        <v>1314</v>
      </c>
      <c r="O147" s="4" t="s">
        <v>89</v>
      </c>
      <c r="P147" s="4" t="s">
        <v>1315</v>
      </c>
    </row>
    <row r="148">
      <c r="A148" s="4" t="s">
        <v>40</v>
      </c>
      <c r="B148" s="4" t="s">
        <v>40</v>
      </c>
      <c r="C148" s="4">
        <v>146.0</v>
      </c>
      <c r="D148" s="5" t="str">
        <f>HYPERLINK("https://www.linkedin.com/ad-library/detail/1285319184","Open Ad")</f>
        <v>Open Ad</v>
      </c>
      <c r="E148" s="4" t="s">
        <v>78</v>
      </c>
      <c r="F148" s="4" t="s">
        <v>643</v>
      </c>
      <c r="G148" s="4" t="s">
        <v>1322</v>
      </c>
      <c r="H148" s="4" t="s">
        <v>49</v>
      </c>
      <c r="I148" s="4" t="s">
        <v>661</v>
      </c>
      <c r="J148" s="4" t="s">
        <v>78</v>
      </c>
      <c r="K148" s="5" t="str">
        <f>HYPERLINK("https://media.licdn.com/dms/image/v2/D4E10AQFtV13FjlSqZg/image-shrink_1280/B4EZ3elDdoJMAc-/0/1777555750682/Open-Role-ORM-Team-Lead-7680-4320png?e=2147483647&amp;v=beta&amp;t=tYEWjVpc-l6BQqAFjlmzTeOkeyqYQMPFn8ZHbh7usTs","View Creative")</f>
        <v>View Creative</v>
      </c>
      <c r="L148" s="4" t="s">
        <v>60</v>
      </c>
      <c r="M148" s="4" t="s">
        <v>61</v>
      </c>
      <c r="N148" s="4" t="s">
        <v>1326</v>
      </c>
      <c r="O148" s="4" t="s">
        <v>89</v>
      </c>
      <c r="P148" s="4" t="s">
        <v>1327</v>
      </c>
    </row>
    <row r="149">
      <c r="A149" s="4" t="s">
        <v>40</v>
      </c>
      <c r="B149" s="4" t="s">
        <v>40</v>
      </c>
      <c r="C149" s="4">
        <v>147.0</v>
      </c>
      <c r="D149" s="5" t="str">
        <f>HYPERLINK("https://www.linkedin.com/ad-library/detail/1390988336","Open Ad")</f>
        <v>Open Ad</v>
      </c>
      <c r="E149" s="4" t="s">
        <v>78</v>
      </c>
      <c r="F149" s="4" t="s">
        <v>1331</v>
      </c>
      <c r="G149" s="4" t="s">
        <v>1332</v>
      </c>
      <c r="H149" s="4" t="s">
        <v>49</v>
      </c>
      <c r="I149" s="4" t="s">
        <v>661</v>
      </c>
      <c r="J149" s="4" t="s">
        <v>78</v>
      </c>
      <c r="K149" s="5" t="str">
        <f>HYPERLINK("https://media.licdn.com/dms/image/v2/D5610AQHVjc1giw1FOA/image-shrink_1280/B56Z2XN.IkIYAc-/0/1776358516837/Open-Role-Senior-Data-Engineer-7680-4320png?e=2147483647&amp;v=beta&amp;t=re0OIxC9ZFjxpLk6dnL7UarJJPJFNXxe6nND2Yi8toU","View Creative")</f>
        <v>View Creative</v>
      </c>
      <c r="L149" s="4" t="s">
        <v>60</v>
      </c>
      <c r="M149" s="4" t="s">
        <v>61</v>
      </c>
      <c r="N149" s="4" t="s">
        <v>1336</v>
      </c>
      <c r="O149" s="4" t="s">
        <v>89</v>
      </c>
      <c r="P149" s="4" t="s">
        <v>1337</v>
      </c>
    </row>
    <row r="150">
      <c r="A150" s="4" t="s">
        <v>40</v>
      </c>
      <c r="B150" s="4" t="s">
        <v>40</v>
      </c>
      <c r="C150" s="4">
        <v>148.0</v>
      </c>
      <c r="D150" s="5" t="str">
        <f>HYPERLINK("https://www.linkedin.com/ad-library/detail/1285718834","Open Ad")</f>
        <v>Open Ad</v>
      </c>
      <c r="E150" s="4" t="s">
        <v>78</v>
      </c>
      <c r="F150" s="4" t="s">
        <v>643</v>
      </c>
      <c r="G150" s="4" t="s">
        <v>1346</v>
      </c>
      <c r="H150" s="4" t="s">
        <v>49</v>
      </c>
      <c r="I150" s="4" t="s">
        <v>873</v>
      </c>
      <c r="J150" s="4" t="s">
        <v>78</v>
      </c>
      <c r="K150" s="5" t="str">
        <f>HYPERLINK("https://media.licdn.com/dms/image/v2/D4E10AQEuHMOgCfYZAw/image-shrink_1280/B4EZ3euPjYKsAc-/0/1777558158248/Open-Role-Senior-Insights-Analyst-2430-4320png?e=2147483647&amp;v=beta&amp;t=SOxfoRvhBZ1uqwojMbCTf-Zj8QSHJ1BlxeqfwMxpd2w","View Creative")</f>
        <v>View Creative</v>
      </c>
      <c r="L150" s="4" t="s">
        <v>60</v>
      </c>
      <c r="M150" s="4" t="s">
        <v>61</v>
      </c>
      <c r="N150" s="4" t="s">
        <v>1350</v>
      </c>
      <c r="O150" s="4" t="s">
        <v>89</v>
      </c>
      <c r="P150" s="4" t="s">
        <v>1351</v>
      </c>
    </row>
    <row r="151">
      <c r="A151" s="4" t="s">
        <v>40</v>
      </c>
      <c r="B151" s="4" t="s">
        <v>40</v>
      </c>
      <c r="C151" s="4">
        <v>149.0</v>
      </c>
      <c r="D151" s="5" t="str">
        <f>HYPERLINK("https://www.linkedin.com/ad-library/detail/1285417754","Open Ad")</f>
        <v>Open Ad</v>
      </c>
      <c r="E151" s="4" t="s">
        <v>78</v>
      </c>
      <c r="F151" s="4" t="s">
        <v>1130</v>
      </c>
      <c r="G151" s="4" t="s">
        <v>1358</v>
      </c>
      <c r="H151" s="4" t="s">
        <v>49</v>
      </c>
      <c r="I151" s="4" t="s">
        <v>661</v>
      </c>
      <c r="J151" s="4" t="s">
        <v>78</v>
      </c>
      <c r="K151" s="5" t="str">
        <f>HYPERLINK("https://media.licdn.com/dms/image/v2/D4E10AQG0FsBni-8Z0w/image-shrink_1280/B4EZ3erIRWKMAg-/0/1777557342295/Open-Role-Insights-Analyst-4320-4320png?e=2147483647&amp;v=beta&amp;t=5Ffxawdmm7mnOggDA30DZFz2-OnvrkyhdqnD066Rl-A","View Creative")</f>
        <v>View Creative</v>
      </c>
      <c r="L151" s="4" t="s">
        <v>60</v>
      </c>
      <c r="M151" s="4" t="s">
        <v>61</v>
      </c>
      <c r="N151" s="4" t="s">
        <v>1350</v>
      </c>
      <c r="O151" s="4" t="s">
        <v>89</v>
      </c>
      <c r="P151" s="4" t="s">
        <v>1361</v>
      </c>
    </row>
    <row r="152">
      <c r="A152" s="4" t="s">
        <v>40</v>
      </c>
      <c r="B152" s="4" t="s">
        <v>40</v>
      </c>
      <c r="C152" s="4">
        <v>150.0</v>
      </c>
      <c r="D152" s="5" t="str">
        <f>HYPERLINK("https://www.linkedin.com/ad-library/detail/1285518584","Open Ad")</f>
        <v>Open Ad</v>
      </c>
      <c r="E152" s="4" t="s">
        <v>78</v>
      </c>
      <c r="F152" s="4" t="s">
        <v>643</v>
      </c>
      <c r="G152" s="4" t="s">
        <v>1366</v>
      </c>
      <c r="H152" s="4" t="s">
        <v>49</v>
      </c>
      <c r="I152" s="4" t="s">
        <v>661</v>
      </c>
      <c r="J152" s="4" t="s">
        <v>78</v>
      </c>
      <c r="K152" s="5" t="str">
        <f>HYPERLINK("https://media.licdn.com/dms/image/v2/D4E10AQHxz69KRYnwUA/image-shrink_1280/B4EZ3elDaJIoAg-/0/1777555749202/Open-Role-ORM-Team-Lead-2430-4320png?e=2147483647&amp;v=beta&amp;t=IwOdTp7Oyxp1UOwxN3KV5V-Gs4k_St6gE9hcEDYOCVw","View Creative")</f>
        <v>View Creative</v>
      </c>
      <c r="L152" s="4" t="s">
        <v>60</v>
      </c>
      <c r="M152" s="4" t="s">
        <v>61</v>
      </c>
      <c r="N152" s="4" t="s">
        <v>1371</v>
      </c>
      <c r="O152" s="4" t="s">
        <v>89</v>
      </c>
      <c r="P152" s="4" t="s">
        <v>1374</v>
      </c>
    </row>
    <row r="153">
      <c r="A153" s="4" t="s">
        <v>40</v>
      </c>
      <c r="B153" s="4" t="s">
        <v>40</v>
      </c>
      <c r="C153" s="4">
        <v>151.0</v>
      </c>
      <c r="D153" s="5" t="str">
        <f>HYPERLINK("https://www.linkedin.com/ad-library/detail/1275395044","Open Ad")</f>
        <v>Open Ad</v>
      </c>
      <c r="E153" s="4" t="s">
        <v>78</v>
      </c>
      <c r="F153" s="4" t="s">
        <v>643</v>
      </c>
      <c r="G153" s="4" t="s">
        <v>1377</v>
      </c>
      <c r="H153" s="4" t="s">
        <v>49</v>
      </c>
      <c r="I153" s="4" t="s">
        <v>661</v>
      </c>
      <c r="J153" s="4" t="s">
        <v>78</v>
      </c>
      <c r="K153" s="5" t="str">
        <f>HYPERLINK("https://media.licdn.com/dms/image/v2/D4E10AQGkbScR_9xqoA/image-shrink_1280/B4EZ2bXua7JUAc-/0/1776428181986/Open-Role-Senior-Manager-Security-Operations-2430-43201png?e=2147483647&amp;v=beta&amp;t=kMdrlEtrkrhwnc62iqMCHZ7riFgB5Y1xPCc8RbetTw8","View Creative")</f>
        <v>View Creative</v>
      </c>
      <c r="L153" s="4" t="s">
        <v>60</v>
      </c>
      <c r="M153" s="4" t="s">
        <v>61</v>
      </c>
      <c r="N153" s="4" t="s">
        <v>1382</v>
      </c>
      <c r="O153" s="4" t="s">
        <v>89</v>
      </c>
      <c r="P153" s="4" t="s">
        <v>1384</v>
      </c>
    </row>
    <row r="154">
      <c r="A154" s="4" t="s">
        <v>40</v>
      </c>
      <c r="B154" s="4" t="s">
        <v>40</v>
      </c>
      <c r="C154" s="4">
        <v>152.0</v>
      </c>
      <c r="D154" s="5" t="str">
        <f>HYPERLINK("https://www.linkedin.com/ad-library/detail/1285718824","Open Ad")</f>
        <v>Open Ad</v>
      </c>
      <c r="E154" s="4" t="s">
        <v>78</v>
      </c>
      <c r="F154" s="4" t="s">
        <v>643</v>
      </c>
      <c r="G154" s="4" t="s">
        <v>1346</v>
      </c>
      <c r="H154" s="4" t="s">
        <v>49</v>
      </c>
      <c r="I154" s="4" t="s">
        <v>873</v>
      </c>
      <c r="J154" s="4" t="s">
        <v>78</v>
      </c>
      <c r="K154" s="5" t="str">
        <f>HYPERLINK("https://media.licdn.com/dms/image/v2/D4E10AQG2yGO_AxyhAw/image-shrink_1280/B4EZ3euPnyK8Ag-/0/1777558159811/Open-Role-Senior-Insights-Analyst-7680-4320png?e=2147483647&amp;v=beta&amp;t=d-Qg7K5d07Do1SMGnp4olCQiJLrwazsuHXQFf44KT1I","View Creative")</f>
        <v>View Creative</v>
      </c>
      <c r="L154" s="4" t="s">
        <v>60</v>
      </c>
      <c r="M154" s="4" t="s">
        <v>61</v>
      </c>
      <c r="N154" s="4" t="s">
        <v>1394</v>
      </c>
      <c r="O154" s="4" t="s">
        <v>89</v>
      </c>
      <c r="P154" s="4" t="s">
        <v>1395</v>
      </c>
    </row>
    <row r="155">
      <c r="A155" s="4" t="s">
        <v>40</v>
      </c>
      <c r="B155" s="4" t="s">
        <v>40</v>
      </c>
      <c r="C155" s="4">
        <v>153.0</v>
      </c>
      <c r="D155" s="5" t="str">
        <f>HYPERLINK("https://www.linkedin.com/ad-library/detail/1277682804","Open Ad")</f>
        <v>Open Ad</v>
      </c>
      <c r="E155" s="4" t="s">
        <v>78</v>
      </c>
      <c r="F155" s="4" t="s">
        <v>643</v>
      </c>
      <c r="G155" s="4" t="s">
        <v>1377</v>
      </c>
      <c r="H155" s="4" t="s">
        <v>49</v>
      </c>
      <c r="I155" s="4" t="s">
        <v>661</v>
      </c>
      <c r="J155" s="4" t="s">
        <v>78</v>
      </c>
      <c r="K155" s="5" t="str">
        <f>HYPERLINK("https://media.licdn.com/dms/image/v2/D4E10AQEsy_2_hTsx8g/image-shrink_1280/B4EZ2bXuerJcAc-/0/1776428182986/Open-Role-Senior-Manager-Security-Operations-7680-43201png?e=2147483647&amp;v=beta&amp;t=zuTTcBhQc-n7Cz3wZEi3COHNpkqNaJLdk411LXSa9QQ","View Creative")</f>
        <v>View Creative</v>
      </c>
      <c r="L155" s="4" t="s">
        <v>60</v>
      </c>
      <c r="M155" s="4" t="s">
        <v>61</v>
      </c>
      <c r="N155" s="4" t="s">
        <v>1401</v>
      </c>
      <c r="O155" s="4" t="s">
        <v>89</v>
      </c>
      <c r="P155" s="4" t="s">
        <v>1402</v>
      </c>
    </row>
    <row r="156">
      <c r="A156" s="4" t="s">
        <v>40</v>
      </c>
      <c r="B156" s="4" t="s">
        <v>40</v>
      </c>
      <c r="C156" s="4">
        <v>154.0</v>
      </c>
      <c r="D156" s="5" t="str">
        <f>HYPERLINK("https://www.linkedin.com/ad-library/detail/1286220074","Open Ad")</f>
        <v>Open Ad</v>
      </c>
      <c r="E156" s="4" t="s">
        <v>658</v>
      </c>
      <c r="F156" s="4" t="s">
        <v>54</v>
      </c>
      <c r="G156" s="4" t="s">
        <v>1408</v>
      </c>
      <c r="H156" s="4" t="s">
        <v>49</v>
      </c>
      <c r="I156" s="4" t="s">
        <v>661</v>
      </c>
      <c r="J156" s="4" t="s">
        <v>658</v>
      </c>
      <c r="K156" s="5" t="str">
        <f>HYPERLINK("https://static.licdn.com/aero-v1/sc/h/9c8pery4andzj6ohjkjp54ma2","View Creative")</f>
        <v>View Creative</v>
      </c>
      <c r="L156" s="4" t="s">
        <v>662</v>
      </c>
      <c r="M156" s="4" t="s">
        <v>61</v>
      </c>
      <c r="N156" s="4" t="s">
        <v>1350</v>
      </c>
      <c r="O156" s="4" t="s">
        <v>89</v>
      </c>
      <c r="P156" s="4" t="s">
        <v>1415</v>
      </c>
    </row>
    <row r="157">
      <c r="A157" s="4" t="s">
        <v>40</v>
      </c>
      <c r="B157" s="4" t="s">
        <v>40</v>
      </c>
      <c r="C157" s="4">
        <v>155.0</v>
      </c>
      <c r="D157" s="5" t="str">
        <f>HYPERLINK("https://www.linkedin.com/ad-library/detail/1280228504","Open Ad")</f>
        <v>Open Ad</v>
      </c>
      <c r="E157" s="4" t="s">
        <v>78</v>
      </c>
      <c r="F157" s="4" t="s">
        <v>1130</v>
      </c>
      <c r="G157" s="4" t="s">
        <v>1418</v>
      </c>
      <c r="H157" s="4" t="s">
        <v>49</v>
      </c>
      <c r="I157" s="4" t="s">
        <v>661</v>
      </c>
      <c r="J157" s="4" t="s">
        <v>78</v>
      </c>
      <c r="K157" s="5" t="str">
        <f>HYPERLINK("https://media.licdn.com/dms/image/v2/D4E10AQEePNGC5rsdiA/image-shrink_1280/B4EZ26mEBKJkAg-/0/1776952034231/Open-Role-Onboarding-Consultant-APAC-4320-4320png?e=2147483647&amp;v=beta&amp;t=iwPEr5fNmGn4w5ZU9UrMpWluBFszrdEG6m-SyrUfGQ8","View Creative")</f>
        <v>View Creative</v>
      </c>
      <c r="L157" s="4" t="s">
        <v>106</v>
      </c>
      <c r="M157" s="4" t="s">
        <v>61</v>
      </c>
      <c r="O157" s="4" t="s">
        <v>89</v>
      </c>
      <c r="P157" s="4" t="s">
        <v>1426</v>
      </c>
    </row>
    <row r="158">
      <c r="A158" s="4" t="s">
        <v>40</v>
      </c>
      <c r="B158" s="4" t="s">
        <v>40</v>
      </c>
      <c r="C158" s="4">
        <v>156.0</v>
      </c>
      <c r="D158" s="5" t="str">
        <f>HYPERLINK("https://www.linkedin.com/ad-library/detail/1275694704","Open Ad")</f>
        <v>Open Ad</v>
      </c>
      <c r="E158" s="4" t="s">
        <v>78</v>
      </c>
      <c r="F158" s="4" t="s">
        <v>643</v>
      </c>
      <c r="G158" s="4" t="s">
        <v>1311</v>
      </c>
      <c r="H158" s="4" t="s">
        <v>49</v>
      </c>
      <c r="I158" s="4" t="s">
        <v>661</v>
      </c>
      <c r="J158" s="4" t="s">
        <v>78</v>
      </c>
      <c r="K158" s="5" t="str">
        <f>HYPERLINK("https://media.licdn.com/dms/image/v2/D4E10AQFtewwOIyAmTA/image-shrink_1280/B4EZ2bVJSFJ4Ac-/0/1776427505505/Open-Role-Onboarding-Consultant-Spanish-speaking-2430-43201png?e=2147483647&amp;v=beta&amp;t=zk_xibaIMh8JBtAperPYDCTJrZ2QE4nmYJCVVPZyc-U","View Creative")</f>
        <v>View Creative</v>
      </c>
      <c r="L158" s="4" t="s">
        <v>60</v>
      </c>
      <c r="M158" s="4" t="s">
        <v>61</v>
      </c>
      <c r="N158" s="4" t="s">
        <v>1439</v>
      </c>
      <c r="O158" s="4" t="s">
        <v>89</v>
      </c>
      <c r="P158" s="4" t="s">
        <v>1440</v>
      </c>
    </row>
    <row r="159">
      <c r="A159" s="4" t="s">
        <v>40</v>
      </c>
      <c r="B159" s="4" t="s">
        <v>40</v>
      </c>
      <c r="C159" s="4">
        <v>157.0</v>
      </c>
      <c r="D159" s="5" t="str">
        <f>HYPERLINK("https://www.linkedin.com/ad-library/detail/1286718334","Open Ad")</f>
        <v>Open Ad</v>
      </c>
      <c r="E159" s="4" t="s">
        <v>78</v>
      </c>
      <c r="F159" s="4" t="s">
        <v>643</v>
      </c>
      <c r="G159" s="4" t="s">
        <v>1346</v>
      </c>
      <c r="H159" s="4" t="s">
        <v>49</v>
      </c>
      <c r="I159" s="4" t="s">
        <v>873</v>
      </c>
      <c r="J159" s="4" t="s">
        <v>78</v>
      </c>
      <c r="K159" s="5" t="str">
        <f>HYPERLINK("https://media.licdn.com/dms/image/v2/D4E10AQGwm9Ksngo4Rg/image-shrink_1280/B4EZ3euPlaKMAc-/0/1777558158647/Open-Role-Senior-Insights-Analyst-4320-4320png?e=2147483647&amp;v=beta&amp;t=iq7zDZJSi1_vq08lz5-R_2yWd4xS1KU-jvhIJd5QMb0","View Creative")</f>
        <v>View Creative</v>
      </c>
      <c r="L159" s="4" t="s">
        <v>60</v>
      </c>
      <c r="M159" s="4" t="s">
        <v>61</v>
      </c>
      <c r="N159" s="4" t="s">
        <v>1350</v>
      </c>
      <c r="O159" s="4" t="s">
        <v>89</v>
      </c>
      <c r="P159" s="4" t="s">
        <v>1445</v>
      </c>
    </row>
    <row r="160">
      <c r="A160" s="4" t="s">
        <v>40</v>
      </c>
      <c r="B160" s="4" t="s">
        <v>40</v>
      </c>
      <c r="C160" s="4">
        <v>158.0</v>
      </c>
      <c r="D160" s="5" t="str">
        <f>HYPERLINK("https://www.linkedin.com/ad-library/detail/1284919524","Open Ad")</f>
        <v>Open Ad</v>
      </c>
      <c r="E160" s="4" t="s">
        <v>78</v>
      </c>
      <c r="F160" s="4" t="s">
        <v>1130</v>
      </c>
      <c r="G160" s="4" t="s">
        <v>1358</v>
      </c>
      <c r="H160" s="4" t="s">
        <v>49</v>
      </c>
      <c r="I160" s="4" t="s">
        <v>661</v>
      </c>
      <c r="J160" s="4" t="s">
        <v>78</v>
      </c>
      <c r="K160" s="5" t="str">
        <f>HYPERLINK("https://media.licdn.com/dms/image/v2/D4E10AQE1Vam-E60lsw/image-shrink_1280/B4EZ3erIMOGYAc-/0/1777557341573/Open-Role-Insights-Analyst-2430-4320png?e=2147483647&amp;v=beta&amp;t=nreg_8cGtKRlXBf0IVtDPNLGoTVWd7K2tpBb6wYopbo","View Creative")</f>
        <v>View Creative</v>
      </c>
      <c r="L160" s="4" t="s">
        <v>60</v>
      </c>
      <c r="M160" s="4" t="s">
        <v>61</v>
      </c>
      <c r="N160" s="4" t="s">
        <v>1350</v>
      </c>
      <c r="O160" s="4" t="s">
        <v>89</v>
      </c>
      <c r="P160" s="4" t="s">
        <v>1451</v>
      </c>
    </row>
    <row r="161">
      <c r="A161" s="4" t="s">
        <v>40</v>
      </c>
      <c r="B161" s="4" t="s">
        <v>40</v>
      </c>
      <c r="C161" s="4">
        <v>159.0</v>
      </c>
      <c r="D161" s="5" t="str">
        <f>HYPERLINK("https://www.linkedin.com/ad-library/detail/1286983994","Open Ad")</f>
        <v>Open Ad</v>
      </c>
      <c r="E161" s="4" t="s">
        <v>658</v>
      </c>
      <c r="F161" s="4" t="s">
        <v>54</v>
      </c>
      <c r="G161" s="4" t="s">
        <v>1455</v>
      </c>
      <c r="H161" s="4" t="s">
        <v>49</v>
      </c>
      <c r="I161" s="4" t="s">
        <v>661</v>
      </c>
      <c r="J161" s="4" t="s">
        <v>658</v>
      </c>
      <c r="K161" s="5" t="str">
        <f>HYPERLINK("https://static.licdn.com/aero-v1/sc/h/9c8pery4andzj6ohjkjp54ma2","View Creative")</f>
        <v>View Creative</v>
      </c>
      <c r="L161" s="4" t="s">
        <v>662</v>
      </c>
      <c r="M161" s="4" t="s">
        <v>61</v>
      </c>
      <c r="N161" s="4" t="s">
        <v>1350</v>
      </c>
      <c r="O161" s="4" t="s">
        <v>89</v>
      </c>
      <c r="P161" s="4" t="s">
        <v>1458</v>
      </c>
    </row>
    <row r="162">
      <c r="A162" s="4" t="s">
        <v>40</v>
      </c>
      <c r="B162" s="4" t="s">
        <v>40</v>
      </c>
      <c r="C162" s="4">
        <v>160.0</v>
      </c>
      <c r="D162" s="5" t="str">
        <f>HYPERLINK("https://www.linkedin.com/ad-library/detail/1285019414","Open Ad")</f>
        <v>Open Ad</v>
      </c>
      <c r="E162" s="4" t="s">
        <v>78</v>
      </c>
      <c r="F162" s="4" t="s">
        <v>1130</v>
      </c>
      <c r="G162" s="4" t="s">
        <v>1358</v>
      </c>
      <c r="H162" s="4" t="s">
        <v>49</v>
      </c>
      <c r="I162" s="4" t="s">
        <v>661</v>
      </c>
      <c r="J162" s="4" t="s">
        <v>78</v>
      </c>
      <c r="K162" s="5" t="str">
        <f>HYPERLINK("https://media.licdn.com/dms/image/v2/D4E10AQHFRaddMoj38Q/image-shrink_1280/B4EZ3erIWZIoAc-/0/1777557343141/Open-Role-Insights-Analyst-7680-4320png?e=2147483647&amp;v=beta&amp;t=FRDf3JR028zRIim0NfSQGNg9mP4M87mIK7dSQ_9PEjc","View Creative")</f>
        <v>View Creative</v>
      </c>
      <c r="L162" s="4" t="s">
        <v>60</v>
      </c>
      <c r="M162" s="4" t="s">
        <v>61</v>
      </c>
      <c r="N162" s="4" t="s">
        <v>1394</v>
      </c>
      <c r="O162" s="4" t="s">
        <v>89</v>
      </c>
      <c r="P162" s="4" t="s">
        <v>1466</v>
      </c>
    </row>
    <row r="163">
      <c r="A163" s="4" t="s">
        <v>40</v>
      </c>
      <c r="B163" s="4" t="s">
        <v>40</v>
      </c>
      <c r="C163" s="4">
        <v>161.0</v>
      </c>
      <c r="D163" s="5" t="str">
        <f>HYPERLINK("https://www.linkedin.com/ad-library/detail/1286017734","Open Ad")</f>
        <v>Open Ad</v>
      </c>
      <c r="E163" s="4" t="s">
        <v>78</v>
      </c>
      <c r="F163" s="4" t="s">
        <v>643</v>
      </c>
      <c r="G163" s="4" t="s">
        <v>1322</v>
      </c>
      <c r="H163" s="4" t="s">
        <v>49</v>
      </c>
      <c r="I163" s="4" t="s">
        <v>661</v>
      </c>
      <c r="J163" s="4" t="s">
        <v>78</v>
      </c>
      <c r="K163" s="5" t="str">
        <f>HYPERLINK("https://media.licdn.com/dms/image/v2/D4E10AQEaPOM9SJ8FsA/image-shrink_1280/B4EZ3elDcPHcAc-/0/1777555749612/Open-Role-ORM-Team-Lead-4320-4320png?e=2147483647&amp;v=beta&amp;t=Le1E9BTBDywmHweDDWLU6YG4repkFQLbOtORlNOdcmg","View Creative")</f>
        <v>View Creative</v>
      </c>
      <c r="L163" s="4" t="s">
        <v>60</v>
      </c>
      <c r="M163" s="4" t="s">
        <v>61</v>
      </c>
      <c r="N163" s="4" t="s">
        <v>1326</v>
      </c>
      <c r="O163" s="4" t="s">
        <v>89</v>
      </c>
      <c r="P163" s="4" t="s">
        <v>1472</v>
      </c>
    </row>
    <row r="164">
      <c r="A164" s="4" t="s">
        <v>40</v>
      </c>
      <c r="B164" s="4" t="s">
        <v>40</v>
      </c>
      <c r="C164" s="4">
        <v>162.0</v>
      </c>
      <c r="D164" s="5" t="str">
        <f>HYPERLINK("https://www.linkedin.com/ad-library/detail/1390899646","Open Ad")</f>
        <v>Open Ad</v>
      </c>
      <c r="E164" s="4" t="s">
        <v>78</v>
      </c>
      <c r="F164" s="4" t="s">
        <v>1331</v>
      </c>
      <c r="G164" s="4" t="s">
        <v>1332</v>
      </c>
      <c r="H164" s="4" t="s">
        <v>49</v>
      </c>
      <c r="I164" s="4" t="s">
        <v>661</v>
      </c>
      <c r="J164" s="4" t="s">
        <v>78</v>
      </c>
      <c r="K164" s="5" t="str">
        <f>HYPERLINK("https://media.licdn.com/dms/image/v2/D5610AQFOXMVb_JmkbQ/image-shrink_1280/B56Z2XN97mKQAc-/0/1776358515044/Open-Role-Senior-Data-Engineer-2430-4320png?e=2147483647&amp;v=beta&amp;t=Yd43qL9q_qhZjZtF_27-0w5UYXX4BOAjRvddsH6usAs","View Creative")</f>
        <v>View Creative</v>
      </c>
      <c r="L164" s="4" t="s">
        <v>60</v>
      </c>
      <c r="M164" s="4" t="s">
        <v>61</v>
      </c>
      <c r="N164" s="4" t="s">
        <v>1336</v>
      </c>
      <c r="O164" s="4" t="s">
        <v>89</v>
      </c>
      <c r="P164" s="4" t="s">
        <v>1479</v>
      </c>
    </row>
    <row r="165">
      <c r="A165" s="4" t="s">
        <v>40</v>
      </c>
      <c r="B165" s="4" t="s">
        <v>40</v>
      </c>
      <c r="C165" s="4">
        <v>163.0</v>
      </c>
      <c r="D165" s="5" t="str">
        <f>HYPERLINK("https://www.linkedin.com/ad-library/detail/1390978636","Open Ad")</f>
        <v>Open Ad</v>
      </c>
      <c r="E165" s="4" t="s">
        <v>78</v>
      </c>
      <c r="F165" s="4" t="s">
        <v>1331</v>
      </c>
      <c r="G165" s="4" t="s">
        <v>1332</v>
      </c>
      <c r="H165" s="4" t="s">
        <v>49</v>
      </c>
      <c r="I165" s="4" t="s">
        <v>661</v>
      </c>
      <c r="J165" s="4" t="s">
        <v>78</v>
      </c>
      <c r="K165" s="5" t="str">
        <f>HYPERLINK("https://media.licdn.com/dms/image/v2/D5610AQG3ycH0fMctIQ/image-shrink_1280/B56Z2XN99GIYAg-/0/1776358515339/Open-Role-Senior-Data-Engineer-4320-4320png?e=2147483647&amp;v=beta&amp;t=HBVV2mZ5NH6VFnLyIBmSTns_tSSTQm4uZIqpLAZUifg","View Creative")</f>
        <v>View Creative</v>
      </c>
      <c r="L165" s="4" t="s">
        <v>60</v>
      </c>
      <c r="M165" s="4" t="s">
        <v>61</v>
      </c>
      <c r="N165" s="4" t="s">
        <v>1336</v>
      </c>
      <c r="O165" s="4" t="s">
        <v>89</v>
      </c>
      <c r="P165" s="4" t="s">
        <v>1491</v>
      </c>
    </row>
    <row r="166">
      <c r="A166" s="4" t="s">
        <v>40</v>
      </c>
      <c r="B166" s="4" t="s">
        <v>40</v>
      </c>
      <c r="C166" s="4">
        <v>164.0</v>
      </c>
      <c r="D166" s="5" t="str">
        <f>HYPERLINK("https://www.linkedin.com/ad-library/detail/1277295324","Open Ad")</f>
        <v>Open Ad</v>
      </c>
      <c r="E166" s="4" t="s">
        <v>78</v>
      </c>
      <c r="F166" s="4" t="s">
        <v>643</v>
      </c>
      <c r="G166" s="4" t="s">
        <v>1377</v>
      </c>
      <c r="H166" s="4" t="s">
        <v>49</v>
      </c>
      <c r="I166" s="4" t="s">
        <v>661</v>
      </c>
      <c r="J166" s="4" t="s">
        <v>78</v>
      </c>
      <c r="K166" s="5" t="str">
        <f>HYPERLINK("https://media.licdn.com/dms/image/v2/D4E10AQG-w9jF6UEtRw/image-shrink_1280/B4EZ2bXuv2J0Ak-/0/1776428183543/Open-Role-Senior-Manager-Security-Operations-4320-43201png?e=2147483647&amp;v=beta&amp;t=tp3RO6lyo8XbyT5jVk9u0dPy_uC0WhJn9z0xt1OqEWY","View Creative")</f>
        <v>View Creative</v>
      </c>
      <c r="L166" s="4" t="s">
        <v>60</v>
      </c>
      <c r="M166" s="4" t="s">
        <v>61</v>
      </c>
      <c r="N166" s="4" t="s">
        <v>1382</v>
      </c>
      <c r="O166" s="4" t="s">
        <v>89</v>
      </c>
      <c r="P166" s="4" t="s">
        <v>1498</v>
      </c>
    </row>
    <row r="167">
      <c r="A167" s="4" t="s">
        <v>40</v>
      </c>
      <c r="B167" s="4" t="s">
        <v>40</v>
      </c>
      <c r="C167" s="4">
        <v>165.0</v>
      </c>
      <c r="D167" s="5" t="str">
        <f>HYPERLINK("https://www.linkedin.com/ad-library/detail/1281009174","Open Ad")</f>
        <v>Open Ad</v>
      </c>
      <c r="E167" s="4" t="s">
        <v>78</v>
      </c>
      <c r="F167" s="4" t="s">
        <v>1130</v>
      </c>
      <c r="G167" s="4" t="s">
        <v>1418</v>
      </c>
      <c r="H167" s="4" t="s">
        <v>49</v>
      </c>
      <c r="I167" s="4" t="s">
        <v>661</v>
      </c>
      <c r="J167" s="4" t="s">
        <v>78</v>
      </c>
      <c r="K167" s="5" t="str">
        <f>HYPERLINK("https://media.licdn.com/dms/image/v2/D4E10AQFFxVfANGDpnA/image-shrink_1280/B4EZ26mS7dJ8Ac-/0/1776952096063/Open-Role-Onboarding-Consultant-APAC-7680-43201png?e=2147483647&amp;v=beta&amp;t=dOwY7IJ0N52b3nqe67eRNCC9GRWbUhJgVKUPNU_3n2M","View Creative")</f>
        <v>View Creative</v>
      </c>
      <c r="L167" s="4" t="s">
        <v>106</v>
      </c>
      <c r="M167" s="4" t="s">
        <v>61</v>
      </c>
      <c r="O167" s="4" t="s">
        <v>89</v>
      </c>
      <c r="P167" s="4" t="s">
        <v>1510</v>
      </c>
    </row>
    <row r="168">
      <c r="A168" s="4" t="s">
        <v>40</v>
      </c>
      <c r="B168" s="4" t="s">
        <v>40</v>
      </c>
      <c r="C168" s="4">
        <v>166.0</v>
      </c>
      <c r="D168" s="5" t="str">
        <f>HYPERLINK("https://www.linkedin.com/ad-library/detail/1279329154","Open Ad")</f>
        <v>Open Ad</v>
      </c>
      <c r="E168" s="4" t="s">
        <v>78</v>
      </c>
      <c r="F168" s="4" t="s">
        <v>1130</v>
      </c>
      <c r="G168" s="4" t="s">
        <v>1418</v>
      </c>
      <c r="H168" s="4" t="s">
        <v>49</v>
      </c>
      <c r="I168" s="4" t="s">
        <v>661</v>
      </c>
      <c r="J168" s="4" t="s">
        <v>78</v>
      </c>
      <c r="K168" s="5" t="str">
        <f>HYPERLINK("https://media.licdn.com/dms/image/v2/D4E10AQEKtJmeeWPzZA/image-shrink_1280/B4EZ26mD8eJoAk-/0/1776952033785/Open-Role-Onboarding-Consultant-APAC-2430-4320png?e=2147483647&amp;v=beta&amp;t=P1dJnqsTAOZqBHqwhaio-tCkAX4RQ39C8sYxHKUdnxE","View Creative")</f>
        <v>View Creative</v>
      </c>
      <c r="L168" s="4" t="s">
        <v>106</v>
      </c>
      <c r="M168" s="4" t="s">
        <v>61</v>
      </c>
      <c r="O168" s="4" t="s">
        <v>89</v>
      </c>
      <c r="P168" s="4" t="s">
        <v>1523</v>
      </c>
    </row>
    <row r="169">
      <c r="A169" s="4" t="s">
        <v>40</v>
      </c>
      <c r="B169" s="4" t="s">
        <v>40</v>
      </c>
      <c r="C169" s="4">
        <v>167.0</v>
      </c>
      <c r="D169" s="5" t="str">
        <f>HYPERLINK("https://www.linkedin.com/ad-library/detail/1293784034","Open Ad")</f>
        <v>Open Ad</v>
      </c>
      <c r="E169" s="4" t="s">
        <v>78</v>
      </c>
      <c r="F169" s="4" t="s">
        <v>1130</v>
      </c>
      <c r="G169" s="4" t="s">
        <v>1131</v>
      </c>
      <c r="H169" s="4" t="s">
        <v>49</v>
      </c>
      <c r="I169" s="4" t="s">
        <v>661</v>
      </c>
      <c r="J169" s="4" t="s">
        <v>78</v>
      </c>
      <c r="K169" s="5" t="str">
        <f>HYPERLINK("https://media.licdn.com/dms/image/v2/D4E10AQFdRAhXZHPc2Q/image-shrink_1280/B4EZ4HODbeIMAc-/0/1778237585912/Open-Role-Insights-Analyst-2430-43201png?e=2147483647&amp;v=beta&amp;t=PWJm-5_h2rK1S-ONr0PvkSHayqUqvnEgVrMQijHkygs","View Creative")</f>
        <v>View Creative</v>
      </c>
      <c r="L169" s="4" t="s">
        <v>60</v>
      </c>
      <c r="M169" s="4" t="s">
        <v>61</v>
      </c>
      <c r="N169" s="4" t="s">
        <v>1249</v>
      </c>
      <c r="O169" s="4" t="s">
        <v>89</v>
      </c>
      <c r="P169" s="4" t="s">
        <v>1531</v>
      </c>
    </row>
    <row r="170">
      <c r="A170" s="4" t="s">
        <v>40</v>
      </c>
      <c r="B170" s="4" t="s">
        <v>40</v>
      </c>
      <c r="C170" s="4">
        <v>168.0</v>
      </c>
      <c r="D170" s="5" t="str">
        <f>HYPERLINK("https://www.linkedin.com/ad-library/detail/1275994594","Open Ad")</f>
        <v>Open Ad</v>
      </c>
      <c r="E170" s="4" t="s">
        <v>78</v>
      </c>
      <c r="F170" s="4" t="s">
        <v>643</v>
      </c>
      <c r="G170" s="4" t="s">
        <v>1311</v>
      </c>
      <c r="H170" s="4" t="s">
        <v>49</v>
      </c>
      <c r="I170" s="4" t="s">
        <v>661</v>
      </c>
      <c r="J170" s="4" t="s">
        <v>78</v>
      </c>
      <c r="K170" s="5" t="str">
        <f>HYPERLINK("https://media.licdn.com/dms/image/v2/D4E10AQEfzpdvUv3QQA/image-shrink_1280/B4EZ2bVUoFJ4Ac-/0/1776427552750/Open-Role-Onboarding-Consultant-Spanish-speaking-7680-43201png?e=2147483647&amp;v=beta&amp;t=7gdjjJD3U80SCffrAUYYVh_E9ekBa7eBVFazwgNcWHE","View Creative")</f>
        <v>View Creative</v>
      </c>
      <c r="L170" s="4" t="s">
        <v>60</v>
      </c>
      <c r="M170" s="4" t="s">
        <v>61</v>
      </c>
      <c r="N170" s="4" t="s">
        <v>1439</v>
      </c>
      <c r="O170" s="4" t="s">
        <v>89</v>
      </c>
      <c r="P170" s="4" t="s">
        <v>1542</v>
      </c>
    </row>
    <row r="171">
      <c r="A171" s="4" t="s">
        <v>40</v>
      </c>
      <c r="B171" s="4" t="s">
        <v>40</v>
      </c>
      <c r="C171" s="4">
        <v>169.0</v>
      </c>
      <c r="D171" s="5" t="str">
        <f>HYPERLINK("https://www.linkedin.com/ad-library/detail/1390939156","Open Ad")</f>
        <v>Open Ad</v>
      </c>
      <c r="E171" s="4" t="s">
        <v>78</v>
      </c>
      <c r="F171" s="4" t="s">
        <v>1130</v>
      </c>
      <c r="G171" s="4" t="s">
        <v>1551</v>
      </c>
      <c r="H171" s="4" t="s">
        <v>49</v>
      </c>
      <c r="I171" s="4" t="s">
        <v>661</v>
      </c>
      <c r="J171" s="4" t="s">
        <v>78</v>
      </c>
      <c r="K171" s="5" t="str">
        <f>HYPERLINK("https://media.licdn.com/dms/image/v2/D5610AQED-Bd8ymrvNA/image-shrink_1280/B56Z2XMn8_IAAg-/0/1776358164199/Open-Role-Insights-Analyst-7680-4320png?e=2147483647&amp;v=beta&amp;t=uXh-dbhYaH4PHiaZZPKuom3A0AbdRfnaYCFR-lSqrNA","View Creative")</f>
        <v>View Creative</v>
      </c>
      <c r="L171" s="4" t="s">
        <v>60</v>
      </c>
      <c r="M171" s="4" t="s">
        <v>61</v>
      </c>
      <c r="N171" s="4" t="s">
        <v>1561</v>
      </c>
      <c r="O171" s="4" t="s">
        <v>89</v>
      </c>
      <c r="P171" s="4" t="s">
        <v>1564</v>
      </c>
    </row>
    <row r="172">
      <c r="A172" s="4" t="s">
        <v>40</v>
      </c>
      <c r="B172" s="4" t="s">
        <v>40</v>
      </c>
      <c r="C172" s="4">
        <v>170.0</v>
      </c>
      <c r="D172" s="5" t="str">
        <f>HYPERLINK("https://www.linkedin.com/ad-library/detail/1391017236","Open Ad")</f>
        <v>Open Ad</v>
      </c>
      <c r="E172" s="4" t="s">
        <v>78</v>
      </c>
      <c r="F172" s="4" t="s">
        <v>1331</v>
      </c>
      <c r="G172" s="4" t="s">
        <v>1332</v>
      </c>
      <c r="H172" s="4" t="s">
        <v>49</v>
      </c>
      <c r="I172" s="4" t="s">
        <v>661</v>
      </c>
      <c r="J172" s="4" t="s">
        <v>78</v>
      </c>
      <c r="K172" s="5" t="str">
        <f>HYPERLINK("https://media.licdn.com/dms/image/v2/D5610AQEZsBbMvTeBGg/image-shrink_1280/B56Z2XJmJsKEAk-/0/1776357369112/Open-Role-Senior-Data-Engineer-2430-4320png?e=2147483647&amp;v=beta&amp;t=5JPnvT3qj8eqeO8Fm36JtjyDSdugeSr0KcyMmNX2Pq4","View Creative")</f>
        <v>View Creative</v>
      </c>
      <c r="L172" s="4" t="s">
        <v>60</v>
      </c>
      <c r="M172" s="4" t="s">
        <v>61</v>
      </c>
      <c r="N172" s="4" t="s">
        <v>1588</v>
      </c>
      <c r="O172" s="4" t="s">
        <v>89</v>
      </c>
      <c r="P172" s="4" t="s">
        <v>1589</v>
      </c>
    </row>
    <row r="173">
      <c r="A173" s="4" t="s">
        <v>40</v>
      </c>
      <c r="B173" s="4" t="s">
        <v>40</v>
      </c>
      <c r="C173" s="4">
        <v>171.0</v>
      </c>
      <c r="D173" s="5" t="str">
        <f>HYPERLINK("https://www.linkedin.com/ad-library/detail/1244911124","Open Ad")</f>
        <v>Open Ad</v>
      </c>
      <c r="E173" s="4" t="s">
        <v>78</v>
      </c>
      <c r="F173" s="4" t="s">
        <v>1130</v>
      </c>
      <c r="G173" s="4" t="s">
        <v>1597</v>
      </c>
      <c r="H173" s="4" t="s">
        <v>49</v>
      </c>
      <c r="I173" s="4" t="s">
        <v>661</v>
      </c>
      <c r="J173" s="4" t="s">
        <v>78</v>
      </c>
      <c r="K173" s="5" t="str">
        <f>HYPERLINK("https://media.licdn.com/dms/image/v2/D4E10AQEXAmGcIwC7_g/image-shrink_1280/B4EZ1zEDuHGcAc-/0/1775751937626/Open-Role-Senior-Influencer-Relations-Specialist-2430-4320png?e=2147483647&amp;v=beta&amp;t=8z6U2Kkddvs8ovbgb9MbaIXfyRU8wWKU-5eRd9ru9JA","View Creative")</f>
        <v>View Creative</v>
      </c>
      <c r="L173" s="4" t="s">
        <v>60</v>
      </c>
      <c r="M173" s="4" t="s">
        <v>61</v>
      </c>
      <c r="N173" s="4" t="s">
        <v>1605</v>
      </c>
      <c r="O173" s="4" t="s">
        <v>89</v>
      </c>
      <c r="P173" s="4" t="s">
        <v>1609</v>
      </c>
    </row>
    <row r="174">
      <c r="A174" s="4" t="s">
        <v>40</v>
      </c>
      <c r="B174" s="4" t="s">
        <v>40</v>
      </c>
      <c r="C174" s="4">
        <v>172.0</v>
      </c>
      <c r="D174" s="5" t="str">
        <f>HYPERLINK("https://www.linkedin.com/ad-library/detail/1244011164","Open Ad")</f>
        <v>Open Ad</v>
      </c>
      <c r="E174" s="4" t="s">
        <v>78</v>
      </c>
      <c r="F174" s="4" t="s">
        <v>1130</v>
      </c>
      <c r="G174" s="4" t="s">
        <v>1597</v>
      </c>
      <c r="H174" s="4" t="s">
        <v>49</v>
      </c>
      <c r="I174" s="4" t="s">
        <v>661</v>
      </c>
      <c r="J174" s="4" t="s">
        <v>78</v>
      </c>
      <c r="K174" s="5" t="str">
        <f>HYPERLINK("https://media.licdn.com/dms/image/v2/D4E10AQFwcgwvl-jRHQ/image-shrink_1280/B4EZ1zEDpNIgAc-/0/1775751938087/Open-Role-Senior-Influencer-Relations-Specialist-7680-4320png?e=2147483647&amp;v=beta&amp;t=RaDy8ulRxwtcbDReaBWIa2ykfTE9EBvFAEWRumCoON4","View Creative")</f>
        <v>View Creative</v>
      </c>
      <c r="L174" s="4" t="s">
        <v>60</v>
      </c>
      <c r="M174" s="4" t="s">
        <v>61</v>
      </c>
      <c r="N174" s="4" t="s">
        <v>1605</v>
      </c>
      <c r="O174" s="4" t="s">
        <v>89</v>
      </c>
      <c r="P174" s="4" t="s">
        <v>1629</v>
      </c>
    </row>
    <row r="175">
      <c r="A175" s="4" t="s">
        <v>40</v>
      </c>
      <c r="B175" s="4" t="s">
        <v>40</v>
      </c>
      <c r="C175" s="4">
        <v>173.0</v>
      </c>
      <c r="D175" s="5" t="str">
        <f>HYPERLINK("https://www.linkedin.com/ad-library/detail/1391017426","Open Ad")</f>
        <v>Open Ad</v>
      </c>
      <c r="E175" s="4" t="s">
        <v>78</v>
      </c>
      <c r="F175" s="4" t="s">
        <v>1130</v>
      </c>
      <c r="G175" s="4" t="s">
        <v>1551</v>
      </c>
      <c r="H175" s="4" t="s">
        <v>49</v>
      </c>
      <c r="I175" s="4" t="s">
        <v>661</v>
      </c>
      <c r="J175" s="4" t="s">
        <v>78</v>
      </c>
      <c r="K175" s="5" t="str">
        <f>HYPERLINK("https://media.licdn.com/dms/image/v2/D5610AQE4AXg3W_u-fA/image-shrink_1280/B56Z2XMn_aHAAc-/0/1776358163059/Open-Role-Insights-Analyst-2430-4320png?e=2147483647&amp;v=beta&amp;t=67KFfQVu5rIxnsC7nzfH3ubHjC8Xmt15AIXVoiUgz08","View Creative")</f>
        <v>View Creative</v>
      </c>
      <c r="L175" s="4" t="s">
        <v>60</v>
      </c>
      <c r="M175" s="4" t="s">
        <v>61</v>
      </c>
      <c r="N175" s="4" t="s">
        <v>1561</v>
      </c>
      <c r="O175" s="4" t="s">
        <v>89</v>
      </c>
      <c r="P175" s="4" t="s">
        <v>1645</v>
      </c>
    </row>
    <row r="176">
      <c r="A176" s="4" t="s">
        <v>40</v>
      </c>
      <c r="B176" s="4" t="s">
        <v>40</v>
      </c>
      <c r="C176" s="4">
        <v>174.0</v>
      </c>
      <c r="D176" s="5" t="str">
        <f>HYPERLINK("https://www.linkedin.com/ad-library/detail/1246986904","Open Ad")</f>
        <v>Open Ad</v>
      </c>
      <c r="E176" s="4" t="s">
        <v>78</v>
      </c>
      <c r="F176" s="4" t="s">
        <v>643</v>
      </c>
      <c r="G176" s="4" t="s">
        <v>1311</v>
      </c>
      <c r="H176" s="4" t="s">
        <v>49</v>
      </c>
      <c r="I176" s="4" t="s">
        <v>661</v>
      </c>
      <c r="J176" s="4" t="s">
        <v>78</v>
      </c>
      <c r="K176" s="5" t="str">
        <f>HYPERLINK("https://media.licdn.com/dms/image/v2/D4E10AQFDiC4uQ9QwQg/image-shrink_1280/B4EZ1zL1diGkAg-/0/1775753976620/Open-Role-Onboarding-Consultant-Spanish-speaking-2430-4320png?e=2147483647&amp;v=beta&amp;t=ULbcGhLXw4nWpPis3PJkvY1YW66x-kRTamUT7B-u3nM","View Creative")</f>
        <v>View Creative</v>
      </c>
      <c r="L176" s="4" t="s">
        <v>106</v>
      </c>
      <c r="M176" s="4" t="s">
        <v>61</v>
      </c>
      <c r="O176" s="4" t="s">
        <v>89</v>
      </c>
      <c r="P176" s="4" t="s">
        <v>1654</v>
      </c>
    </row>
    <row r="177">
      <c r="A177" s="4" t="s">
        <v>40</v>
      </c>
      <c r="B177" s="4" t="s">
        <v>40</v>
      </c>
      <c r="C177" s="4">
        <v>175.0</v>
      </c>
      <c r="D177" s="5" t="str">
        <f>HYPERLINK("https://www.linkedin.com/ad-library/detail/1244210654","Open Ad")</f>
        <v>Open Ad</v>
      </c>
      <c r="E177" s="4" t="s">
        <v>78</v>
      </c>
      <c r="F177" s="4" t="s">
        <v>1657</v>
      </c>
      <c r="G177" s="4" t="s">
        <v>1659</v>
      </c>
      <c r="H177" s="4" t="s">
        <v>49</v>
      </c>
      <c r="I177" s="4" t="s">
        <v>661</v>
      </c>
      <c r="J177" s="4" t="s">
        <v>78</v>
      </c>
      <c r="K177" s="5" t="str">
        <f>HYPERLINK("https://media.licdn.com/dms/image/v2/D4E10AQF1gpLptasI1w/image-shrink_1280/B4EZ1y7pL2IMAk-/0/1775749731849/Open-Role-Paid-Search-Specialist-2430-4320png?e=2147483647&amp;v=beta&amp;t=LSbizlyk45bx6gUeA4JBtQrFJHl1qXS973Q0hOuU-y4","View Creative")</f>
        <v>View Creative</v>
      </c>
      <c r="L177" s="4" t="s">
        <v>60</v>
      </c>
      <c r="M177" s="4" t="s">
        <v>61</v>
      </c>
      <c r="N177" s="4" t="s">
        <v>1605</v>
      </c>
      <c r="O177" s="4" t="s">
        <v>89</v>
      </c>
      <c r="P177" s="4" t="s">
        <v>1666</v>
      </c>
    </row>
    <row r="178">
      <c r="A178" s="4" t="s">
        <v>40</v>
      </c>
      <c r="B178" s="4" t="s">
        <v>40</v>
      </c>
      <c r="C178" s="4">
        <v>176.0</v>
      </c>
      <c r="D178" s="5" t="str">
        <f>HYPERLINK("https://www.linkedin.com/ad-library/detail/1233858604","Open Ad")</f>
        <v>Open Ad</v>
      </c>
      <c r="E178" s="4" t="s">
        <v>78</v>
      </c>
      <c r="F178" s="4" t="s">
        <v>1671</v>
      </c>
      <c r="G178" s="4" t="s">
        <v>1672</v>
      </c>
      <c r="H178" s="4" t="s">
        <v>49</v>
      </c>
      <c r="I178" s="4" t="s">
        <v>661</v>
      </c>
      <c r="J178" s="4" t="s">
        <v>78</v>
      </c>
      <c r="K178" s="5" t="str">
        <f>HYPERLINK("https://media.licdn.com/dms/image/v2/D4E10AQEE4CAWPwrg0w/image-shrink_1280/B4EZ0rAUt_I4Ag-/0/1774543000556/Open-Role-Data-Engineer-7680-4320png?e=2147483647&amp;v=beta&amp;t=VmVwtQZewSzYKVPxTxNiBNIaKCnO2NKDN6a-dfdI16A","View Creative")</f>
        <v>View Creative</v>
      </c>
      <c r="L178" s="4" t="s">
        <v>60</v>
      </c>
      <c r="M178" s="4" t="s">
        <v>61</v>
      </c>
      <c r="N178" s="4" t="s">
        <v>1677</v>
      </c>
      <c r="O178" s="4" t="s">
        <v>89</v>
      </c>
      <c r="P178" s="4" t="s">
        <v>1678</v>
      </c>
    </row>
    <row r="179">
      <c r="A179" s="4" t="s">
        <v>40</v>
      </c>
      <c r="B179" s="4" t="s">
        <v>40</v>
      </c>
      <c r="C179" s="4">
        <v>177.0</v>
      </c>
      <c r="D179" s="5" t="str">
        <f>HYPERLINK("https://www.linkedin.com/ad-library/detail/1246600574","Open Ad")</f>
        <v>Open Ad</v>
      </c>
      <c r="E179" s="4" t="s">
        <v>78</v>
      </c>
      <c r="F179" s="4" t="s">
        <v>1130</v>
      </c>
      <c r="G179" s="4" t="s">
        <v>1683</v>
      </c>
      <c r="H179" s="4" t="s">
        <v>49</v>
      </c>
      <c r="I179" s="4" t="s">
        <v>661</v>
      </c>
      <c r="J179" s="4" t="s">
        <v>78</v>
      </c>
      <c r="K179" s="5" t="str">
        <f>HYPERLINK("https://media.licdn.com/dms/image/v2/D4E10AQFiXcVCNZjbrw/image-shrink_1280/B4EZ1zBmsXH0Ac-/0/1775751294847/Open-Role-ORM-Team-Lead-4320-4320png?e=2147483647&amp;v=beta&amp;t=YX3D1NwxCyVRT5NWk38iau5syle4BzCKkJ6MSW13NeM","View Creative")</f>
        <v>View Creative</v>
      </c>
      <c r="L179" s="4" t="s">
        <v>60</v>
      </c>
      <c r="M179" s="4" t="s">
        <v>61</v>
      </c>
      <c r="N179" s="4" t="s">
        <v>1689</v>
      </c>
      <c r="O179" s="4" t="s">
        <v>89</v>
      </c>
      <c r="P179" s="4" t="s">
        <v>1691</v>
      </c>
    </row>
    <row r="180">
      <c r="A180" s="4" t="s">
        <v>40</v>
      </c>
      <c r="B180" s="4" t="s">
        <v>40</v>
      </c>
      <c r="C180" s="4">
        <v>178.0</v>
      </c>
      <c r="D180" s="5" t="str">
        <f>HYPERLINK("https://www.linkedin.com/ad-library/detail/1275788034","Open Ad")</f>
        <v>Open Ad</v>
      </c>
      <c r="E180" s="4" t="s">
        <v>78</v>
      </c>
      <c r="F180" s="4" t="s">
        <v>1130</v>
      </c>
      <c r="G180" s="4" t="s">
        <v>1693</v>
      </c>
      <c r="H180" s="4" t="s">
        <v>49</v>
      </c>
      <c r="I180" s="4" t="s">
        <v>1695</v>
      </c>
      <c r="J180" s="4" t="s">
        <v>78</v>
      </c>
      <c r="K180" s="5" t="str">
        <f>HYPERLINK("https://media.licdn.com/dms/image/v2/D4E10AQFoBCOxWfFU2Q/image-shrink_1280/B4EZ2WkCutJkAc-/0/1776347524741/Open-Role-Content-Associate-Enterprise-2430-4320png?e=2147483647&amp;v=beta&amp;t=l50JF8g77qqPHiiiz2SqFgAOT0aFF_B8BVVJuWBc2gU","View Creative")</f>
        <v>View Creative</v>
      </c>
      <c r="L180" s="4" t="s">
        <v>60</v>
      </c>
      <c r="M180" s="4" t="s">
        <v>61</v>
      </c>
      <c r="N180" s="4" t="s">
        <v>1561</v>
      </c>
      <c r="O180" s="4" t="s">
        <v>89</v>
      </c>
      <c r="P180" s="4" t="s">
        <v>1699</v>
      </c>
    </row>
    <row r="181">
      <c r="A181" s="4" t="s">
        <v>40</v>
      </c>
      <c r="B181" s="4" t="s">
        <v>40</v>
      </c>
      <c r="C181" s="4">
        <v>179.0</v>
      </c>
      <c r="D181" s="5" t="str">
        <f>HYPERLINK("https://www.linkedin.com/ad-library/detail/1244610414","Open Ad")</f>
        <v>Open Ad</v>
      </c>
      <c r="E181" s="4" t="s">
        <v>78</v>
      </c>
      <c r="F181" s="4" t="s">
        <v>643</v>
      </c>
      <c r="G181" s="4" t="s">
        <v>1703</v>
      </c>
      <c r="H181" s="4" t="s">
        <v>49</v>
      </c>
      <c r="I181" s="4" t="s">
        <v>661</v>
      </c>
      <c r="J181" s="4" t="s">
        <v>78</v>
      </c>
      <c r="K181" s="5" t="str">
        <f>HYPERLINK("https://media.licdn.com/dms/image/v2/D4E10AQH3e4HjYD2-Bg/image-shrink_1280/B4EZ1y_a_hGQAc-/0/1775750722736/Open-Role-Programmatic-Display-Lead-4320-4320png?e=2147483647&amp;v=beta&amp;t=NMfe0bk5zQKN0k8uny7BC4c4Sz0gqtMzSc05-dyOv5Q","View Creative")</f>
        <v>View Creative</v>
      </c>
      <c r="L181" s="4" t="s">
        <v>60</v>
      </c>
      <c r="M181" s="4" t="s">
        <v>61</v>
      </c>
      <c r="N181" s="4" t="s">
        <v>1605</v>
      </c>
      <c r="O181" s="4" t="s">
        <v>89</v>
      </c>
      <c r="P181" s="4" t="s">
        <v>1708</v>
      </c>
    </row>
    <row r="182">
      <c r="A182" s="4" t="s">
        <v>40</v>
      </c>
      <c r="B182" s="4" t="s">
        <v>40</v>
      </c>
      <c r="C182" s="4">
        <v>180.0</v>
      </c>
      <c r="D182" s="5" t="str">
        <f>HYPERLINK("https://www.linkedin.com/ad-library/detail/1244810434","Open Ad")</f>
        <v>Open Ad</v>
      </c>
      <c r="E182" s="4" t="s">
        <v>78</v>
      </c>
      <c r="F182" s="4" t="s">
        <v>1657</v>
      </c>
      <c r="G182" s="4" t="s">
        <v>1659</v>
      </c>
      <c r="H182" s="4" t="s">
        <v>49</v>
      </c>
      <c r="I182" s="4" t="s">
        <v>661</v>
      </c>
      <c r="J182" s="4" t="s">
        <v>78</v>
      </c>
      <c r="K182" s="5" t="str">
        <f>HYPERLINK("https://media.licdn.com/dms/image/v2/D4E10AQFyRsmghrE3zw/image-shrink_1280/B4EZ1y7pg7IkAo-/0/1775749734093/Open-Role-Paid-Search-Specialist-7680-4320png?e=2147483647&amp;v=beta&amp;t=ceKAjIzyRZwKIJOxjjDBdPr5hSe3T7z1gALxT7d_ewY","View Creative")</f>
        <v>View Creative</v>
      </c>
      <c r="L182" s="4" t="s">
        <v>60</v>
      </c>
      <c r="M182" s="4" t="s">
        <v>61</v>
      </c>
      <c r="N182" s="4" t="s">
        <v>1689</v>
      </c>
      <c r="O182" s="4" t="s">
        <v>89</v>
      </c>
      <c r="P182" s="4" t="s">
        <v>1715</v>
      </c>
    </row>
    <row r="183">
      <c r="A183" s="4" t="s">
        <v>40</v>
      </c>
      <c r="B183" s="4" t="s">
        <v>40</v>
      </c>
      <c r="C183" s="4">
        <v>181.0</v>
      </c>
      <c r="D183" s="5" t="str">
        <f>HYPERLINK("https://www.linkedin.com/ad-library/detail/1244910904","Open Ad")</f>
        <v>Open Ad</v>
      </c>
      <c r="E183" s="4" t="s">
        <v>78</v>
      </c>
      <c r="F183" s="4" t="s">
        <v>643</v>
      </c>
      <c r="G183" s="4" t="s">
        <v>1703</v>
      </c>
      <c r="H183" s="4" t="s">
        <v>49</v>
      </c>
      <c r="I183" s="4" t="s">
        <v>661</v>
      </c>
      <c r="J183" s="4" t="s">
        <v>78</v>
      </c>
      <c r="K183" s="5" t="str">
        <f>HYPERLINK("https://media.licdn.com/dms/image/v2/D4E10AQG1RyM38GeUcg/image-shrink_1280/B4EZ1y_bbrGYAc-/0/1775750725101/Open-Role-Programmatic-Display-Lead-7680-4320png?e=2147483647&amp;v=beta&amp;t=mhllZ3Tg3CNDG2StxOiYaGND9alFgIuyBltG78Np83E","View Creative")</f>
        <v>View Creative</v>
      </c>
      <c r="L183" s="4" t="s">
        <v>60</v>
      </c>
      <c r="M183" s="4" t="s">
        <v>61</v>
      </c>
      <c r="N183" s="4" t="s">
        <v>1605</v>
      </c>
      <c r="O183" s="4" t="s">
        <v>89</v>
      </c>
      <c r="P183" s="4" t="s">
        <v>1724</v>
      </c>
    </row>
    <row r="184">
      <c r="A184" s="4" t="s">
        <v>40</v>
      </c>
      <c r="B184" s="4" t="s">
        <v>40</v>
      </c>
      <c r="C184" s="4">
        <v>182.0</v>
      </c>
      <c r="D184" s="5" t="str">
        <f>HYPERLINK("https://www.linkedin.com/ad-library/detail/1235915934","Open Ad")</f>
        <v>Open Ad</v>
      </c>
      <c r="E184" s="4" t="s">
        <v>78</v>
      </c>
      <c r="F184" s="4" t="s">
        <v>1671</v>
      </c>
      <c r="G184" s="4" t="s">
        <v>1672</v>
      </c>
      <c r="H184" s="4" t="s">
        <v>49</v>
      </c>
      <c r="I184" s="4" t="s">
        <v>661</v>
      </c>
      <c r="J184" s="4" t="s">
        <v>78</v>
      </c>
      <c r="K184" s="5" t="str">
        <f>HYPERLINK("https://media.licdn.com/dms/image/v2/D4E10AQEZeldYdN0uUQ/image-shrink_1280/B4EZ0rAUpyKIAg-/0/1774542999144/Open-Role-Data-Engineer-4320-4320png?e=2147483647&amp;v=beta&amp;t=8FiId01xSf1pMVbaEMN0wWO-BQikthlynPWs3SF3YxA","View Creative")</f>
        <v>View Creative</v>
      </c>
      <c r="L184" s="4" t="s">
        <v>60</v>
      </c>
      <c r="M184" s="4" t="s">
        <v>61</v>
      </c>
      <c r="N184" s="4" t="s">
        <v>1732</v>
      </c>
      <c r="O184" s="4" t="s">
        <v>89</v>
      </c>
      <c r="P184" s="4" t="s">
        <v>1734</v>
      </c>
    </row>
    <row r="185">
      <c r="A185" s="4" t="s">
        <v>40</v>
      </c>
      <c r="B185" s="4" t="s">
        <v>40</v>
      </c>
      <c r="C185" s="4">
        <v>183.0</v>
      </c>
      <c r="D185" s="5" t="str">
        <f>HYPERLINK("https://www.linkedin.com/ad-library/detail/1390958826","Open Ad")</f>
        <v>Open Ad</v>
      </c>
      <c r="E185" s="4" t="s">
        <v>78</v>
      </c>
      <c r="F185" s="4" t="s">
        <v>1130</v>
      </c>
      <c r="G185" s="4" t="s">
        <v>1551</v>
      </c>
      <c r="H185" s="4" t="s">
        <v>49</v>
      </c>
      <c r="I185" s="4" t="s">
        <v>661</v>
      </c>
      <c r="J185" s="4" t="s">
        <v>78</v>
      </c>
      <c r="K185" s="5" t="str">
        <f>HYPERLINK("https://media.licdn.com/dms/image/v2/D5610AQEyQuNkCRjfNw/image-shrink_1280/B56Z2XMn9AIIAc-/0/1776358163283/Open-Role-Insights-Analyst-4320-4320png?e=2147483647&amp;v=beta&amp;t=S2xZbSqWyoQJXcByXZog4Uq38E0MrwXf2kbv3_iN2MQ","View Creative")</f>
        <v>View Creative</v>
      </c>
      <c r="L185" s="4" t="s">
        <v>60</v>
      </c>
      <c r="M185" s="4" t="s">
        <v>61</v>
      </c>
      <c r="N185" s="4" t="s">
        <v>1439</v>
      </c>
      <c r="O185" s="4" t="s">
        <v>89</v>
      </c>
      <c r="P185" s="4" t="s">
        <v>1744</v>
      </c>
    </row>
    <row r="186">
      <c r="A186" s="4" t="s">
        <v>40</v>
      </c>
      <c r="B186" s="4" t="s">
        <v>40</v>
      </c>
      <c r="C186" s="4">
        <v>184.0</v>
      </c>
      <c r="D186" s="5" t="str">
        <f>HYPERLINK("https://www.linkedin.com/ad-library/detail/1276387544","Open Ad")</f>
        <v>Open Ad</v>
      </c>
      <c r="E186" s="4" t="s">
        <v>78</v>
      </c>
      <c r="F186" s="4" t="s">
        <v>1130</v>
      </c>
      <c r="G186" s="4" t="s">
        <v>1693</v>
      </c>
      <c r="H186" s="4" t="s">
        <v>49</v>
      </c>
      <c r="I186" s="4" t="s">
        <v>1695</v>
      </c>
      <c r="J186" s="4" t="s">
        <v>78</v>
      </c>
      <c r="K186" s="5" t="str">
        <f>HYPERLINK("https://media.licdn.com/dms/image/v2/D4E10AQHV3wv4XSybfQ/image-shrink_1280/B4EZ2WkCxmJUAg-/0/1776347525563/Open-Role-Content-Associate-Enterprise-7680-4320png?e=2147483647&amp;v=beta&amp;t=03uDa-tYU1tvYw9JRj-0k48RPUHDBa1EGdA-0qyuxOA","View Creative")</f>
        <v>View Creative</v>
      </c>
      <c r="L186" s="4" t="s">
        <v>60</v>
      </c>
      <c r="M186" s="4" t="s">
        <v>61</v>
      </c>
      <c r="N186" s="4" t="s">
        <v>1439</v>
      </c>
      <c r="O186" s="4" t="s">
        <v>89</v>
      </c>
      <c r="P186" s="4" t="s">
        <v>1754</v>
      </c>
    </row>
    <row r="187">
      <c r="A187" s="4" t="s">
        <v>40</v>
      </c>
      <c r="B187" s="4" t="s">
        <v>40</v>
      </c>
      <c r="C187" s="4">
        <v>185.0</v>
      </c>
      <c r="D187" s="5" t="str">
        <f>HYPERLINK("https://www.linkedin.com/ad-library/detail/1390958626","Open Ad")</f>
        <v>Open Ad</v>
      </c>
      <c r="E187" s="4" t="s">
        <v>78</v>
      </c>
      <c r="F187" s="4" t="s">
        <v>1331</v>
      </c>
      <c r="G187" s="4" t="s">
        <v>1332</v>
      </c>
      <c r="H187" s="4" t="s">
        <v>49</v>
      </c>
      <c r="I187" s="4" t="s">
        <v>661</v>
      </c>
      <c r="J187" s="4" t="s">
        <v>78</v>
      </c>
      <c r="K187" s="5" t="str">
        <f>HYPERLINK("https://media.licdn.com/dms/image/v2/D5610AQH-ErXKasMf1w/image-shrink_1280/B56Z2XJmQ.HEAc-/0/1776357369791/Open-Role-Senior-Data-Engineer-4320-4320png?e=2147483647&amp;v=beta&amp;t=rwLQBIeD6qRPIj2BcQTe_x4vLrJe2wqXjX4R2Xy3sRQ","View Creative")</f>
        <v>View Creative</v>
      </c>
      <c r="L187" s="4" t="s">
        <v>60</v>
      </c>
      <c r="M187" s="4" t="s">
        <v>61</v>
      </c>
      <c r="N187" s="4" t="s">
        <v>1588</v>
      </c>
      <c r="O187" s="4" t="s">
        <v>89</v>
      </c>
      <c r="P187" s="4" t="s">
        <v>1764</v>
      </c>
    </row>
    <row r="188">
      <c r="A188" s="4" t="s">
        <v>40</v>
      </c>
      <c r="B188" s="4" t="s">
        <v>40</v>
      </c>
      <c r="C188" s="4">
        <v>186.0</v>
      </c>
      <c r="D188" s="5" t="str">
        <f>HYPERLINK("https://www.linkedin.com/ad-library/detail/1390958636","Open Ad")</f>
        <v>Open Ad</v>
      </c>
      <c r="E188" s="4" t="s">
        <v>78</v>
      </c>
      <c r="F188" s="4" t="s">
        <v>1331</v>
      </c>
      <c r="G188" s="4" t="s">
        <v>1332</v>
      </c>
      <c r="H188" s="4" t="s">
        <v>49</v>
      </c>
      <c r="I188" s="4" t="s">
        <v>661</v>
      </c>
      <c r="J188" s="4" t="s">
        <v>78</v>
      </c>
      <c r="K188" s="5" t="str">
        <f>HYPERLINK("https://media.licdn.com/dms/image/v2/D5610AQF_6n9vu2siYQ/image-shrink_1280/B56Z2XJmV7HEAg-/0/1776357370628/Open-Role-Senior-Data-Engineer-7680-4320png?e=2147483647&amp;v=beta&amp;t=7sZ3-4oJYD7iBQVzd7wlCjxvd0MyKp5f4J2AjPOPMhY","View Creative")</f>
        <v>View Creative</v>
      </c>
      <c r="L188" s="4" t="s">
        <v>60</v>
      </c>
      <c r="M188" s="4" t="s">
        <v>61</v>
      </c>
      <c r="N188" s="4" t="s">
        <v>1588</v>
      </c>
      <c r="O188" s="4" t="s">
        <v>89</v>
      </c>
      <c r="P188" s="4" t="s">
        <v>1769</v>
      </c>
    </row>
    <row r="189">
      <c r="A189" s="4" t="s">
        <v>40</v>
      </c>
      <c r="B189" s="4" t="s">
        <v>40</v>
      </c>
      <c r="C189" s="4">
        <v>187.0</v>
      </c>
      <c r="D189" s="5" t="str">
        <f>HYPERLINK("https://www.linkedin.com/ad-library/detail/1275987624","Open Ad")</f>
        <v>Open Ad</v>
      </c>
      <c r="E189" s="4" t="s">
        <v>78</v>
      </c>
      <c r="F189" s="4" t="s">
        <v>1130</v>
      </c>
      <c r="G189" s="4" t="s">
        <v>1693</v>
      </c>
      <c r="H189" s="4" t="s">
        <v>49</v>
      </c>
      <c r="I189" s="4" t="s">
        <v>1695</v>
      </c>
      <c r="J189" s="4" t="s">
        <v>78</v>
      </c>
      <c r="K189" s="5" t="str">
        <f>HYPERLINK("https://media.licdn.com/dms/image/v2/D4E10AQEGSpC0iSbOhQ/image-shrink_1280/B4EZ2WkCv9IwAc-/0/1776347525058/Open-Role-Content-Associate-Enterprise-4320-4320png?e=2147483647&amp;v=beta&amp;t=erk6NqnqEdFZ9kiCmH_7AACuQpCdrp_vwHsH8v0bk2g","View Creative")</f>
        <v>View Creative</v>
      </c>
      <c r="L189" s="4" t="s">
        <v>60</v>
      </c>
      <c r="M189" s="4" t="s">
        <v>61</v>
      </c>
      <c r="N189" s="4" t="s">
        <v>1561</v>
      </c>
      <c r="O189" s="4" t="s">
        <v>89</v>
      </c>
      <c r="P189" s="4" t="s">
        <v>1779</v>
      </c>
    </row>
    <row r="190">
      <c r="A190" s="4" t="s">
        <v>40</v>
      </c>
      <c r="B190" s="4" t="s">
        <v>40</v>
      </c>
      <c r="C190" s="4">
        <v>188.0</v>
      </c>
      <c r="D190" s="5" t="str">
        <f>HYPERLINK("https://www.linkedin.com/ad-library/detail/1246986524","Open Ad")</f>
        <v>Open Ad</v>
      </c>
      <c r="E190" s="4" t="s">
        <v>78</v>
      </c>
      <c r="F190" s="4" t="s">
        <v>1130</v>
      </c>
      <c r="G190" s="4" t="s">
        <v>1683</v>
      </c>
      <c r="H190" s="4" t="s">
        <v>49</v>
      </c>
      <c r="I190" s="4" t="s">
        <v>661</v>
      </c>
      <c r="J190" s="4" t="s">
        <v>78</v>
      </c>
      <c r="K190" s="5" t="str">
        <f>HYPERLINK("https://media.licdn.com/dms/image/v2/D4E10AQHKd4Q-Gc85lA/image-shrink_1280/B4EZ1zBmmqHYAg-/0/1775751293983/Open-Role-ORM-Team-Lead-2430-4320png?e=2147483647&amp;v=beta&amp;t=4GqAaF37AgO67fLXWsJCiB2pWwWWzh97bWVfqp469C0","View Creative")</f>
        <v>View Creative</v>
      </c>
      <c r="L190" s="4" t="s">
        <v>60</v>
      </c>
      <c r="M190" s="4" t="s">
        <v>61</v>
      </c>
      <c r="N190" s="4" t="s">
        <v>1605</v>
      </c>
      <c r="O190" s="4" t="s">
        <v>89</v>
      </c>
      <c r="P190" s="4" t="s">
        <v>1787</v>
      </c>
    </row>
    <row r="191">
      <c r="A191" s="4" t="s">
        <v>40</v>
      </c>
      <c r="B191" s="4" t="s">
        <v>40</v>
      </c>
      <c r="C191" s="4">
        <v>189.0</v>
      </c>
      <c r="D191" s="5" t="str">
        <f>HYPERLINK("https://www.linkedin.com/ad-library/detail/1246309174","Open Ad")</f>
        <v>Open Ad</v>
      </c>
      <c r="E191" s="4" t="s">
        <v>78</v>
      </c>
      <c r="F191" s="4" t="s">
        <v>643</v>
      </c>
      <c r="G191" s="4" t="s">
        <v>1703</v>
      </c>
      <c r="H191" s="4" t="s">
        <v>49</v>
      </c>
      <c r="I191" s="4" t="s">
        <v>661</v>
      </c>
      <c r="J191" s="4" t="s">
        <v>78</v>
      </c>
      <c r="K191" s="5" t="str">
        <f>HYPERLINK("https://media.licdn.com/dms/image/v2/D4E10AQH7crf-xDtUrQ/image-shrink_1280/B4EZ1y_bBMIwAc-/0/1775750722426/Open-Role-Programmatic-Display-Lead-2430-4320png?e=2147483647&amp;v=beta&amp;t=A7oxVLZf5WZwJc8cm9pWwiMUKRZ8J5Ion-4QTArzK-Y","View Creative")</f>
        <v>View Creative</v>
      </c>
      <c r="L191" s="4" t="s">
        <v>60</v>
      </c>
      <c r="M191" s="4" t="s">
        <v>61</v>
      </c>
      <c r="N191" s="4" t="s">
        <v>1605</v>
      </c>
      <c r="O191" s="4" t="s">
        <v>89</v>
      </c>
      <c r="P191" s="4" t="s">
        <v>1793</v>
      </c>
    </row>
    <row r="192">
      <c r="A192" s="4" t="s">
        <v>40</v>
      </c>
      <c r="B192" s="4" t="s">
        <v>40</v>
      </c>
      <c r="C192" s="4">
        <v>190.0</v>
      </c>
      <c r="D192" s="5" t="str">
        <f>HYPERLINK("https://www.linkedin.com/ad-library/detail/1244210924","Open Ad")</f>
        <v>Open Ad</v>
      </c>
      <c r="E192" s="4" t="s">
        <v>78</v>
      </c>
      <c r="F192" s="4" t="s">
        <v>1130</v>
      </c>
      <c r="G192" s="4" t="s">
        <v>1597</v>
      </c>
      <c r="H192" s="4" t="s">
        <v>49</v>
      </c>
      <c r="I192" s="4" t="s">
        <v>661</v>
      </c>
      <c r="J192" s="4" t="s">
        <v>78</v>
      </c>
      <c r="K192" s="5" t="str">
        <f>HYPERLINK("https://media.licdn.com/dms/image/v2/D4E10AQF2RSigEvW_kQ/image-shrink_1280/B4EZ1zEDyCJkAk-/0/1775751938177/Open-Role-Senior-Influencer-Relations-Specialist-4320-4320png?e=2147483647&amp;v=beta&amp;t=h9onFq70Yu4CpI4tHnjaOY3eBVz755MzqdDYymyz9_8","View Creative")</f>
        <v>View Creative</v>
      </c>
      <c r="L192" s="4" t="s">
        <v>60</v>
      </c>
      <c r="M192" s="4" t="s">
        <v>61</v>
      </c>
      <c r="N192" s="4" t="s">
        <v>1605</v>
      </c>
      <c r="O192" s="4" t="s">
        <v>89</v>
      </c>
      <c r="P192" s="4" t="s">
        <v>1807</v>
      </c>
    </row>
    <row r="193">
      <c r="A193" s="4" t="s">
        <v>40</v>
      </c>
      <c r="B193" s="4" t="s">
        <v>40</v>
      </c>
      <c r="C193" s="4">
        <v>191.0</v>
      </c>
      <c r="D193" s="5" t="str">
        <f>HYPERLINK("https://www.linkedin.com/ad-library/detail/1246011334","Open Ad")</f>
        <v>Open Ad</v>
      </c>
      <c r="E193" s="4" t="s">
        <v>78</v>
      </c>
      <c r="F193" s="4" t="s">
        <v>1130</v>
      </c>
      <c r="G193" s="4" t="s">
        <v>1683</v>
      </c>
      <c r="H193" s="4" t="s">
        <v>49</v>
      </c>
      <c r="I193" s="4" t="s">
        <v>661</v>
      </c>
      <c r="J193" s="4" t="s">
        <v>78</v>
      </c>
      <c r="K193" s="5" t="str">
        <f>HYPERLINK("https://media.licdn.com/dms/image/v2/D4E10AQGspgACwu0ABA/image-shrink_1280/B4EZ1zBm7uKEAk-/0/1775751296519/Open-Role-ORM-Team-Lead-7680-4320png?e=2147483647&amp;v=beta&amp;t=GluPkzgnUU1Srb6ECkrELFe5B4bWd1EcNswi7R5kHEg","View Creative")</f>
        <v>View Creative</v>
      </c>
      <c r="L193" s="4" t="s">
        <v>60</v>
      </c>
      <c r="M193" s="4" t="s">
        <v>61</v>
      </c>
      <c r="N193" s="4" t="s">
        <v>1605</v>
      </c>
      <c r="O193" s="4" t="s">
        <v>89</v>
      </c>
      <c r="P193" s="4" t="s">
        <v>1812</v>
      </c>
    </row>
    <row r="194">
      <c r="A194" s="4" t="s">
        <v>40</v>
      </c>
      <c r="B194" s="4" t="s">
        <v>40</v>
      </c>
      <c r="C194" s="4">
        <v>192.0</v>
      </c>
      <c r="D194" s="5" t="str">
        <f>HYPERLINK("https://www.linkedin.com/ad-library/detail/1246407424","Open Ad")</f>
        <v>Open Ad</v>
      </c>
      <c r="E194" s="4" t="s">
        <v>78</v>
      </c>
      <c r="F194" s="4" t="s">
        <v>1657</v>
      </c>
      <c r="G194" s="4" t="s">
        <v>1659</v>
      </c>
      <c r="H194" s="4" t="s">
        <v>49</v>
      </c>
      <c r="I194" s="4" t="s">
        <v>661</v>
      </c>
      <c r="J194" s="4" t="s">
        <v>78</v>
      </c>
      <c r="K194" s="5" t="str">
        <f>HYPERLINK("https://media.licdn.com/dms/image/v2/D4E10AQF2cGY8lW6I8A/image-shrink_1280/B4EZ1y7paqJcAc-/0/1775749733025/Open-Role-Paid-Search-Specialist-4320-4320png?e=2147483647&amp;v=beta&amp;t=kyCtNwjTzStFQzWdcklYPmul9bRpIGQ6fy7ZHct4aOA","View Creative")</f>
        <v>View Creative</v>
      </c>
      <c r="L194" s="4" t="s">
        <v>60</v>
      </c>
      <c r="M194" s="4" t="s">
        <v>61</v>
      </c>
      <c r="N194" s="4" t="s">
        <v>1605</v>
      </c>
      <c r="O194" s="4" t="s">
        <v>89</v>
      </c>
      <c r="P194" s="4" t="s">
        <v>1822</v>
      </c>
    </row>
    <row r="195">
      <c r="A195" s="4" t="s">
        <v>40</v>
      </c>
      <c r="B195" s="4" t="s">
        <v>40</v>
      </c>
      <c r="C195" s="4">
        <v>193.0</v>
      </c>
      <c r="D195" s="5" t="str">
        <f>HYPERLINK("https://www.linkedin.com/ad-library/detail/1233858414","Open Ad")</f>
        <v>Open Ad</v>
      </c>
      <c r="E195" s="4" t="s">
        <v>78</v>
      </c>
      <c r="F195" s="4" t="s">
        <v>1331</v>
      </c>
      <c r="G195" s="4" t="s">
        <v>1827</v>
      </c>
      <c r="H195" s="4" t="s">
        <v>49</v>
      </c>
      <c r="I195" s="4" t="s">
        <v>661</v>
      </c>
      <c r="J195" s="4" t="s">
        <v>78</v>
      </c>
      <c r="K195" s="5" t="str">
        <f>HYPERLINK("https://media.licdn.com/dms/image/v2/D4E10AQHw5FT50R-bqA/image-shrink_1280/B4EZ0q7.ogI4Ag-/0/1774541860226/Open-Role-ORM-Team-Lead-2430-4320png?e=2147483647&amp;v=beta&amp;t=5KLOuOAHHZyqDul7RmnIaoxo6Rx0QQT7lEobwxk60Os","View Creative")</f>
        <v>View Creative</v>
      </c>
      <c r="L195" s="4" t="s">
        <v>60</v>
      </c>
      <c r="M195" s="4" t="s">
        <v>61</v>
      </c>
      <c r="N195" s="4" t="s">
        <v>1732</v>
      </c>
      <c r="O195" s="4" t="s">
        <v>89</v>
      </c>
      <c r="P195" s="4" t="s">
        <v>1833</v>
      </c>
    </row>
    <row r="196">
      <c r="A196" s="4" t="s">
        <v>40</v>
      </c>
      <c r="B196" s="4" t="s">
        <v>40</v>
      </c>
      <c r="C196" s="4">
        <v>194.0</v>
      </c>
      <c r="D196" s="5" t="str">
        <f>HYPERLINK("https://www.linkedin.com/ad-library/detail/1233664184","Open Ad")</f>
        <v>Open Ad</v>
      </c>
      <c r="E196" s="4" t="s">
        <v>78</v>
      </c>
      <c r="F196" s="4" t="s">
        <v>728</v>
      </c>
      <c r="G196" s="4" t="s">
        <v>1841</v>
      </c>
      <c r="H196" s="4" t="s">
        <v>49</v>
      </c>
      <c r="I196" s="4" t="s">
        <v>873</v>
      </c>
      <c r="J196" s="4" t="s">
        <v>78</v>
      </c>
      <c r="K196" s="5" t="str">
        <f>HYPERLINK("https://media.licdn.com/dms/image/v2/D4E10AQFs2_lbyFr8uw/image-shrink_1280/B4EZ0qjN0rI8Ac-/0/1774535369470/Open-Role-VP-of-Product-Marketing-7680-4320png?e=2147483647&amp;v=beta&amp;t=-KOPJwmmpe4rWyMYgwzDrx7T71ZfPpZVCc1Un2Wj8LE","View Creative")</f>
        <v>View Creative</v>
      </c>
      <c r="L196" s="4" t="s">
        <v>60</v>
      </c>
      <c r="M196" s="4" t="s">
        <v>61</v>
      </c>
      <c r="N196" s="4" t="s">
        <v>1732</v>
      </c>
      <c r="O196" s="4" t="s">
        <v>89</v>
      </c>
      <c r="P196" s="4" t="s">
        <v>1845</v>
      </c>
    </row>
    <row r="197">
      <c r="A197" s="4" t="s">
        <v>40</v>
      </c>
      <c r="B197" s="4" t="s">
        <v>40</v>
      </c>
      <c r="C197" s="4">
        <v>195.0</v>
      </c>
      <c r="D197" s="5" t="str">
        <f>HYPERLINK("https://www.linkedin.com/ad-library/detail/1234598494","Open Ad")</f>
        <v>Open Ad</v>
      </c>
      <c r="E197" s="4" t="s">
        <v>78</v>
      </c>
      <c r="F197" s="4" t="s">
        <v>1657</v>
      </c>
      <c r="G197" s="4" t="s">
        <v>1849</v>
      </c>
      <c r="H197" s="4" t="s">
        <v>49</v>
      </c>
      <c r="I197" s="4" t="s">
        <v>661</v>
      </c>
      <c r="J197" s="4" t="s">
        <v>78</v>
      </c>
      <c r="K197" s="5" t="str">
        <f>HYPERLINK("https://media.licdn.com/dms/image/v2/D4E10AQHg40cSUlDgDA/image-shrink_1280/B4EZ0lQ6eUKIAc-/0/1774446685016/Open-Role-Senior-Penetration-Tester-4320-43202png?e=2147483647&amp;v=beta&amp;t=0ByVSyfvf6UZ9CYEGNHhNH_sxZ7Fm6VF3fCmEZtkIWc","View Creative")</f>
        <v>View Creative</v>
      </c>
      <c r="L197" s="4" t="s">
        <v>60</v>
      </c>
      <c r="M197" s="4" t="s">
        <v>61</v>
      </c>
      <c r="N197" s="4" t="s">
        <v>1852</v>
      </c>
      <c r="O197" s="4" t="s">
        <v>89</v>
      </c>
      <c r="P197" s="4" t="s">
        <v>1854</v>
      </c>
    </row>
    <row r="198">
      <c r="A198" s="4" t="s">
        <v>40</v>
      </c>
      <c r="B198" s="4" t="s">
        <v>40</v>
      </c>
      <c r="C198" s="4">
        <v>196.0</v>
      </c>
      <c r="D198" s="5" t="str">
        <f>HYPERLINK("https://www.linkedin.com/ad-library/detail/1233807974","Open Ad")</f>
        <v>Open Ad</v>
      </c>
      <c r="E198" s="4" t="s">
        <v>78</v>
      </c>
      <c r="F198" s="4" t="s">
        <v>756</v>
      </c>
      <c r="G198" s="4" t="s">
        <v>1857</v>
      </c>
      <c r="H198" s="4" t="s">
        <v>49</v>
      </c>
      <c r="I198" s="4" t="s">
        <v>1858</v>
      </c>
      <c r="J198" s="4" t="s">
        <v>78</v>
      </c>
      <c r="K198" s="5" t="str">
        <f>HYPERLINK("https://media.licdn.com/dms/image/v2/D4E10AQGrNj5AOHYYJQ/image-shrink_1280/B4EZ0LTpFmGwAc-/0/1774011193378/Open-Role-Enterprise-Security-Engineer-7680-4320png?e=2147483647&amp;v=beta&amp;t=cZZ4TP9nkYcsGndLQVZWOaSSWI5pIbP9FuiSfpGA51Q","View Creative")</f>
        <v>View Creative</v>
      </c>
      <c r="L198" s="4" t="s">
        <v>60</v>
      </c>
      <c r="M198" s="4" t="s">
        <v>61</v>
      </c>
      <c r="N198" s="4" t="s">
        <v>1852</v>
      </c>
      <c r="O198" s="4" t="s">
        <v>89</v>
      </c>
      <c r="P198" s="4" t="s">
        <v>1866</v>
      </c>
    </row>
    <row r="199">
      <c r="A199" s="4" t="s">
        <v>40</v>
      </c>
      <c r="B199" s="4" t="s">
        <v>40</v>
      </c>
      <c r="C199" s="4">
        <v>197.0</v>
      </c>
      <c r="D199" s="5" t="str">
        <f>HYPERLINK("https://www.linkedin.com/ad-library/detail/1233216924","Open Ad")</f>
        <v>Open Ad</v>
      </c>
      <c r="E199" s="4" t="s">
        <v>78</v>
      </c>
      <c r="F199" s="4" t="s">
        <v>1869</v>
      </c>
      <c r="G199" s="4" t="s">
        <v>1870</v>
      </c>
      <c r="H199" s="4" t="s">
        <v>49</v>
      </c>
      <c r="I199" s="4" t="s">
        <v>661</v>
      </c>
      <c r="J199" s="4" t="s">
        <v>78</v>
      </c>
      <c r="K199" s="5" t="str">
        <f>HYPERLINK("https://media.licdn.com/dms/image/v2/D4E10AQGA571xLTLkVg/image-shrink_1280/B4EZ0LjUFTIUAg-/0/1774015301519/Open-Role-Senior-Data-Engineer-7680-4320png?e=2147483647&amp;v=beta&amp;t=FJ-gmsMz16VCP-gZfx4hSKVZQ6PN6-DFoQ4NOIoz3Og","View Creative")</f>
        <v>View Creative</v>
      </c>
      <c r="L199" s="4" t="s">
        <v>60</v>
      </c>
      <c r="M199" s="4" t="s">
        <v>61</v>
      </c>
      <c r="N199" s="4" t="s">
        <v>1852</v>
      </c>
      <c r="O199" s="4" t="s">
        <v>89</v>
      </c>
      <c r="P199" s="4" t="s">
        <v>1874</v>
      </c>
    </row>
    <row r="200">
      <c r="A200" s="4" t="s">
        <v>40</v>
      </c>
      <c r="B200" s="4" t="s">
        <v>40</v>
      </c>
      <c r="C200" s="4">
        <v>198.0</v>
      </c>
      <c r="D200" s="5" t="str">
        <f>HYPERLINK("https://www.linkedin.com/ad-library/detail/1233463704","Open Ad")</f>
        <v>Open Ad</v>
      </c>
      <c r="E200" s="4" t="s">
        <v>78</v>
      </c>
      <c r="F200" s="4" t="s">
        <v>728</v>
      </c>
      <c r="G200" s="4" t="s">
        <v>1841</v>
      </c>
      <c r="H200" s="4" t="s">
        <v>49</v>
      </c>
      <c r="I200" s="4" t="s">
        <v>873</v>
      </c>
      <c r="J200" s="4" t="s">
        <v>78</v>
      </c>
      <c r="K200" s="5" t="str">
        <f>HYPERLINK("https://media.licdn.com/dms/image/v2/D4E10AQEvOyPftFLl7A/image-shrink_1280/B4EZ0qjNy0KIAc-/0/1774535368957/Open-Role-VP-of-Product-Marketing-4320-4320png?e=2147483647&amp;v=beta&amp;t=P6aGVEudXvKS3zn-TZBxgnXSfQKTnoonaMK8AotCkxc","View Creative")</f>
        <v>View Creative</v>
      </c>
      <c r="L200" s="4" t="s">
        <v>60</v>
      </c>
      <c r="M200" s="4" t="s">
        <v>61</v>
      </c>
      <c r="N200" s="4" t="s">
        <v>1881</v>
      </c>
      <c r="O200" s="4" t="s">
        <v>89</v>
      </c>
      <c r="P200" s="4" t="s">
        <v>1883</v>
      </c>
    </row>
    <row r="201">
      <c r="A201" s="4" t="s">
        <v>40</v>
      </c>
      <c r="B201" s="4" t="s">
        <v>40</v>
      </c>
      <c r="C201" s="4">
        <v>199.0</v>
      </c>
      <c r="D201" s="5" t="str">
        <f>HYPERLINK("https://www.linkedin.com/ad-library/detail/1234105334","Open Ad")</f>
        <v>Open Ad</v>
      </c>
      <c r="E201" s="4" t="s">
        <v>78</v>
      </c>
      <c r="F201" s="4" t="s">
        <v>1657</v>
      </c>
      <c r="G201" s="4" t="s">
        <v>1849</v>
      </c>
      <c r="H201" s="4" t="s">
        <v>49</v>
      </c>
      <c r="I201" s="4" t="s">
        <v>661</v>
      </c>
      <c r="J201" s="4" t="s">
        <v>78</v>
      </c>
      <c r="K201" s="5" t="str">
        <f>HYPERLINK("https://media.licdn.com/dms/image/v2/D4E10AQGIB6Lk__23fA/image-shrink_1280/B4EZ0lRjepHQAg-/0/1774446852817/Open-Role-Senior-Penetration-Tester-2430-43202png?e=2147483647&amp;v=beta&amp;t=A4IF41SuOUi_kyKcxefs0VcDaErFCg4IrHP1bj7FAc0","View Creative")</f>
        <v>View Creative</v>
      </c>
      <c r="L201" s="4" t="s">
        <v>60</v>
      </c>
      <c r="M201" s="4" t="s">
        <v>61</v>
      </c>
      <c r="N201" s="4" t="s">
        <v>1852</v>
      </c>
      <c r="O201" s="4" t="s">
        <v>89</v>
      </c>
      <c r="P201" s="4" t="s">
        <v>1888</v>
      </c>
    </row>
    <row r="202">
      <c r="A202" s="4" t="s">
        <v>40</v>
      </c>
      <c r="B202" s="4" t="s">
        <v>40</v>
      </c>
      <c r="C202" s="4">
        <v>200.0</v>
      </c>
      <c r="D202" s="5" t="str">
        <f>HYPERLINK("https://www.linkedin.com/ad-library/detail/1233168804","Open Ad")</f>
        <v>Open Ad</v>
      </c>
      <c r="E202" s="4" t="s">
        <v>78</v>
      </c>
      <c r="F202" s="4" t="s">
        <v>1331</v>
      </c>
      <c r="G202" s="4" t="s">
        <v>1827</v>
      </c>
      <c r="H202" s="4" t="s">
        <v>49</v>
      </c>
      <c r="I202" s="4" t="s">
        <v>661</v>
      </c>
      <c r="J202" s="4" t="s">
        <v>78</v>
      </c>
      <c r="K202" s="5" t="str">
        <f>HYPERLINK("https://media.licdn.com/dms/image/v2/D4E10AQGPu0f-WS47RQ/image-shrink_1280/B4EZ0q77E7IkAg-/0/1774541846168/Open-Role-ORM-Team-Lead-7680-4320png?e=2147483647&amp;v=beta&amp;t=1dlB1F-eYNfNBp2TflsYBBFjTPYX6u9iPIGHT-K00sE","View Creative")</f>
        <v>View Creative</v>
      </c>
      <c r="L202" s="4" t="s">
        <v>60</v>
      </c>
      <c r="M202" s="4" t="s">
        <v>61</v>
      </c>
      <c r="N202" s="4" t="s">
        <v>1898</v>
      </c>
      <c r="O202" s="4" t="s">
        <v>89</v>
      </c>
      <c r="P202" s="4" t="s">
        <v>1899</v>
      </c>
    </row>
    <row r="203">
      <c r="A203" s="4" t="s">
        <v>40</v>
      </c>
      <c r="B203" s="4" t="s">
        <v>40</v>
      </c>
      <c r="C203" s="4">
        <v>201.0</v>
      </c>
      <c r="D203" s="5" t="str">
        <f>HYPERLINK("https://www.linkedin.com/ad-library/detail/1233665434","Open Ad")</f>
        <v>Open Ad</v>
      </c>
      <c r="E203" s="4" t="s">
        <v>78</v>
      </c>
      <c r="F203" s="4" t="s">
        <v>643</v>
      </c>
      <c r="G203" s="4" t="s">
        <v>1902</v>
      </c>
      <c r="H203" s="4" t="s">
        <v>49</v>
      </c>
      <c r="I203" s="4" t="s">
        <v>661</v>
      </c>
      <c r="J203" s="4" t="s">
        <v>78</v>
      </c>
      <c r="K203" s="5" t="str">
        <f>HYPERLINK("https://media.licdn.com/dms/image/v2/D4E10AQHWwR0Cg-ae7g/image-shrink_1280/B4EZ0q2sFHHQAc-/0/1774540473719/Open-Role-HR-Analyst-4320-4320png?e=2147483647&amp;v=beta&amp;t=kkYE2NKw2m3H5ZZHidwmd3NKORv534-r0RQ2xO4RTcM","View Creative")</f>
        <v>View Creative</v>
      </c>
      <c r="L203" s="4" t="s">
        <v>106</v>
      </c>
      <c r="M203" s="4" t="s">
        <v>61</v>
      </c>
      <c r="O203" s="4" t="s">
        <v>89</v>
      </c>
      <c r="P203" s="4" t="s">
        <v>1909</v>
      </c>
    </row>
    <row r="204">
      <c r="A204" s="4" t="s">
        <v>40</v>
      </c>
      <c r="B204" s="4" t="s">
        <v>40</v>
      </c>
      <c r="C204" s="4">
        <v>202.0</v>
      </c>
      <c r="D204" s="5" t="str">
        <f>HYPERLINK("https://www.linkedin.com/ad-library/detail/1234894704","Open Ad")</f>
        <v>Open Ad</v>
      </c>
      <c r="E204" s="4" t="s">
        <v>78</v>
      </c>
      <c r="F204" s="4" t="s">
        <v>1869</v>
      </c>
      <c r="G204" s="4" t="s">
        <v>1870</v>
      </c>
      <c r="H204" s="4" t="s">
        <v>49</v>
      </c>
      <c r="I204" s="4" t="s">
        <v>661</v>
      </c>
      <c r="J204" s="4" t="s">
        <v>78</v>
      </c>
      <c r="K204" s="5" t="str">
        <f>HYPERLINK("https://media.licdn.com/dms/image/v2/D4E10AQE0mCBizdlZcg/image-shrink_1280/B4EZ0LjT9KHUAc-/0/1774015300395/Open-Role-Senior-Data-Engineer-4320-4320png?e=2147483647&amp;v=beta&amp;t=GcZ8vZl_E4bTpk6cBlFsOiJJRgsv5fD39YA8yQ8UrRQ","View Creative")</f>
        <v>View Creative</v>
      </c>
      <c r="L204" s="4" t="s">
        <v>60</v>
      </c>
      <c r="M204" s="4" t="s">
        <v>61</v>
      </c>
      <c r="N204" s="4" t="s">
        <v>1852</v>
      </c>
      <c r="O204" s="4" t="s">
        <v>89</v>
      </c>
      <c r="P204" s="4" t="s">
        <v>1915</v>
      </c>
    </row>
    <row r="205">
      <c r="A205" s="4" t="s">
        <v>40</v>
      </c>
      <c r="B205" s="4" t="s">
        <v>40</v>
      </c>
      <c r="C205" s="4">
        <v>203.0</v>
      </c>
      <c r="D205" s="5" t="str">
        <f>HYPERLINK("https://www.linkedin.com/ad-library/detail/1234402364","Open Ad")</f>
        <v>Open Ad</v>
      </c>
      <c r="E205" s="4" t="s">
        <v>78</v>
      </c>
      <c r="F205" s="4" t="s">
        <v>1657</v>
      </c>
      <c r="G205" s="4" t="s">
        <v>1849</v>
      </c>
      <c r="H205" s="4" t="s">
        <v>49</v>
      </c>
      <c r="I205" s="4" t="s">
        <v>661</v>
      </c>
      <c r="J205" s="4" t="s">
        <v>78</v>
      </c>
      <c r="K205" s="5" t="str">
        <f>HYPERLINK("https://media.licdn.com/dms/image/v2/D4E10AQHTSwSc44QrBg/image-shrink_1280/B4EZ0lRS1FGwAc-/0/1774446786065/Open-Role-Senior-Penetration-Tester-7680-43203png?e=2147483647&amp;v=beta&amp;t=Uf3JrlXzk5uwjf9koXXr3nXNjnJZlJ6142yViE8MCWw","View Creative")</f>
        <v>View Creative</v>
      </c>
      <c r="L205" s="4" t="s">
        <v>60</v>
      </c>
      <c r="M205" s="4" t="s">
        <v>61</v>
      </c>
      <c r="N205" s="4" t="s">
        <v>1852</v>
      </c>
      <c r="O205" s="4" t="s">
        <v>89</v>
      </c>
      <c r="P205" s="4" t="s">
        <v>1924</v>
      </c>
    </row>
    <row r="206">
      <c r="A206" s="4" t="s">
        <v>40</v>
      </c>
      <c r="B206" s="4" t="s">
        <v>40</v>
      </c>
      <c r="C206" s="4">
        <v>204.0</v>
      </c>
      <c r="D206" s="5" t="str">
        <f>HYPERLINK("https://www.linkedin.com/ad-library/detail/1233414134","Open Ad")</f>
        <v>Open Ad</v>
      </c>
      <c r="E206" s="4" t="s">
        <v>78</v>
      </c>
      <c r="F206" s="4" t="s">
        <v>1928</v>
      </c>
      <c r="G206" s="4" t="s">
        <v>1928</v>
      </c>
      <c r="H206" s="4" t="s">
        <v>49</v>
      </c>
      <c r="I206" s="4" t="s">
        <v>661</v>
      </c>
      <c r="J206" s="4" t="s">
        <v>78</v>
      </c>
      <c r="K206" s="5" t="str">
        <f>HYPERLINK("https://media.licdn.com/dms/image/v2/D4E10AQEcw-0E25uflA/image-shrink_1280/B4EZ0LFpMjI4Ac-/0/1774007523111/Open-Role-Programmatic-Display-Lead-4320-4320png?e=2147483647&amp;v=beta&amp;t=vuXujgTmZoMFzptBzbFILQQ6N2eYJvpMAWT4EzY3koM","View Creative")</f>
        <v>View Creative</v>
      </c>
      <c r="L206" s="4" t="s">
        <v>60</v>
      </c>
      <c r="M206" s="4" t="s">
        <v>61</v>
      </c>
      <c r="N206" s="4" t="s">
        <v>1852</v>
      </c>
      <c r="O206" s="4" t="s">
        <v>89</v>
      </c>
      <c r="P206" s="4" t="s">
        <v>1931</v>
      </c>
    </row>
    <row r="207">
      <c r="A207" s="4" t="s">
        <v>40</v>
      </c>
      <c r="B207" s="4" t="s">
        <v>40</v>
      </c>
      <c r="C207" s="4">
        <v>205.0</v>
      </c>
      <c r="D207" s="5" t="str">
        <f>HYPERLINK("https://www.linkedin.com/ad-library/detail/1235733624","Open Ad")</f>
        <v>Open Ad</v>
      </c>
      <c r="E207" s="4" t="s">
        <v>78</v>
      </c>
      <c r="F207" s="4" t="s">
        <v>643</v>
      </c>
      <c r="G207" s="4" t="s">
        <v>1902</v>
      </c>
      <c r="H207" s="4" t="s">
        <v>49</v>
      </c>
      <c r="I207" s="4" t="s">
        <v>661</v>
      </c>
      <c r="J207" s="4" t="s">
        <v>78</v>
      </c>
      <c r="K207" s="5" t="str">
        <f>HYPERLINK("https://media.licdn.com/dms/image/v2/D4E10AQE9bsjVm0Q_Cg/image-shrink_1280/B4EZ0q2f.IIkAc-/0/1774540423934/Open-Role-HR-Analyst-2430-4320png?e=2147483647&amp;v=beta&amp;t=VZQXW7xwLpPjJWkYuO62QJDnpGfGgjG2j5I9PsuIA-c","View Creative")</f>
        <v>View Creative</v>
      </c>
      <c r="L207" s="4" t="s">
        <v>106</v>
      </c>
      <c r="M207" s="4" t="s">
        <v>61</v>
      </c>
      <c r="O207" s="4" t="s">
        <v>89</v>
      </c>
      <c r="P207" s="4" t="s">
        <v>1940</v>
      </c>
    </row>
    <row r="208">
      <c r="A208" s="4" t="s">
        <v>40</v>
      </c>
      <c r="B208" s="4" t="s">
        <v>40</v>
      </c>
      <c r="C208" s="4">
        <v>206.0</v>
      </c>
      <c r="D208" s="5" t="str">
        <f>HYPERLINK("https://www.linkedin.com/ad-library/detail/1235733974","Open Ad")</f>
        <v>Open Ad</v>
      </c>
      <c r="E208" s="4" t="s">
        <v>78</v>
      </c>
      <c r="F208" s="4" t="s">
        <v>1331</v>
      </c>
      <c r="G208" s="4" t="s">
        <v>1827</v>
      </c>
      <c r="H208" s="4" t="s">
        <v>49</v>
      </c>
      <c r="I208" s="4" t="s">
        <v>661</v>
      </c>
      <c r="J208" s="4" t="s">
        <v>78</v>
      </c>
      <c r="K208" s="5" t="str">
        <f>HYPERLINK("https://media.licdn.com/dms/image/v2/D4E10AQEWspJNuXzi2A/image-shrink_1280/B4EZ0q71QmJcAc-/0/1774541822048/Open-Role-ORM-Team-Lead-4320-4320png?e=2147483647&amp;v=beta&amp;t=--9Ep_IzWWWlSHaCvwfwY4yjEdsFIjeauvgPY-Mf0RE","View Creative")</f>
        <v>View Creative</v>
      </c>
      <c r="L208" s="4" t="s">
        <v>60</v>
      </c>
      <c r="M208" s="4" t="s">
        <v>61</v>
      </c>
      <c r="N208" s="4" t="s">
        <v>1677</v>
      </c>
      <c r="O208" s="4" t="s">
        <v>89</v>
      </c>
      <c r="P208" s="4" t="s">
        <v>1948</v>
      </c>
    </row>
    <row r="209">
      <c r="A209" s="4" t="s">
        <v>40</v>
      </c>
      <c r="B209" s="4" t="s">
        <v>40</v>
      </c>
      <c r="C209" s="4">
        <v>207.0</v>
      </c>
      <c r="D209" s="5" t="str">
        <f>HYPERLINK("https://www.linkedin.com/ad-library/detail/1233515294","Open Ad")</f>
        <v>Open Ad</v>
      </c>
      <c r="E209" s="4" t="s">
        <v>78</v>
      </c>
      <c r="F209" s="4" t="s">
        <v>1869</v>
      </c>
      <c r="G209" s="4" t="s">
        <v>1870</v>
      </c>
      <c r="H209" s="4" t="s">
        <v>49</v>
      </c>
      <c r="I209" s="4" t="s">
        <v>661</v>
      </c>
      <c r="J209" s="4" t="s">
        <v>78</v>
      </c>
      <c r="K209" s="5" t="str">
        <f>HYPERLINK("https://media.licdn.com/dms/image/v2/D4E10AQEUuYFFuwDp7w/image-shrink_1280/B4EZ0LjT1uHgAc-/0/1774015299704/Open-Role-Senior-Data-Engineer-2430-4320png?e=2147483647&amp;v=beta&amp;t=4MMhHxkoBo7AmRDoucszSnAyuQQ_E5odqKsj-izOFLE","View Creative")</f>
        <v>View Creative</v>
      </c>
      <c r="L209" s="4" t="s">
        <v>60</v>
      </c>
      <c r="M209" s="4" t="s">
        <v>61</v>
      </c>
      <c r="N209" s="4" t="s">
        <v>1852</v>
      </c>
      <c r="O209" s="4" t="s">
        <v>89</v>
      </c>
      <c r="P209" s="4" t="s">
        <v>1954</v>
      </c>
    </row>
    <row r="210">
      <c r="A210" s="4" t="s">
        <v>40</v>
      </c>
      <c r="B210" s="4" t="s">
        <v>40</v>
      </c>
      <c r="C210" s="4">
        <v>208.0</v>
      </c>
      <c r="D210" s="5" t="str">
        <f>HYPERLINK("https://www.linkedin.com/ad-library/detail/1235142514","Open Ad")</f>
        <v>Open Ad</v>
      </c>
      <c r="E210" s="4" t="s">
        <v>78</v>
      </c>
      <c r="F210" s="4" t="s">
        <v>1671</v>
      </c>
      <c r="G210" s="4" t="s">
        <v>1672</v>
      </c>
      <c r="H210" s="4" t="s">
        <v>49</v>
      </c>
      <c r="I210" s="4" t="s">
        <v>661</v>
      </c>
      <c r="J210" s="4" t="s">
        <v>78</v>
      </c>
      <c r="K210" s="5" t="str">
        <f>HYPERLINK("https://media.licdn.com/dms/image/v2/D4E10AQEioTf7V-F51A/image-shrink_1280/B4EZ0rAUogGkAg-/0/1774542998784/Open-Role-Data-Engineer-2430-4320png?e=2147483647&amp;v=beta&amp;t=KDEhR7yYwYsg-WU3_O9CFfwHCYMY8vccGIODfFGjkDo","View Creative")</f>
        <v>View Creative</v>
      </c>
      <c r="L210" s="4" t="s">
        <v>60</v>
      </c>
      <c r="M210" s="4" t="s">
        <v>61</v>
      </c>
      <c r="N210" s="4" t="s">
        <v>1677</v>
      </c>
      <c r="O210" s="4" t="s">
        <v>89</v>
      </c>
      <c r="P210" s="4" t="s">
        <v>1964</v>
      </c>
    </row>
    <row r="211">
      <c r="A211" s="4" t="s">
        <v>40</v>
      </c>
      <c r="B211" s="4" t="s">
        <v>40</v>
      </c>
      <c r="C211" s="4">
        <v>209.0</v>
      </c>
      <c r="D211" s="5" t="str">
        <f>HYPERLINK("https://www.linkedin.com/ad-library/detail/1235533784","Open Ad")</f>
        <v>Open Ad</v>
      </c>
      <c r="E211" s="4" t="s">
        <v>78</v>
      </c>
      <c r="F211" s="4" t="s">
        <v>756</v>
      </c>
      <c r="G211" s="4" t="s">
        <v>1965</v>
      </c>
      <c r="H211" s="4" t="s">
        <v>49</v>
      </c>
      <c r="I211" s="4" t="s">
        <v>661</v>
      </c>
      <c r="J211" s="4" t="s">
        <v>78</v>
      </c>
      <c r="K211" s="5" t="str">
        <f>HYPERLINK("https://media.licdn.com/dms/image/v2/D4E10AQGXutjGerJc9w/image-shrink_1280/B4EZ0q5yDlGkAc-/0/1774541285086/Open-Role-Insights-Analyst-7680-4320png?e=2147483647&amp;v=beta&amp;t=V75dsXUvoeWoeXHvMA0pUG0EGIwUgiRUQFd979wSz7Y","View Creative")</f>
        <v>View Creative</v>
      </c>
      <c r="L211" s="4" t="s">
        <v>60</v>
      </c>
      <c r="M211" s="4" t="s">
        <v>61</v>
      </c>
      <c r="N211" s="4" t="s">
        <v>1677</v>
      </c>
      <c r="O211" s="4" t="s">
        <v>89</v>
      </c>
      <c r="P211" s="4" t="s">
        <v>1970</v>
      </c>
    </row>
    <row r="212">
      <c r="A212" s="4" t="s">
        <v>40</v>
      </c>
      <c r="B212" s="4" t="s">
        <v>40</v>
      </c>
      <c r="C212" s="4">
        <v>210.0</v>
      </c>
      <c r="D212" s="5" t="str">
        <f>HYPERLINK("https://www.linkedin.com/ad-library/detail/1235437684","Open Ad")</f>
        <v>Open Ad</v>
      </c>
      <c r="E212" s="4" t="s">
        <v>78</v>
      </c>
      <c r="F212" s="4" t="s">
        <v>756</v>
      </c>
      <c r="G212" s="4" t="s">
        <v>1965</v>
      </c>
      <c r="H212" s="4" t="s">
        <v>49</v>
      </c>
      <c r="I212" s="4" t="s">
        <v>661</v>
      </c>
      <c r="J212" s="4" t="s">
        <v>78</v>
      </c>
      <c r="K212" s="5" t="str">
        <f>HYPERLINK("https://media.licdn.com/dms/image/v2/D4E10AQGU9ctmnkJctg/image-shrink_1280/B4EZ0q5gCcIUAc-/0/1774541210744/Open-Role-Insights-Analyst-4320-4320png?e=2147483647&amp;v=beta&amp;t=611s9Xa5KrUFC4r9ZkwvGWECTCNcz2MxD4Dug7e9GoQ","View Creative")</f>
        <v>View Creative</v>
      </c>
      <c r="L212" s="4" t="s">
        <v>60</v>
      </c>
      <c r="M212" s="4" t="s">
        <v>61</v>
      </c>
      <c r="N212" s="4" t="s">
        <v>1677</v>
      </c>
      <c r="O212" s="4" t="s">
        <v>89</v>
      </c>
      <c r="P212" s="4" t="s">
        <v>1981</v>
      </c>
    </row>
    <row r="213">
      <c r="A213" s="4" t="s">
        <v>40</v>
      </c>
      <c r="B213" s="4" t="s">
        <v>40</v>
      </c>
      <c r="C213" s="4">
        <v>211.0</v>
      </c>
      <c r="D213" s="5" t="str">
        <f>HYPERLINK("https://www.linkedin.com/ad-library/detail/1235437674","Open Ad")</f>
        <v>Open Ad</v>
      </c>
      <c r="E213" s="4" t="s">
        <v>78</v>
      </c>
      <c r="F213" s="4" t="s">
        <v>756</v>
      </c>
      <c r="G213" s="4" t="s">
        <v>1965</v>
      </c>
      <c r="H213" s="4" t="s">
        <v>49</v>
      </c>
      <c r="I213" s="4" t="s">
        <v>661</v>
      </c>
      <c r="J213" s="4" t="s">
        <v>78</v>
      </c>
      <c r="K213" s="5" t="str">
        <f>HYPERLINK("https://media.licdn.com/dms/image/v2/D4E10AQFeTsOQhzpliQ/image-shrink_1280/B4EZ0q5f25HAAc-/0/1774541209658/Open-Role-Insights-Analyst-2430-4320png?e=2147483647&amp;v=beta&amp;t=RNHOt22mW65QDZmbq7XN_WkfLp5CfD-KKDQMioLHPtg","View Creative")</f>
        <v>View Creative</v>
      </c>
      <c r="L213" s="4" t="s">
        <v>60</v>
      </c>
      <c r="M213" s="4" t="s">
        <v>61</v>
      </c>
      <c r="N213" s="4" t="s">
        <v>1677</v>
      </c>
      <c r="O213" s="4" t="s">
        <v>89</v>
      </c>
      <c r="P213" s="4" t="s">
        <v>1986</v>
      </c>
    </row>
    <row r="214">
      <c r="A214" s="4" t="s">
        <v>40</v>
      </c>
      <c r="B214" s="4" t="s">
        <v>40</v>
      </c>
      <c r="C214" s="4">
        <v>212.0</v>
      </c>
      <c r="D214" s="5" t="str">
        <f>HYPERLINK("https://www.linkedin.com/ad-library/detail/1233021904","Open Ad")</f>
        <v>Open Ad</v>
      </c>
      <c r="E214" s="4" t="s">
        <v>78</v>
      </c>
      <c r="F214" s="4" t="s">
        <v>1928</v>
      </c>
      <c r="G214" s="4" t="s">
        <v>1928</v>
      </c>
      <c r="H214" s="4" t="s">
        <v>49</v>
      </c>
      <c r="I214" s="4" t="s">
        <v>661</v>
      </c>
      <c r="J214" s="4" t="s">
        <v>78</v>
      </c>
      <c r="K214" s="5" t="str">
        <f>HYPERLINK("https://media.licdn.com/dms/image/v2/D4E10AQH0oPod2zsztQ/image-shrink_1280/B4EZ0LFpKPI8Ag-/0/1774007522770/Open-Role-Programmatic-Display-Lead-2430-4320png?e=2147483647&amp;v=beta&amp;t=acky_o9BH_cuClW1gJLDl5LruscTSD6E8HekTIOqIuE","View Creative")</f>
        <v>View Creative</v>
      </c>
      <c r="L214" s="4" t="s">
        <v>60</v>
      </c>
      <c r="M214" s="4" t="s">
        <v>61</v>
      </c>
      <c r="N214" s="4" t="s">
        <v>1852</v>
      </c>
      <c r="O214" s="4" t="s">
        <v>89</v>
      </c>
      <c r="P214" s="4" t="s">
        <v>1995</v>
      </c>
    </row>
    <row r="215">
      <c r="A215" s="4" t="s">
        <v>40</v>
      </c>
      <c r="B215" s="4" t="s">
        <v>40</v>
      </c>
      <c r="C215" s="4">
        <v>213.0</v>
      </c>
      <c r="D215" s="5" t="str">
        <f>HYPERLINK("https://www.linkedin.com/ad-library/detail/1235045684","Open Ad")</f>
        <v>Open Ad</v>
      </c>
      <c r="E215" s="4" t="s">
        <v>78</v>
      </c>
      <c r="F215" s="4" t="s">
        <v>643</v>
      </c>
      <c r="G215" s="4" t="s">
        <v>1902</v>
      </c>
      <c r="H215" s="4" t="s">
        <v>49</v>
      </c>
      <c r="I215" s="4" t="s">
        <v>661</v>
      </c>
      <c r="J215" s="4" t="s">
        <v>78</v>
      </c>
      <c r="K215" s="5" t="str">
        <f>HYPERLINK("https://media.licdn.com/dms/image/v2/D4E10AQErr05h0BABIw/image-shrink_1280/B4EZ0q2gSvI4Ac-/0/1774540425950/Open-Role-HR-Analyst-7680-4320png?e=2147483647&amp;v=beta&amp;t=sYvtjFDU_97n809Tpcm58BumZuaSHwum8tQUUSqeCQE","View Creative")</f>
        <v>View Creative</v>
      </c>
      <c r="L215" s="4" t="s">
        <v>106</v>
      </c>
      <c r="M215" s="4" t="s">
        <v>61</v>
      </c>
      <c r="O215" s="4" t="s">
        <v>89</v>
      </c>
      <c r="P215" s="4" t="s">
        <v>2003</v>
      </c>
    </row>
    <row r="216">
      <c r="A216" s="4" t="s">
        <v>40</v>
      </c>
      <c r="B216" s="4" t="s">
        <v>40</v>
      </c>
      <c r="C216" s="4">
        <v>214.0</v>
      </c>
      <c r="D216" s="5" t="str">
        <f>HYPERLINK("https://www.linkedin.com/ad-library/detail/1235044364","Open Ad")</f>
        <v>Open Ad</v>
      </c>
      <c r="E216" s="4" t="s">
        <v>78</v>
      </c>
      <c r="F216" s="4" t="s">
        <v>728</v>
      </c>
      <c r="G216" s="4" t="s">
        <v>1841</v>
      </c>
      <c r="H216" s="4" t="s">
        <v>49</v>
      </c>
      <c r="I216" s="4" t="s">
        <v>873</v>
      </c>
      <c r="J216" s="4" t="s">
        <v>78</v>
      </c>
      <c r="K216" s="5" t="str">
        <f>HYPERLINK("https://media.licdn.com/dms/image/v2/D4E10AQFGGxhnaaJkTg/image-shrink_1280/B4EZ0qjN7eIQAc-/0/1774535369211/Open-Role-VP-of-Product-Marketing-2430-4320png?e=2147483647&amp;v=beta&amp;t=6KF2u9YNkVsJjL-TzbWONKrv327OqDnlrlQMrDV32wk","View Creative")</f>
        <v>View Creative</v>
      </c>
      <c r="L216" s="4" t="s">
        <v>60</v>
      </c>
      <c r="M216" s="4" t="s">
        <v>61</v>
      </c>
      <c r="N216" s="4" t="s">
        <v>1732</v>
      </c>
      <c r="O216" s="4" t="s">
        <v>89</v>
      </c>
      <c r="P216" s="4" t="s">
        <v>2007</v>
      </c>
    </row>
    <row r="217">
      <c r="A217" s="4" t="s">
        <v>40</v>
      </c>
      <c r="B217" s="4" t="s">
        <v>40</v>
      </c>
      <c r="C217" s="4">
        <v>215.0</v>
      </c>
      <c r="D217" s="5" t="str">
        <f>HYPERLINK("https://www.linkedin.com/ad-library/detail/1235683514","Open Ad")</f>
        <v>Open Ad</v>
      </c>
      <c r="E217" s="4" t="s">
        <v>78</v>
      </c>
      <c r="F217" s="4" t="s">
        <v>756</v>
      </c>
      <c r="G217" s="4" t="s">
        <v>1857</v>
      </c>
      <c r="H217" s="4" t="s">
        <v>49</v>
      </c>
      <c r="I217" s="4" t="s">
        <v>1858</v>
      </c>
      <c r="J217" s="4" t="s">
        <v>78</v>
      </c>
      <c r="K217" s="5" t="str">
        <f>HYPERLINK("https://media.licdn.com/dms/image/v2/D4E10AQGoFvDkvuKWwA/image-shrink_1280/B4EZ0LTpB3I8Ac-/0/1774011192137/Open-Role-Enterprise-Security-Engineer-2430-4320png?e=2147483647&amp;v=beta&amp;t=HsyIIhALUpM3PZVasTBEtTXiFru_pZz1nP0rOZurGAU","View Creative")</f>
        <v>View Creative</v>
      </c>
      <c r="L217" s="4" t="s">
        <v>60</v>
      </c>
      <c r="M217" s="4" t="s">
        <v>61</v>
      </c>
      <c r="N217" s="4" t="s">
        <v>1852</v>
      </c>
      <c r="O217" s="4" t="s">
        <v>89</v>
      </c>
      <c r="P217" s="4" t="s">
        <v>2018</v>
      </c>
    </row>
    <row r="218">
      <c r="A218" s="4" t="s">
        <v>40</v>
      </c>
      <c r="B218" s="4" t="s">
        <v>40</v>
      </c>
      <c r="C218" s="4">
        <v>216.0</v>
      </c>
      <c r="D218" s="5" t="str">
        <f>HYPERLINK("https://www.linkedin.com/ad-library/detail/1235191294","Open Ad")</f>
        <v>Open Ad</v>
      </c>
      <c r="E218" s="4" t="s">
        <v>78</v>
      </c>
      <c r="F218" s="4" t="s">
        <v>756</v>
      </c>
      <c r="G218" s="4" t="s">
        <v>1857</v>
      </c>
      <c r="H218" s="4" t="s">
        <v>49</v>
      </c>
      <c r="I218" s="4" t="s">
        <v>1858</v>
      </c>
      <c r="J218" s="4" t="s">
        <v>78</v>
      </c>
      <c r="K218" s="5" t="str">
        <f>HYPERLINK("https://media.licdn.com/dms/image/v2/D4E10AQHo0GliK72N8g/image-shrink_1280/B4EZ0LTpFeJUAc-/0/1774011192698/Open-Role-Enterprise-Security-Engineer-4320-4320png?e=2147483647&amp;v=beta&amp;t=MbhjZgbcMess3_Rh9Ji5HO0RIC69i6JJgQ_6LXza9wE","View Creative")</f>
        <v>View Creative</v>
      </c>
      <c r="L218" s="4" t="s">
        <v>60</v>
      </c>
      <c r="M218" s="4" t="s">
        <v>61</v>
      </c>
      <c r="N218" s="4" t="s">
        <v>1852</v>
      </c>
      <c r="O218" s="4" t="s">
        <v>89</v>
      </c>
      <c r="P218" s="4" t="s">
        <v>2026</v>
      </c>
    </row>
    <row r="219">
      <c r="A219" s="4" t="s">
        <v>40</v>
      </c>
      <c r="B219" s="4" t="s">
        <v>40</v>
      </c>
      <c r="C219" s="4">
        <v>217.0</v>
      </c>
      <c r="D219" s="5" t="str">
        <f>HYPERLINK("https://www.linkedin.com/ad-library/detail/1235384224","Open Ad")</f>
        <v>Open Ad</v>
      </c>
      <c r="E219" s="4" t="s">
        <v>78</v>
      </c>
      <c r="F219" s="4" t="s">
        <v>2031</v>
      </c>
      <c r="G219" s="4" t="s">
        <v>436</v>
      </c>
      <c r="H219" s="4" t="s">
        <v>49</v>
      </c>
      <c r="I219" s="4" t="s">
        <v>166</v>
      </c>
      <c r="J219" s="4" t="s">
        <v>78</v>
      </c>
      <c r="K219" s="5" t="str">
        <f>HYPERLINK("https://media.licdn.com/dms/image/v2/D4E10AQHh-sW-Tkiq3w/image-shrink_1280/B4EZ0KhviYG8Ao-/0/1773998111322/1200x1200png?e=2147483647&amp;v=beta&amp;t=y-9d2AUAUbcdQrZqbXY_KrUK0HWwEMuP0ihuKaw_UyQ","View Creative")</f>
        <v>View Creative</v>
      </c>
      <c r="L219" s="4" t="s">
        <v>60</v>
      </c>
      <c r="M219" s="4" t="s">
        <v>61</v>
      </c>
      <c r="N219" s="4" t="s">
        <v>2037</v>
      </c>
      <c r="O219" s="4" t="s">
        <v>89</v>
      </c>
      <c r="P219" s="4" t="s">
        <v>2038</v>
      </c>
    </row>
    <row r="220">
      <c r="A220" s="4" t="s">
        <v>40</v>
      </c>
      <c r="B220" s="4" t="s">
        <v>40</v>
      </c>
      <c r="C220" s="4">
        <v>218.0</v>
      </c>
      <c r="D220" s="5" t="str">
        <f>HYPERLINK("https://www.linkedin.com/ad-library/detail/1234792144","Open Ad")</f>
        <v>Open Ad</v>
      </c>
      <c r="E220" s="4" t="s">
        <v>78</v>
      </c>
      <c r="F220" s="4" t="s">
        <v>2031</v>
      </c>
      <c r="G220" s="4" t="s">
        <v>436</v>
      </c>
      <c r="H220" s="4" t="s">
        <v>49</v>
      </c>
      <c r="I220" s="4" t="s">
        <v>166</v>
      </c>
      <c r="J220" s="4" t="s">
        <v>78</v>
      </c>
      <c r="K220" s="5" t="str">
        <f>HYPERLINK("https://media.licdn.com/dms/image/v2/D4E10AQGXTKOK5_ATIw/image-shrink_1280/B4EZ0Kh_beHsAc-/0/1773998176446/1200x1200png?e=2147483647&amp;v=beta&amp;t=QG8pePVFrJNYrYPxiwuwxj59OcA2CPL_YEMAY4ru4Ac","View Creative")</f>
        <v>View Creative</v>
      </c>
      <c r="L220" s="4" t="s">
        <v>60</v>
      </c>
      <c r="M220" s="4" t="s">
        <v>61</v>
      </c>
      <c r="N220" s="4" t="s">
        <v>2037</v>
      </c>
      <c r="O220" s="4" t="s">
        <v>89</v>
      </c>
      <c r="P220" s="4" t="s">
        <v>2050</v>
      </c>
    </row>
    <row r="221">
      <c r="A221" s="4" t="s">
        <v>40</v>
      </c>
      <c r="B221" s="4" t="s">
        <v>40</v>
      </c>
      <c r="C221" s="4">
        <v>219.0</v>
      </c>
      <c r="D221" s="5" t="str">
        <f>HYPERLINK("https://www.linkedin.com/ad-library/detail/1231413674","Open Ad")</f>
        <v>Open Ad</v>
      </c>
      <c r="E221" s="4" t="s">
        <v>78</v>
      </c>
      <c r="F221" s="4" t="s">
        <v>2055</v>
      </c>
      <c r="G221" s="4" t="s">
        <v>2056</v>
      </c>
      <c r="H221" s="4" t="s">
        <v>49</v>
      </c>
      <c r="I221" s="4" t="s">
        <v>661</v>
      </c>
      <c r="J221" s="4" t="s">
        <v>78</v>
      </c>
      <c r="K221" s="5" t="str">
        <f>HYPERLINK("https://media.licdn.com/dms/image/v2/D4E10AQHqw4dfD4MIoQ/image-shrink_1280/B4EZznQWSBIEAc-/0/1773406349222/Open-Role-Digital-Art-Director-Web-Design-2430-4320png?e=2147483647&amp;v=beta&amp;t=ZzRE47of27SdFz4M4IzTaW0o20ImWHp_TWzes12bzPo","View Creative")</f>
        <v>View Creative</v>
      </c>
      <c r="L221" s="4" t="s">
        <v>60</v>
      </c>
      <c r="M221" s="4" t="s">
        <v>61</v>
      </c>
      <c r="N221" s="4" t="s">
        <v>2061</v>
      </c>
      <c r="O221" s="4" t="s">
        <v>89</v>
      </c>
      <c r="P221" s="4" t="s">
        <v>2062</v>
      </c>
    </row>
    <row r="222">
      <c r="A222" s="4" t="s">
        <v>40</v>
      </c>
      <c r="B222" s="4" t="s">
        <v>40</v>
      </c>
      <c r="C222" s="4">
        <v>220.0</v>
      </c>
      <c r="D222" s="5" t="str">
        <f>HYPERLINK("https://www.linkedin.com/ad-library/detail/1233798364","Open Ad")</f>
        <v>Open Ad</v>
      </c>
      <c r="E222" s="4" t="s">
        <v>78</v>
      </c>
      <c r="F222" s="4" t="s">
        <v>1657</v>
      </c>
      <c r="G222" s="4" t="s">
        <v>2068</v>
      </c>
      <c r="H222" s="4" t="s">
        <v>49</v>
      </c>
      <c r="I222" s="4" t="s">
        <v>1858</v>
      </c>
      <c r="J222" s="4" t="s">
        <v>78</v>
      </c>
      <c r="K222" s="5" t="str">
        <f>HYPERLINK("https://media.licdn.com/dms/image/v2/D4E10AQGusGPo5GRCpg/image-shrink_1280/B4EZ0GdhNiIkAc-/0/1773929896533/Open-Role-Business-Development-Representative-7680-4320png?e=2147483647&amp;v=beta&amp;t=Rw2oKk4h8sCqXozmRHEDuXyJEE5ABbbMGIDDDmQVBHs","View Creative")</f>
        <v>View Creative</v>
      </c>
      <c r="L222" s="4" t="s">
        <v>106</v>
      </c>
      <c r="M222" s="4" t="s">
        <v>61</v>
      </c>
      <c r="O222" s="4" t="s">
        <v>89</v>
      </c>
      <c r="P222" s="4" t="s">
        <v>2069</v>
      </c>
    </row>
    <row r="223">
      <c r="A223" s="4" t="s">
        <v>40</v>
      </c>
      <c r="B223" s="4" t="s">
        <v>40</v>
      </c>
      <c r="C223" s="4">
        <v>221.0</v>
      </c>
      <c r="D223" s="5" t="str">
        <f>HYPERLINK("https://www.linkedin.com/ad-library/detail/1229588904","Open Ad")</f>
        <v>Open Ad</v>
      </c>
      <c r="E223" s="4" t="s">
        <v>78</v>
      </c>
      <c r="F223" s="4" t="s">
        <v>1331</v>
      </c>
      <c r="G223" s="4" t="s">
        <v>2074</v>
      </c>
      <c r="H223" s="4" t="s">
        <v>49</v>
      </c>
      <c r="I223" s="4" t="s">
        <v>661</v>
      </c>
      <c r="J223" s="4" t="s">
        <v>78</v>
      </c>
      <c r="K223" s="5" t="str">
        <f>HYPERLINK("https://media.licdn.com/dms/image/v2/D4E10AQEt5tTGayuRKg/image-shrink_1280/B4EZy_afofGoAg-/0/1772737920379/Open-Role-Tech-Lead-2430-4320png?e=2147483647&amp;v=beta&amp;t=RxqKbO0OB8bN5oX4aQFbELdbNVNE7R_W7k119iiLpRg","View Creative")</f>
        <v>View Creative</v>
      </c>
      <c r="L223" s="4" t="s">
        <v>60</v>
      </c>
      <c r="M223" s="4" t="s">
        <v>61</v>
      </c>
      <c r="N223" s="4" t="s">
        <v>2079</v>
      </c>
      <c r="O223" s="4" t="s">
        <v>89</v>
      </c>
      <c r="P223" s="4" t="s">
        <v>2080</v>
      </c>
    </row>
    <row r="224">
      <c r="A224" s="4" t="s">
        <v>40</v>
      </c>
      <c r="B224" s="4" t="s">
        <v>40</v>
      </c>
      <c r="C224" s="4">
        <v>222.0</v>
      </c>
      <c r="D224" s="5" t="str">
        <f>HYPERLINK("https://www.linkedin.com/ad-library/detail/1229984594","Open Ad")</f>
        <v>Open Ad</v>
      </c>
      <c r="E224" s="4" t="s">
        <v>78</v>
      </c>
      <c r="F224" s="4" t="s">
        <v>1331</v>
      </c>
      <c r="G224" s="4" t="s">
        <v>2074</v>
      </c>
      <c r="H224" s="4" t="s">
        <v>49</v>
      </c>
      <c r="I224" s="4" t="s">
        <v>661</v>
      </c>
      <c r="J224" s="4" t="s">
        <v>78</v>
      </c>
      <c r="K224" s="5" t="str">
        <f>HYPERLINK("https://media.licdn.com/dms/image/v2/D4E10AQEejfJaEtfpRg/image-shrink_1280/B4EZy_afngGoAc-/0/1772737920617/Open-Role-Tech-Lead-4320-4320png?e=2147483647&amp;v=beta&amp;t=1Op3SdMRIV9Z6me1buAsdzn897nB14sCQYZymwFWeCs","View Creative")</f>
        <v>View Creative</v>
      </c>
      <c r="L224" s="4" t="s">
        <v>60</v>
      </c>
      <c r="M224" s="4" t="s">
        <v>61</v>
      </c>
      <c r="N224" s="4" t="s">
        <v>2079</v>
      </c>
      <c r="O224" s="4" t="s">
        <v>89</v>
      </c>
      <c r="P224" s="4" t="s">
        <v>2086</v>
      </c>
    </row>
    <row r="225">
      <c r="A225" s="4" t="s">
        <v>40</v>
      </c>
      <c r="B225" s="4" t="s">
        <v>40</v>
      </c>
      <c r="C225" s="4">
        <v>223.0</v>
      </c>
      <c r="D225" s="5" t="str">
        <f>HYPERLINK("https://www.linkedin.com/ad-library/detail/1235384194","Open Ad")</f>
        <v>Open Ad</v>
      </c>
      <c r="E225" s="4" t="s">
        <v>78</v>
      </c>
      <c r="F225" s="4" t="s">
        <v>2031</v>
      </c>
      <c r="G225" s="4" t="s">
        <v>436</v>
      </c>
      <c r="H225" s="4" t="s">
        <v>49</v>
      </c>
      <c r="I225" s="4" t="s">
        <v>166</v>
      </c>
      <c r="J225" s="4" t="s">
        <v>78</v>
      </c>
      <c r="K225" s="5" t="str">
        <f>HYPERLINK("https://media.licdn.com/dms/image/v2/D4E10AQFS6BW-q5HYkw/image-shrink_1280/B4EZ0Kh3avHQAc-/0/1773998143748/1200x1200png?e=2147483647&amp;v=beta&amp;t=A8CXWi2P8cuh_IVWhLZzpj4tHsUilYxsuUhAMtAiGrk","View Creative")</f>
        <v>View Creative</v>
      </c>
      <c r="L225" s="4" t="s">
        <v>60</v>
      </c>
      <c r="M225" s="4" t="s">
        <v>61</v>
      </c>
      <c r="N225" s="4" t="s">
        <v>2095</v>
      </c>
      <c r="O225" s="4" t="s">
        <v>89</v>
      </c>
      <c r="P225" s="4" t="s">
        <v>2096</v>
      </c>
    </row>
    <row r="226">
      <c r="A226" s="4" t="s">
        <v>40</v>
      </c>
      <c r="B226" s="4" t="s">
        <v>40</v>
      </c>
      <c r="C226" s="4">
        <v>224.0</v>
      </c>
      <c r="D226" s="5" t="str">
        <f>HYPERLINK("https://www.linkedin.com/ad-library/detail/1234399814","Open Ad")</f>
        <v>Open Ad</v>
      </c>
      <c r="E226" s="4" t="s">
        <v>78</v>
      </c>
      <c r="F226" s="4" t="s">
        <v>2031</v>
      </c>
      <c r="G226" s="4" t="s">
        <v>436</v>
      </c>
      <c r="H226" s="4" t="s">
        <v>49</v>
      </c>
      <c r="I226" s="4" t="s">
        <v>166</v>
      </c>
      <c r="J226" s="4" t="s">
        <v>78</v>
      </c>
      <c r="K226" s="5" t="str">
        <f>HYPERLINK("https://media.licdn.com/dms/image/v2/D4E10AQHh-sW-Tkiq3w/image-shrink_1280/B4EZ0KhviYG8Ao-/0/1773998111322/1200x1200png?e=2147483647&amp;v=beta&amp;t=y-9d2AUAUbcdQrZqbXY_KrUK0HWwEMuP0ihuKaw_UyQ","View Creative")</f>
        <v>View Creative</v>
      </c>
      <c r="L226" s="4" t="s">
        <v>60</v>
      </c>
      <c r="M226" s="4" t="s">
        <v>61</v>
      </c>
      <c r="N226" s="4" t="s">
        <v>2095</v>
      </c>
      <c r="O226" s="4" t="s">
        <v>89</v>
      </c>
      <c r="P226" s="4" t="s">
        <v>2101</v>
      </c>
    </row>
    <row r="227">
      <c r="A227" s="4" t="s">
        <v>40</v>
      </c>
      <c r="B227" s="4" t="s">
        <v>40</v>
      </c>
      <c r="C227" s="4">
        <v>225.0</v>
      </c>
      <c r="D227" s="5" t="str">
        <f>HYPERLINK("https://www.linkedin.com/ad-library/detail/1232493914","Open Ad")</f>
        <v>Open Ad</v>
      </c>
      <c r="E227" s="4" t="s">
        <v>78</v>
      </c>
      <c r="F227" s="4" t="s">
        <v>2107</v>
      </c>
      <c r="G227" s="4" t="s">
        <v>2108</v>
      </c>
      <c r="H227" s="4" t="s">
        <v>49</v>
      </c>
      <c r="I227" s="4" t="s">
        <v>661</v>
      </c>
      <c r="J227" s="4" t="s">
        <v>78</v>
      </c>
      <c r="K227" s="5" t="str">
        <f>HYPERLINK("https://media.licdn.com/dms/image/v2/D4E10AQE9XQMsJPVWog/image-shrink_1280/B4EZznPkyIJMAc-/0/1773406146678/Open-Role-Senior-Manager-Consulting-Services-4320-4320png?e=2147483647&amp;v=beta&amp;t=xgoxCVWR8_zujKtVfdK8LuZui9g94B3boKnByo-687A","View Creative")</f>
        <v>View Creative</v>
      </c>
      <c r="L227" s="4" t="s">
        <v>106</v>
      </c>
      <c r="M227" s="4" t="s">
        <v>61</v>
      </c>
      <c r="O227" s="4" t="s">
        <v>89</v>
      </c>
      <c r="P227" s="4" t="s">
        <v>2113</v>
      </c>
    </row>
    <row r="228">
      <c r="A228" s="4" t="s">
        <v>40</v>
      </c>
      <c r="B228" s="4" t="s">
        <v>40</v>
      </c>
      <c r="C228" s="4">
        <v>226.0</v>
      </c>
      <c r="D228" s="5" t="str">
        <f>HYPERLINK("https://www.linkedin.com/ad-library/detail/1233902454","Open Ad")</f>
        <v>Open Ad</v>
      </c>
      <c r="E228" s="4" t="s">
        <v>78</v>
      </c>
      <c r="F228" s="4" t="s">
        <v>2031</v>
      </c>
      <c r="G228" s="4" t="s">
        <v>436</v>
      </c>
      <c r="H228" s="4" t="s">
        <v>49</v>
      </c>
      <c r="I228" s="4" t="s">
        <v>166</v>
      </c>
      <c r="J228" s="4" t="s">
        <v>78</v>
      </c>
      <c r="K228" s="5" t="str">
        <f>HYPERLINK("https://media.licdn.com/dms/image/v2/D4E10AQEnwP_OOKvtQw/image-shrink_1280/B4EZ0KiYIcHQAc-/0/1773998277628/1200x1200png?e=2147483647&amp;v=beta&amp;t=SWcF5ZEA4WZ5MnktJgvmLbl13A1Vl3RL4wNtT5OH3vk","View Creative")</f>
        <v>View Creative</v>
      </c>
      <c r="L228" s="4" t="s">
        <v>60</v>
      </c>
      <c r="M228" s="4" t="s">
        <v>61</v>
      </c>
      <c r="N228" s="4" t="s">
        <v>2037</v>
      </c>
      <c r="O228" s="4" t="s">
        <v>89</v>
      </c>
      <c r="P228" s="4" t="s">
        <v>2119</v>
      </c>
    </row>
    <row r="229">
      <c r="A229" s="4" t="s">
        <v>40</v>
      </c>
      <c r="B229" s="4" t="s">
        <v>40</v>
      </c>
      <c r="C229" s="4">
        <v>227.0</v>
      </c>
      <c r="D229" s="5" t="str">
        <f>HYPERLINK("https://www.linkedin.com/ad-library/detail/1233012504","Open Ad")</f>
        <v>Open Ad</v>
      </c>
      <c r="E229" s="4" t="s">
        <v>78</v>
      </c>
      <c r="F229" s="4" t="s">
        <v>1657</v>
      </c>
      <c r="G229" s="4" t="s">
        <v>2068</v>
      </c>
      <c r="H229" s="4" t="s">
        <v>49</v>
      </c>
      <c r="I229" s="4" t="s">
        <v>1858</v>
      </c>
      <c r="J229" s="4" t="s">
        <v>78</v>
      </c>
      <c r="K229" s="5" t="str">
        <f>HYPERLINK("https://media.licdn.com/dms/image/v2/D4E10AQHfYeTkVgGmRg/image-shrink_1280/B4EZ0GdhLjHQAg-/0/1773929895297/Open-Role-Business-Development-Representative-2430-4320png?e=2147483647&amp;v=beta&amp;t=wW1CPyD9Z5bCERVTG1xLxZnzezQnFVO6wM3TSo6wI70","View Creative")</f>
        <v>View Creative</v>
      </c>
      <c r="L229" s="4" t="s">
        <v>106</v>
      </c>
      <c r="M229" s="4" t="s">
        <v>61</v>
      </c>
      <c r="O229" s="4" t="s">
        <v>89</v>
      </c>
      <c r="P229" s="4" t="s">
        <v>2128</v>
      </c>
    </row>
    <row r="230">
      <c r="A230" s="4" t="s">
        <v>40</v>
      </c>
      <c r="B230" s="4" t="s">
        <v>40</v>
      </c>
      <c r="C230" s="4">
        <v>228.0</v>
      </c>
      <c r="D230" s="5" t="str">
        <f>HYPERLINK("https://www.linkedin.com/ad-library/detail/1234891164","Open Ad")</f>
        <v>Open Ad</v>
      </c>
      <c r="E230" s="4" t="s">
        <v>78</v>
      </c>
      <c r="F230" s="4" t="s">
        <v>2031</v>
      </c>
      <c r="G230" s="4" t="s">
        <v>436</v>
      </c>
      <c r="H230" s="4" t="s">
        <v>49</v>
      </c>
      <c r="I230" s="4" t="s">
        <v>166</v>
      </c>
      <c r="J230" s="4" t="s">
        <v>78</v>
      </c>
      <c r="K230" s="5" t="str">
        <f>HYPERLINK("https://media.licdn.com/dms/image/v2/D4E10AQEo94mTGZdDlA/image-shrink_1280/B4EZ0Kie6TIUAc-/0/1773998305362/1200x1200png?e=2147483647&amp;v=beta&amp;t=I6zjBs-kWE9PPTf2tXRO-eMhaIVCuES9OTErMW4FNok","View Creative")</f>
        <v>View Creative</v>
      </c>
      <c r="L230" s="4" t="s">
        <v>60</v>
      </c>
      <c r="M230" s="4" t="s">
        <v>61</v>
      </c>
      <c r="N230" s="4" t="s">
        <v>2037</v>
      </c>
      <c r="O230" s="4" t="s">
        <v>89</v>
      </c>
      <c r="P230" s="4" t="s">
        <v>2138</v>
      </c>
    </row>
    <row r="231">
      <c r="A231" s="4" t="s">
        <v>40</v>
      </c>
      <c r="B231" s="4" t="s">
        <v>40</v>
      </c>
      <c r="C231" s="4">
        <v>229.0</v>
      </c>
      <c r="D231" s="5" t="str">
        <f>HYPERLINK("https://www.linkedin.com/ad-library/detail/1235188614","Open Ad")</f>
        <v>Open Ad</v>
      </c>
      <c r="E231" s="4" t="s">
        <v>78</v>
      </c>
      <c r="F231" s="4" t="s">
        <v>2031</v>
      </c>
      <c r="G231" s="4" t="s">
        <v>436</v>
      </c>
      <c r="H231" s="4" t="s">
        <v>49</v>
      </c>
      <c r="I231" s="4" t="s">
        <v>166</v>
      </c>
      <c r="J231" s="4" t="s">
        <v>78</v>
      </c>
      <c r="K231" s="5" t="str">
        <f>HYPERLINK("https://media.licdn.com/dms/image/v2/D4E10AQH6c3lFr33oow/image-shrink_1280/B4EZ0KiRsEIgAc-/0/1773998251156/1200x1200png?e=2147483647&amp;v=beta&amp;t=58uBIH8WGxZlc4zBUAsOqSWyE94HstE6TtC8lGuLIjo","View Creative")</f>
        <v>View Creative</v>
      </c>
      <c r="L231" s="4" t="s">
        <v>60</v>
      </c>
      <c r="M231" s="4" t="s">
        <v>61</v>
      </c>
      <c r="N231" s="4" t="s">
        <v>2037</v>
      </c>
      <c r="O231" s="4" t="s">
        <v>89</v>
      </c>
      <c r="P231" s="4" t="s">
        <v>2144</v>
      </c>
    </row>
    <row r="232">
      <c r="A232" s="4" t="s">
        <v>40</v>
      </c>
      <c r="B232" s="4" t="s">
        <v>40</v>
      </c>
      <c r="C232" s="4">
        <v>230.0</v>
      </c>
      <c r="D232" s="5" t="str">
        <f>HYPERLINK("https://www.linkedin.com/ad-library/detail/1232297194","Open Ad")</f>
        <v>Open Ad</v>
      </c>
      <c r="E232" s="4" t="s">
        <v>78</v>
      </c>
      <c r="F232" s="4" t="s">
        <v>2107</v>
      </c>
      <c r="G232" s="4" t="s">
        <v>2108</v>
      </c>
      <c r="H232" s="4" t="s">
        <v>49</v>
      </c>
      <c r="I232" s="4" t="s">
        <v>661</v>
      </c>
      <c r="J232" s="4" t="s">
        <v>78</v>
      </c>
      <c r="K232" s="5" t="str">
        <f>HYPERLINK("https://media.licdn.com/dms/image/v2/D4E10AQGGLL6Pzangiw/image-shrink_1280/B4EZznPktzJUAc-/0/1773406146135/Open-Role-Senior-Manager-Consulting-Services-2430-4320png?e=2147483647&amp;v=beta&amp;t=r2ZEJYIA7FCvAedZl1qIHbDk33hq4dK_IJMJn7QL1vc","View Creative")</f>
        <v>View Creative</v>
      </c>
      <c r="L232" s="4" t="s">
        <v>106</v>
      </c>
      <c r="M232" s="4" t="s">
        <v>61</v>
      </c>
      <c r="O232" s="4" t="s">
        <v>89</v>
      </c>
      <c r="P232" s="4" t="s">
        <v>2153</v>
      </c>
    </row>
    <row r="233">
      <c r="A233" s="4" t="s">
        <v>40</v>
      </c>
      <c r="B233" s="4" t="s">
        <v>40</v>
      </c>
      <c r="C233" s="4">
        <v>231.0</v>
      </c>
      <c r="D233" s="5" t="str">
        <f>HYPERLINK("https://www.linkedin.com/ad-library/detail/1234891154","Open Ad")</f>
        <v>Open Ad</v>
      </c>
      <c r="E233" s="4" t="s">
        <v>78</v>
      </c>
      <c r="F233" s="4" t="s">
        <v>2031</v>
      </c>
      <c r="G233" s="4" t="s">
        <v>436</v>
      </c>
      <c r="H233" s="4" t="s">
        <v>49</v>
      </c>
      <c r="I233" s="4" t="s">
        <v>166</v>
      </c>
      <c r="J233" s="4" t="s">
        <v>78</v>
      </c>
      <c r="K233" s="5" t="str">
        <f>HYPERLINK("https://media.licdn.com/dms/image/v2/D4E10AQFILIQvPjYblQ/image-shrink_1280/B4EZ0KiKE1HQAc-/0/1773998219995/1200x1200png?e=2147483647&amp;v=beta&amp;t=5zWOzuFhzndJ5t_ruMdhk4zKx1LlPIwnR_TZazcLUh0","View Creative")</f>
        <v>View Creative</v>
      </c>
      <c r="L233" s="4" t="s">
        <v>60</v>
      </c>
      <c r="M233" s="4" t="s">
        <v>61</v>
      </c>
      <c r="N233" s="4" t="s">
        <v>2037</v>
      </c>
      <c r="O233" s="4" t="s">
        <v>89</v>
      </c>
      <c r="P233" s="4" t="s">
        <v>2161</v>
      </c>
    </row>
    <row r="234">
      <c r="A234" s="4" t="s">
        <v>40</v>
      </c>
      <c r="B234" s="4" t="s">
        <v>40</v>
      </c>
      <c r="C234" s="4">
        <v>232.0</v>
      </c>
      <c r="D234" s="5" t="str">
        <f>HYPERLINK("https://www.linkedin.com/ad-library/detail/1234891144","Open Ad")</f>
        <v>Open Ad</v>
      </c>
      <c r="E234" s="4" t="s">
        <v>78</v>
      </c>
      <c r="F234" s="4" t="s">
        <v>2031</v>
      </c>
      <c r="G234" s="4" t="s">
        <v>436</v>
      </c>
      <c r="H234" s="4" t="s">
        <v>49</v>
      </c>
      <c r="I234" s="4" t="s">
        <v>166</v>
      </c>
      <c r="J234" s="4" t="s">
        <v>78</v>
      </c>
      <c r="K234" s="5" t="str">
        <f>HYPERLINK("https://media.licdn.com/dms/image/v2/D4E10AQH6c3lFr33oow/image-shrink_1280/B4EZ0KiRsEIgAc-/0/1773998251156/1200x1200png?e=2147483647&amp;v=beta&amp;t=58uBIH8WGxZlc4zBUAsOqSWyE94HstE6TtC8lGuLIjo","View Creative")</f>
        <v>View Creative</v>
      </c>
      <c r="L234" s="4" t="s">
        <v>60</v>
      </c>
      <c r="M234" s="4" t="s">
        <v>61</v>
      </c>
      <c r="N234" s="4" t="s">
        <v>2037</v>
      </c>
      <c r="O234" s="4" t="s">
        <v>89</v>
      </c>
      <c r="P234" s="4" t="s">
        <v>2166</v>
      </c>
    </row>
    <row r="235">
      <c r="A235" s="4" t="s">
        <v>40</v>
      </c>
      <c r="B235" s="4" t="s">
        <v>40</v>
      </c>
      <c r="C235" s="4">
        <v>233.0</v>
      </c>
      <c r="D235" s="5" t="str">
        <f>HYPERLINK("https://www.linkedin.com/ad-library/detail/1234891094","Open Ad")</f>
        <v>Open Ad</v>
      </c>
      <c r="E235" s="4" t="s">
        <v>78</v>
      </c>
      <c r="F235" s="4" t="s">
        <v>2031</v>
      </c>
      <c r="G235" s="4" t="s">
        <v>436</v>
      </c>
      <c r="H235" s="4" t="s">
        <v>49</v>
      </c>
      <c r="I235" s="4" t="s">
        <v>166</v>
      </c>
      <c r="J235" s="4" t="s">
        <v>78</v>
      </c>
      <c r="K235" s="5" t="str">
        <f>HYPERLINK("https://media.licdn.com/dms/image/v2/D4E10AQGXTKOK5_ATIw/image-shrink_1280/B4EZ0Kh_beHsAc-/0/1773998176446/1200x1200png?e=2147483647&amp;v=beta&amp;t=QG8pePVFrJNYrYPxiwuwxj59OcA2CPL_YEMAY4ru4Ac","View Creative")</f>
        <v>View Creative</v>
      </c>
      <c r="L235" s="4" t="s">
        <v>60</v>
      </c>
      <c r="M235" s="4" t="s">
        <v>61</v>
      </c>
      <c r="N235" s="4" t="s">
        <v>2037</v>
      </c>
      <c r="O235" s="4" t="s">
        <v>89</v>
      </c>
      <c r="P235" s="4" t="s">
        <v>2172</v>
      </c>
    </row>
    <row r="236">
      <c r="A236" s="4" t="s">
        <v>40</v>
      </c>
      <c r="B236" s="4" t="s">
        <v>40</v>
      </c>
      <c r="C236" s="4">
        <v>234.0</v>
      </c>
      <c r="D236" s="5" t="str">
        <f>HYPERLINK("https://www.linkedin.com/ad-library/detail/1234489464","Open Ad")</f>
        <v>Open Ad</v>
      </c>
      <c r="E236" s="4" t="s">
        <v>78</v>
      </c>
      <c r="F236" s="4" t="s">
        <v>1657</v>
      </c>
      <c r="G236" s="4" t="s">
        <v>2068</v>
      </c>
      <c r="H236" s="4" t="s">
        <v>49</v>
      </c>
      <c r="I236" s="4" t="s">
        <v>1858</v>
      </c>
      <c r="J236" s="4" t="s">
        <v>78</v>
      </c>
      <c r="K236" s="5" t="str">
        <f>HYPERLINK("https://media.licdn.com/dms/image/v2/D4E10AQHBA0icAvOlAw/image-shrink_1280/B4EZ0GdhLZGwAc-/0/1773929895519/Open-Role-Business-Development-Representative-4320-4320png?e=2147483647&amp;v=beta&amp;t=a9tqN5-gbnlvLqiZ-_u0fRSG-G9tdcohWwQx2iH25Tg","View Creative")</f>
        <v>View Creative</v>
      </c>
      <c r="L236" s="4" t="s">
        <v>106</v>
      </c>
      <c r="M236" s="4" t="s">
        <v>61</v>
      </c>
      <c r="O236" s="4" t="s">
        <v>89</v>
      </c>
      <c r="P236" s="4" t="s">
        <v>2179</v>
      </c>
    </row>
    <row r="237">
      <c r="A237" s="4" t="s">
        <v>40</v>
      </c>
      <c r="B237" s="4" t="s">
        <v>40</v>
      </c>
      <c r="C237" s="4">
        <v>235.0</v>
      </c>
      <c r="D237" s="5" t="str">
        <f>HYPERLINK("https://www.linkedin.com/ad-library/detail/1235680854","Open Ad")</f>
        <v>Open Ad</v>
      </c>
      <c r="E237" s="4" t="s">
        <v>78</v>
      </c>
      <c r="F237" s="4" t="s">
        <v>2031</v>
      </c>
      <c r="G237" s="4" t="s">
        <v>436</v>
      </c>
      <c r="H237" s="4" t="s">
        <v>49</v>
      </c>
      <c r="I237" s="4" t="s">
        <v>166</v>
      </c>
      <c r="J237" s="4" t="s">
        <v>78</v>
      </c>
      <c r="K237" s="5" t="str">
        <f>HYPERLINK("https://media.licdn.com/dms/image/v2/D4E10AQFILIQvPjYblQ/image-shrink_1280/B4EZ0KiKE1HQAc-/0/1773998219995/1200x1200png?e=2147483647&amp;v=beta&amp;t=5zWOzuFhzndJ5t_ruMdhk4zKx1LlPIwnR_TZazcLUh0","View Creative")</f>
        <v>View Creative</v>
      </c>
      <c r="L237" s="4" t="s">
        <v>60</v>
      </c>
      <c r="M237" s="4" t="s">
        <v>61</v>
      </c>
      <c r="N237" s="4" t="s">
        <v>2037</v>
      </c>
      <c r="O237" s="4" t="s">
        <v>89</v>
      </c>
      <c r="P237" s="4" t="s">
        <v>2188</v>
      </c>
    </row>
    <row r="238">
      <c r="A238" s="4" t="s">
        <v>40</v>
      </c>
      <c r="B238" s="4" t="s">
        <v>40</v>
      </c>
      <c r="C238" s="4">
        <v>236.0</v>
      </c>
      <c r="D238" s="5" t="str">
        <f>HYPERLINK("https://www.linkedin.com/ad-library/detail/1235483904","Open Ad")</f>
        <v>Open Ad</v>
      </c>
      <c r="E238" s="4" t="s">
        <v>78</v>
      </c>
      <c r="F238" s="4" t="s">
        <v>1928</v>
      </c>
      <c r="G238" s="4" t="s">
        <v>1928</v>
      </c>
      <c r="H238" s="4" t="s">
        <v>49</v>
      </c>
      <c r="I238" s="4" t="s">
        <v>661</v>
      </c>
      <c r="J238" s="4" t="s">
        <v>78</v>
      </c>
      <c r="K238" s="5" t="str">
        <f>HYPERLINK("https://media.licdn.com/dms/image/v2/D4E10AQEftIKdIqiwpQ/image-shrink_1280/B4EZ0LFpPoJEAc-/0/1774007524262/Open-Role-Programmatic-Display-Lead-7680-4320png?e=2147483647&amp;v=beta&amp;t=eVKKwtnr11lhH8KjTTYkh25nsSM-hwVctrMBhjz6gDI","View Creative")</f>
        <v>View Creative</v>
      </c>
      <c r="L238" s="4" t="s">
        <v>60</v>
      </c>
      <c r="M238" s="4" t="s">
        <v>61</v>
      </c>
      <c r="N238" s="4" t="s">
        <v>1852</v>
      </c>
      <c r="O238" s="4" t="s">
        <v>89</v>
      </c>
      <c r="P238" s="4" t="s">
        <v>2194</v>
      </c>
    </row>
    <row r="239">
      <c r="A239" s="4" t="s">
        <v>40</v>
      </c>
      <c r="B239" s="4" t="s">
        <v>40</v>
      </c>
      <c r="C239" s="4">
        <v>237.0</v>
      </c>
      <c r="D239" s="5" t="str">
        <f>HYPERLINK("https://www.linkedin.com/ad-library/detail/1232297214","Open Ad")</f>
        <v>Open Ad</v>
      </c>
      <c r="E239" s="4" t="s">
        <v>78</v>
      </c>
      <c r="F239" s="4" t="s">
        <v>2198</v>
      </c>
      <c r="G239" s="4" t="s">
        <v>2199</v>
      </c>
      <c r="H239" s="4" t="s">
        <v>49</v>
      </c>
      <c r="I239" s="4" t="s">
        <v>661</v>
      </c>
      <c r="J239" s="4" t="s">
        <v>78</v>
      </c>
      <c r="K239" s="5" t="str">
        <f>HYPERLINK("https://media.licdn.com/dms/image/v2/D4E10AQGQvmPIUp8ZvQ/image-shrink_1280/B4EZznP3czJcAc-/0/1773406223297/Open-Role-Onboarding-Consultant-Spanish-speaking-4320-4320png?e=2147483647&amp;v=beta&amp;t=u-UZhKRNWytYS2sAEWsD84Q1cwpWjkV3jzWXN-V_0aA","View Creative")</f>
        <v>View Creative</v>
      </c>
      <c r="L239" s="4" t="s">
        <v>60</v>
      </c>
      <c r="M239" s="4" t="s">
        <v>61</v>
      </c>
      <c r="N239" s="4" t="s">
        <v>2204</v>
      </c>
      <c r="O239" s="4" t="s">
        <v>89</v>
      </c>
      <c r="P239" s="4" t="s">
        <v>2206</v>
      </c>
    </row>
    <row r="240">
      <c r="A240" s="4" t="s">
        <v>40</v>
      </c>
      <c r="B240" s="4" t="s">
        <v>40</v>
      </c>
      <c r="C240" s="4">
        <v>238.0</v>
      </c>
      <c r="D240" s="5" t="str">
        <f>HYPERLINK("https://www.linkedin.com/ad-library/detail/1232393924","Open Ad")</f>
        <v>Open Ad</v>
      </c>
      <c r="E240" s="4" t="s">
        <v>78</v>
      </c>
      <c r="F240" s="4" t="s">
        <v>2207</v>
      </c>
      <c r="G240" s="4" t="s">
        <v>1870</v>
      </c>
      <c r="H240" s="4" t="s">
        <v>49</v>
      </c>
      <c r="I240" s="4" t="s">
        <v>661</v>
      </c>
      <c r="J240" s="4" t="s">
        <v>78</v>
      </c>
      <c r="K240" s="5" t="str">
        <f>HYPERLINK("https://media.licdn.com/dms/image/v2/D4E10AQEpqIn9XI_p9Q/image-shrink_1280/B4EZznQIXTJcAc-/0/1773406292383/Open-Role-Senior-Data-Engineer-4320-43201png?e=2147483647&amp;v=beta&amp;t=z6C2xNFO1rfosSyguO68AgMcHTfFYRCvrjq56hWCC4I","View Creative")</f>
        <v>View Creative</v>
      </c>
      <c r="L240" s="4" t="s">
        <v>60</v>
      </c>
      <c r="M240" s="4" t="s">
        <v>61</v>
      </c>
      <c r="N240" s="4" t="s">
        <v>2204</v>
      </c>
      <c r="O240" s="4" t="s">
        <v>89</v>
      </c>
      <c r="P240" s="4" t="s">
        <v>2213</v>
      </c>
    </row>
    <row r="241">
      <c r="A241" s="4" t="s">
        <v>40</v>
      </c>
      <c r="B241" s="4" t="s">
        <v>40</v>
      </c>
      <c r="C241" s="4">
        <v>239.0</v>
      </c>
      <c r="D241" s="5" t="str">
        <f>HYPERLINK("https://www.linkedin.com/ad-library/detail/1234990784","Open Ad")</f>
        <v>Open Ad</v>
      </c>
      <c r="E241" s="4" t="s">
        <v>78</v>
      </c>
      <c r="F241" s="4" t="s">
        <v>2031</v>
      </c>
      <c r="G241" s="4" t="s">
        <v>436</v>
      </c>
      <c r="H241" s="4" t="s">
        <v>49</v>
      </c>
      <c r="I241" s="4" t="s">
        <v>166</v>
      </c>
      <c r="J241" s="4" t="s">
        <v>78</v>
      </c>
      <c r="K241" s="5" t="str">
        <f>HYPERLINK("https://media.licdn.com/dms/image/v2/D4E10AQEmriF0P07L1Q/image-shrink_1280/B4EZ0KhmF5GwAc-/0/1773998072662/1200x1200png?e=2147483647&amp;v=beta&amp;t=fmZvkc-mx2hrT0pGnT-qkKVqxwjLUwGZS8OAobXSYa8","View Creative")</f>
        <v>View Creative</v>
      </c>
      <c r="L241" s="4" t="s">
        <v>60</v>
      </c>
      <c r="M241" s="4" t="s">
        <v>61</v>
      </c>
      <c r="N241" s="4" t="s">
        <v>2095</v>
      </c>
      <c r="O241" s="4" t="s">
        <v>89</v>
      </c>
      <c r="P241" s="4" t="s">
        <v>2220</v>
      </c>
    </row>
    <row r="242">
      <c r="A242" s="4" t="s">
        <v>40</v>
      </c>
      <c r="B242" s="4" t="s">
        <v>40</v>
      </c>
      <c r="C242" s="4">
        <v>240.0</v>
      </c>
      <c r="D242" s="5" t="str">
        <f>HYPERLINK("https://www.linkedin.com/ad-library/detail/1230045454","Open Ad")</f>
        <v>Open Ad</v>
      </c>
      <c r="E242" s="4" t="s">
        <v>78</v>
      </c>
      <c r="F242" s="4" t="s">
        <v>2198</v>
      </c>
      <c r="G242" s="4" t="s">
        <v>2199</v>
      </c>
      <c r="H242" s="4" t="s">
        <v>49</v>
      </c>
      <c r="I242" s="4" t="s">
        <v>661</v>
      </c>
      <c r="J242" s="4" t="s">
        <v>78</v>
      </c>
      <c r="K242" s="5" t="str">
        <f>HYPERLINK("https://media.licdn.com/dms/image/v2/D4E10AQFVvh8bZTeXwg/image-shrink_1280/B4EZznP3axJEAc-/0/1773406222636/Open-Role-Onboarding-Consultant-Spanish-speaking-2430-4320png?e=2147483647&amp;v=beta&amp;t=cYbL84BYJcZ4HzEZO08kxn8NZQArIDffshhf2F26LTA","View Creative")</f>
        <v>View Creative</v>
      </c>
      <c r="L242" s="4" t="s">
        <v>60</v>
      </c>
      <c r="M242" s="4" t="s">
        <v>61</v>
      </c>
      <c r="N242" s="4" t="s">
        <v>2204</v>
      </c>
      <c r="O242" s="4" t="s">
        <v>89</v>
      </c>
      <c r="P242" s="4" t="s">
        <v>2229</v>
      </c>
    </row>
    <row r="243">
      <c r="A243" s="4" t="s">
        <v>40</v>
      </c>
      <c r="B243" s="4" t="s">
        <v>40</v>
      </c>
      <c r="C243" s="4">
        <v>241.0</v>
      </c>
      <c r="D243" s="5" t="str">
        <f>HYPERLINK("https://www.linkedin.com/ad-library/detail/1147592014","Open Ad")</f>
        <v>Open Ad</v>
      </c>
      <c r="E243" s="4" t="s">
        <v>78</v>
      </c>
      <c r="F243" s="4" t="s">
        <v>2055</v>
      </c>
      <c r="G243" s="4" t="s">
        <v>2231</v>
      </c>
      <c r="H243" s="4" t="s">
        <v>49</v>
      </c>
      <c r="I243" s="4" t="s">
        <v>1695</v>
      </c>
      <c r="J243" s="4" t="s">
        <v>78</v>
      </c>
      <c r="K243" s="5" t="str">
        <f>HYPERLINK("https://media.licdn.com/dms/image/v2/D4E10AQHY_IqYPik0kA/image-shrink_1280/B4EZx7DEAnJcAc-/0/1771590928277/Open-Role-Senior-Content-Strategist-7680-4320png?e=2147483647&amp;v=beta&amp;t=0lUp-LYPLcyXM_E8SZe1lagqmhvKw7aU3Kf2-j4iQUg","View Creative")</f>
        <v>View Creative</v>
      </c>
      <c r="L243" s="4" t="s">
        <v>60</v>
      </c>
      <c r="M243" s="4" t="s">
        <v>61</v>
      </c>
      <c r="N243" s="4" t="s">
        <v>2235</v>
      </c>
      <c r="O243" s="4" t="s">
        <v>89</v>
      </c>
      <c r="P243" s="4" t="s">
        <v>2237</v>
      </c>
    </row>
    <row r="244">
      <c r="A244" s="4" t="s">
        <v>40</v>
      </c>
      <c r="B244" s="4" t="s">
        <v>40</v>
      </c>
      <c r="C244" s="4">
        <v>242.0</v>
      </c>
      <c r="D244" s="5" t="str">
        <f>HYPERLINK("https://www.linkedin.com/ad-library/detail/1228584064","Open Ad")</f>
        <v>Open Ad</v>
      </c>
      <c r="E244" s="4" t="s">
        <v>78</v>
      </c>
      <c r="F244" s="4" t="s">
        <v>2031</v>
      </c>
      <c r="G244" s="4" t="s">
        <v>436</v>
      </c>
      <c r="H244" s="4" t="s">
        <v>49</v>
      </c>
      <c r="I244" s="4" t="s">
        <v>166</v>
      </c>
      <c r="J244" s="4" t="s">
        <v>78</v>
      </c>
      <c r="K244" s="5" t="str">
        <f>HYPERLINK("https://media.licdn.com/dms/image/v2/D4E10AQH7gwxeJKFAng/image-shrink_1280/B4EZy5HdHTKoAg-/0/1772632265480/scalebrandvisibility212001200png?e=2147483647&amp;v=beta&amp;t=PVNk7FLYyc_MDbsQ0JLaoKTgW77EKz5K73koDCzAIwA","View Creative")</f>
        <v>View Creative</v>
      </c>
      <c r="L244" s="4" t="s">
        <v>60</v>
      </c>
      <c r="M244" s="4" t="s">
        <v>61</v>
      </c>
      <c r="N244" s="4" t="s">
        <v>2246</v>
      </c>
      <c r="O244" s="4" t="s">
        <v>89</v>
      </c>
      <c r="P244" s="4" t="s">
        <v>2247</v>
      </c>
    </row>
    <row r="245">
      <c r="A245" s="4" t="s">
        <v>40</v>
      </c>
      <c r="B245" s="4" t="s">
        <v>40</v>
      </c>
      <c r="C245" s="4">
        <v>243.0</v>
      </c>
      <c r="D245" s="5" t="str">
        <f>HYPERLINK("https://www.linkedin.com/ad-library/detail/1227784394","Open Ad")</f>
        <v>Open Ad</v>
      </c>
      <c r="E245" s="4" t="s">
        <v>78</v>
      </c>
      <c r="F245" s="4" t="s">
        <v>2031</v>
      </c>
      <c r="G245" s="4" t="s">
        <v>436</v>
      </c>
      <c r="H245" s="4" t="s">
        <v>49</v>
      </c>
      <c r="I245" s="4" t="s">
        <v>166</v>
      </c>
      <c r="J245" s="4" t="s">
        <v>78</v>
      </c>
      <c r="K245" s="5" t="str">
        <f>HYPERLINK("https://media.licdn.com/dms/image/v2/D4E10AQFS365ONG005g/image-shrink_1280/B4EZy5HpjIGYAc-/0/1772632316514/featureyourbrand120012002png?e=2147483647&amp;v=beta&amp;t=XLP5acWgJExGzBgfhijDER_-Zq-AnNCpQiBwqJqxG70","View Creative")</f>
        <v>View Creative</v>
      </c>
      <c r="L245" s="4" t="s">
        <v>60</v>
      </c>
      <c r="M245" s="4" t="s">
        <v>61</v>
      </c>
      <c r="N245" s="4" t="s">
        <v>2246</v>
      </c>
      <c r="O245" s="4" t="s">
        <v>89</v>
      </c>
      <c r="P245" s="4" t="s">
        <v>2255</v>
      </c>
    </row>
    <row r="246">
      <c r="A246" s="4" t="s">
        <v>40</v>
      </c>
      <c r="B246" s="4" t="s">
        <v>40</v>
      </c>
      <c r="C246" s="4">
        <v>244.0</v>
      </c>
      <c r="D246" s="5" t="str">
        <f>HYPERLINK("https://www.linkedin.com/ad-library/detail/1227999274","Open Ad")</f>
        <v>Open Ad</v>
      </c>
      <c r="E246" s="4" t="s">
        <v>78</v>
      </c>
      <c r="F246" s="4" t="s">
        <v>1331</v>
      </c>
      <c r="G246" s="4" t="s">
        <v>2258</v>
      </c>
      <c r="H246" s="4" t="s">
        <v>49</v>
      </c>
      <c r="I246" s="4" t="s">
        <v>661</v>
      </c>
      <c r="J246" s="4" t="s">
        <v>78</v>
      </c>
      <c r="K246" s="5" t="str">
        <f>HYPERLINK("https://media.licdn.com/dms/image/v2/D4E10AQHm2ed-LllLEA/image-shrink_1280/B4EZy_X2CYJYAc-/0/1772737227009/Open-Role-Senior-Golang-Developer-7680-4320png?e=2147483647&amp;v=beta&amp;t=T3sizAQfmcJuAqXMeTCC4rXec4e4I5bzQE0vYXR4ioY","View Creative")</f>
        <v>View Creative</v>
      </c>
      <c r="L246" s="4" t="s">
        <v>60</v>
      </c>
      <c r="M246" s="4" t="s">
        <v>61</v>
      </c>
      <c r="N246" s="4" t="s">
        <v>2263</v>
      </c>
      <c r="O246" s="4" t="s">
        <v>89</v>
      </c>
      <c r="P246" s="4" t="s">
        <v>2264</v>
      </c>
    </row>
    <row r="247">
      <c r="A247" s="4" t="s">
        <v>40</v>
      </c>
      <c r="B247" s="4" t="s">
        <v>40</v>
      </c>
      <c r="C247" s="4">
        <v>245.0</v>
      </c>
      <c r="D247" s="5" t="str">
        <f>HYPERLINK("https://www.linkedin.com/ad-library/detail/1154099924","Open Ad")</f>
        <v>Open Ad</v>
      </c>
      <c r="E247" s="4" t="s">
        <v>78</v>
      </c>
      <c r="F247" s="4" t="s">
        <v>1331</v>
      </c>
      <c r="G247" s="4" t="s">
        <v>2074</v>
      </c>
      <c r="H247" s="4" t="s">
        <v>49</v>
      </c>
      <c r="I247" s="4" t="s">
        <v>661</v>
      </c>
      <c r="J247" s="4" t="s">
        <v>78</v>
      </c>
      <c r="K247" s="5" t="str">
        <f>HYPERLINK("https://media.licdn.com/dms/image/v2/D4E10AQESqByfHjQmdQ/image-shrink_1280/B4EZy_afmrIQAg-/0/1772737920955/Open-Role-Tech-Lead-7680-4320png?e=2147483647&amp;v=beta&amp;t=bZVXnkkR1QMalv3n5vqRipbCtZND3uMRuQAfabpwQHo","View Creative")</f>
        <v>View Creative</v>
      </c>
      <c r="L247" s="4" t="s">
        <v>60</v>
      </c>
      <c r="M247" s="4" t="s">
        <v>61</v>
      </c>
      <c r="N247" s="4" t="s">
        <v>2272</v>
      </c>
      <c r="O247" s="4" t="s">
        <v>89</v>
      </c>
      <c r="P247" s="4" t="s">
        <v>2274</v>
      </c>
    </row>
    <row r="248">
      <c r="A248" s="4" t="s">
        <v>40</v>
      </c>
      <c r="B248" s="4" t="s">
        <v>40</v>
      </c>
      <c r="C248" s="4">
        <v>246.0</v>
      </c>
      <c r="D248" s="5" t="str">
        <f>HYPERLINK("https://www.linkedin.com/ad-library/detail/1146709654","Open Ad")</f>
        <v>Open Ad</v>
      </c>
      <c r="E248" s="4" t="s">
        <v>78</v>
      </c>
      <c r="F248" s="4" t="s">
        <v>2055</v>
      </c>
      <c r="G248" s="4" t="s">
        <v>2231</v>
      </c>
      <c r="H248" s="4" t="s">
        <v>49</v>
      </c>
      <c r="I248" s="4" t="s">
        <v>1695</v>
      </c>
      <c r="J248" s="4" t="s">
        <v>78</v>
      </c>
      <c r="K248" s="5" t="str">
        <f>HYPERLINK("https://media.licdn.com/dms/image/v2/D4E10AQEPegz1sZQ8Aw/image-shrink_1280/B4EZx7DECdKIAc-/0/1771590927557/Open-Role-Senior-Content-Strategist-4320-4320png?e=2147483647&amp;v=beta&amp;t=NedGsAAN2cN_YOxKPb_GayjDIYZ10hbvajTV2P5QK50","View Creative")</f>
        <v>View Creative</v>
      </c>
      <c r="L248" s="4" t="s">
        <v>60</v>
      </c>
      <c r="M248" s="4" t="s">
        <v>61</v>
      </c>
      <c r="N248" s="4" t="s">
        <v>2235</v>
      </c>
      <c r="O248" s="4" t="s">
        <v>89</v>
      </c>
      <c r="P248" s="4" t="s">
        <v>2280</v>
      </c>
    </row>
    <row r="249">
      <c r="A249" s="4" t="s">
        <v>40</v>
      </c>
      <c r="B249" s="4" t="s">
        <v>40</v>
      </c>
      <c r="C249" s="4">
        <v>247.0</v>
      </c>
      <c r="D249" s="5" t="str">
        <f>HYPERLINK("https://www.linkedin.com/ad-library/detail/1228799234","Open Ad")</f>
        <v>Open Ad</v>
      </c>
      <c r="E249" s="4" t="s">
        <v>78</v>
      </c>
      <c r="F249" s="4" t="s">
        <v>2207</v>
      </c>
      <c r="G249" s="4" t="s">
        <v>1870</v>
      </c>
      <c r="H249" s="4" t="s">
        <v>49</v>
      </c>
      <c r="I249" s="4" t="s">
        <v>661</v>
      </c>
      <c r="J249" s="4" t="s">
        <v>78</v>
      </c>
      <c r="K249" s="5" t="str">
        <f>HYPERLINK("https://media.licdn.com/dms/image/v2/D4E10AQH-72Lycdf6wg/image-shrink_1280/B4EZznQIVhHQAc-/0/1773406291907/Open-Role-Senior-Data-Engineer-2430-43201png?e=2147483647&amp;v=beta&amp;t=isxfGazk4Qr7XDaLttvl8zd8hMTlk8XYTLUG2fRhYhI","View Creative")</f>
        <v>View Creative</v>
      </c>
      <c r="L249" s="4" t="s">
        <v>60</v>
      </c>
      <c r="M249" s="4" t="s">
        <v>61</v>
      </c>
      <c r="N249" s="4" t="s">
        <v>2290</v>
      </c>
      <c r="O249" s="4" t="s">
        <v>89</v>
      </c>
      <c r="P249" s="4" t="s">
        <v>2291</v>
      </c>
    </row>
    <row r="250">
      <c r="A250" s="4" t="s">
        <v>40</v>
      </c>
      <c r="B250" s="4" t="s">
        <v>40</v>
      </c>
      <c r="C250" s="4">
        <v>248.0</v>
      </c>
      <c r="D250" s="5" t="str">
        <f>HYPERLINK("https://www.linkedin.com/ad-library/detail/1229687104","Open Ad")</f>
        <v>Open Ad</v>
      </c>
      <c r="E250" s="4" t="s">
        <v>78</v>
      </c>
      <c r="F250" s="4" t="s">
        <v>2207</v>
      </c>
      <c r="G250" s="4" t="s">
        <v>1870</v>
      </c>
      <c r="H250" s="4" t="s">
        <v>49</v>
      </c>
      <c r="I250" s="4" t="s">
        <v>661</v>
      </c>
      <c r="J250" s="4" t="s">
        <v>78</v>
      </c>
      <c r="K250" s="5" t="str">
        <f>HYPERLINK("https://media.licdn.com/dms/image/v2/D4E10AQH3uYfhzkPhBg/image-shrink_1280/B4EZy_DfJzGoAc-/0/1772731888984/Open-Role-Senior-Data-Engineer-2430-4320png?e=2147483647&amp;v=beta&amp;t=V-aFAW5xKoZis-tQiFwV7vPv-sfL69QyyUC-tSuagQk","View Creative")</f>
        <v>View Creative</v>
      </c>
      <c r="L250" s="4" t="s">
        <v>60</v>
      </c>
      <c r="M250" s="4" t="s">
        <v>61</v>
      </c>
      <c r="N250" s="4" t="s">
        <v>2263</v>
      </c>
      <c r="O250" s="4" t="s">
        <v>89</v>
      </c>
      <c r="P250" s="4" t="s">
        <v>2297</v>
      </c>
    </row>
    <row r="251">
      <c r="A251" s="4" t="s">
        <v>40</v>
      </c>
      <c r="B251" s="4" t="s">
        <v>40</v>
      </c>
      <c r="C251" s="4">
        <v>249.0</v>
      </c>
      <c r="D251" s="5" t="str">
        <f>HYPERLINK("https://www.linkedin.com/ad-library/detail/1229283514","Open Ad")</f>
        <v>Open Ad</v>
      </c>
      <c r="E251" s="4" t="s">
        <v>78</v>
      </c>
      <c r="F251" s="4" t="s">
        <v>2031</v>
      </c>
      <c r="G251" s="4" t="s">
        <v>436</v>
      </c>
      <c r="H251" s="4" t="s">
        <v>49</v>
      </c>
      <c r="I251" s="4" t="s">
        <v>166</v>
      </c>
      <c r="J251" s="4" t="s">
        <v>78</v>
      </c>
      <c r="K251" s="5" t="str">
        <f t="shared" ref="K251:K252" si="1">HYPERLINK("https://media.licdn.com/dms/image/v2/D4E10AQFS365ONG005g/image-shrink_1280/B4EZy5HpjIGYAc-/0/1772632316514/featureyourbrand120012002png?e=2147483647&amp;v=beta&amp;t=XLP5acWgJExGzBgfhijDER_-Zq-AnNCpQiBwqJqxG70","View Creative")</f>
        <v>View Creative</v>
      </c>
      <c r="L251" s="4" t="s">
        <v>60</v>
      </c>
      <c r="M251" s="4" t="s">
        <v>61</v>
      </c>
      <c r="N251" s="4" t="s">
        <v>2079</v>
      </c>
      <c r="O251" s="4" t="s">
        <v>89</v>
      </c>
      <c r="P251" s="4" t="s">
        <v>2306</v>
      </c>
    </row>
    <row r="252">
      <c r="A252" s="4" t="s">
        <v>40</v>
      </c>
      <c r="B252" s="4" t="s">
        <v>40</v>
      </c>
      <c r="C252" s="4">
        <v>250.0</v>
      </c>
      <c r="D252" s="5" t="str">
        <f>HYPERLINK("https://www.linkedin.com/ad-library/detail/1228384664","Open Ad")</f>
        <v>Open Ad</v>
      </c>
      <c r="E252" s="4" t="s">
        <v>78</v>
      </c>
      <c r="F252" s="4" t="s">
        <v>2031</v>
      </c>
      <c r="G252" s="4" t="s">
        <v>436</v>
      </c>
      <c r="H252" s="4" t="s">
        <v>49</v>
      </c>
      <c r="I252" s="4" t="s">
        <v>166</v>
      </c>
      <c r="J252" s="4" t="s">
        <v>78</v>
      </c>
      <c r="K252" s="5" t="str">
        <f t="shared" si="1"/>
        <v>View Creative</v>
      </c>
      <c r="L252" s="4" t="s">
        <v>60</v>
      </c>
      <c r="M252" s="4" t="s">
        <v>61</v>
      </c>
      <c r="N252" s="4" t="s">
        <v>2311</v>
      </c>
      <c r="O252" s="4" t="s">
        <v>89</v>
      </c>
      <c r="P252" s="4" t="s">
        <v>2313</v>
      </c>
    </row>
    <row r="253">
      <c r="A253" s="4" t="s">
        <v>40</v>
      </c>
      <c r="B253" s="4" t="s">
        <v>40</v>
      </c>
      <c r="C253" s="4">
        <v>251.0</v>
      </c>
      <c r="D253" s="5" t="str">
        <f>HYPERLINK("https://www.linkedin.com/ad-library/detail/1228682024","Open Ad")</f>
        <v>Open Ad</v>
      </c>
      <c r="E253" s="4" t="s">
        <v>78</v>
      </c>
      <c r="F253" s="4" t="s">
        <v>2316</v>
      </c>
      <c r="G253" s="4" t="s">
        <v>2318</v>
      </c>
      <c r="H253" s="4" t="s">
        <v>49</v>
      </c>
      <c r="I253" s="4" t="s">
        <v>1077</v>
      </c>
      <c r="J253" s="4" t="s">
        <v>78</v>
      </c>
      <c r="K253" s="5" t="str">
        <f>HYPERLINK("https://media.licdn.com/dms/image/v2/D4E10AQHeUENnHKK66g/image-shrink_1280/B4EZy4VbjxGsAc-/0/1772619151963/1200x1200png?e=2147483647&amp;v=beta&amp;t=bY0yL60xAM-TDwNb_5l5HWATstnNaBz_lL_RwL2b6fk","View Creative")</f>
        <v>View Creative</v>
      </c>
      <c r="L253" s="4" t="s">
        <v>2321</v>
      </c>
      <c r="M253" s="4" t="s">
        <v>61</v>
      </c>
      <c r="N253" s="4" t="s">
        <v>2323</v>
      </c>
      <c r="O253" s="4" t="s">
        <v>89</v>
      </c>
      <c r="P253" s="4" t="s">
        <v>2325</v>
      </c>
    </row>
    <row r="254">
      <c r="A254" s="4" t="s">
        <v>40</v>
      </c>
      <c r="B254" s="4" t="s">
        <v>40</v>
      </c>
      <c r="C254" s="4">
        <v>252.0</v>
      </c>
      <c r="D254" s="5" t="str">
        <f>HYPERLINK("https://www.linkedin.com/ad-library/detail/1227884624","Open Ad")</f>
        <v>Open Ad</v>
      </c>
      <c r="E254" s="4" t="s">
        <v>78</v>
      </c>
      <c r="F254" s="4" t="s">
        <v>2031</v>
      </c>
      <c r="G254" s="4" t="s">
        <v>436</v>
      </c>
      <c r="H254" s="4" t="s">
        <v>49</v>
      </c>
      <c r="I254" s="4" t="s">
        <v>166</v>
      </c>
      <c r="J254" s="4" t="s">
        <v>78</v>
      </c>
      <c r="K254" s="5" t="str">
        <f>HYPERLINK("https://media.licdn.com/dms/image/v2/D4E10AQH7gwxeJKFAng/image-shrink_1280/B4EZy5HdHTKoAg-/0/1772632265480/scalebrandvisibility212001200png?e=2147483647&amp;v=beta&amp;t=PVNk7FLYyc_MDbsQ0JLaoKTgW77EKz5K73koDCzAIwA","View Creative")</f>
        <v>View Creative</v>
      </c>
      <c r="L254" s="4" t="s">
        <v>60</v>
      </c>
      <c r="M254" s="4" t="s">
        <v>61</v>
      </c>
      <c r="N254" s="4" t="s">
        <v>2311</v>
      </c>
      <c r="O254" s="4" t="s">
        <v>89</v>
      </c>
      <c r="P254" s="4" t="s">
        <v>2333</v>
      </c>
    </row>
    <row r="255">
      <c r="A255" s="4" t="s">
        <v>40</v>
      </c>
      <c r="B255" s="4" t="s">
        <v>40</v>
      </c>
      <c r="C255" s="4">
        <v>253.0</v>
      </c>
      <c r="D255" s="5" t="str">
        <f>HYPERLINK("https://www.linkedin.com/ad-library/detail/1229687904","Open Ad")</f>
        <v>Open Ad</v>
      </c>
      <c r="E255" s="4" t="s">
        <v>78</v>
      </c>
      <c r="F255" s="4" t="s">
        <v>1331</v>
      </c>
      <c r="G255" s="4" t="s">
        <v>2258</v>
      </c>
      <c r="H255" s="4" t="s">
        <v>49</v>
      </c>
      <c r="I255" s="4" t="s">
        <v>661</v>
      </c>
      <c r="J255" s="4" t="s">
        <v>78</v>
      </c>
      <c r="K255" s="5" t="str">
        <f>HYPERLINK("https://media.licdn.com/dms/image/v2/D4E10AQEuXpWM-T9dLw/image-shrink_1280/B4EZy_X2BxIMAk-/0/1772737225922/Open-Role-Senior-Golang-Developer-4320-4320png?e=2147483647&amp;v=beta&amp;t=Uok-Dwv_R3KJsQUFHWhoBR5oiHljczS-L0OmL6yz80w","View Creative")</f>
        <v>View Creative</v>
      </c>
      <c r="L255" s="4" t="s">
        <v>60</v>
      </c>
      <c r="M255" s="4" t="s">
        <v>61</v>
      </c>
      <c r="N255" s="4" t="s">
        <v>2263</v>
      </c>
      <c r="O255" s="4" t="s">
        <v>89</v>
      </c>
      <c r="P255" s="4" t="s">
        <v>2343</v>
      </c>
    </row>
    <row r="256">
      <c r="A256" s="4" t="s">
        <v>40</v>
      </c>
      <c r="B256" s="4" t="s">
        <v>40</v>
      </c>
      <c r="C256" s="4">
        <v>254.0</v>
      </c>
      <c r="D256" s="5" t="str">
        <f>HYPERLINK("https://www.linkedin.com/ad-library/detail/1229787494","Open Ad")</f>
        <v>Open Ad</v>
      </c>
      <c r="E256" s="4" t="s">
        <v>78</v>
      </c>
      <c r="F256" s="4" t="s">
        <v>1331</v>
      </c>
      <c r="G256" s="4" t="s">
        <v>2258</v>
      </c>
      <c r="H256" s="4" t="s">
        <v>49</v>
      </c>
      <c r="I256" s="4" t="s">
        <v>661</v>
      </c>
      <c r="J256" s="4" t="s">
        <v>78</v>
      </c>
      <c r="K256" s="5" t="str">
        <f>HYPERLINK("https://media.licdn.com/dms/image/v2/D4E10AQGL4yR90e1uJA/image-shrink_1280/B4EZy_X2FGJAAc-/0/1772737225752/Open-Role-Senior-Golang-Developer-2430-4320png?e=2147483647&amp;v=beta&amp;t=kdcCNb9ZtqpEvGbsTEqHhuotfw_jNGWGI32ufR22qSw","View Creative")</f>
        <v>View Creative</v>
      </c>
      <c r="L256" s="4" t="s">
        <v>60</v>
      </c>
      <c r="M256" s="4" t="s">
        <v>61</v>
      </c>
      <c r="N256" s="4" t="s">
        <v>2263</v>
      </c>
      <c r="O256" s="4" t="s">
        <v>89</v>
      </c>
      <c r="P256" s="4" t="s">
        <v>2351</v>
      </c>
    </row>
    <row r="257">
      <c r="A257" s="4" t="s">
        <v>40</v>
      </c>
      <c r="B257" s="4" t="s">
        <v>40</v>
      </c>
      <c r="C257" s="4">
        <v>255.0</v>
      </c>
      <c r="D257" s="5" t="str">
        <f>HYPERLINK("https://www.linkedin.com/ad-library/detail/1229787344","Open Ad")</f>
        <v>Open Ad</v>
      </c>
      <c r="E257" s="4" t="s">
        <v>78</v>
      </c>
      <c r="F257" s="4" t="s">
        <v>2198</v>
      </c>
      <c r="G257" s="4" t="s">
        <v>2199</v>
      </c>
      <c r="H257" s="4" t="s">
        <v>49</v>
      </c>
      <c r="I257" s="4" t="s">
        <v>661</v>
      </c>
      <c r="J257" s="4" t="s">
        <v>78</v>
      </c>
      <c r="K257" s="5" t="str">
        <f>HYPERLINK("https://media.licdn.com/dms/image/v2/D4E10AQGyVsmKqzw67w/image-shrink_1280/B4EZy_Ui.hIEAc-/0/1772736361597/Open-Role-Onboarding-Consultant-Spanish-Speaking-4320-4320png?e=2147483647&amp;v=beta&amp;t=lDy2oXd-1t7Z8_fmAC87IHqFeWPt58CY9pd47m8h1WM","View Creative")</f>
        <v>View Creative</v>
      </c>
      <c r="L257" s="4" t="s">
        <v>60</v>
      </c>
      <c r="M257" s="4" t="s">
        <v>61</v>
      </c>
      <c r="N257" s="4" t="s">
        <v>2358</v>
      </c>
      <c r="O257" s="4" t="s">
        <v>89</v>
      </c>
      <c r="P257" s="4" t="s">
        <v>2359</v>
      </c>
    </row>
    <row r="258">
      <c r="A258" s="4" t="s">
        <v>40</v>
      </c>
      <c r="B258" s="4" t="s">
        <v>40</v>
      </c>
      <c r="C258" s="4">
        <v>256.0</v>
      </c>
      <c r="D258" s="5" t="str">
        <f>HYPERLINK("https://www.linkedin.com/ad-library/detail/1146807134","Open Ad")</f>
        <v>Open Ad</v>
      </c>
      <c r="E258" s="4" t="s">
        <v>78</v>
      </c>
      <c r="F258" s="4" t="s">
        <v>2107</v>
      </c>
      <c r="G258" s="4" t="s">
        <v>2108</v>
      </c>
      <c r="H258" s="4" t="s">
        <v>49</v>
      </c>
      <c r="I258" s="4" t="s">
        <v>661</v>
      </c>
      <c r="J258" s="4" t="s">
        <v>78</v>
      </c>
      <c r="K258" s="5" t="str">
        <f>HYPERLINK("https://media.licdn.com/dms/image/v2/D4E10AQGVUw2nNAykUQ/image-shrink_1280/B4EZx6_R7eJsAc-/0/1771589936454/Open-Role-Senior-Manager-Consulting-Services-7680-4320png?e=2147483647&amp;v=beta&amp;t=sMJ8Z41bXcKjRvgzT8xPMYq35darKoHQ2IyfTXipqpU","View Creative")</f>
        <v>View Creative</v>
      </c>
      <c r="L258" s="4" t="s">
        <v>106</v>
      </c>
      <c r="M258" s="4" t="s">
        <v>61</v>
      </c>
      <c r="O258" s="4" t="s">
        <v>89</v>
      </c>
      <c r="P258" s="4" t="s">
        <v>2368</v>
      </c>
    </row>
    <row r="259">
      <c r="A259" s="4" t="s">
        <v>40</v>
      </c>
      <c r="B259" s="4" t="s">
        <v>40</v>
      </c>
      <c r="C259" s="4">
        <v>257.0</v>
      </c>
      <c r="D259" s="5" t="str">
        <f>HYPERLINK("https://www.linkedin.com/ad-library/detail/1229787334","Open Ad")</f>
        <v>Open Ad</v>
      </c>
      <c r="E259" s="4" t="s">
        <v>78</v>
      </c>
      <c r="F259" s="4" t="s">
        <v>2198</v>
      </c>
      <c r="G259" s="4" t="s">
        <v>2199</v>
      </c>
      <c r="H259" s="4" t="s">
        <v>49</v>
      </c>
      <c r="I259" s="4" t="s">
        <v>661</v>
      </c>
      <c r="J259" s="4" t="s">
        <v>78</v>
      </c>
      <c r="K259" s="5" t="str">
        <f>HYPERLINK("https://media.licdn.com/dms/image/v2/D4E10AQFA_lX0cCzVxA/image-shrink_1280/B4EZy_Ui.4JcAc-/0/1772736362110/Open-Role-Onboarding-Consultant-Spanish-Speaking-7680-4320png?e=2147483647&amp;v=beta&amp;t=BKVvMwPGtILNF8tbuocr-0d6wRoabi1QUAdSMJUntuA","View Creative")</f>
        <v>View Creative</v>
      </c>
      <c r="L259" s="4" t="s">
        <v>60</v>
      </c>
      <c r="M259" s="4" t="s">
        <v>61</v>
      </c>
      <c r="N259" s="4" t="s">
        <v>2358</v>
      </c>
      <c r="O259" s="4" t="s">
        <v>89</v>
      </c>
      <c r="P259" s="4" t="s">
        <v>2373</v>
      </c>
    </row>
    <row r="260">
      <c r="A260" s="4" t="s">
        <v>40</v>
      </c>
      <c r="B260" s="4" t="s">
        <v>40</v>
      </c>
      <c r="C260" s="4">
        <v>258.0</v>
      </c>
      <c r="D260" s="5" t="str">
        <f>HYPERLINK("https://www.linkedin.com/ad-library/detail/1228899724","Open Ad")</f>
        <v>Open Ad</v>
      </c>
      <c r="E260" s="4" t="s">
        <v>78</v>
      </c>
      <c r="F260" s="4" t="s">
        <v>2207</v>
      </c>
      <c r="G260" s="4" t="s">
        <v>1870</v>
      </c>
      <c r="H260" s="4" t="s">
        <v>49</v>
      </c>
      <c r="I260" s="4" t="s">
        <v>661</v>
      </c>
      <c r="J260" s="4" t="s">
        <v>78</v>
      </c>
      <c r="K260" s="5" t="str">
        <f>HYPERLINK("https://media.licdn.com/dms/image/v2/D4E10AQF-rk609-a6Gg/image-shrink_1280/B4EZy_DfLrHoAc-/0/1772731889505/Open-Role-Senior-Data-Engineer-4320-4320png?e=2147483647&amp;v=beta&amp;t=TQmKrsUQ3VC6rEA_pnP2E8NxoZgD7azSyzj9acErzEM","View Creative")</f>
        <v>View Creative</v>
      </c>
      <c r="L260" s="4" t="s">
        <v>60</v>
      </c>
      <c r="M260" s="4" t="s">
        <v>61</v>
      </c>
      <c r="N260" s="4" t="s">
        <v>2263</v>
      </c>
      <c r="O260" s="4" t="s">
        <v>89</v>
      </c>
      <c r="P260" s="4" t="s">
        <v>2383</v>
      </c>
    </row>
    <row r="261">
      <c r="A261" s="4" t="s">
        <v>40</v>
      </c>
      <c r="B261" s="4" t="s">
        <v>40</v>
      </c>
      <c r="C261" s="4">
        <v>259.0</v>
      </c>
      <c r="D261" s="5" t="str">
        <f>HYPERLINK("https://www.linkedin.com/ad-library/detail/1227699604","Open Ad")</f>
        <v>Open Ad</v>
      </c>
      <c r="E261" s="4" t="s">
        <v>78</v>
      </c>
      <c r="F261" s="4" t="s">
        <v>2198</v>
      </c>
      <c r="G261" s="4" t="s">
        <v>2199</v>
      </c>
      <c r="H261" s="4" t="s">
        <v>49</v>
      </c>
      <c r="I261" s="4" t="s">
        <v>661</v>
      </c>
      <c r="J261" s="4" t="s">
        <v>78</v>
      </c>
      <c r="K261" s="5" t="str">
        <f>HYPERLINK("https://media.licdn.com/dms/image/v2/D4E10AQGJQHKMY1PQig/image-shrink_1280/B4EZznP3fDHEAc-/0/1773406224299/Open-Role-Onboarding-Consultant-Spanish-speaking-7680-4320png?e=2147483647&amp;v=beta&amp;t=c5mzGvWq9-lrus_wjW2FI5HJAEAmerLa9XfA-U0X5LY","View Creative")</f>
        <v>View Creative</v>
      </c>
      <c r="L261" s="4" t="s">
        <v>60</v>
      </c>
      <c r="M261" s="4" t="s">
        <v>61</v>
      </c>
      <c r="N261" s="4" t="s">
        <v>2393</v>
      </c>
      <c r="O261" s="4" t="s">
        <v>89</v>
      </c>
      <c r="P261" s="4" t="s">
        <v>2394</v>
      </c>
    </row>
    <row r="262">
      <c r="A262" s="4" t="s">
        <v>40</v>
      </c>
      <c r="B262" s="4" t="s">
        <v>40</v>
      </c>
      <c r="C262" s="4">
        <v>260.0</v>
      </c>
      <c r="D262" s="5" t="str">
        <f>HYPERLINK("https://www.linkedin.com/ad-library/detail/1230084044","Open Ad")</f>
        <v>Open Ad</v>
      </c>
      <c r="E262" s="4" t="s">
        <v>78</v>
      </c>
      <c r="F262" s="4" t="s">
        <v>2055</v>
      </c>
      <c r="G262" s="4" t="s">
        <v>2056</v>
      </c>
      <c r="H262" s="4" t="s">
        <v>49</v>
      </c>
      <c r="I262" s="4" t="s">
        <v>661</v>
      </c>
      <c r="J262" s="4" t="s">
        <v>78</v>
      </c>
      <c r="K262" s="5" t="str">
        <f>HYPERLINK("https://media.licdn.com/dms/image/v2/D4E10AQF_YIWdPBxX7g/image-shrink_1280/B4EZy_T1dfGYAg-/0/1772736175743/Open-Role-Digital-Art-Director-Web-Design-7680-4320png?e=2147483647&amp;v=beta&amp;t=xI25eRnjNw90ajzF9Vx_DTEJsOwX7qfC-490QE-xo2E","View Creative")</f>
        <v>View Creative</v>
      </c>
      <c r="L262" s="4" t="s">
        <v>60</v>
      </c>
      <c r="M262" s="4" t="s">
        <v>61</v>
      </c>
      <c r="N262" s="4" t="s">
        <v>2358</v>
      </c>
      <c r="O262" s="4" t="s">
        <v>89</v>
      </c>
      <c r="P262" s="4" t="s">
        <v>2399</v>
      </c>
    </row>
    <row r="263">
      <c r="A263" s="4" t="s">
        <v>40</v>
      </c>
      <c r="B263" s="4" t="s">
        <v>40</v>
      </c>
      <c r="C263" s="4">
        <v>261.0</v>
      </c>
      <c r="D263" s="5" t="str">
        <f>HYPERLINK("https://www.linkedin.com/ad-library/detail/1229281274","Open Ad")</f>
        <v>Open Ad</v>
      </c>
      <c r="E263" s="4" t="s">
        <v>78</v>
      </c>
      <c r="F263" s="4" t="s">
        <v>2316</v>
      </c>
      <c r="G263" s="4" t="s">
        <v>2405</v>
      </c>
      <c r="H263" s="4" t="s">
        <v>49</v>
      </c>
      <c r="I263" s="4" t="s">
        <v>198</v>
      </c>
      <c r="J263" s="4" t="s">
        <v>78</v>
      </c>
      <c r="K263" s="5" t="str">
        <f>HYPERLINK("https://media.licdn.com/dms/image/v2/D4E10AQHeUENnHKK66g/image-shrink_1280/B4EZy4VbjxGsAc-/0/1772619151963/1200x1200png?e=2147483647&amp;v=beta&amp;t=bY0yL60xAM-TDwNb_5l5HWATstnNaBz_lL_RwL2b6fk","View Creative")</f>
        <v>View Creative</v>
      </c>
      <c r="L263" s="4" t="s">
        <v>2321</v>
      </c>
      <c r="M263" s="4" t="s">
        <v>61</v>
      </c>
      <c r="N263" s="4" t="s">
        <v>2323</v>
      </c>
      <c r="O263" s="4" t="s">
        <v>89</v>
      </c>
      <c r="P263" s="4" t="s">
        <v>2410</v>
      </c>
    </row>
    <row r="264">
      <c r="A264" s="4" t="s">
        <v>40</v>
      </c>
      <c r="B264" s="4" t="s">
        <v>40</v>
      </c>
      <c r="C264" s="4">
        <v>262.0</v>
      </c>
      <c r="D264" s="5" t="str">
        <f>HYPERLINK("https://www.linkedin.com/ad-library/detail/1147201634","Open Ad")</f>
        <v>Open Ad</v>
      </c>
      <c r="E264" s="4" t="s">
        <v>78</v>
      </c>
      <c r="F264" s="4" t="s">
        <v>2107</v>
      </c>
      <c r="G264" s="4" t="s">
        <v>2108</v>
      </c>
      <c r="H264" s="4" t="s">
        <v>49</v>
      </c>
      <c r="I264" s="4" t="s">
        <v>661</v>
      </c>
      <c r="J264" s="4" t="s">
        <v>78</v>
      </c>
      <c r="K264" s="5" t="str">
        <f>HYPERLINK("https://media.licdn.com/dms/image/v2/D4E10AQE66X1HVtaByA/image-shrink_1280/B4EZx6_R4pIQAc-/0/1771589935628/Open-Role-Senior-Manager-Consulting-Services-4320-4320png?e=2147483647&amp;v=beta&amp;t=AbLHOVPj8z5B0XdNoMi5BUazRa0d8KwmNOthttVC8C4","View Creative")</f>
        <v>View Creative</v>
      </c>
      <c r="L264" s="4" t="s">
        <v>106</v>
      </c>
      <c r="M264" s="4" t="s">
        <v>61</v>
      </c>
      <c r="O264" s="4" t="s">
        <v>89</v>
      </c>
      <c r="P264" s="4" t="s">
        <v>2419</v>
      </c>
    </row>
    <row r="265">
      <c r="A265" s="4" t="s">
        <v>40</v>
      </c>
      <c r="B265" s="4" t="s">
        <v>40</v>
      </c>
      <c r="C265" s="4">
        <v>263.0</v>
      </c>
      <c r="D265" s="5" t="str">
        <f>HYPERLINK("https://www.linkedin.com/ad-library/detail/1227299384","Open Ad")</f>
        <v>Open Ad</v>
      </c>
      <c r="E265" s="4" t="s">
        <v>78</v>
      </c>
      <c r="F265" s="4" t="s">
        <v>2055</v>
      </c>
      <c r="G265" s="4" t="s">
        <v>2056</v>
      </c>
      <c r="H265" s="4" t="s">
        <v>49</v>
      </c>
      <c r="I265" s="4" t="s">
        <v>661</v>
      </c>
      <c r="J265" s="4" t="s">
        <v>78</v>
      </c>
      <c r="K265" s="5" t="str">
        <f>HYPERLINK("https://media.licdn.com/dms/image/v2/D4E10AQF6qjIzwZ4r-A/image-shrink_1280/B4EZznQWWUJoAc-/0/1773406350196/Open-Role-Digital-Art-Director-Web-Design-7680-4320png?e=2147483647&amp;v=beta&amp;t=8HpHKZ6OXR2Aw2QYWVELFUVS_bv75ADc6ac5MXGgRCU","View Creative")</f>
        <v>View Creative</v>
      </c>
      <c r="L265" s="4" t="s">
        <v>60</v>
      </c>
      <c r="M265" s="4" t="s">
        <v>61</v>
      </c>
      <c r="N265" s="4" t="s">
        <v>2290</v>
      </c>
      <c r="O265" s="4" t="s">
        <v>89</v>
      </c>
      <c r="P265" s="4" t="s">
        <v>2426</v>
      </c>
    </row>
    <row r="266">
      <c r="A266" s="4" t="s">
        <v>40</v>
      </c>
      <c r="B266" s="4" t="s">
        <v>40</v>
      </c>
      <c r="C266" s="4">
        <v>264.0</v>
      </c>
      <c r="D266" s="5" t="str">
        <f>HYPERLINK("https://www.linkedin.com/ad-library/detail/1230179994","Open Ad")</f>
        <v>Open Ad</v>
      </c>
      <c r="E266" s="4" t="s">
        <v>78</v>
      </c>
      <c r="F266" s="4" t="s">
        <v>2055</v>
      </c>
      <c r="G266" s="4" t="s">
        <v>2056</v>
      </c>
      <c r="H266" s="4" t="s">
        <v>49</v>
      </c>
      <c r="I266" s="4" t="s">
        <v>661</v>
      </c>
      <c r="J266" s="4" t="s">
        <v>78</v>
      </c>
      <c r="K266" s="5" t="str">
        <f>HYPERLINK("https://media.licdn.com/dms/image/v2/D4E10AQGrNAA8XhQBGg/image-shrink_1280/B4EZy_T1c3HgAg-/0/1772736175574/Open-Role-Digital-Art-Director-Web-Design-4320-4320png?e=2147483647&amp;v=beta&amp;t=fL16POPii0O1khXC_c8ZT4UdwboFqpiwm86mHIHvllc","View Creative")</f>
        <v>View Creative</v>
      </c>
      <c r="L266" s="4" t="s">
        <v>60</v>
      </c>
      <c r="M266" s="4" t="s">
        <v>61</v>
      </c>
      <c r="N266" s="4" t="s">
        <v>2358</v>
      </c>
      <c r="O266" s="4" t="s">
        <v>89</v>
      </c>
      <c r="P266" s="4" t="s">
        <v>2432</v>
      </c>
    </row>
    <row r="267">
      <c r="A267" s="4" t="s">
        <v>40</v>
      </c>
      <c r="B267" s="4" t="s">
        <v>40</v>
      </c>
      <c r="C267" s="4">
        <v>265.0</v>
      </c>
      <c r="D267" s="5" t="str">
        <f>HYPERLINK("https://www.linkedin.com/ad-library/detail/1144690564","Open Ad")</f>
        <v>Open Ad</v>
      </c>
      <c r="E267" s="4" t="s">
        <v>78</v>
      </c>
      <c r="F267" s="4" t="s">
        <v>2437</v>
      </c>
      <c r="G267" s="4" t="s">
        <v>2438</v>
      </c>
      <c r="H267" s="4" t="s">
        <v>49</v>
      </c>
      <c r="I267" s="4" t="s">
        <v>661</v>
      </c>
      <c r="J267" s="4" t="s">
        <v>78</v>
      </c>
      <c r="K267" s="5" t="str">
        <f>HYPERLINK("https://media.licdn.com/dms/image/v2/D4E10AQFB2Yvu_KNu7A/image-shrink_1280/B4EZxSNoijIMAc-/0/1770905832633/Open-Role-Programmatic-Display-Lead-4320-4320png?e=2147483647&amp;v=beta&amp;t=gsbbpmGIyabkyvqIyyhRQTkmRVpB9mLwpIrHZrU7Oyg","View Creative")</f>
        <v>View Creative</v>
      </c>
      <c r="L267" s="4" t="s">
        <v>60</v>
      </c>
      <c r="M267" s="4" t="s">
        <v>61</v>
      </c>
      <c r="N267" s="4" t="s">
        <v>2443</v>
      </c>
      <c r="O267" s="4" t="s">
        <v>89</v>
      </c>
      <c r="P267" s="4" t="s">
        <v>2444</v>
      </c>
    </row>
    <row r="268">
      <c r="A268" s="4" t="s">
        <v>40</v>
      </c>
      <c r="B268" s="4" t="s">
        <v>40</v>
      </c>
      <c r="C268" s="4">
        <v>266.0</v>
      </c>
      <c r="D268" s="5" t="str">
        <f>HYPERLINK("https://www.linkedin.com/ad-library/detail/1146305134","Open Ad")</f>
        <v>Open Ad</v>
      </c>
      <c r="E268" s="4" t="s">
        <v>78</v>
      </c>
      <c r="F268" s="4" t="s">
        <v>756</v>
      </c>
      <c r="G268" s="4" t="s">
        <v>2450</v>
      </c>
      <c r="H268" s="4" t="s">
        <v>49</v>
      </c>
      <c r="I268" s="4" t="s">
        <v>661</v>
      </c>
      <c r="J268" s="4" t="s">
        <v>78</v>
      </c>
      <c r="K268" s="5" t="str">
        <f>HYPERLINK("https://media.licdn.com/dms/image/v2/D4E10AQGMwOVBsrs5eg/image-shrink_1280/B4EZx2poYDJMAg-/0/1771517151685/Open-Role-Senior-Accountant-2430-4320png?e=2147483647&amp;v=beta&amp;t=cAZsbzsGNfakJchIzvC8X-NeakpMKk0pgS7JBVMHd_c","View Creative")</f>
        <v>View Creative</v>
      </c>
      <c r="L268" s="4" t="s">
        <v>106</v>
      </c>
      <c r="M268" s="4" t="s">
        <v>61</v>
      </c>
      <c r="O268" s="4" t="s">
        <v>89</v>
      </c>
      <c r="P268" s="4" t="s">
        <v>2453</v>
      </c>
    </row>
    <row r="269">
      <c r="A269" s="4" t="s">
        <v>40</v>
      </c>
      <c r="B269" s="4" t="s">
        <v>40</v>
      </c>
      <c r="C269" s="4">
        <v>267.0</v>
      </c>
      <c r="D269" s="5" t="str">
        <f>HYPERLINK("https://www.linkedin.com/ad-library/detail/1146902364","Open Ad")</f>
        <v>Open Ad</v>
      </c>
      <c r="E269" s="4" t="s">
        <v>78</v>
      </c>
      <c r="F269" s="4" t="s">
        <v>2031</v>
      </c>
      <c r="G269" s="4" t="s">
        <v>436</v>
      </c>
      <c r="H269" s="4" t="s">
        <v>49</v>
      </c>
      <c r="I269" s="4" t="s">
        <v>166</v>
      </c>
      <c r="J269" s="4" t="s">
        <v>78</v>
      </c>
      <c r="K269" s="5" t="str">
        <f>HYPERLINK("https://media.licdn.com/dms/image/v2/D4E10AQHynFNJPFFQeQ/image-shrink_1280/B4EZvG6LdmJ4Ac-/0/1768568699237/Featureyourbrand?e=2147483647&amp;v=beta&amp;t=9EQZcmOSV1nDZCnM4-yMCbcShWmyziraZHFdOsN21Pc","View Creative")</f>
        <v>View Creative</v>
      </c>
      <c r="L269" s="4" t="s">
        <v>2321</v>
      </c>
      <c r="M269" s="4" t="s">
        <v>61</v>
      </c>
      <c r="N269" s="4" t="s">
        <v>2461</v>
      </c>
      <c r="O269" s="4" t="s">
        <v>89</v>
      </c>
      <c r="P269" s="4" t="s">
        <v>2462</v>
      </c>
    </row>
    <row r="270">
      <c r="A270" s="4" t="s">
        <v>40</v>
      </c>
      <c r="B270" s="4" t="s">
        <v>40</v>
      </c>
      <c r="C270" s="4">
        <v>268.0</v>
      </c>
      <c r="D270" s="5" t="str">
        <f>HYPERLINK("https://www.linkedin.com/ad-library/detail/1146896944","Open Ad")</f>
        <v>Open Ad</v>
      </c>
      <c r="E270" s="4" t="s">
        <v>78</v>
      </c>
      <c r="F270" s="4" t="s">
        <v>2467</v>
      </c>
      <c r="G270" s="4" t="s">
        <v>2468</v>
      </c>
      <c r="H270" s="4" t="s">
        <v>49</v>
      </c>
      <c r="I270" s="4" t="s">
        <v>661</v>
      </c>
      <c r="J270" s="4" t="s">
        <v>78</v>
      </c>
      <c r="K270" s="5" t="str">
        <f>HYPERLINK("https://media.licdn.com/dms/image/v2/D4E10AQEowAPP4MgcQg/image-shrink_1280/B4EZx2ujpyJgAc-/0/1771518443153/Open-Role-Security-Compliance-Specialist-2430-4320png?e=2147483647&amp;v=beta&amp;t=feh9II6kikgAMxByYKEbKan09iQ8HVPOH0mc8C8oQAI","View Creative")</f>
        <v>View Creative</v>
      </c>
      <c r="L270" s="4" t="s">
        <v>60</v>
      </c>
      <c r="M270" s="4" t="s">
        <v>61</v>
      </c>
      <c r="N270" s="4" t="s">
        <v>2472</v>
      </c>
      <c r="O270" s="4" t="s">
        <v>89</v>
      </c>
      <c r="P270" s="4" t="s">
        <v>2474</v>
      </c>
    </row>
    <row r="271">
      <c r="A271" s="4" t="s">
        <v>40</v>
      </c>
      <c r="B271" s="4" t="s">
        <v>40</v>
      </c>
      <c r="C271" s="4">
        <v>269.0</v>
      </c>
      <c r="D271" s="5" t="str">
        <f>HYPERLINK("https://www.linkedin.com/ad-library/detail/1145421634","Open Ad")</f>
        <v>Open Ad</v>
      </c>
      <c r="E271" s="4" t="s">
        <v>78</v>
      </c>
      <c r="F271" s="4" t="s">
        <v>2031</v>
      </c>
      <c r="G271" s="4" t="s">
        <v>436</v>
      </c>
      <c r="H271" s="4" t="s">
        <v>49</v>
      </c>
      <c r="I271" s="4" t="s">
        <v>166</v>
      </c>
      <c r="J271" s="4" t="s">
        <v>78</v>
      </c>
      <c r="K271" s="5" t="str">
        <f>HYPERLINK("https://media.licdn.com/dms/image/v2/D4E10AQF65IrenmbttA/image-shrink_1280/B4EZvG6FZkIkAc-/0/1768568674385/1200x1200png?e=2147483647&amp;v=beta&amp;t=RhnM6wXZDszpR3ZtD8-aHceeYdQmbNH4RbmbhW1kBiU","View Creative")</f>
        <v>View Creative</v>
      </c>
      <c r="L271" s="4" t="s">
        <v>2321</v>
      </c>
      <c r="M271" s="4" t="s">
        <v>61</v>
      </c>
      <c r="N271" s="4" t="s">
        <v>2480</v>
      </c>
      <c r="O271" s="4" t="s">
        <v>89</v>
      </c>
      <c r="P271" s="4" t="s">
        <v>2481</v>
      </c>
    </row>
    <row r="272">
      <c r="A272" s="4" t="s">
        <v>40</v>
      </c>
      <c r="B272" s="4" t="s">
        <v>40</v>
      </c>
      <c r="C272" s="4">
        <v>270.0</v>
      </c>
      <c r="D272" s="5" t="str">
        <f>HYPERLINK("https://www.linkedin.com/ad-library/detail/1145529504","Open Ad")</f>
        <v>Open Ad</v>
      </c>
      <c r="E272" s="4" t="s">
        <v>78</v>
      </c>
      <c r="F272" s="4" t="s">
        <v>2467</v>
      </c>
      <c r="G272" s="4" t="s">
        <v>2468</v>
      </c>
      <c r="H272" s="4" t="s">
        <v>49</v>
      </c>
      <c r="I272" s="4" t="s">
        <v>661</v>
      </c>
      <c r="J272" s="4" t="s">
        <v>78</v>
      </c>
      <c r="K272" s="5" t="str">
        <f>HYPERLINK("https://media.licdn.com/dms/image/v2/D4E10AQE0cZpeZpDN5w/image-shrink_1280/B4EZx2ujp.GgAc-/0/1771518443172/Open-Role-Security-Compliance-Specialist-4320-4320png?e=2147483647&amp;v=beta&amp;t=70WYIeY8lBZtisFxAdRdrrgDJXIEthnSSimUu6p9zv8","View Creative")</f>
        <v>View Creative</v>
      </c>
      <c r="L272" s="4" t="s">
        <v>60</v>
      </c>
      <c r="M272" s="4" t="s">
        <v>61</v>
      </c>
      <c r="N272" s="4" t="s">
        <v>2472</v>
      </c>
      <c r="O272" s="4" t="s">
        <v>89</v>
      </c>
      <c r="P272" s="4" t="s">
        <v>2492</v>
      </c>
    </row>
    <row r="273">
      <c r="A273" s="4" t="s">
        <v>40</v>
      </c>
      <c r="B273" s="4" t="s">
        <v>40</v>
      </c>
      <c r="C273" s="4">
        <v>271.0</v>
      </c>
      <c r="D273" s="5" t="str">
        <f>HYPERLINK("https://www.linkedin.com/ad-library/detail/1145535124","Open Ad")</f>
        <v>Open Ad</v>
      </c>
      <c r="E273" s="4" t="s">
        <v>78</v>
      </c>
      <c r="F273" s="4" t="s">
        <v>2031</v>
      </c>
      <c r="G273" s="4" t="s">
        <v>436</v>
      </c>
      <c r="H273" s="4" t="s">
        <v>49</v>
      </c>
      <c r="I273" s="4" t="s">
        <v>166</v>
      </c>
      <c r="J273" s="4" t="s">
        <v>78</v>
      </c>
      <c r="K273" s="5" t="str">
        <f>HYPERLINK("https://media.licdn.com/dms/image/v2/D4E10AQGG-dkMk_qCWA/image-shrink_1280/B4EZvG6Y1uIIAc-/0/1768568754048/TurnAIsearchvisibility?e=2147483647&amp;v=beta&amp;t=OmqASWqo4cgZoXkinMrWyIWNCRt9IMsquYjbiy3OkBE","View Creative")</f>
        <v>View Creative</v>
      </c>
      <c r="L273" s="4" t="s">
        <v>2321</v>
      </c>
      <c r="M273" s="4" t="s">
        <v>61</v>
      </c>
      <c r="N273" s="4" t="s">
        <v>2461</v>
      </c>
      <c r="O273" s="4" t="s">
        <v>89</v>
      </c>
      <c r="P273" s="4" t="s">
        <v>2498</v>
      </c>
    </row>
    <row r="274">
      <c r="A274" s="4" t="s">
        <v>40</v>
      </c>
      <c r="B274" s="4" t="s">
        <v>40</v>
      </c>
      <c r="C274" s="4">
        <v>272.0</v>
      </c>
      <c r="D274" s="5" t="str">
        <f>HYPERLINK("https://www.linkedin.com/ad-library/detail/1146692914","Open Ad")</f>
        <v>Open Ad</v>
      </c>
      <c r="E274" s="4" t="s">
        <v>78</v>
      </c>
      <c r="F274" s="4" t="s">
        <v>2031</v>
      </c>
      <c r="G274" s="4" t="s">
        <v>436</v>
      </c>
      <c r="H274" s="4" t="s">
        <v>49</v>
      </c>
      <c r="I274" s="4" t="s">
        <v>166</v>
      </c>
      <c r="J274" s="4" t="s">
        <v>78</v>
      </c>
      <c r="K274" s="5" t="str">
        <f>HYPERLINK("https://media.licdn.com/dms/image/v2/D4E10AQEFeakBi16dHA/image-shrink_1280/B4EZvG5.vFHoAc-/0/1768568647134/1200x1200png?e=2147483647&amp;v=beta&amp;t=7dHuq2lrn8oY8Rglcc4eZaMBizQmKMVa5eT2tqpXI2U","View Creative")</f>
        <v>View Creative</v>
      </c>
      <c r="L274" s="4" t="s">
        <v>2321</v>
      </c>
      <c r="M274" s="4" t="s">
        <v>61</v>
      </c>
      <c r="N274" s="4" t="s">
        <v>2480</v>
      </c>
      <c r="O274" s="4" t="s">
        <v>89</v>
      </c>
      <c r="P274" s="4" t="s">
        <v>2507</v>
      </c>
    </row>
    <row r="275">
      <c r="A275" s="4" t="s">
        <v>40</v>
      </c>
      <c r="B275" s="4" t="s">
        <v>40</v>
      </c>
      <c r="C275" s="4">
        <v>273.0</v>
      </c>
      <c r="D275" s="5" t="str">
        <f>HYPERLINK("https://www.linkedin.com/ad-library/detail/1146800914","Open Ad")</f>
        <v>Open Ad</v>
      </c>
      <c r="E275" s="4" t="s">
        <v>78</v>
      </c>
      <c r="F275" s="4" t="s">
        <v>2467</v>
      </c>
      <c r="G275" s="4" t="s">
        <v>2468</v>
      </c>
      <c r="H275" s="4" t="s">
        <v>49</v>
      </c>
      <c r="I275" s="4" t="s">
        <v>661</v>
      </c>
      <c r="J275" s="4" t="s">
        <v>78</v>
      </c>
      <c r="K275" s="5" t="str">
        <f>HYPERLINK("https://media.licdn.com/dms/image/v2/D4E10AQEaRiNYRoY2cA/image-shrink_1280/B4EZx2ujscKIAc-/0/1771518444011/Open-Role-Security-Compliance-Specialist-7680-4320png?e=2147483647&amp;v=beta&amp;t=eu34JcpqNR21UhHRTnDJV_XSsfxFzjlrnUag2_rc2BQ","View Creative")</f>
        <v>View Creative</v>
      </c>
      <c r="L275" s="4" t="s">
        <v>60</v>
      </c>
      <c r="M275" s="4" t="s">
        <v>61</v>
      </c>
      <c r="N275" s="4" t="s">
        <v>2472</v>
      </c>
      <c r="O275" s="4" t="s">
        <v>89</v>
      </c>
      <c r="P275" s="4" t="s">
        <v>2512</v>
      </c>
    </row>
    <row r="276">
      <c r="A276" s="4" t="s">
        <v>40</v>
      </c>
      <c r="B276" s="4" t="s">
        <v>40</v>
      </c>
      <c r="C276" s="4">
        <v>274.0</v>
      </c>
      <c r="D276" s="5" t="str">
        <f>HYPERLINK("https://www.linkedin.com/ad-library/detail/1141506304","Open Ad")</f>
        <v>Open Ad</v>
      </c>
      <c r="E276" s="4" t="s">
        <v>78</v>
      </c>
      <c r="F276" s="4" t="s">
        <v>2437</v>
      </c>
      <c r="G276" s="4" t="s">
        <v>2438</v>
      </c>
      <c r="H276" s="4" t="s">
        <v>49</v>
      </c>
      <c r="I276" s="4" t="s">
        <v>661</v>
      </c>
      <c r="J276" s="4" t="s">
        <v>78</v>
      </c>
      <c r="K276" s="5" t="str">
        <f>HYPERLINK("https://media.licdn.com/dms/image/v2/D4E10AQFc5fsoFBcVrQ/image-shrink_1280/B4EZxSNojDIMAc-/0/1770905833283/Open-Role-Programmatic-Display-Lead-7680-4320png?e=2147483647&amp;v=beta&amp;t=CxIQEMx7enCIJRS8Ubw5i93139hUubx34rlQljfi31M","View Creative")</f>
        <v>View Creative</v>
      </c>
      <c r="L276" s="4" t="s">
        <v>60</v>
      </c>
      <c r="M276" s="4" t="s">
        <v>61</v>
      </c>
      <c r="N276" s="4" t="s">
        <v>2443</v>
      </c>
      <c r="O276" s="4" t="s">
        <v>89</v>
      </c>
      <c r="P276" s="4" t="s">
        <v>2520</v>
      </c>
    </row>
    <row r="277">
      <c r="A277" s="4" t="s">
        <v>40</v>
      </c>
      <c r="B277" s="4" t="s">
        <v>40</v>
      </c>
      <c r="C277" s="4">
        <v>275.0</v>
      </c>
      <c r="D277" s="5" t="str">
        <f>HYPERLINK("https://www.linkedin.com/ad-library/detail/1147584894","Open Ad")</f>
        <v>Open Ad</v>
      </c>
      <c r="E277" s="4" t="s">
        <v>78</v>
      </c>
      <c r="F277" s="4" t="s">
        <v>756</v>
      </c>
      <c r="G277" s="4" t="s">
        <v>2450</v>
      </c>
      <c r="H277" s="4" t="s">
        <v>49</v>
      </c>
      <c r="I277" s="4" t="s">
        <v>661</v>
      </c>
      <c r="J277" s="4" t="s">
        <v>78</v>
      </c>
      <c r="K277" s="5" t="str">
        <f>HYPERLINK("https://media.licdn.com/dms/image/v2/D4E10AQHFqa0ClnFfmw/image-shrink_1280/B4EZx2poT7GgAk-/0/1771517151693/Open-Role-Senior-Accountant-4320-4320png?e=2147483647&amp;v=beta&amp;t=GKgf4kNIGbRBbXbclVJX9_L14iZlH6HyjrUopYBXBq4","View Creative")</f>
        <v>View Creative</v>
      </c>
      <c r="L277" s="4" t="s">
        <v>106</v>
      </c>
      <c r="M277" s="4" t="s">
        <v>61</v>
      </c>
      <c r="O277" s="4" t="s">
        <v>89</v>
      </c>
      <c r="P277" s="4" t="s">
        <v>2528</v>
      </c>
    </row>
    <row r="278">
      <c r="A278" s="4" t="s">
        <v>40</v>
      </c>
      <c r="B278" s="4" t="s">
        <v>40</v>
      </c>
      <c r="C278" s="4">
        <v>276.0</v>
      </c>
      <c r="D278" s="5" t="str">
        <f>HYPERLINK("https://www.linkedin.com/ad-library/detail/1140586094","Open Ad")</f>
        <v>Open Ad</v>
      </c>
      <c r="E278" s="4" t="s">
        <v>78</v>
      </c>
      <c r="F278" s="4" t="s">
        <v>2533</v>
      </c>
      <c r="G278" s="4" t="s">
        <v>2534</v>
      </c>
      <c r="H278" s="4" t="s">
        <v>49</v>
      </c>
      <c r="I278" s="4" t="s">
        <v>661</v>
      </c>
      <c r="J278" s="4" t="s">
        <v>78</v>
      </c>
      <c r="K278" s="5" t="str">
        <f>HYPERLINK("https://media.licdn.com/dms/image/v2/D4E10AQEtrUN1uvjyzw/image-shrink_1280/B4EZwzPjYNJsAc-/0/1770386242093/Open-Role-Senior-Backend-Developer-4320-43201png?e=2147483647&amp;v=beta&amp;t=EwXw8w-XZNI3WiDjhucVRj5TGVrZlluV7Bz0HpVkOLc","View Creative")</f>
        <v>View Creative</v>
      </c>
      <c r="L278" s="4" t="s">
        <v>106</v>
      </c>
      <c r="M278" s="4" t="s">
        <v>61</v>
      </c>
      <c r="O278" s="4" t="s">
        <v>89</v>
      </c>
      <c r="P278" s="4" t="s">
        <v>2539</v>
      </c>
    </row>
    <row r="279">
      <c r="A279" s="4" t="s">
        <v>40</v>
      </c>
      <c r="B279" s="4" t="s">
        <v>40</v>
      </c>
      <c r="C279" s="4">
        <v>277.0</v>
      </c>
      <c r="D279" s="5" t="str">
        <f>HYPERLINK("https://www.linkedin.com/ad-library/detail/1146800744","Open Ad")</f>
        <v>Open Ad</v>
      </c>
      <c r="E279" s="4" t="s">
        <v>78</v>
      </c>
      <c r="F279" s="4" t="s">
        <v>756</v>
      </c>
      <c r="G279" s="4" t="s">
        <v>2450</v>
      </c>
      <c r="H279" s="4" t="s">
        <v>49</v>
      </c>
      <c r="I279" s="4" t="s">
        <v>661</v>
      </c>
      <c r="J279" s="4" t="s">
        <v>78</v>
      </c>
      <c r="K279" s="5" t="str">
        <f>HYPERLINK("https://media.licdn.com/dms/image/v2/D4E10AQHQCFsnLz62Iw/image-shrink_1280/B4EZx2poWTGsAc-/0/1771517152587/Open-Role-Senior-Accountant-7680-4320png?e=2147483647&amp;v=beta&amp;t=oCDIWytc0J--MnRVWKcSPbjMjQIBvQu4Vp-2rcqssiA","View Creative")</f>
        <v>View Creative</v>
      </c>
      <c r="L279" s="4" t="s">
        <v>106</v>
      </c>
      <c r="M279" s="4" t="s">
        <v>61</v>
      </c>
      <c r="O279" s="4" t="s">
        <v>89</v>
      </c>
      <c r="P279" s="4" t="s">
        <v>2547</v>
      </c>
    </row>
    <row r="280">
      <c r="A280" s="4" t="s">
        <v>40</v>
      </c>
      <c r="B280" s="4" t="s">
        <v>40</v>
      </c>
      <c r="C280" s="4">
        <v>278.0</v>
      </c>
      <c r="D280" s="5" t="str">
        <f>HYPERLINK("https://www.linkedin.com/ad-library/detail/1146985064","Open Ad")</f>
        <v>Open Ad</v>
      </c>
      <c r="E280" s="4" t="s">
        <v>78</v>
      </c>
      <c r="F280" s="4" t="s">
        <v>2031</v>
      </c>
      <c r="G280" s="4" t="s">
        <v>436</v>
      </c>
      <c r="H280" s="4" t="s">
        <v>49</v>
      </c>
      <c r="I280" s="4" t="s">
        <v>166</v>
      </c>
      <c r="J280" s="4" t="s">
        <v>78</v>
      </c>
      <c r="K280" s="5" t="str">
        <f>HYPERLINK("https://media.licdn.com/dms/image/v2/D4E10AQGG-dkMk_qCWA/image-shrink_1280/B4EZvG6Y1uIIAc-/0/1768568754048/TurnAIsearchvisibility?e=2147483647&amp;v=beta&amp;t=OmqASWqo4cgZoXkinMrWyIWNCRt9IMsquYjbiy3OkBE","View Creative")</f>
        <v>View Creative</v>
      </c>
      <c r="L280" s="4" t="s">
        <v>2321</v>
      </c>
      <c r="M280" s="4" t="s">
        <v>61</v>
      </c>
      <c r="N280" s="4" t="s">
        <v>2480</v>
      </c>
      <c r="O280" s="4" t="s">
        <v>89</v>
      </c>
      <c r="P280" s="4" t="s">
        <v>2556</v>
      </c>
    </row>
    <row r="281">
      <c r="A281" s="4" t="s">
        <v>40</v>
      </c>
      <c r="B281" s="4" t="s">
        <v>40</v>
      </c>
      <c r="C281" s="4">
        <v>279.0</v>
      </c>
      <c r="D281" s="5" t="str">
        <f>HYPERLINK("https://www.linkedin.com/ad-library/detail/1144593554","Open Ad")</f>
        <v>Open Ad</v>
      </c>
      <c r="E281" s="4" t="s">
        <v>78</v>
      </c>
      <c r="F281" s="4" t="s">
        <v>2207</v>
      </c>
      <c r="G281" s="4" t="s">
        <v>2560</v>
      </c>
      <c r="H281" s="4" t="s">
        <v>49</v>
      </c>
      <c r="I281" s="4" t="s">
        <v>661</v>
      </c>
      <c r="J281" s="4" t="s">
        <v>78</v>
      </c>
      <c r="K281" s="5" t="str">
        <f>HYPERLINK("https://media.licdn.com/dms/image/v2/D4E10AQEvtXBUe1kP7g/image-shrink_1280/B4EZxSILyzJYAc-/0/1770904404155/Open-Role-Senior-QA-Automation-Engineer-4320-4320png?e=2147483647&amp;v=beta&amp;t=C2ekVrED9XJgmXwqtd6saf20OoXGifbRyhVPAQnyZ9w","View Creative")</f>
        <v>View Creative</v>
      </c>
      <c r="L281" s="4" t="s">
        <v>60</v>
      </c>
      <c r="M281" s="4" t="s">
        <v>61</v>
      </c>
      <c r="N281" s="4" t="s">
        <v>2563</v>
      </c>
      <c r="O281" s="4" t="s">
        <v>89</v>
      </c>
      <c r="P281" s="4" t="s">
        <v>2565</v>
      </c>
    </row>
    <row r="282">
      <c r="A282" s="4" t="s">
        <v>40</v>
      </c>
      <c r="B282" s="4" t="s">
        <v>40</v>
      </c>
      <c r="C282" s="4">
        <v>280.0</v>
      </c>
      <c r="D282" s="5" t="str">
        <f>HYPERLINK("https://www.linkedin.com/ad-library/detail/1146097524","Open Ad")</f>
        <v>Open Ad</v>
      </c>
      <c r="E282" s="4" t="s">
        <v>78</v>
      </c>
      <c r="F282" s="4" t="s">
        <v>2031</v>
      </c>
      <c r="G282" s="4" t="s">
        <v>436</v>
      </c>
      <c r="H282" s="4" t="s">
        <v>49</v>
      </c>
      <c r="I282" s="4" t="s">
        <v>166</v>
      </c>
      <c r="J282" s="4" t="s">
        <v>78</v>
      </c>
      <c r="K282" s="5" t="str">
        <f>HYPERLINK("https://media.licdn.com/dms/image/v2/D4E10AQHynFNJPFFQeQ/image-shrink_1280/B4EZvG6LdmJ4Ac-/0/1768568699237/Featureyourbrand?e=2147483647&amp;v=beta&amp;t=9EQZcmOSV1nDZCnM4-yMCbcShWmyziraZHFdOsN21Pc","View Creative")</f>
        <v>View Creative</v>
      </c>
      <c r="L282" s="4" t="s">
        <v>2321</v>
      </c>
      <c r="M282" s="4" t="s">
        <v>61</v>
      </c>
      <c r="N282" s="4" t="s">
        <v>2480</v>
      </c>
      <c r="O282" s="4" t="s">
        <v>89</v>
      </c>
      <c r="P282" s="4" t="s">
        <v>2573</v>
      </c>
    </row>
    <row r="283">
      <c r="A283" s="4" t="s">
        <v>40</v>
      </c>
      <c r="B283" s="4" t="s">
        <v>40</v>
      </c>
      <c r="C283" s="4">
        <v>281.0</v>
      </c>
      <c r="D283" s="5" t="str">
        <f>HYPERLINK("https://www.linkedin.com/ad-library/detail/1140155924","Open Ad")</f>
        <v>Open Ad</v>
      </c>
      <c r="E283" s="4" t="s">
        <v>78</v>
      </c>
      <c r="F283" s="4" t="s">
        <v>2533</v>
      </c>
      <c r="G283" s="4" t="s">
        <v>2534</v>
      </c>
      <c r="H283" s="4" t="s">
        <v>49</v>
      </c>
      <c r="I283" s="4" t="s">
        <v>661</v>
      </c>
      <c r="J283" s="4" t="s">
        <v>78</v>
      </c>
      <c r="K283" s="5" t="str">
        <f>HYPERLINK("https://media.licdn.com/dms/image/v2/D4E10AQHeXThouz6cCA/image-shrink_1280/B4EZwzPjXTJAAc-/0/1770386242873/Open-Role-Senior-Backend-Developer-7680-43201png?e=2147483647&amp;v=beta&amp;t=Jma1j_Rt0TPe_mecEeMqARxW8bzdtVQcqXw1Cmi0Z8A","View Creative")</f>
        <v>View Creative</v>
      </c>
      <c r="L283" s="4" t="s">
        <v>106</v>
      </c>
      <c r="M283" s="4" t="s">
        <v>61</v>
      </c>
      <c r="O283" s="4" t="s">
        <v>89</v>
      </c>
      <c r="P283" s="4" t="s">
        <v>2582</v>
      </c>
    </row>
    <row r="284">
      <c r="A284" s="4" t="s">
        <v>40</v>
      </c>
      <c r="B284" s="4" t="s">
        <v>40</v>
      </c>
      <c r="C284" s="4">
        <v>282.0</v>
      </c>
      <c r="D284" s="5" t="str">
        <f>HYPERLINK("https://www.linkedin.com/ad-library/detail/1147393894","Open Ad")</f>
        <v>Open Ad</v>
      </c>
      <c r="E284" s="4" t="s">
        <v>78</v>
      </c>
      <c r="F284" s="4" t="s">
        <v>2031</v>
      </c>
      <c r="G284" s="4" t="s">
        <v>436</v>
      </c>
      <c r="H284" s="4" t="s">
        <v>49</v>
      </c>
      <c r="I284" s="4" t="s">
        <v>166</v>
      </c>
      <c r="J284" s="4" t="s">
        <v>78</v>
      </c>
      <c r="K284" s="5" t="str">
        <f>HYPERLINK("https://media.licdn.com/dms/image/v2/D4E10AQEFeakBi16dHA/image-shrink_1280/B4EZvG5.vFHoAc-/0/1768568647134/1200x1200png?e=2147483647&amp;v=beta&amp;t=7dHuq2lrn8oY8Rglcc4eZaMBizQmKMVa5eT2tqpXI2U","View Creative")</f>
        <v>View Creative</v>
      </c>
      <c r="L284" s="4" t="s">
        <v>2321</v>
      </c>
      <c r="M284" s="4" t="s">
        <v>61</v>
      </c>
      <c r="N284" s="4" t="s">
        <v>2461</v>
      </c>
      <c r="O284" s="4" t="s">
        <v>89</v>
      </c>
      <c r="P284" s="4" t="s">
        <v>2587</v>
      </c>
    </row>
    <row r="285">
      <c r="A285" s="4" t="s">
        <v>40</v>
      </c>
      <c r="B285" s="4" t="s">
        <v>40</v>
      </c>
      <c r="C285" s="4">
        <v>283.0</v>
      </c>
      <c r="D285" s="5" t="str">
        <f>HYPERLINK("https://www.linkedin.com/ad-library/detail/1146708204","Open Ad")</f>
        <v>Open Ad</v>
      </c>
      <c r="E285" s="4" t="s">
        <v>78</v>
      </c>
      <c r="F285" s="4" t="s">
        <v>2031</v>
      </c>
      <c r="G285" s="4" t="s">
        <v>436</v>
      </c>
      <c r="H285" s="4" t="s">
        <v>49</v>
      </c>
      <c r="I285" s="4" t="s">
        <v>166</v>
      </c>
      <c r="J285" s="4" t="s">
        <v>78</v>
      </c>
      <c r="K285" s="5" t="str">
        <f>HYPERLINK("https://media.licdn.com/dms/image/v2/D4E10AQF65IrenmbttA/image-shrink_1280/B4EZvG6FZkIkAc-/0/1768568674385/1200x1200png?e=2147483647&amp;v=beta&amp;t=RhnM6wXZDszpR3ZtD8-aHceeYdQmbNH4RbmbhW1kBiU","View Creative")</f>
        <v>View Creative</v>
      </c>
      <c r="L285" s="4" t="s">
        <v>2321</v>
      </c>
      <c r="M285" s="4" t="s">
        <v>61</v>
      </c>
      <c r="N285" s="4" t="s">
        <v>2461</v>
      </c>
      <c r="O285" s="4" t="s">
        <v>89</v>
      </c>
      <c r="P285" s="4" t="s">
        <v>2596</v>
      </c>
    </row>
    <row r="286">
      <c r="A286" s="4" t="s">
        <v>40</v>
      </c>
      <c r="B286" s="4" t="s">
        <v>40</v>
      </c>
      <c r="C286" s="4">
        <v>284.0</v>
      </c>
      <c r="D286" s="5" t="str">
        <f>HYPERLINK("https://www.linkedin.com/ad-library/detail/1138656134","Open Ad")</f>
        <v>Open Ad</v>
      </c>
      <c r="E286" s="4" t="s">
        <v>78</v>
      </c>
      <c r="F286" s="4" t="s">
        <v>2533</v>
      </c>
      <c r="G286" s="4" t="s">
        <v>2534</v>
      </c>
      <c r="H286" s="4" t="s">
        <v>49</v>
      </c>
      <c r="I286" s="4" t="s">
        <v>661</v>
      </c>
      <c r="J286" s="4" t="s">
        <v>78</v>
      </c>
      <c r="K286" s="5" t="str">
        <f>HYPERLINK("https://media.licdn.com/dms/image/v2/D4E10AQGRHk9ik44JOg/image-shrink_1280/B4EZwzPjWcGkAc-/0/1770386241727/Open-Role-Senior-Backend-Developer-2430-43201png?e=2147483647&amp;v=beta&amp;t=SFeTGSabO9tqxbFdriI6Zz1_2rdl8rJWQpZw_GOfxaY","View Creative")</f>
        <v>View Creative</v>
      </c>
      <c r="L286" s="4" t="s">
        <v>106</v>
      </c>
      <c r="M286" s="4" t="s">
        <v>61</v>
      </c>
      <c r="O286" s="4" t="s">
        <v>89</v>
      </c>
      <c r="P286" s="4" t="s">
        <v>2601</v>
      </c>
    </row>
    <row r="287">
      <c r="A287" s="4" t="s">
        <v>40</v>
      </c>
      <c r="B287" s="4" t="s">
        <v>40</v>
      </c>
      <c r="C287" s="4">
        <v>285.0</v>
      </c>
      <c r="D287" s="5" t="str">
        <f>HYPERLINK("https://www.linkedin.com/ad-library/detail/1146807124","Open Ad")</f>
        <v>Open Ad</v>
      </c>
      <c r="E287" s="4" t="s">
        <v>78</v>
      </c>
      <c r="F287" s="4" t="s">
        <v>2107</v>
      </c>
      <c r="G287" s="4" t="s">
        <v>2108</v>
      </c>
      <c r="H287" s="4" t="s">
        <v>49</v>
      </c>
      <c r="I287" s="4" t="s">
        <v>661</v>
      </c>
      <c r="J287" s="4" t="s">
        <v>78</v>
      </c>
      <c r="K287" s="5" t="str">
        <f>HYPERLINK("https://media.licdn.com/dms/image/v2/D4E10AQHS227M_FtxVg/image-shrink_1280/B4EZznPk0dIEAg-/0/1773406147233/Open-Role-Senior-Manager-Consulting-Services-7680-4320png?e=2147483647&amp;v=beta&amp;t=xg48m_5lT91mW_q3tQS6DpZYscunm4RmTT6d8VMNxzo","View Creative")</f>
        <v>View Creative</v>
      </c>
      <c r="L287" s="4" t="s">
        <v>106</v>
      </c>
      <c r="M287" s="4" t="s">
        <v>61</v>
      </c>
      <c r="O287" s="4" t="s">
        <v>89</v>
      </c>
      <c r="P287" s="4" t="s">
        <v>2609</v>
      </c>
    </row>
    <row r="288">
      <c r="A288" s="4" t="s">
        <v>40</v>
      </c>
      <c r="B288" s="4" t="s">
        <v>40</v>
      </c>
      <c r="C288" s="4">
        <v>286.0</v>
      </c>
      <c r="D288" s="5" t="str">
        <f>HYPERLINK("https://www.linkedin.com/ad-library/detail/1141506014","Open Ad")</f>
        <v>Open Ad</v>
      </c>
      <c r="E288" s="4" t="s">
        <v>78</v>
      </c>
      <c r="F288" s="4" t="s">
        <v>2207</v>
      </c>
      <c r="G288" s="4" t="s">
        <v>2560</v>
      </c>
      <c r="H288" s="4" t="s">
        <v>49</v>
      </c>
      <c r="I288" s="4" t="s">
        <v>661</v>
      </c>
      <c r="J288" s="4" t="s">
        <v>78</v>
      </c>
      <c r="K288" s="5" t="str">
        <f>HYPERLINK("https://media.licdn.com/dms/image/v2/D4E10AQFIGrbTtbMtZA/image-shrink_1280/B4EZxSILwsHMAc-/0/1770904403667/Open-Role-Senior-QA-Automation-Engineer-2430-4320png?e=2147483647&amp;v=beta&amp;t=DTs5B99ExYZ6GtR3VlEHzFRQ8iNFC0MV0bZCJvXSknc","View Creative")</f>
        <v>View Creative</v>
      </c>
      <c r="L288" s="4" t="s">
        <v>60</v>
      </c>
      <c r="M288" s="4" t="s">
        <v>61</v>
      </c>
      <c r="N288" s="4" t="s">
        <v>2617</v>
      </c>
      <c r="O288" s="4" t="s">
        <v>89</v>
      </c>
      <c r="P288" s="4" t="s">
        <v>2618</v>
      </c>
    </row>
    <row r="289">
      <c r="A289" s="4" t="s">
        <v>40</v>
      </c>
      <c r="B289" s="4" t="s">
        <v>40</v>
      </c>
      <c r="C289" s="4">
        <v>287.0</v>
      </c>
      <c r="D289" s="5" t="str">
        <f>HYPERLINK("https://www.linkedin.com/ad-library/detail/1144200054","Open Ad")</f>
        <v>Open Ad</v>
      </c>
      <c r="E289" s="4" t="s">
        <v>78</v>
      </c>
      <c r="F289" s="4" t="s">
        <v>2207</v>
      </c>
      <c r="G289" s="4" t="s">
        <v>2560</v>
      </c>
      <c r="H289" s="4" t="s">
        <v>49</v>
      </c>
      <c r="I289" s="4" t="s">
        <v>661</v>
      </c>
      <c r="J289" s="4" t="s">
        <v>78</v>
      </c>
      <c r="K289" s="5" t="str">
        <f>HYPERLINK("https://media.licdn.com/dms/image/v2/D4E10AQHTMwVBJvXU8A/image-shrink_1280/B4EZxSILxoIgAc-/0/1770904404676/Open-Role-Senior-QA-Automation-Engineer-7680-4320png?e=2147483647&amp;v=beta&amp;t=AMQ5Nb1Am100-4UXokEAIHF_Ns2kz3wtVi1QEERogR0","View Creative")</f>
        <v>View Creative</v>
      </c>
      <c r="L289" s="4" t="s">
        <v>60</v>
      </c>
      <c r="M289" s="4" t="s">
        <v>61</v>
      </c>
      <c r="N289" s="4" t="s">
        <v>2617</v>
      </c>
      <c r="O289" s="4" t="s">
        <v>89</v>
      </c>
      <c r="P289" s="4" t="s">
        <v>2625</v>
      </c>
    </row>
    <row r="290">
      <c r="A290" s="4" t="s">
        <v>40</v>
      </c>
      <c r="B290" s="4" t="s">
        <v>40</v>
      </c>
      <c r="C290" s="4">
        <v>288.0</v>
      </c>
      <c r="D290" s="5" t="str">
        <f>HYPERLINK("https://www.linkedin.com/ad-library/detail/1144003544","Open Ad")</f>
        <v>Open Ad</v>
      </c>
      <c r="E290" s="4" t="s">
        <v>78</v>
      </c>
      <c r="F290" s="4" t="s">
        <v>2437</v>
      </c>
      <c r="G290" s="4" t="s">
        <v>2438</v>
      </c>
      <c r="H290" s="4" t="s">
        <v>49</v>
      </c>
      <c r="I290" s="4" t="s">
        <v>661</v>
      </c>
      <c r="J290" s="4" t="s">
        <v>78</v>
      </c>
      <c r="K290" s="5" t="str">
        <f>HYPERLINK("https://media.licdn.com/dms/image/v2/D4E10AQEbCt8hIIJCpQ/image-shrink_1280/B4EZxSNoiCHQAc-/0/1770905832378/Open-Role-Programmatic-Display-Lead-2430-4320png?e=2147483647&amp;v=beta&amp;t=t9eNavcBpVT25_sd6C263brO5Fpe20yeVLUHVGyIUQQ","View Creative")</f>
        <v>View Creative</v>
      </c>
      <c r="L290" s="4" t="s">
        <v>60</v>
      </c>
      <c r="M290" s="4" t="s">
        <v>61</v>
      </c>
      <c r="N290" s="4" t="s">
        <v>2443</v>
      </c>
      <c r="O290" s="4" t="s">
        <v>89</v>
      </c>
      <c r="P290" s="4" t="s">
        <v>2632</v>
      </c>
    </row>
    <row r="291">
      <c r="A291" s="4" t="s">
        <v>40</v>
      </c>
      <c r="B291" s="4" t="s">
        <v>40</v>
      </c>
      <c r="C291" s="4">
        <v>289.0</v>
      </c>
      <c r="D291" s="5" t="str">
        <f>HYPERLINK("https://www.linkedin.com/ad-library/detail/1080998354","Open Ad")</f>
        <v>Open Ad</v>
      </c>
      <c r="E291" s="4" t="s">
        <v>121</v>
      </c>
      <c r="F291" s="4" t="s">
        <v>2637</v>
      </c>
      <c r="G291" s="4" t="s">
        <v>2638</v>
      </c>
      <c r="H291" s="4" t="s">
        <v>49</v>
      </c>
      <c r="I291" s="4" t="s">
        <v>661</v>
      </c>
      <c r="J291" s="4" t="s">
        <v>121</v>
      </c>
      <c r="K291" s="5" t="str">
        <f>HYPERLINK("https://dms.licdn.com/playlist/vid/v2/D4E10AQG-1-VCiHOiCg/progressive-servable-video/B4EZtG.Ip1HcAk-/0/1766422253306/UGCSEMRUSHVideoEOY16x9mp4?e=2147483647&amp;v=beta&amp;t=d4QqDVRn7Q1a-DO7RkjZidOmy-_VXmQRCoYJt9k1siQ","View Creative")</f>
        <v>View Creative</v>
      </c>
      <c r="L291" s="4" t="s">
        <v>60</v>
      </c>
      <c r="M291" s="4" t="s">
        <v>61</v>
      </c>
      <c r="N291" s="4" t="s">
        <v>2644</v>
      </c>
      <c r="O291" s="4" t="s">
        <v>89</v>
      </c>
      <c r="P291" s="4" t="s">
        <v>2645</v>
      </c>
    </row>
    <row r="292">
      <c r="A292" s="4" t="s">
        <v>40</v>
      </c>
      <c r="B292" s="4" t="s">
        <v>40</v>
      </c>
      <c r="C292" s="4">
        <v>290.0</v>
      </c>
      <c r="D292" s="5" t="str">
        <f>HYPERLINK("https://www.linkedin.com/ad-library/detail/1128383944","Open Ad")</f>
        <v>Open Ad</v>
      </c>
      <c r="E292" s="4" t="s">
        <v>78</v>
      </c>
      <c r="F292" s="4" t="s">
        <v>2055</v>
      </c>
      <c r="G292" s="4" t="s">
        <v>2649</v>
      </c>
      <c r="H292" s="4" t="s">
        <v>49</v>
      </c>
      <c r="I292" s="4" t="s">
        <v>661</v>
      </c>
      <c r="J292" s="4" t="s">
        <v>78</v>
      </c>
      <c r="K292" s="5" t="str">
        <f>HYPERLINK("https://media.licdn.com/dms/image/v2/D4E10AQHkaFFEzER7KQ/image-shrink_1280/B4EZvgxZIiGoAc-/0/1769002604067/Open-Role-Onboarding-Consultant-4320-4320png?e=2147483647&amp;v=beta&amp;t=H3RxPMrF8cdG27Kk7MDyHbBDza_1TWdfaMfadp1v-FQ","View Creative")</f>
        <v>View Creative</v>
      </c>
      <c r="L292" s="4" t="s">
        <v>60</v>
      </c>
      <c r="M292" s="4" t="s">
        <v>61</v>
      </c>
      <c r="N292" s="4" t="s">
        <v>2653</v>
      </c>
      <c r="O292" s="4" t="s">
        <v>89</v>
      </c>
      <c r="P292" s="4" t="s">
        <v>2655</v>
      </c>
    </row>
    <row r="293">
      <c r="A293" s="4" t="s">
        <v>40</v>
      </c>
      <c r="B293" s="4" t="s">
        <v>40</v>
      </c>
      <c r="C293" s="4">
        <v>291.0</v>
      </c>
      <c r="D293" s="5" t="str">
        <f>HYPERLINK("https://www.linkedin.com/ad-library/detail/1081198094","Open Ad")</f>
        <v>Open Ad</v>
      </c>
      <c r="E293" s="4" t="s">
        <v>78</v>
      </c>
      <c r="F293" s="4" t="s">
        <v>2637</v>
      </c>
      <c r="G293" s="4" t="s">
        <v>2638</v>
      </c>
      <c r="H293" s="4" t="s">
        <v>49</v>
      </c>
      <c r="I293" s="4" t="s">
        <v>661</v>
      </c>
      <c r="J293" s="4" t="s">
        <v>78</v>
      </c>
      <c r="K293" s="5" t="str">
        <f>HYPERLINK("https://media.licdn.com/dms/image/v2/D4E10AQEl0a5ve_qCPA/image-shrink_1280/B4EZsSlE2oKkAM-/0/1765543270161/WineverysearchV3png?e=2147483647&amp;v=beta&amp;t=A2rieiMVWN_OAyYtoKqA0anCUH2OByXRSQT2N5XrS_I","View Creative")</f>
        <v>View Creative</v>
      </c>
      <c r="L293" s="4" t="s">
        <v>60</v>
      </c>
      <c r="M293" s="4" t="s">
        <v>61</v>
      </c>
      <c r="N293" s="4" t="s">
        <v>2644</v>
      </c>
      <c r="O293" s="4" t="s">
        <v>89</v>
      </c>
      <c r="P293" s="4" t="s">
        <v>2663</v>
      </c>
    </row>
    <row r="294">
      <c r="A294" s="4" t="s">
        <v>40</v>
      </c>
      <c r="B294" s="4" t="s">
        <v>40</v>
      </c>
      <c r="C294" s="4">
        <v>292.0</v>
      </c>
      <c r="D294" s="5" t="str">
        <f>HYPERLINK("https://www.linkedin.com/ad-library/detail/1138655914","Open Ad")</f>
        <v>Open Ad</v>
      </c>
      <c r="E294" s="4" t="s">
        <v>78</v>
      </c>
      <c r="F294" s="4" t="s">
        <v>2207</v>
      </c>
      <c r="G294" s="4" t="s">
        <v>2668</v>
      </c>
      <c r="H294" s="4" t="s">
        <v>49</v>
      </c>
      <c r="I294" s="4" t="s">
        <v>661</v>
      </c>
      <c r="J294" s="4" t="s">
        <v>78</v>
      </c>
      <c r="K294" s="5" t="str">
        <f>HYPERLINK("https://media.licdn.com/dms/image/v2/D4E10AQGo4HK09VUQqA/image-shrink_1280/B4EZwzKk3hJAAg-/0/1770384938190/Open-Role-Senior-Golang-Developer-7680-4320png?e=2147483647&amp;v=beta&amp;t=bBnPwTnqP4T6QLOErC_K7hUjzGfgf6r3Iy7XKR5VE-k","View Creative")</f>
        <v>View Creative</v>
      </c>
      <c r="L294" s="4" t="s">
        <v>60</v>
      </c>
      <c r="M294" s="4" t="s">
        <v>61</v>
      </c>
      <c r="N294" s="4" t="s">
        <v>2674</v>
      </c>
      <c r="O294" s="4" t="s">
        <v>89</v>
      </c>
      <c r="P294" s="4" t="s">
        <v>2675</v>
      </c>
    </row>
    <row r="295">
      <c r="A295" s="4" t="s">
        <v>40</v>
      </c>
      <c r="B295" s="4" t="s">
        <v>40</v>
      </c>
      <c r="C295" s="4">
        <v>293.0</v>
      </c>
      <c r="D295" s="5" t="str">
        <f>HYPERLINK("https://www.linkedin.com/ad-library/detail/1127984604","Open Ad")</f>
        <v>Open Ad</v>
      </c>
      <c r="E295" s="4" t="s">
        <v>78</v>
      </c>
      <c r="F295" s="4" t="s">
        <v>2676</v>
      </c>
      <c r="G295" s="4" t="s">
        <v>2678</v>
      </c>
      <c r="H295" s="4" t="s">
        <v>49</v>
      </c>
      <c r="I295" s="4" t="s">
        <v>661</v>
      </c>
      <c r="J295" s="4" t="s">
        <v>78</v>
      </c>
      <c r="K295" s="5" t="str">
        <f>HYPERLINK("https://media.licdn.com/dms/image/v2/D4E10AQHva5V1SFE0-g/image-shrink_1280/B4EZvg85N9GgAc-/0/1769005619067/Open-Role-Product-PR-Specialist-4320-4320png?e=2147483647&amp;v=beta&amp;t=uMLp4KmmSWj-SSYbb2We3eYlq51ia3y6wS9cSdm0CYk","View Creative")</f>
        <v>View Creative</v>
      </c>
      <c r="L295" s="4" t="s">
        <v>60</v>
      </c>
      <c r="M295" s="4" t="s">
        <v>61</v>
      </c>
      <c r="N295" s="4" t="s">
        <v>2682</v>
      </c>
      <c r="O295" s="4" t="s">
        <v>89</v>
      </c>
      <c r="P295" s="4" t="s">
        <v>2683</v>
      </c>
    </row>
    <row r="296">
      <c r="A296" s="4" t="s">
        <v>40</v>
      </c>
      <c r="B296" s="4" t="s">
        <v>40</v>
      </c>
      <c r="C296" s="4">
        <v>294.0</v>
      </c>
      <c r="D296" s="5" t="str">
        <f>HYPERLINK("https://www.linkedin.com/ad-library/detail/1123783784","Open Ad")</f>
        <v>Open Ad</v>
      </c>
      <c r="E296" s="4" t="s">
        <v>78</v>
      </c>
      <c r="F296" s="4" t="s">
        <v>2031</v>
      </c>
      <c r="G296" s="4" t="s">
        <v>436</v>
      </c>
      <c r="H296" s="4" t="s">
        <v>49</v>
      </c>
      <c r="I296" s="4" t="s">
        <v>166</v>
      </c>
      <c r="J296" s="4" t="s">
        <v>78</v>
      </c>
      <c r="K296" s="5" t="str">
        <f>HYPERLINK("https://media.licdn.com/dms/image/v2/D4E10AQEFeakBi16dHA/image-shrink_1280/B4EZvG5.vFHoAc-/0/1768568647134/1200x1200png?e=2147483647&amp;v=beta&amp;t=7dHuq2lrn8oY8Rglcc4eZaMBizQmKMVa5eT2tqpXI2U","View Creative")</f>
        <v>View Creative</v>
      </c>
      <c r="L296" s="4" t="s">
        <v>2321</v>
      </c>
      <c r="M296" s="4" t="s">
        <v>61</v>
      </c>
      <c r="N296" s="4" t="s">
        <v>2694</v>
      </c>
      <c r="O296" s="4" t="s">
        <v>89</v>
      </c>
      <c r="P296" s="4" t="s">
        <v>2695</v>
      </c>
    </row>
    <row r="297">
      <c r="A297" s="4" t="s">
        <v>40</v>
      </c>
      <c r="B297" s="4" t="s">
        <v>40</v>
      </c>
      <c r="C297" s="4">
        <v>295.0</v>
      </c>
      <c r="D297" s="5" t="str">
        <f>HYPERLINK("https://www.linkedin.com/ad-library/detail/1128684764","Open Ad")</f>
        <v>Open Ad</v>
      </c>
      <c r="E297" s="4" t="s">
        <v>78</v>
      </c>
      <c r="F297" s="4" t="s">
        <v>2676</v>
      </c>
      <c r="G297" s="4" t="s">
        <v>2678</v>
      </c>
      <c r="H297" s="4" t="s">
        <v>49</v>
      </c>
      <c r="I297" s="4" t="s">
        <v>661</v>
      </c>
      <c r="J297" s="4" t="s">
        <v>78</v>
      </c>
      <c r="K297" s="5" t="str">
        <f>HYPERLINK("https://media.licdn.com/dms/image/v2/D4E10AQEvY5DRDhfQuw/image-shrink_1280/B4EZvg85PVGwAc-/0/1769005618817/Open-Role-Product-PR-Specialist-2430-4320png?e=2147483647&amp;v=beta&amp;t=GtWZbM9aMK_oMBVecjcsRpU-Ss5RKoo8kssxhFSPCcE","View Creative")</f>
        <v>View Creative</v>
      </c>
      <c r="L297" s="4" t="s">
        <v>60</v>
      </c>
      <c r="M297" s="4" t="s">
        <v>61</v>
      </c>
      <c r="N297" s="4" t="s">
        <v>2653</v>
      </c>
      <c r="O297" s="4" t="s">
        <v>89</v>
      </c>
      <c r="P297" s="4" t="s">
        <v>2705</v>
      </c>
    </row>
    <row r="298">
      <c r="A298" s="4" t="s">
        <v>40</v>
      </c>
      <c r="B298" s="4" t="s">
        <v>40</v>
      </c>
      <c r="C298" s="4">
        <v>296.0</v>
      </c>
      <c r="D298" s="5" t="str">
        <f>HYPERLINK("https://www.linkedin.com/ad-library/detail/1081894434","Open Ad")</f>
        <v>Open Ad</v>
      </c>
      <c r="E298" s="4" t="s">
        <v>78</v>
      </c>
      <c r="F298" s="4" t="s">
        <v>2637</v>
      </c>
      <c r="G298" s="4" t="s">
        <v>2710</v>
      </c>
      <c r="H298" s="4" t="s">
        <v>49</v>
      </c>
      <c r="I298" s="4" t="s">
        <v>56</v>
      </c>
      <c r="J298" s="4" t="s">
        <v>78</v>
      </c>
      <c r="K298" s="5" t="str">
        <f>HYPERLINK("https://media.licdn.com/dms/image/v2/D4E10AQEv6svmdRRqNQ/image-shrink_1280/B4EZsSkcJYKcAM-/0/1765543102430/ComebackV4png?e=2147483647&amp;v=beta&amp;t=zctG_0F6xiwZF1gcEzm32euoxNPFljssyeTrHvWtpLI","View Creative")</f>
        <v>View Creative</v>
      </c>
      <c r="L298" s="4" t="s">
        <v>60</v>
      </c>
      <c r="M298" s="4" t="s">
        <v>61</v>
      </c>
      <c r="N298" s="4" t="s">
        <v>2644</v>
      </c>
      <c r="O298" s="4" t="s">
        <v>89</v>
      </c>
      <c r="P298" s="4" t="s">
        <v>2716</v>
      </c>
    </row>
    <row r="299">
      <c r="A299" s="4" t="s">
        <v>40</v>
      </c>
      <c r="B299" s="4" t="s">
        <v>40</v>
      </c>
      <c r="C299" s="4">
        <v>297.0</v>
      </c>
      <c r="D299" s="5" t="str">
        <f>HYPERLINK("https://www.linkedin.com/ad-library/detail/1078004664","Open Ad")</f>
        <v>Open Ad</v>
      </c>
      <c r="E299" s="4" t="s">
        <v>78</v>
      </c>
      <c r="F299" s="4" t="s">
        <v>2637</v>
      </c>
      <c r="G299" s="4" t="s">
        <v>2710</v>
      </c>
      <c r="H299" s="4" t="s">
        <v>49</v>
      </c>
      <c r="I299" s="4" t="s">
        <v>56</v>
      </c>
      <c r="J299" s="4" t="s">
        <v>78</v>
      </c>
      <c r="K299" s="5" t="str">
        <f>HYPERLINK("https://media.licdn.com/dms/image/v2/D4E10AQHeDIx4kcXdKA/image-shrink_1280/B4EZsShBl_HcAU-/0/1765542208122/ComebackV1png?e=2147483647&amp;v=beta&amp;t=myDwZIqhPXgPHSh113Chrbyf5mUgWH1I3NJo2y_cvTg","View Creative")</f>
        <v>View Creative</v>
      </c>
      <c r="L299" s="4" t="s">
        <v>60</v>
      </c>
      <c r="M299" s="4" t="s">
        <v>61</v>
      </c>
      <c r="N299" s="4" t="s">
        <v>2644</v>
      </c>
      <c r="O299" s="4" t="s">
        <v>89</v>
      </c>
      <c r="P299" s="4" t="s">
        <v>2722</v>
      </c>
    </row>
    <row r="300">
      <c r="A300" s="4" t="s">
        <v>40</v>
      </c>
      <c r="B300" s="4" t="s">
        <v>40</v>
      </c>
      <c r="C300" s="4">
        <v>298.0</v>
      </c>
      <c r="D300" s="5" t="str">
        <f>HYPERLINK("https://www.linkedin.com/ad-library/detail/1081597444","Open Ad")</f>
        <v>Open Ad</v>
      </c>
      <c r="E300" s="4" t="s">
        <v>78</v>
      </c>
      <c r="F300" s="4" t="s">
        <v>2637</v>
      </c>
      <c r="G300" s="4" t="s">
        <v>2710</v>
      </c>
      <c r="H300" s="4" t="s">
        <v>49</v>
      </c>
      <c r="I300" s="4" t="s">
        <v>56</v>
      </c>
      <c r="J300" s="4" t="s">
        <v>78</v>
      </c>
      <c r="K300" s="5" t="str">
        <f>HYPERLINK("https://media.licdn.com/dms/image/v2/D4E10AQGWKuqn0S3ZJw/image-shrink_1280/B4EZsSiTvOKUAM-/0/1765542543688/ComebackV2png?e=2147483647&amp;v=beta&amp;t=xyiRjQTvsU2K1zr2MF6MlffvSlA1j8_HscZKvo8n6ME","View Creative")</f>
        <v>View Creative</v>
      </c>
      <c r="L300" s="4" t="s">
        <v>60</v>
      </c>
      <c r="M300" s="4" t="s">
        <v>61</v>
      </c>
      <c r="N300" s="4" t="s">
        <v>2644</v>
      </c>
      <c r="O300" s="4" t="s">
        <v>89</v>
      </c>
      <c r="P300" s="4" t="s">
        <v>2733</v>
      </c>
    </row>
    <row r="301">
      <c r="A301" s="4" t="s">
        <v>40</v>
      </c>
      <c r="B301" s="4" t="s">
        <v>40</v>
      </c>
      <c r="C301" s="4">
        <v>299.0</v>
      </c>
      <c r="D301" s="5" t="str">
        <f>HYPERLINK("https://www.linkedin.com/ad-library/detail/1082091654","Open Ad")</f>
        <v>Open Ad</v>
      </c>
      <c r="E301" s="4" t="s">
        <v>121</v>
      </c>
      <c r="F301" s="4" t="s">
        <v>2637</v>
      </c>
      <c r="G301" s="4" t="s">
        <v>2638</v>
      </c>
      <c r="H301" s="4" t="s">
        <v>49</v>
      </c>
      <c r="I301" s="4" t="s">
        <v>661</v>
      </c>
      <c r="J301" s="4" t="s">
        <v>121</v>
      </c>
      <c r="K301" s="5" t="str">
        <f>HYPERLINK("https://dms.licdn.com/playlist/vid/v2/D4E10AQE05lyU38SRQA/mp4-720p-30fp-crf28/B4EZtG9S8KGQCY-/0/1766422035393/UGCSEMRUSHVideoEOY1x1mp4?e=2147483647&amp;v=beta&amp;t=vq6oIbU8t7vyDMoAbOgHAXT1j-csdxV8ulUfjri1G4c","View Creative")</f>
        <v>View Creative</v>
      </c>
      <c r="L301" s="4" t="s">
        <v>60</v>
      </c>
      <c r="M301" s="4" t="s">
        <v>61</v>
      </c>
      <c r="N301" s="4" t="s">
        <v>2644</v>
      </c>
      <c r="O301" s="4" t="s">
        <v>89</v>
      </c>
      <c r="P301" s="4" t="s">
        <v>2741</v>
      </c>
    </row>
    <row r="302">
      <c r="A302" s="4" t="s">
        <v>40</v>
      </c>
      <c r="B302" s="4" t="s">
        <v>40</v>
      </c>
      <c r="C302" s="4">
        <v>300.0</v>
      </c>
      <c r="D302" s="5" t="str">
        <f>HYPERLINK("https://www.linkedin.com/ad-library/detail/1138255854","Open Ad")</f>
        <v>Open Ad</v>
      </c>
      <c r="E302" s="4" t="s">
        <v>78</v>
      </c>
      <c r="F302" s="4" t="s">
        <v>2676</v>
      </c>
      <c r="G302" s="4" t="s">
        <v>2744</v>
      </c>
      <c r="H302" s="4" t="s">
        <v>49</v>
      </c>
      <c r="I302" s="4" t="s">
        <v>661</v>
      </c>
      <c r="J302" s="4" t="s">
        <v>78</v>
      </c>
      <c r="K302" s="5" t="str">
        <f>HYPERLINK("https://media.licdn.com/dms/image/v2/D4E10AQFqg2r9mro9CA/image-shrink_1280/B4EZwzGxZRI0Ac-/0/1770383940133/Open-Role-Senior-Cloud-Engineer-4320-4320png?e=2147483647&amp;v=beta&amp;t=DH07ASWw1NASh48uzLS4UeDowpdoJXtQZIoHBdjS26U","View Creative")</f>
        <v>View Creative</v>
      </c>
      <c r="L302" s="4" t="s">
        <v>60</v>
      </c>
      <c r="M302" s="4" t="s">
        <v>61</v>
      </c>
      <c r="N302" s="4" t="s">
        <v>2749</v>
      </c>
      <c r="O302" s="4" t="s">
        <v>89</v>
      </c>
      <c r="P302" s="4" t="s">
        <v>2750</v>
      </c>
    </row>
    <row r="303">
      <c r="A303" s="4" t="s">
        <v>40</v>
      </c>
      <c r="B303" s="4" t="s">
        <v>40</v>
      </c>
      <c r="C303" s="4">
        <v>301.0</v>
      </c>
      <c r="D303" s="5" t="str">
        <f>HYPERLINK("https://www.linkedin.com/ad-library/detail/1128383954","Open Ad")</f>
        <v>Open Ad</v>
      </c>
      <c r="E303" s="4" t="s">
        <v>78</v>
      </c>
      <c r="F303" s="4" t="s">
        <v>2055</v>
      </c>
      <c r="G303" s="4" t="s">
        <v>2649</v>
      </c>
      <c r="H303" s="4" t="s">
        <v>49</v>
      </c>
      <c r="I303" s="4" t="s">
        <v>661</v>
      </c>
      <c r="J303" s="4" t="s">
        <v>78</v>
      </c>
      <c r="K303" s="5" t="str">
        <f>HYPERLINK("https://media.licdn.com/dms/image/v2/D4E10AQGUrUMSoPjfKQ/image-shrink_1280/B4EZvgxZFwJAAg-/0/1769002603532/Open-Role-Onboarding-Consultant-2430-4320png?e=2147483647&amp;v=beta&amp;t=W_YichP_XmW024mPNrIaI9Lyqmdt39L82PRHzuyx75I","View Creative")</f>
        <v>View Creative</v>
      </c>
      <c r="L303" s="4" t="s">
        <v>60</v>
      </c>
      <c r="M303" s="4" t="s">
        <v>61</v>
      </c>
      <c r="N303" s="4" t="s">
        <v>2653</v>
      </c>
      <c r="O303" s="4" t="s">
        <v>89</v>
      </c>
      <c r="P303" s="4" t="s">
        <v>2757</v>
      </c>
    </row>
    <row r="304">
      <c r="A304" s="4" t="s">
        <v>40</v>
      </c>
      <c r="B304" s="4" t="s">
        <v>40</v>
      </c>
      <c r="C304" s="4">
        <v>302.0</v>
      </c>
      <c r="D304" s="5" t="str">
        <f>HYPERLINK("https://www.linkedin.com/ad-library/detail/1093783584","Open Ad")</f>
        <v>Open Ad</v>
      </c>
      <c r="E304" s="4" t="s">
        <v>78</v>
      </c>
      <c r="F304" s="4" t="s">
        <v>2031</v>
      </c>
      <c r="G304" s="4" t="s">
        <v>436</v>
      </c>
      <c r="H304" s="4" t="s">
        <v>49</v>
      </c>
      <c r="I304" s="4" t="s">
        <v>166</v>
      </c>
      <c r="J304" s="4" t="s">
        <v>78</v>
      </c>
      <c r="K304" s="5" t="str">
        <f>HYPERLINK("https://media.licdn.com/dms/image/v2/D4E10AQHynFNJPFFQeQ/image-shrink_1280/B4EZvG6LdmJ4Ac-/0/1768568699237/Featureyourbrand?e=2147483647&amp;v=beta&amp;t=9EQZcmOSV1nDZCnM4-yMCbcShWmyziraZHFdOsN21Pc","View Creative")</f>
        <v>View Creative</v>
      </c>
      <c r="L304" s="4" t="s">
        <v>2321</v>
      </c>
      <c r="M304" s="4" t="s">
        <v>61</v>
      </c>
      <c r="N304" s="4" t="s">
        <v>2694</v>
      </c>
      <c r="O304" s="4" t="s">
        <v>89</v>
      </c>
      <c r="P304" s="4" t="s">
        <v>2766</v>
      </c>
    </row>
    <row r="305">
      <c r="A305" s="4" t="s">
        <v>40</v>
      </c>
      <c r="B305" s="4" t="s">
        <v>40</v>
      </c>
      <c r="C305" s="4">
        <v>303.0</v>
      </c>
      <c r="D305" s="5" t="str">
        <f>HYPERLINK("https://www.linkedin.com/ad-library/detail/1127883654","Open Ad")</f>
        <v>Open Ad</v>
      </c>
      <c r="E305" s="4" t="s">
        <v>78</v>
      </c>
      <c r="F305" s="4" t="s">
        <v>2768</v>
      </c>
      <c r="G305" s="4" t="s">
        <v>2769</v>
      </c>
      <c r="H305" s="4" t="s">
        <v>49</v>
      </c>
      <c r="I305" s="4" t="s">
        <v>1858</v>
      </c>
      <c r="J305" s="4" t="s">
        <v>78</v>
      </c>
      <c r="K305" s="5" t="str">
        <f>HYPERLINK("https://media.licdn.com/dms/image/v2/D4E10AQHUrJVQXeAGvA/image-shrink_1280/B4EZvgjerrKsAc-/0/1768998957365/Open-Role-Customer-Success-Manager-7680-4320png?e=2147483647&amp;v=beta&amp;t=Aiwj4ngXJfRiYrJtO_koDkvb2iCGQDF_LtFvFzSV8og","View Creative")</f>
        <v>View Creative</v>
      </c>
      <c r="L305" s="4" t="s">
        <v>60</v>
      </c>
      <c r="M305" s="4" t="s">
        <v>61</v>
      </c>
      <c r="N305" s="4" t="s">
        <v>2774</v>
      </c>
      <c r="O305" s="4" t="s">
        <v>89</v>
      </c>
      <c r="P305" s="4" t="s">
        <v>2775</v>
      </c>
    </row>
    <row r="306">
      <c r="A306" s="4" t="s">
        <v>40</v>
      </c>
      <c r="B306" s="4" t="s">
        <v>40</v>
      </c>
      <c r="C306" s="4">
        <v>304.0</v>
      </c>
      <c r="D306" s="5" t="str">
        <f>HYPERLINK("https://www.linkedin.com/ad-library/detail/1128402014","Open Ad")</f>
        <v>Open Ad</v>
      </c>
      <c r="E306" s="4" t="s">
        <v>78</v>
      </c>
      <c r="F306" s="4" t="s">
        <v>2316</v>
      </c>
      <c r="G306" s="4" t="s">
        <v>2318</v>
      </c>
      <c r="H306" s="4" t="s">
        <v>49</v>
      </c>
      <c r="I306" s="4" t="s">
        <v>1077</v>
      </c>
      <c r="J306" s="4" t="s">
        <v>78</v>
      </c>
      <c r="K306" s="5" t="str">
        <f>HYPERLINK("https://media.licdn.com/dms/image/v2/D4E10AQG-fU8aP0tLBA/image-shrink_1280/B4EZvrU2H0GwAc-/0/1769179669553/AIO-in-the-Wild-022png?e=2147483647&amp;v=beta&amp;t=bAFq8JWoniFLVQJHChEH-bXWPKxS2NkIsopqoDJBkJ0","View Creative")</f>
        <v>View Creative</v>
      </c>
      <c r="L306" s="4" t="s">
        <v>2321</v>
      </c>
      <c r="M306" s="4" t="s">
        <v>61</v>
      </c>
      <c r="N306" s="4" t="s">
        <v>2779</v>
      </c>
      <c r="O306" s="4" t="s">
        <v>89</v>
      </c>
      <c r="P306" s="4" t="s">
        <v>2780</v>
      </c>
    </row>
    <row r="307">
      <c r="A307" s="4" t="s">
        <v>40</v>
      </c>
      <c r="B307" s="4" t="s">
        <v>40</v>
      </c>
      <c r="C307" s="4">
        <v>305.0</v>
      </c>
      <c r="D307" s="5" t="str">
        <f>HYPERLINK("https://www.linkedin.com/ad-library/detail/1077204774","Open Ad")</f>
        <v>Open Ad</v>
      </c>
      <c r="E307" s="4" t="s">
        <v>78</v>
      </c>
      <c r="F307" s="4" t="s">
        <v>2637</v>
      </c>
      <c r="G307" s="4" t="s">
        <v>2710</v>
      </c>
      <c r="H307" s="4" t="s">
        <v>49</v>
      </c>
      <c r="I307" s="4" t="s">
        <v>56</v>
      </c>
      <c r="J307" s="4" t="s">
        <v>78</v>
      </c>
      <c r="K307" s="5" t="str">
        <f>HYPERLINK("https://media.licdn.com/dms/image/v2/D4E10AQFmGc-u4f8TzQ/image-shrink_1280/B4EZsSis4iKUAM-/0/1765542646502/ComebackV3png?e=2147483647&amp;v=beta&amp;t=HpXzAu9jQ_RMbwFn95--WGuO3hY-0Jlkmtvqn9iorw8","View Creative")</f>
        <v>View Creative</v>
      </c>
      <c r="L307" s="4" t="s">
        <v>60</v>
      </c>
      <c r="M307" s="4" t="s">
        <v>61</v>
      </c>
      <c r="N307" s="4" t="s">
        <v>2644</v>
      </c>
      <c r="O307" s="4" t="s">
        <v>89</v>
      </c>
      <c r="P307" s="4" t="s">
        <v>2790</v>
      </c>
    </row>
    <row r="308">
      <c r="A308" s="4" t="s">
        <v>40</v>
      </c>
      <c r="B308" s="4" t="s">
        <v>40</v>
      </c>
      <c r="C308" s="4">
        <v>306.0</v>
      </c>
      <c r="D308" s="5" t="str">
        <f>HYPERLINK("https://www.linkedin.com/ad-library/detail/1131281894","Open Ad")</f>
        <v>Open Ad</v>
      </c>
      <c r="E308" s="4" t="s">
        <v>78</v>
      </c>
      <c r="F308" s="4" t="s">
        <v>2768</v>
      </c>
      <c r="G308" s="4" t="s">
        <v>2769</v>
      </c>
      <c r="H308" s="4" t="s">
        <v>49</v>
      </c>
      <c r="I308" s="4" t="s">
        <v>1858</v>
      </c>
      <c r="J308" s="4" t="s">
        <v>78</v>
      </c>
      <c r="K308" s="5" t="str">
        <f>HYPERLINK("https://media.licdn.com/dms/image/v2/D4E10AQEp1hHVQ7hQhA/image-shrink_1280/B4EZvgjeotKgAc-/0/1768998956301/Open-Role-Customer-Success-Manager-2430-4320png?e=2147483647&amp;v=beta&amp;t=uGD5cGrllYM9SiaNs_av2Xd9sSEFgKUVkx4AELLy6pI","View Creative")</f>
        <v>View Creative</v>
      </c>
      <c r="L308" s="4" t="s">
        <v>60</v>
      </c>
      <c r="M308" s="4" t="s">
        <v>61</v>
      </c>
      <c r="N308" s="4" t="s">
        <v>2774</v>
      </c>
      <c r="O308" s="4" t="s">
        <v>89</v>
      </c>
      <c r="P308" s="4" t="s">
        <v>2797</v>
      </c>
    </row>
    <row r="309">
      <c r="A309" s="4" t="s">
        <v>40</v>
      </c>
      <c r="B309" s="4" t="s">
        <v>40</v>
      </c>
      <c r="C309" s="4">
        <v>307.0</v>
      </c>
      <c r="D309" s="5" t="str">
        <f>HYPERLINK("https://www.linkedin.com/ad-library/detail/1093483904","Open Ad")</f>
        <v>Open Ad</v>
      </c>
      <c r="E309" s="4" t="s">
        <v>78</v>
      </c>
      <c r="F309" s="4" t="s">
        <v>2031</v>
      </c>
      <c r="G309" s="4" t="s">
        <v>436</v>
      </c>
      <c r="H309" s="4" t="s">
        <v>49</v>
      </c>
      <c r="I309" s="4" t="s">
        <v>166</v>
      </c>
      <c r="J309" s="4" t="s">
        <v>78</v>
      </c>
      <c r="K309" s="5" t="str">
        <f>HYPERLINK("https://media.licdn.com/dms/image/v2/D4E10AQGG-dkMk_qCWA/image-shrink_1280/B4EZvG6Y1uIIAc-/0/1768568754048/TurnAIsearchvisibility?e=2147483647&amp;v=beta&amp;t=OmqASWqo4cgZoXkinMrWyIWNCRt9IMsquYjbiy3OkBE","View Creative")</f>
        <v>View Creative</v>
      </c>
      <c r="L309" s="4" t="s">
        <v>2321</v>
      </c>
      <c r="M309" s="4" t="s">
        <v>61</v>
      </c>
      <c r="N309" s="4" t="s">
        <v>2694</v>
      </c>
      <c r="O309" s="4" t="s">
        <v>89</v>
      </c>
      <c r="P309" s="4" t="s">
        <v>2805</v>
      </c>
    </row>
    <row r="310">
      <c r="A310" s="4" t="s">
        <v>40</v>
      </c>
      <c r="B310" s="4" t="s">
        <v>40</v>
      </c>
      <c r="C310" s="4">
        <v>308.0</v>
      </c>
      <c r="D310" s="5" t="str">
        <f>HYPERLINK("https://www.linkedin.com/ad-library/detail/1092784094","Open Ad")</f>
        <v>Open Ad</v>
      </c>
      <c r="E310" s="4" t="s">
        <v>78</v>
      </c>
      <c r="F310" s="4" t="s">
        <v>2031</v>
      </c>
      <c r="G310" s="4" t="s">
        <v>436</v>
      </c>
      <c r="H310" s="4" t="s">
        <v>49</v>
      </c>
      <c r="I310" s="4" t="s">
        <v>166</v>
      </c>
      <c r="J310" s="4" t="s">
        <v>78</v>
      </c>
      <c r="K310" s="5" t="str">
        <f>HYPERLINK("https://media.licdn.com/dms/image/v2/D4E10AQF65IrenmbttA/image-shrink_1280/B4EZvG6FZkIkAc-/0/1768568674385/1200x1200png?e=2147483647&amp;v=beta&amp;t=RhnM6wXZDszpR3ZtD8-aHceeYdQmbNH4RbmbhW1kBiU","View Creative")</f>
        <v>View Creative</v>
      </c>
      <c r="L310" s="4" t="s">
        <v>2321</v>
      </c>
      <c r="M310" s="4" t="s">
        <v>61</v>
      </c>
      <c r="N310" s="4" t="s">
        <v>2694</v>
      </c>
      <c r="O310" s="4" t="s">
        <v>89</v>
      </c>
      <c r="P310" s="4" t="s">
        <v>2810</v>
      </c>
    </row>
    <row r="311">
      <c r="A311" s="4" t="s">
        <v>40</v>
      </c>
      <c r="B311" s="4" t="s">
        <v>40</v>
      </c>
      <c r="C311" s="4">
        <v>309.0</v>
      </c>
      <c r="D311" s="5" t="str">
        <f>HYPERLINK("https://www.linkedin.com/ad-library/detail/1080598434","Open Ad")</f>
        <v>Open Ad</v>
      </c>
      <c r="E311" s="4" t="s">
        <v>121</v>
      </c>
      <c r="F311" s="4" t="s">
        <v>2637</v>
      </c>
      <c r="G311" s="4" t="s">
        <v>2638</v>
      </c>
      <c r="H311" s="4" t="s">
        <v>49</v>
      </c>
      <c r="I311" s="4" t="s">
        <v>661</v>
      </c>
      <c r="J311" s="4" t="s">
        <v>121</v>
      </c>
      <c r="K311" s="5" t="str">
        <f>HYPERLINK("https://dms.licdn.com/playlist/vid/v2/D4E10AQE05lyU38SRQA/mp4-720p-30fp-crf28/B4EZtG9S8KGQCY-/0/1766422035393/UGCSEMRUSHVideoEOY1x1mp4?e=2147483647&amp;v=beta&amp;t=vq6oIbU8t7vyDMoAbOgHAXT1j-csdxV8ulUfjri1G4c","View Creative")</f>
        <v>View Creative</v>
      </c>
      <c r="L311" s="4" t="s">
        <v>60</v>
      </c>
      <c r="M311" s="4" t="s">
        <v>61</v>
      </c>
      <c r="N311" s="4" t="s">
        <v>2644</v>
      </c>
      <c r="O311" s="4" t="s">
        <v>89</v>
      </c>
      <c r="P311" s="4" t="s">
        <v>2819</v>
      </c>
    </row>
    <row r="312">
      <c r="A312" s="4" t="s">
        <v>40</v>
      </c>
      <c r="B312" s="4" t="s">
        <v>40</v>
      </c>
      <c r="C312" s="4">
        <v>310.0</v>
      </c>
      <c r="D312" s="5" t="str">
        <f>HYPERLINK("https://www.linkedin.com/ad-library/detail/1128784514","Open Ad")</f>
        <v>Open Ad</v>
      </c>
      <c r="E312" s="4" t="s">
        <v>78</v>
      </c>
      <c r="F312" s="4" t="s">
        <v>2676</v>
      </c>
      <c r="G312" s="4" t="s">
        <v>2678</v>
      </c>
      <c r="H312" s="4" t="s">
        <v>49</v>
      </c>
      <c r="I312" s="4" t="s">
        <v>661</v>
      </c>
      <c r="J312" s="4" t="s">
        <v>78</v>
      </c>
      <c r="K312" s="5" t="str">
        <f>HYPERLINK("https://media.licdn.com/dms/image/v2/D4E10AQF1X0t7RzvpsA/image-shrink_1280/B4EZvg85SxHoAg-/0/1769005620247/Open-Role-Product-PR-Specialist-7680-4320png?e=2147483647&amp;v=beta&amp;t=cL6P6jvYDyj7vVvWuJMqgc9-8hN-BaIrAuWPvNW78jY","View Creative")</f>
        <v>View Creative</v>
      </c>
      <c r="L312" s="4" t="s">
        <v>60</v>
      </c>
      <c r="M312" s="4" t="s">
        <v>61</v>
      </c>
      <c r="N312" s="4" t="s">
        <v>2682</v>
      </c>
      <c r="O312" s="4" t="s">
        <v>89</v>
      </c>
      <c r="P312" s="4" t="s">
        <v>2828</v>
      </c>
    </row>
    <row r="313">
      <c r="A313" s="4" t="s">
        <v>40</v>
      </c>
      <c r="B313" s="4" t="s">
        <v>40</v>
      </c>
      <c r="C313" s="4">
        <v>311.0</v>
      </c>
      <c r="D313" s="5" t="str">
        <f>HYPERLINK("https://www.linkedin.com/ad-library/detail/1128983684","Open Ad")</f>
        <v>Open Ad</v>
      </c>
      <c r="E313" s="4" t="s">
        <v>78</v>
      </c>
      <c r="F313" s="4" t="s">
        <v>2768</v>
      </c>
      <c r="G313" s="4" t="s">
        <v>2769</v>
      </c>
      <c r="H313" s="4" t="s">
        <v>49</v>
      </c>
      <c r="I313" s="4" t="s">
        <v>1858</v>
      </c>
      <c r="J313" s="4" t="s">
        <v>78</v>
      </c>
      <c r="K313" s="5" t="str">
        <f>HYPERLINK("https://media.licdn.com/dms/image/v2/D4E10AQFodjxYHyDB2A/image-shrink_1280/B4EZvgjengKYAk-/0/1768998956634/Open-Role-Customer-Success-Manager-4320-4320png?e=2147483647&amp;v=beta&amp;t=QsrpLu7oKc_lyBxeeHhYdpNfiTcwOFMu9Co_SjcTyvQ","View Creative")</f>
        <v>View Creative</v>
      </c>
      <c r="L313" s="4" t="s">
        <v>60</v>
      </c>
      <c r="M313" s="4" t="s">
        <v>61</v>
      </c>
      <c r="N313" s="4" t="s">
        <v>2774</v>
      </c>
      <c r="O313" s="4" t="s">
        <v>89</v>
      </c>
      <c r="P313" s="4" t="s">
        <v>2835</v>
      </c>
    </row>
    <row r="314">
      <c r="A314" s="4" t="s">
        <v>40</v>
      </c>
      <c r="B314" s="4" t="s">
        <v>40</v>
      </c>
      <c r="C314" s="4">
        <v>312.0</v>
      </c>
      <c r="D314" s="5" t="str">
        <f>HYPERLINK("https://www.linkedin.com/ad-library/detail/1131300034","Open Ad")</f>
        <v>Open Ad</v>
      </c>
      <c r="E314" s="4" t="s">
        <v>78</v>
      </c>
      <c r="F314" s="4" t="s">
        <v>2316</v>
      </c>
      <c r="G314" s="4" t="s">
        <v>2405</v>
      </c>
      <c r="H314" s="4" t="s">
        <v>49</v>
      </c>
      <c r="I314" s="4" t="s">
        <v>198</v>
      </c>
      <c r="J314" s="4" t="s">
        <v>78</v>
      </c>
      <c r="K314" s="5" t="str">
        <f>HYPERLINK("https://media.licdn.com/dms/image/v2/D4E10AQG-fU8aP0tLBA/image-shrink_1280/B4EZvrU2H0GwAc-/0/1769179669553/AIO-in-the-Wild-022png?e=2147483647&amp;v=beta&amp;t=bAFq8JWoniFLVQJHChEH-bXWPKxS2NkIsopqoDJBkJ0","View Creative")</f>
        <v>View Creative</v>
      </c>
      <c r="L314" s="4" t="s">
        <v>2321</v>
      </c>
      <c r="M314" s="4" t="s">
        <v>61</v>
      </c>
      <c r="N314" s="4" t="s">
        <v>2779</v>
      </c>
      <c r="O314" s="4" t="s">
        <v>89</v>
      </c>
      <c r="P314" s="4" t="s">
        <v>2844</v>
      </c>
    </row>
    <row r="315">
      <c r="A315" s="4" t="s">
        <v>40</v>
      </c>
      <c r="B315" s="4" t="s">
        <v>40</v>
      </c>
      <c r="C315" s="4">
        <v>313.0</v>
      </c>
      <c r="D315" s="5" t="str">
        <f>HYPERLINK("https://www.linkedin.com/ad-library/detail/1078004504","Open Ad")</f>
        <v>Open Ad</v>
      </c>
      <c r="E315" s="4" t="s">
        <v>78</v>
      </c>
      <c r="F315" s="4" t="s">
        <v>2637</v>
      </c>
      <c r="G315" s="4" t="s">
        <v>2710</v>
      </c>
      <c r="H315" s="4" t="s">
        <v>49</v>
      </c>
      <c r="I315" s="4" t="s">
        <v>56</v>
      </c>
      <c r="J315" s="4" t="s">
        <v>78</v>
      </c>
      <c r="K315" s="5" t="str">
        <f>HYPERLINK("https://media.licdn.com/dms/image/v2/D4E10AQFmGc-u4f8TzQ/image-shrink_1280/B4EZsSis4iKUAM-/0/1765542646502/ComebackV3png?e=2147483647&amp;v=beta&amp;t=HpXzAu9jQ_RMbwFn95--WGuO3hY-0Jlkmtvqn9iorw8","View Creative")</f>
        <v>View Creative</v>
      </c>
      <c r="L315" s="4" t="s">
        <v>60</v>
      </c>
      <c r="M315" s="4" t="s">
        <v>61</v>
      </c>
      <c r="N315" s="4" t="s">
        <v>2644</v>
      </c>
      <c r="O315" s="4" t="s">
        <v>89</v>
      </c>
      <c r="P315" s="4" t="s">
        <v>2848</v>
      </c>
    </row>
    <row r="316">
      <c r="A316" s="4" t="s">
        <v>40</v>
      </c>
      <c r="B316" s="4" t="s">
        <v>40</v>
      </c>
      <c r="C316" s="4">
        <v>314.0</v>
      </c>
      <c r="D316" s="5" t="str">
        <f>HYPERLINK("https://www.linkedin.com/ad-library/detail/1081098594","Open Ad")</f>
        <v>Open Ad</v>
      </c>
      <c r="E316" s="4" t="s">
        <v>78</v>
      </c>
      <c r="F316" s="4" t="s">
        <v>2637</v>
      </c>
      <c r="G316" s="4" t="s">
        <v>2638</v>
      </c>
      <c r="H316" s="4" t="s">
        <v>49</v>
      </c>
      <c r="I316" s="4" t="s">
        <v>661</v>
      </c>
      <c r="J316" s="4" t="s">
        <v>78</v>
      </c>
      <c r="K316" s="5" t="str">
        <f>HYPERLINK("https://media.licdn.com/dms/image/v2/D4E10AQHhhPKfgziqSQ/image-shrink_1280/B4EZsSkvFhHgAM-/0/1765543181193/WineverysearchV1png?e=2147483647&amp;v=beta&amp;t=0s9X1-KD0cwda43KUHXiZ6VgA0oYUQummgCRbXIXT5Y","View Creative")</f>
        <v>View Creative</v>
      </c>
      <c r="L316" s="4" t="s">
        <v>60</v>
      </c>
      <c r="M316" s="4" t="s">
        <v>61</v>
      </c>
      <c r="N316" s="4" t="s">
        <v>2644</v>
      </c>
      <c r="O316" s="4" t="s">
        <v>89</v>
      </c>
      <c r="P316" s="4" t="s">
        <v>2855</v>
      </c>
    </row>
    <row r="317">
      <c r="A317" s="4" t="s">
        <v>40</v>
      </c>
      <c r="B317" s="4" t="s">
        <v>40</v>
      </c>
      <c r="C317" s="4">
        <v>315.0</v>
      </c>
      <c r="D317" s="5" t="str">
        <f>HYPERLINK("https://www.linkedin.com/ad-library/detail/1080698434","Open Ad")</f>
        <v>Open Ad</v>
      </c>
      <c r="E317" s="4" t="s">
        <v>78</v>
      </c>
      <c r="F317" s="4" t="s">
        <v>2637</v>
      </c>
      <c r="G317" s="4" t="s">
        <v>2638</v>
      </c>
      <c r="H317" s="4" t="s">
        <v>49</v>
      </c>
      <c r="I317" s="4" t="s">
        <v>661</v>
      </c>
      <c r="J317" s="4" t="s">
        <v>78</v>
      </c>
      <c r="K317" s="5" t="str">
        <f>HYPERLINK("https://media.licdn.com/dms/image/v2/D4E10AQEl0a5ve_qCPA/image-shrink_1280/B4EZsSlE2oKkAM-/0/1765543270161/WineverysearchV3png?e=2147483647&amp;v=beta&amp;t=A2rieiMVWN_OAyYtoKqA0anCUH2OByXRSQT2N5XrS_I","View Creative")</f>
        <v>View Creative</v>
      </c>
      <c r="L317" s="4" t="s">
        <v>60</v>
      </c>
      <c r="M317" s="4" t="s">
        <v>61</v>
      </c>
      <c r="N317" s="4" t="s">
        <v>2644</v>
      </c>
      <c r="O317" s="4" t="s">
        <v>89</v>
      </c>
      <c r="P317" s="4" t="s">
        <v>2860</v>
      </c>
    </row>
    <row r="318">
      <c r="A318" s="4" t="s">
        <v>40</v>
      </c>
      <c r="B318" s="4" t="s">
        <v>40</v>
      </c>
      <c r="C318" s="4">
        <v>316.0</v>
      </c>
      <c r="D318" s="5" t="str">
        <f>HYPERLINK("https://www.linkedin.com/ad-library/detail/1078294414","Open Ad")</f>
        <v>Open Ad</v>
      </c>
      <c r="E318" s="4" t="s">
        <v>78</v>
      </c>
      <c r="F318" s="4" t="s">
        <v>2864</v>
      </c>
      <c r="G318" s="4" t="s">
        <v>2865</v>
      </c>
      <c r="H318" s="4" t="s">
        <v>49</v>
      </c>
      <c r="I318" s="4" t="s">
        <v>2866</v>
      </c>
      <c r="J318" s="4" t="s">
        <v>78</v>
      </c>
      <c r="K318" s="5" t="str">
        <f>HYPERLINK("https://media.licdn.com/dms/image/v2/D4E10AQFiderjHNEmfA/image-shrink_1280/B4EZpJFlyjKMAU-/0/1762162795050/everytoolv1png?e=2147483647&amp;v=beta&amp;t=bKwBE2ciiGznP3B9BVejtsHNaVeRohDadTESyyUQ1fI","View Creative")</f>
        <v>View Creative</v>
      </c>
      <c r="L318" s="4" t="s">
        <v>60</v>
      </c>
      <c r="M318" s="4" t="s">
        <v>61</v>
      </c>
      <c r="N318" s="4" t="s">
        <v>2870</v>
      </c>
      <c r="O318" s="4" t="s">
        <v>89</v>
      </c>
      <c r="P318" s="4" t="s">
        <v>2872</v>
      </c>
    </row>
    <row r="319">
      <c r="A319" s="4" t="s">
        <v>40</v>
      </c>
      <c r="B319" s="4" t="s">
        <v>40</v>
      </c>
      <c r="C319" s="4">
        <v>317.0</v>
      </c>
      <c r="D319" s="5" t="str">
        <f>HYPERLINK("https://www.linkedin.com/ad-library/detail/1081884334","Open Ad")</f>
        <v>Open Ad</v>
      </c>
      <c r="E319" s="4" t="s">
        <v>78</v>
      </c>
      <c r="F319" s="4" t="s">
        <v>2864</v>
      </c>
      <c r="G319" s="4" t="s">
        <v>2865</v>
      </c>
      <c r="H319" s="4" t="s">
        <v>49</v>
      </c>
      <c r="I319" s="4" t="s">
        <v>2866</v>
      </c>
      <c r="J319" s="4" t="s">
        <v>78</v>
      </c>
      <c r="K319" s="5" t="str">
        <f>HYPERLINK("https://media.licdn.com/dms/image/v2/D4E10AQFALTRYA2PG2g/image-shrink_1280/B4EZpJHOAqIQAM-/0/1762163221643/Everytool_v2png?e=2147483647&amp;v=beta&amp;t=OdIyyNqQeBQAfaHOYFSuH72yURT95HgluqQnSEps6CM","View Creative")</f>
        <v>View Creative</v>
      </c>
      <c r="L319" s="4" t="s">
        <v>60</v>
      </c>
      <c r="M319" s="4" t="s">
        <v>61</v>
      </c>
      <c r="N319" s="4" t="s">
        <v>2870</v>
      </c>
      <c r="O319" s="4" t="s">
        <v>89</v>
      </c>
      <c r="P319" s="4" t="s">
        <v>2875</v>
      </c>
    </row>
    <row r="320">
      <c r="A320" s="4" t="s">
        <v>40</v>
      </c>
      <c r="B320" s="4" t="s">
        <v>40</v>
      </c>
      <c r="C320" s="4">
        <v>318.0</v>
      </c>
      <c r="D320" s="5" t="str">
        <f>HYPERLINK("https://www.linkedin.com/ad-library/detail/1081497254","Open Ad")</f>
        <v>Open Ad</v>
      </c>
      <c r="E320" s="4" t="s">
        <v>78</v>
      </c>
      <c r="F320" s="4" t="s">
        <v>2637</v>
      </c>
      <c r="G320" s="4" t="s">
        <v>2710</v>
      </c>
      <c r="H320" s="4" t="s">
        <v>49</v>
      </c>
      <c r="I320" s="4" t="s">
        <v>56</v>
      </c>
      <c r="J320" s="4" t="s">
        <v>78</v>
      </c>
      <c r="K320" s="5" t="str">
        <f>HYPERLINK("https://media.licdn.com/dms/image/v2/D4E10AQGWKuqn0S3ZJw/image-shrink_1280/B4EZsSiTvOKUAM-/0/1765542543688/ComebackV2png?e=2147483647&amp;v=beta&amp;t=xyiRjQTvsU2K1zr2MF6MlffvSlA1j8_HscZKvo8n6ME","View Creative")</f>
        <v>View Creative</v>
      </c>
      <c r="L320" s="4" t="s">
        <v>60</v>
      </c>
      <c r="M320" s="4" t="s">
        <v>61</v>
      </c>
      <c r="N320" s="4" t="s">
        <v>2644</v>
      </c>
      <c r="O320" s="4" t="s">
        <v>89</v>
      </c>
      <c r="P320" s="4" t="s">
        <v>2885</v>
      </c>
    </row>
    <row r="321">
      <c r="A321" s="4" t="s">
        <v>40</v>
      </c>
      <c r="B321" s="4" t="s">
        <v>40</v>
      </c>
      <c r="C321" s="4">
        <v>319.0</v>
      </c>
      <c r="D321" s="5" t="str">
        <f>HYPERLINK("https://www.linkedin.com/ad-library/detail/1081497244","Open Ad")</f>
        <v>Open Ad</v>
      </c>
      <c r="E321" s="4" t="s">
        <v>78</v>
      </c>
      <c r="F321" s="4" t="s">
        <v>2637</v>
      </c>
      <c r="G321" s="4" t="s">
        <v>2710</v>
      </c>
      <c r="H321" s="4" t="s">
        <v>49</v>
      </c>
      <c r="I321" s="4" t="s">
        <v>56</v>
      </c>
      <c r="J321" s="4" t="s">
        <v>78</v>
      </c>
      <c r="K321" s="5" t="str">
        <f>HYPERLINK("https://media.licdn.com/dms/image/v2/D4E10AQEv6svmdRRqNQ/image-shrink_1280/B4EZsSkcJYKcAM-/0/1765543102430/ComebackV4png?e=2147483647&amp;v=beta&amp;t=zctG_0F6xiwZF1gcEzm32euoxNPFljssyeTrHvWtpLI","View Creative")</f>
        <v>View Creative</v>
      </c>
      <c r="L321" s="4" t="s">
        <v>60</v>
      </c>
      <c r="M321" s="4" t="s">
        <v>61</v>
      </c>
      <c r="N321" s="4" t="s">
        <v>2644</v>
      </c>
      <c r="O321" s="4" t="s">
        <v>89</v>
      </c>
      <c r="P321" s="4" t="s">
        <v>2890</v>
      </c>
    </row>
    <row r="322">
      <c r="A322" s="4" t="s">
        <v>40</v>
      </c>
      <c r="B322" s="4" t="s">
        <v>40</v>
      </c>
      <c r="C322" s="4">
        <v>320.0</v>
      </c>
      <c r="D322" s="5" t="str">
        <f>HYPERLINK("https://www.linkedin.com/ad-library/detail/1080794814","Open Ad")</f>
        <v>Open Ad</v>
      </c>
      <c r="E322" s="4" t="s">
        <v>78</v>
      </c>
      <c r="F322" s="4" t="s">
        <v>2864</v>
      </c>
      <c r="G322" s="4" t="s">
        <v>2865</v>
      </c>
      <c r="H322" s="4" t="s">
        <v>49</v>
      </c>
      <c r="I322" s="4" t="s">
        <v>2866</v>
      </c>
      <c r="J322" s="4" t="s">
        <v>78</v>
      </c>
      <c r="K322" s="5" t="str">
        <f>HYPERLINK("https://media.licdn.com/dms/image/v2/D4E10AQFiderjHNEmfA/image-shrink_1280/B4EZpJFlyjKMAU-/0/1762162795050/everytoolv1png?e=2147483647&amp;v=beta&amp;t=bKwBE2ciiGznP3B9BVejtsHNaVeRohDadTESyyUQ1fI","View Creative")</f>
        <v>View Creative</v>
      </c>
      <c r="L322" s="4" t="s">
        <v>60</v>
      </c>
      <c r="M322" s="4" t="s">
        <v>61</v>
      </c>
      <c r="N322" s="4" t="s">
        <v>2900</v>
      </c>
      <c r="O322" s="4" t="s">
        <v>89</v>
      </c>
      <c r="P322" s="4" t="s">
        <v>2901</v>
      </c>
    </row>
    <row r="323">
      <c r="A323" s="4" t="s">
        <v>40</v>
      </c>
      <c r="B323" s="4" t="s">
        <v>40</v>
      </c>
      <c r="C323" s="4">
        <v>321.0</v>
      </c>
      <c r="D323" s="5" t="str">
        <f>HYPERLINK("https://www.linkedin.com/ad-library/detail/1080088974","Open Ad")</f>
        <v>Open Ad</v>
      </c>
      <c r="E323" s="4" t="s">
        <v>78</v>
      </c>
      <c r="F323" s="4" t="s">
        <v>2864</v>
      </c>
      <c r="G323" s="4" t="s">
        <v>2865</v>
      </c>
      <c r="H323" s="4" t="s">
        <v>49</v>
      </c>
      <c r="I323" s="4" t="s">
        <v>2866</v>
      </c>
      <c r="J323" s="4" t="s">
        <v>78</v>
      </c>
      <c r="K323" s="5" t="str">
        <f>HYPERLINK("https://media.licdn.com/dms/image/v2/D4E10AQGNmJRJ2AaL9Q/image-shrink_1280/B4EZpJHOAlHEAM-/0/1762163221668/Cutmanual_v2png?e=2147483647&amp;v=beta&amp;t=87pX_7WdH1CEMUq0dRJqOLWJH_BHpsYtrJK-SbFSvIA","View Creative")</f>
        <v>View Creative</v>
      </c>
      <c r="L323" s="4" t="s">
        <v>60</v>
      </c>
      <c r="M323" s="4" t="s">
        <v>61</v>
      </c>
      <c r="N323" s="4" t="s">
        <v>2870</v>
      </c>
      <c r="O323" s="4" t="s">
        <v>89</v>
      </c>
      <c r="P323" s="4" t="s">
        <v>2906</v>
      </c>
    </row>
    <row r="324">
      <c r="A324" s="4" t="s">
        <v>40</v>
      </c>
      <c r="B324" s="4" t="s">
        <v>40</v>
      </c>
      <c r="C324" s="4">
        <v>322.0</v>
      </c>
      <c r="D324" s="5" t="str">
        <f>HYPERLINK("https://www.linkedin.com/ad-library/detail/1080195174","Open Ad")</f>
        <v>Open Ad</v>
      </c>
      <c r="E324" s="4" t="s">
        <v>78</v>
      </c>
      <c r="F324" s="4" t="s">
        <v>2864</v>
      </c>
      <c r="G324" s="4" t="s">
        <v>2865</v>
      </c>
      <c r="H324" s="4" t="s">
        <v>49</v>
      </c>
      <c r="I324" s="4" t="s">
        <v>2866</v>
      </c>
      <c r="J324" s="4" t="s">
        <v>78</v>
      </c>
      <c r="K324" s="5" t="str">
        <f>HYPERLINK("https://media.licdn.com/dms/image/v2/D4E10AQG3mhPj4Jq23A/image-shrink_1280/B4EZpJFlyfHMAM-/0/1762162795167/analyzeseov1png?e=2147483647&amp;v=beta&amp;t=PMyvpJXJb7kPV-WN8Hin_f-lkjdHOg6FfkPXWnbLzqM","View Creative")</f>
        <v>View Creative</v>
      </c>
      <c r="L324" s="4" t="s">
        <v>60</v>
      </c>
      <c r="M324" s="4" t="s">
        <v>61</v>
      </c>
      <c r="N324" s="4" t="s">
        <v>2900</v>
      </c>
      <c r="O324" s="4" t="s">
        <v>89</v>
      </c>
      <c r="P324" s="4" t="s">
        <v>2916</v>
      </c>
    </row>
    <row r="325">
      <c r="A325" s="4" t="s">
        <v>40</v>
      </c>
      <c r="B325" s="4" t="s">
        <v>40</v>
      </c>
      <c r="C325" s="4">
        <v>323.0</v>
      </c>
      <c r="D325" s="5" t="str">
        <f>HYPERLINK("https://www.linkedin.com/ad-library/detail/1081890614","Open Ad")</f>
        <v>Open Ad</v>
      </c>
      <c r="E325" s="4" t="s">
        <v>78</v>
      </c>
      <c r="F325" s="4" t="s">
        <v>2864</v>
      </c>
      <c r="G325" s="4" t="s">
        <v>2865</v>
      </c>
      <c r="H325" s="4" t="s">
        <v>49</v>
      </c>
      <c r="I325" s="4" t="s">
        <v>2866</v>
      </c>
      <c r="J325" s="4" t="s">
        <v>78</v>
      </c>
      <c r="K325" s="5" t="str">
        <f>HYPERLINK("https://media.licdn.com/dms/image/v2/D4E10AQEpN2cvLR7V9Q/image-shrink_1280/B4EZpJH38UKoAQ-/0/1762163393251/Everytool_v3png?e=2147483647&amp;v=beta&amp;t=xjVpTyZnU-i3AmlCzJwTQvgQWJYT4myITqseHmwrxtA","View Creative")</f>
        <v>View Creative</v>
      </c>
      <c r="L325" s="4" t="s">
        <v>60</v>
      </c>
      <c r="M325" s="4" t="s">
        <v>61</v>
      </c>
      <c r="N325" s="4" t="s">
        <v>2900</v>
      </c>
      <c r="O325" s="4" t="s">
        <v>89</v>
      </c>
      <c r="P325" s="4" t="s">
        <v>2920</v>
      </c>
    </row>
    <row r="326">
      <c r="A326" s="4" t="s">
        <v>40</v>
      </c>
      <c r="B326" s="4" t="s">
        <v>40</v>
      </c>
      <c r="C326" s="4">
        <v>324.0</v>
      </c>
      <c r="D326" s="5" t="str">
        <f>HYPERLINK("https://www.linkedin.com/ad-library/detail/1081494214","Open Ad")</f>
        <v>Open Ad</v>
      </c>
      <c r="E326" s="4" t="s">
        <v>78</v>
      </c>
      <c r="F326" s="4" t="s">
        <v>2864</v>
      </c>
      <c r="G326" s="4" t="s">
        <v>2865</v>
      </c>
      <c r="H326" s="4" t="s">
        <v>49</v>
      </c>
      <c r="I326" s="4" t="s">
        <v>2866</v>
      </c>
      <c r="J326" s="4" t="s">
        <v>78</v>
      </c>
      <c r="K326" s="5" t="str">
        <f>HYPERLINK("https://media.licdn.com/dms/image/v2/D4E10AQFiderjHNEmfA/image-shrink_1280/B4EZpJFlyjKMAU-/0/1762162795050/everytoolv1png?e=2147483647&amp;v=beta&amp;t=bKwBE2ciiGznP3B9BVejtsHNaVeRohDadTESyyUQ1fI","View Creative")</f>
        <v>View Creative</v>
      </c>
      <c r="L326" s="4" t="s">
        <v>60</v>
      </c>
      <c r="M326" s="4" t="s">
        <v>61</v>
      </c>
      <c r="N326" s="4" t="s">
        <v>2900</v>
      </c>
      <c r="O326" s="4" t="s">
        <v>89</v>
      </c>
      <c r="P326" s="4" t="s">
        <v>2925</v>
      </c>
    </row>
    <row r="327">
      <c r="A327" s="4" t="s">
        <v>40</v>
      </c>
      <c r="B327" s="4" t="s">
        <v>40</v>
      </c>
      <c r="C327" s="4">
        <v>325.0</v>
      </c>
      <c r="D327" s="5" t="str">
        <f>HYPERLINK("https://www.linkedin.com/ad-library/detail/1081597284","Open Ad")</f>
        <v>Open Ad</v>
      </c>
      <c r="E327" s="4" t="s">
        <v>78</v>
      </c>
      <c r="F327" s="4" t="s">
        <v>2637</v>
      </c>
      <c r="G327" s="4" t="s">
        <v>2710</v>
      </c>
      <c r="H327" s="4" t="s">
        <v>49</v>
      </c>
      <c r="I327" s="4" t="s">
        <v>56</v>
      </c>
      <c r="J327" s="4" t="s">
        <v>78</v>
      </c>
      <c r="K327" s="5" t="str">
        <f>HYPERLINK("https://media.licdn.com/dms/image/v2/D4E10AQHeDIx4kcXdKA/image-shrink_1280/B4EZsShBl_HcAU-/0/1765542208122/ComebackV1png?e=2147483647&amp;v=beta&amp;t=myDwZIqhPXgPHSh113Chrbyf5mUgWH1I3NJo2y_cvTg","View Creative")</f>
        <v>View Creative</v>
      </c>
      <c r="L327" s="4" t="s">
        <v>60</v>
      </c>
      <c r="M327" s="4" t="s">
        <v>61</v>
      </c>
      <c r="N327" s="4" t="s">
        <v>2644</v>
      </c>
      <c r="O327" s="4" t="s">
        <v>89</v>
      </c>
      <c r="P327" s="4" t="s">
        <v>2931</v>
      </c>
    </row>
    <row r="328">
      <c r="A328" s="4" t="s">
        <v>40</v>
      </c>
      <c r="B328" s="4" t="s">
        <v>40</v>
      </c>
      <c r="C328" s="4">
        <v>326.0</v>
      </c>
      <c r="D328" s="5" t="str">
        <f>HYPERLINK("https://www.linkedin.com/ad-library/detail/1081792774","Open Ad")</f>
        <v>Open Ad</v>
      </c>
      <c r="E328" s="4" t="s">
        <v>78</v>
      </c>
      <c r="F328" s="4" t="s">
        <v>2864</v>
      </c>
      <c r="G328" s="4" t="s">
        <v>2865</v>
      </c>
      <c r="H328" s="4" t="s">
        <v>49</v>
      </c>
      <c r="I328" s="4" t="s">
        <v>2866</v>
      </c>
      <c r="J328" s="4" t="s">
        <v>78</v>
      </c>
      <c r="K328" s="5" t="str">
        <f>HYPERLINK("https://media.licdn.com/dms/image/v2/D4E10AQFALTRYA2PG2g/image-shrink_1280/B4EZpJHOAqIQAM-/0/1762163221643/Everytool_v2png?e=2147483647&amp;v=beta&amp;t=OdIyyNqQeBQAfaHOYFSuH72yURT95HgluqQnSEps6CM","View Creative")</f>
        <v>View Creative</v>
      </c>
      <c r="L328" s="4" t="s">
        <v>60</v>
      </c>
      <c r="M328" s="4" t="s">
        <v>61</v>
      </c>
      <c r="N328" s="4" t="s">
        <v>2900</v>
      </c>
      <c r="O328" s="4" t="s">
        <v>89</v>
      </c>
      <c r="P328" s="4" t="s">
        <v>2941</v>
      </c>
    </row>
    <row r="329">
      <c r="A329" s="4" t="s">
        <v>40</v>
      </c>
      <c r="B329" s="4" t="s">
        <v>40</v>
      </c>
      <c r="C329" s="4">
        <v>327.0</v>
      </c>
      <c r="D329" s="5" t="str">
        <f>HYPERLINK("https://www.linkedin.com/ad-library/detail/1080095524","Open Ad")</f>
        <v>Open Ad</v>
      </c>
      <c r="E329" s="4" t="s">
        <v>78</v>
      </c>
      <c r="F329" s="4" t="s">
        <v>2864</v>
      </c>
      <c r="G329" s="4" t="s">
        <v>2865</v>
      </c>
      <c r="H329" s="4" t="s">
        <v>49</v>
      </c>
      <c r="I329" s="4" t="s">
        <v>2866</v>
      </c>
      <c r="J329" s="4" t="s">
        <v>78</v>
      </c>
      <c r="K329" s="5" t="str">
        <f>HYPERLINK("https://media.licdn.com/dms/image/v2/D4E10AQFrvZlk7xzYGA/image-shrink_1280/B4EZpJH38cGUAM-/0/1762163393376/Analyzeseo_v3png?e=2147483647&amp;v=beta&amp;t=CATIMuw66HtFFmiECmnv7JsWS6ghLh6qWFZVFsLoJFQ","View Creative")</f>
        <v>View Creative</v>
      </c>
      <c r="L329" s="4" t="s">
        <v>60</v>
      </c>
      <c r="M329" s="4" t="s">
        <v>61</v>
      </c>
      <c r="N329" s="4" t="s">
        <v>2900</v>
      </c>
      <c r="O329" s="4" t="s">
        <v>89</v>
      </c>
      <c r="P329" s="4" t="s">
        <v>2947</v>
      </c>
    </row>
    <row r="330">
      <c r="A330" s="4" t="s">
        <v>40</v>
      </c>
      <c r="B330" s="4" t="s">
        <v>40</v>
      </c>
      <c r="C330" s="4">
        <v>328.0</v>
      </c>
      <c r="D330" s="5" t="str">
        <f>HYPERLINK("https://www.linkedin.com/ad-library/detail/1081594184","Open Ad")</f>
        <v>Open Ad</v>
      </c>
      <c r="E330" s="4" t="s">
        <v>78</v>
      </c>
      <c r="F330" s="4" t="s">
        <v>2864</v>
      </c>
      <c r="G330" s="4" t="s">
        <v>2865</v>
      </c>
      <c r="H330" s="4" t="s">
        <v>49</v>
      </c>
      <c r="I330" s="4" t="s">
        <v>2866</v>
      </c>
      <c r="J330" s="4" t="s">
        <v>78</v>
      </c>
      <c r="K330" s="5" t="str">
        <f>HYPERLINK("https://media.licdn.com/dms/image/v2/D4E10AQGNmJRJ2AaL9Q/image-shrink_1280/B4EZpJHOAlHEAM-/0/1762163221668/Cutmanual_v2png?e=2147483647&amp;v=beta&amp;t=87pX_7WdH1CEMUq0dRJqOLWJH_BHpsYtrJK-SbFSvIA","View Creative")</f>
        <v>View Creative</v>
      </c>
      <c r="L330" s="4" t="s">
        <v>60</v>
      </c>
      <c r="M330" s="4" t="s">
        <v>61</v>
      </c>
      <c r="N330" s="4" t="s">
        <v>2900</v>
      </c>
      <c r="O330" s="4" t="s">
        <v>89</v>
      </c>
      <c r="P330" s="4" t="s">
        <v>2956</v>
      </c>
    </row>
    <row r="331">
      <c r="A331" s="4" t="s">
        <v>40</v>
      </c>
      <c r="B331" s="4" t="s">
        <v>40</v>
      </c>
      <c r="C331" s="4">
        <v>329.0</v>
      </c>
      <c r="D331" s="5" t="str">
        <f>HYPERLINK("https://www.linkedin.com/ad-library/detail/1079695364","Open Ad")</f>
        <v>Open Ad</v>
      </c>
      <c r="E331" s="4" t="s">
        <v>78</v>
      </c>
      <c r="F331" s="4" t="s">
        <v>2864</v>
      </c>
      <c r="G331" s="4" t="s">
        <v>2865</v>
      </c>
      <c r="H331" s="4" t="s">
        <v>49</v>
      </c>
      <c r="I331" s="4" t="s">
        <v>2866</v>
      </c>
      <c r="J331" s="4" t="s">
        <v>78</v>
      </c>
      <c r="K331" s="5" t="str">
        <f>HYPERLINK("https://media.licdn.com/dms/image/v2/D4E10AQEpN2cvLR7V9Q/image-shrink_1280/B4EZpJH38UKoAQ-/0/1762163393251/Everytool_v3png?e=2147483647&amp;v=beta&amp;t=xjVpTyZnU-i3AmlCzJwTQvgQWJYT4myITqseHmwrxtA","View Creative")</f>
        <v>View Creative</v>
      </c>
      <c r="L331" s="4" t="s">
        <v>60</v>
      </c>
      <c r="M331" s="4" t="s">
        <v>61</v>
      </c>
      <c r="N331" s="4" t="s">
        <v>2900</v>
      </c>
      <c r="O331" s="4" t="s">
        <v>89</v>
      </c>
      <c r="P331" s="4" t="s">
        <v>2962</v>
      </c>
    </row>
    <row r="332">
      <c r="A332" s="4" t="s">
        <v>40</v>
      </c>
      <c r="B332" s="4" t="s">
        <v>40</v>
      </c>
      <c r="C332" s="4">
        <v>330.0</v>
      </c>
      <c r="D332" s="5" t="str">
        <f>HYPERLINK("https://www.linkedin.com/ad-library/detail/1079695354","Open Ad")</f>
        <v>Open Ad</v>
      </c>
      <c r="E332" s="4" t="s">
        <v>78</v>
      </c>
      <c r="F332" s="4" t="s">
        <v>2864</v>
      </c>
      <c r="G332" s="4" t="s">
        <v>2865</v>
      </c>
      <c r="H332" s="4" t="s">
        <v>49</v>
      </c>
      <c r="I332" s="4" t="s">
        <v>2866</v>
      </c>
      <c r="J332" s="4" t="s">
        <v>78</v>
      </c>
      <c r="K332" s="5" t="str">
        <f>HYPERLINK("https://media.licdn.com/dms/image/v2/D4E10AQFrvZlk7xzYGA/image-shrink_1280/B4EZpJH38cGUAM-/0/1762163393376/Analyzeseo_v3png?e=2147483647&amp;v=beta&amp;t=CATIMuw66HtFFmiECmnv7JsWS6ghLh6qWFZVFsLoJFQ","View Creative")</f>
        <v>View Creative</v>
      </c>
      <c r="L332" s="4" t="s">
        <v>60</v>
      </c>
      <c r="M332" s="4" t="s">
        <v>61</v>
      </c>
      <c r="N332" s="4" t="s">
        <v>2900</v>
      </c>
      <c r="O332" s="4" t="s">
        <v>89</v>
      </c>
      <c r="P332" s="4" t="s">
        <v>2970</v>
      </c>
    </row>
    <row r="333">
      <c r="A333" s="4" t="s">
        <v>40</v>
      </c>
      <c r="B333" s="4" t="s">
        <v>40</v>
      </c>
      <c r="C333" s="4">
        <v>331.0</v>
      </c>
      <c r="D333" s="5" t="str">
        <f>HYPERLINK("https://www.linkedin.com/ad-library/detail/1078000924","Open Ad")</f>
        <v>Open Ad</v>
      </c>
      <c r="E333" s="4" t="s">
        <v>78</v>
      </c>
      <c r="F333" s="4" t="s">
        <v>2864</v>
      </c>
      <c r="G333" s="4" t="s">
        <v>2865</v>
      </c>
      <c r="H333" s="4" t="s">
        <v>49</v>
      </c>
      <c r="I333" s="4" t="s">
        <v>2866</v>
      </c>
      <c r="J333" s="4" t="s">
        <v>78</v>
      </c>
      <c r="K333" s="5" t="str">
        <f>HYPERLINK("https://media.licdn.com/dms/image/v2/D4E10AQFALTRYA2PG2g/image-shrink_1280/B4EZpJHOAqIQAM-/0/1762163221643/Everytool_v2png?e=2147483647&amp;v=beta&amp;t=OdIyyNqQeBQAfaHOYFSuH72yURT95HgluqQnSEps6CM","View Creative")</f>
        <v>View Creative</v>
      </c>
      <c r="L333" s="4" t="s">
        <v>60</v>
      </c>
      <c r="M333" s="4" t="s">
        <v>61</v>
      </c>
      <c r="N333" s="4" t="s">
        <v>2900</v>
      </c>
      <c r="O333" s="4" t="s">
        <v>89</v>
      </c>
      <c r="P333" s="4" t="s">
        <v>2977</v>
      </c>
    </row>
    <row r="334">
      <c r="A334" s="4" t="s">
        <v>40</v>
      </c>
      <c r="B334" s="4" t="s">
        <v>40</v>
      </c>
      <c r="C334" s="4">
        <v>332.0</v>
      </c>
      <c r="D334" s="5" t="str">
        <f>HYPERLINK("https://www.linkedin.com/ad-library/detail/1080298374","Open Ad")</f>
        <v>Open Ad</v>
      </c>
      <c r="E334" s="4" t="s">
        <v>121</v>
      </c>
      <c r="F334" s="4" t="s">
        <v>2637</v>
      </c>
      <c r="G334" s="4" t="s">
        <v>2638</v>
      </c>
      <c r="H334" s="4" t="s">
        <v>49</v>
      </c>
      <c r="I334" s="4" t="s">
        <v>661</v>
      </c>
      <c r="J334" s="4" t="s">
        <v>121</v>
      </c>
      <c r="K334" s="5" t="str">
        <f>HYPERLINK("https://dms.licdn.com/playlist/vid/v2/D4E10AQG-1-VCiHOiCg/progressive-servable-video/B4EZtG.Ip1HcAk-/0/1766422253306/UGCSEMRUSHVideoEOY16x9mp4?e=2147483647&amp;v=beta&amp;t=d4QqDVRn7Q1a-DO7RkjZidOmy-_VXmQRCoYJt9k1siQ","View Creative")</f>
        <v>View Creative</v>
      </c>
      <c r="L334" s="4" t="s">
        <v>60</v>
      </c>
      <c r="M334" s="4" t="s">
        <v>61</v>
      </c>
      <c r="N334" s="4" t="s">
        <v>2644</v>
      </c>
      <c r="O334" s="4" t="s">
        <v>89</v>
      </c>
      <c r="P334" s="4" t="s">
        <v>2984</v>
      </c>
    </row>
    <row r="335">
      <c r="A335" s="4" t="s">
        <v>40</v>
      </c>
      <c r="B335" s="4" t="s">
        <v>40</v>
      </c>
      <c r="C335" s="4">
        <v>333.0</v>
      </c>
      <c r="D335" s="5" t="str">
        <f>HYPERLINK("https://www.linkedin.com/ad-library/detail/1080298264","Open Ad")</f>
        <v>Open Ad</v>
      </c>
      <c r="E335" s="4" t="s">
        <v>78</v>
      </c>
      <c r="F335" s="4" t="s">
        <v>2637</v>
      </c>
      <c r="G335" s="4" t="s">
        <v>2638</v>
      </c>
      <c r="H335" s="4" t="s">
        <v>49</v>
      </c>
      <c r="I335" s="4" t="s">
        <v>661</v>
      </c>
      <c r="J335" s="4" t="s">
        <v>78</v>
      </c>
      <c r="K335" s="5" t="str">
        <f>HYPERLINK("https://media.licdn.com/dms/image/v2/D4E10AQEs6GRvvoLGSw/image-shrink_1280/B4EZsSlSAsKUAM-/0/1765543324073/WineverysearchV4png?e=2147483647&amp;v=beta&amp;t=E0NkYNU5ZfvDAz6CbfKhF9Nf4Dnt5hXrWTH0m4oRi3s","View Creative")</f>
        <v>View Creative</v>
      </c>
      <c r="L335" s="4" t="s">
        <v>60</v>
      </c>
      <c r="M335" s="4" t="s">
        <v>61</v>
      </c>
      <c r="N335" s="4" t="s">
        <v>2644</v>
      </c>
      <c r="O335" s="4" t="s">
        <v>89</v>
      </c>
      <c r="P335" s="4" t="s">
        <v>2994</v>
      </c>
    </row>
    <row r="336">
      <c r="A336" s="4" t="s">
        <v>40</v>
      </c>
      <c r="B336" s="4" t="s">
        <v>40</v>
      </c>
      <c r="C336" s="4">
        <v>334.0</v>
      </c>
      <c r="D336" s="5" t="str">
        <f>HYPERLINK("https://www.linkedin.com/ad-library/detail/1080298274","Open Ad")</f>
        <v>Open Ad</v>
      </c>
      <c r="E336" s="4" t="s">
        <v>78</v>
      </c>
      <c r="F336" s="4" t="s">
        <v>2637</v>
      </c>
      <c r="G336" s="4" t="s">
        <v>2638</v>
      </c>
      <c r="H336" s="4" t="s">
        <v>49</v>
      </c>
      <c r="I336" s="4" t="s">
        <v>661</v>
      </c>
      <c r="J336" s="4" t="s">
        <v>78</v>
      </c>
      <c r="K336" s="5" t="str">
        <f>HYPERLINK("https://media.licdn.com/dms/image/v2/D4E10AQGgvuB7AUd0ow/image-shrink_1280/B4EZsSk6qsIwAQ-/0/1765543228302/WineverysearchV2png?e=2147483647&amp;v=beta&amp;t=tzb5OXtXVLhmvurVfk7gRMUV5DPyqe7Izp010XbgeKc","View Creative")</f>
        <v>View Creative</v>
      </c>
      <c r="L336" s="4" t="s">
        <v>60</v>
      </c>
      <c r="M336" s="4" t="s">
        <v>61</v>
      </c>
      <c r="N336" s="4" t="s">
        <v>2644</v>
      </c>
      <c r="O336" s="4" t="s">
        <v>89</v>
      </c>
      <c r="P336" s="4" t="s">
        <v>3002</v>
      </c>
    </row>
    <row r="337">
      <c r="A337" s="4" t="s">
        <v>40</v>
      </c>
      <c r="B337" s="4" t="s">
        <v>40</v>
      </c>
      <c r="C337" s="4">
        <v>335.0</v>
      </c>
      <c r="D337" s="5" t="str">
        <f>HYPERLINK("https://www.linkedin.com/ad-library/detail/1080395464","Open Ad")</f>
        <v>Open Ad</v>
      </c>
      <c r="E337" s="4" t="s">
        <v>78</v>
      </c>
      <c r="F337" s="4" t="s">
        <v>2864</v>
      </c>
      <c r="G337" s="4" t="s">
        <v>2865</v>
      </c>
      <c r="H337" s="4" t="s">
        <v>49</v>
      </c>
      <c r="I337" s="4" t="s">
        <v>2866</v>
      </c>
      <c r="J337" s="4" t="s">
        <v>78</v>
      </c>
      <c r="K337" s="5" t="str">
        <f>HYPERLINK("https://media.licdn.com/dms/image/v2/D4E10AQG3mhPj4Jq23A/image-shrink_1280/B4EZpJFlyfHMAM-/0/1762162795167/analyzeseov1png?e=2147483647&amp;v=beta&amp;t=PMyvpJXJb7kPV-WN8Hin_f-lkjdHOg6FfkPXWnbLzqM","View Creative")</f>
        <v>View Creative</v>
      </c>
      <c r="L337" s="4" t="s">
        <v>60</v>
      </c>
      <c r="M337" s="4" t="s">
        <v>61</v>
      </c>
      <c r="N337" s="4" t="s">
        <v>2900</v>
      </c>
      <c r="O337" s="4" t="s">
        <v>89</v>
      </c>
      <c r="P337" s="4" t="s">
        <v>3011</v>
      </c>
    </row>
    <row r="338">
      <c r="A338" s="4" t="s">
        <v>40</v>
      </c>
      <c r="B338" s="4" t="s">
        <v>40</v>
      </c>
      <c r="C338" s="4">
        <v>336.0</v>
      </c>
      <c r="D338" s="5" t="str">
        <f>HYPERLINK("https://www.linkedin.com/ad-library/detail/1081587654","Open Ad")</f>
        <v>Open Ad</v>
      </c>
      <c r="E338" s="4" t="s">
        <v>78</v>
      </c>
      <c r="F338" s="4" t="s">
        <v>2864</v>
      </c>
      <c r="G338" s="4" t="s">
        <v>2865</v>
      </c>
      <c r="H338" s="4" t="s">
        <v>49</v>
      </c>
      <c r="I338" s="4" t="s">
        <v>2866</v>
      </c>
      <c r="J338" s="4" t="s">
        <v>78</v>
      </c>
      <c r="K338" s="5" t="str">
        <f>HYPERLINK("https://media.licdn.com/dms/image/v2/D4E10AQEpN2cvLR7V9Q/image-shrink_1280/B4EZpJH38UKoAQ-/0/1762163393251/Everytool_v3png?e=2147483647&amp;v=beta&amp;t=xjVpTyZnU-i3AmlCzJwTQvgQWJYT4myITqseHmwrxtA","View Creative")</f>
        <v>View Creative</v>
      </c>
      <c r="L338" s="4" t="s">
        <v>60</v>
      </c>
      <c r="M338" s="4" t="s">
        <v>61</v>
      </c>
      <c r="N338" s="4" t="s">
        <v>2870</v>
      </c>
      <c r="O338" s="4" t="s">
        <v>89</v>
      </c>
      <c r="P338" s="4" t="s">
        <v>3019</v>
      </c>
    </row>
    <row r="339">
      <c r="A339" s="4" t="s">
        <v>40</v>
      </c>
      <c r="B339" s="4" t="s">
        <v>40</v>
      </c>
      <c r="C339" s="4">
        <v>337.0</v>
      </c>
      <c r="D339" s="5" t="str">
        <f>HYPERLINK("https://www.linkedin.com/ad-library/detail/1080188854","Open Ad")</f>
        <v>Open Ad</v>
      </c>
      <c r="E339" s="4" t="s">
        <v>78</v>
      </c>
      <c r="F339" s="4" t="s">
        <v>2864</v>
      </c>
      <c r="G339" s="4" t="s">
        <v>2865</v>
      </c>
      <c r="H339" s="4" t="s">
        <v>49</v>
      </c>
      <c r="I339" s="4" t="s">
        <v>2866</v>
      </c>
      <c r="J339" s="4" t="s">
        <v>78</v>
      </c>
      <c r="K339" s="5" t="str">
        <f>HYPERLINK("https://media.licdn.com/dms/image/v2/D4E10AQGNmJRJ2AaL9Q/image-shrink_1280/B4EZpJHOAlHEAM-/0/1762163221668/Cutmanual_v2png?e=2147483647&amp;v=beta&amp;t=87pX_7WdH1CEMUq0dRJqOLWJH_BHpsYtrJK-SbFSvIA","View Creative")</f>
        <v>View Creative</v>
      </c>
      <c r="L339" s="4" t="s">
        <v>2321</v>
      </c>
      <c r="M339" s="4" t="s">
        <v>61</v>
      </c>
      <c r="N339" s="4" t="s">
        <v>2870</v>
      </c>
      <c r="O339" s="4" t="s">
        <v>89</v>
      </c>
      <c r="P339" s="4" t="s">
        <v>3028</v>
      </c>
    </row>
    <row r="340">
      <c r="A340" s="4" t="s">
        <v>40</v>
      </c>
      <c r="B340" s="4" t="s">
        <v>40</v>
      </c>
      <c r="C340" s="4">
        <v>338.0</v>
      </c>
      <c r="D340" s="5" t="str">
        <f>HYPERLINK("https://www.linkedin.com/ad-library/detail/1071862684","Open Ad")</f>
        <v>Open Ad</v>
      </c>
      <c r="E340" s="4" t="s">
        <v>78</v>
      </c>
      <c r="F340" s="4" t="s">
        <v>2637</v>
      </c>
      <c r="G340" s="4" t="s">
        <v>2638</v>
      </c>
      <c r="H340" s="4" t="s">
        <v>49</v>
      </c>
      <c r="I340" s="4" t="s">
        <v>661</v>
      </c>
      <c r="J340" s="4" t="s">
        <v>78</v>
      </c>
      <c r="K340" s="5" t="str">
        <f>HYPERLINK("https://media.licdn.com/dms/image/v2/D4E10AQEs6GRvvoLGSw/image-shrink_1280/B4EZsSlSAsKUAM-/0/1765543324073/WineverysearchV4png?e=2147483647&amp;v=beta&amp;t=E0NkYNU5ZfvDAz6CbfKhF9Nf4Dnt5hXrWTH0m4oRi3s","View Creative")</f>
        <v>View Creative</v>
      </c>
      <c r="L340" s="4" t="s">
        <v>60</v>
      </c>
      <c r="M340" s="4" t="s">
        <v>61</v>
      </c>
      <c r="N340" s="4" t="s">
        <v>3036</v>
      </c>
      <c r="O340" s="4" t="s">
        <v>89</v>
      </c>
      <c r="P340" s="4" t="s">
        <v>3037</v>
      </c>
    </row>
    <row r="341">
      <c r="A341" s="4" t="s">
        <v>40</v>
      </c>
      <c r="B341" s="4" t="s">
        <v>40</v>
      </c>
      <c r="C341" s="4">
        <v>339.0</v>
      </c>
      <c r="D341" s="5" t="str">
        <f>HYPERLINK("https://www.linkedin.com/ad-library/detail/1071862674","Open Ad")</f>
        <v>Open Ad</v>
      </c>
      <c r="E341" s="4" t="s">
        <v>78</v>
      </c>
      <c r="F341" s="4" t="s">
        <v>2637</v>
      </c>
      <c r="G341" s="4" t="s">
        <v>2710</v>
      </c>
      <c r="H341" s="4" t="s">
        <v>49</v>
      </c>
      <c r="I341" s="4" t="s">
        <v>56</v>
      </c>
      <c r="J341" s="4" t="s">
        <v>78</v>
      </c>
      <c r="K341" s="5" t="str">
        <f>HYPERLINK("https://media.licdn.com/dms/image/v2/D4E10AQFmGc-u4f8TzQ/image-shrink_1280/B4EZsSis4iKUAM-/0/1765542646502/ComebackV3png?e=2147483647&amp;v=beta&amp;t=HpXzAu9jQ_RMbwFn95--WGuO3hY-0Jlkmtvqn9iorw8","View Creative")</f>
        <v>View Creative</v>
      </c>
      <c r="L341" s="4" t="s">
        <v>60</v>
      </c>
      <c r="M341" s="4" t="s">
        <v>61</v>
      </c>
      <c r="N341" s="4" t="s">
        <v>3036</v>
      </c>
      <c r="O341" s="4" t="s">
        <v>89</v>
      </c>
      <c r="P341" s="4" t="s">
        <v>3045</v>
      </c>
    </row>
    <row r="342">
      <c r="A342" s="4" t="s">
        <v>40</v>
      </c>
      <c r="B342" s="4" t="s">
        <v>40</v>
      </c>
      <c r="C342" s="4">
        <v>340.0</v>
      </c>
      <c r="D342" s="5" t="str">
        <f>HYPERLINK("https://www.linkedin.com/ad-library/detail/1077994564","Open Ad")</f>
        <v>Open Ad</v>
      </c>
      <c r="E342" s="4" t="s">
        <v>3048</v>
      </c>
      <c r="F342" s="4" t="s">
        <v>54</v>
      </c>
      <c r="G342" s="4" t="s">
        <v>3049</v>
      </c>
      <c r="H342" s="4" t="s">
        <v>49</v>
      </c>
      <c r="I342" s="4" t="s">
        <v>957</v>
      </c>
      <c r="J342" s="4" t="s">
        <v>3048</v>
      </c>
      <c r="K342" s="5" t="str">
        <f>HYPERLINK("https://media.licdn.com/dms/image/v2/D4E10AQETIP0ki9XErA/image-shrink_627_1200/B4EZpJsv2lIUAY-/0/1762173059264?e=1789462800&amp;v=beta&amp;t=Mo884HtQuyvGYQgl-1awYKjhKmi3RNSp5sbtFDtdjuE","View Creative")</f>
        <v>View Creative</v>
      </c>
      <c r="L342" s="4" t="s">
        <v>60</v>
      </c>
      <c r="M342" s="4" t="s">
        <v>61</v>
      </c>
      <c r="N342" s="4" t="s">
        <v>2870</v>
      </c>
      <c r="O342" s="4" t="s">
        <v>89</v>
      </c>
      <c r="P342" s="4" t="s">
        <v>3054</v>
      </c>
    </row>
    <row r="343">
      <c r="A343" s="4" t="s">
        <v>40</v>
      </c>
      <c r="B343" s="4" t="s">
        <v>40</v>
      </c>
      <c r="C343" s="4">
        <v>341.0</v>
      </c>
      <c r="D343" s="5" t="str">
        <f>HYPERLINK("https://www.linkedin.com/ad-library/detail/1080188884","Open Ad")</f>
        <v>Open Ad</v>
      </c>
      <c r="E343" s="4" t="s">
        <v>3048</v>
      </c>
      <c r="F343" s="4" t="s">
        <v>54</v>
      </c>
      <c r="G343" s="4" t="s">
        <v>3055</v>
      </c>
      <c r="H343" s="4" t="s">
        <v>49</v>
      </c>
      <c r="I343" s="4" t="s">
        <v>873</v>
      </c>
      <c r="J343" s="4" t="s">
        <v>3048</v>
      </c>
      <c r="K343" s="5" t="str">
        <f>HYPERLINK("https://media.licdn.com/dms/image/v2/D4E10AQHpvJ6OPms_Hw/image-shrink_1080_1080/B4EZpJtI6oKsAk-/0/1762173161854?e=1789462800&amp;v=beta&amp;t=B9paeK4XptHjukBWgn212rtbxiGtqaaNNijRBdaD2ao","View Creative")</f>
        <v>View Creative</v>
      </c>
      <c r="L343" s="4" t="s">
        <v>60</v>
      </c>
      <c r="M343" s="4" t="s">
        <v>61</v>
      </c>
      <c r="N343" s="4" t="s">
        <v>2870</v>
      </c>
      <c r="O343" s="4" t="s">
        <v>89</v>
      </c>
      <c r="P343" s="4" t="s">
        <v>3061</v>
      </c>
    </row>
    <row r="344">
      <c r="A344" s="4" t="s">
        <v>40</v>
      </c>
      <c r="B344" s="4" t="s">
        <v>40</v>
      </c>
      <c r="C344" s="4">
        <v>342.0</v>
      </c>
      <c r="D344" s="5" t="str">
        <f>HYPERLINK("https://www.linkedin.com/ad-library/detail/1078294204","Open Ad")</f>
        <v>Open Ad</v>
      </c>
      <c r="E344" s="4" t="s">
        <v>78</v>
      </c>
      <c r="F344" s="4" t="s">
        <v>2864</v>
      </c>
      <c r="G344" s="4" t="s">
        <v>2865</v>
      </c>
      <c r="H344" s="4" t="s">
        <v>49</v>
      </c>
      <c r="I344" s="4" t="s">
        <v>2866</v>
      </c>
      <c r="J344" s="4" t="s">
        <v>78</v>
      </c>
      <c r="K344" s="5" t="str">
        <f>HYPERLINK("https://media.licdn.com/dms/image/v2/D4E10AQHf_FRjLX3CAQ/image-shrink_1280/B4EZpJHAD6HoAQ-/0/1762163164323/Takethelead_v2png?e=2147483647&amp;v=beta&amp;t=Z3CgwL5lSTxmqeaexRhij4U5_rP-B_3FFguxPwHmMyc","View Creative")</f>
        <v>View Creative</v>
      </c>
      <c r="L344" s="4" t="s">
        <v>2321</v>
      </c>
      <c r="M344" s="4" t="s">
        <v>61</v>
      </c>
      <c r="N344" s="4" t="s">
        <v>2870</v>
      </c>
      <c r="O344" s="4" t="s">
        <v>89</v>
      </c>
      <c r="P344" s="4" t="s">
        <v>3067</v>
      </c>
    </row>
    <row r="345">
      <c r="A345" s="4" t="s">
        <v>40</v>
      </c>
      <c r="B345" s="4" t="s">
        <v>40</v>
      </c>
      <c r="C345" s="4">
        <v>343.0</v>
      </c>
      <c r="D345" s="5" t="str">
        <f>HYPERLINK("https://www.linkedin.com/ad-library/detail/1071760004","Open Ad")</f>
        <v>Open Ad</v>
      </c>
      <c r="E345" s="4" t="s">
        <v>78</v>
      </c>
      <c r="F345" s="4" t="s">
        <v>2637</v>
      </c>
      <c r="G345" s="4" t="s">
        <v>2638</v>
      </c>
      <c r="H345" s="4" t="s">
        <v>49</v>
      </c>
      <c r="I345" s="4" t="s">
        <v>661</v>
      </c>
      <c r="J345" s="4" t="s">
        <v>78</v>
      </c>
      <c r="K345" s="5" t="str">
        <f>HYPERLINK("https://media.licdn.com/dms/image/v2/D4E10AQEl0a5ve_qCPA/image-shrink_1280/B4EZsSlE2oKkAM-/0/1765543270161/WineverysearchV3png?e=2147483647&amp;v=beta&amp;t=A2rieiMVWN_OAyYtoKqA0anCUH2OByXRSQT2N5XrS_I","View Creative")</f>
        <v>View Creative</v>
      </c>
      <c r="L345" s="4" t="s">
        <v>60</v>
      </c>
      <c r="M345" s="4" t="s">
        <v>61</v>
      </c>
      <c r="N345" s="4" t="s">
        <v>3036</v>
      </c>
      <c r="O345" s="4" t="s">
        <v>89</v>
      </c>
      <c r="P345" s="4" t="s">
        <v>3076</v>
      </c>
    </row>
    <row r="346">
      <c r="A346" s="4" t="s">
        <v>40</v>
      </c>
      <c r="B346" s="4" t="s">
        <v>40</v>
      </c>
      <c r="C346" s="4">
        <v>344.0</v>
      </c>
      <c r="D346" s="5" t="str">
        <f>HYPERLINK("https://www.linkedin.com/ad-library/detail/1081785984","Open Ad")</f>
        <v>Open Ad</v>
      </c>
      <c r="E346" s="4" t="s">
        <v>78</v>
      </c>
      <c r="F346" s="4" t="s">
        <v>2864</v>
      </c>
      <c r="G346" s="4" t="s">
        <v>2865</v>
      </c>
      <c r="H346" s="4" t="s">
        <v>49</v>
      </c>
      <c r="I346" s="4" t="s">
        <v>2866</v>
      </c>
      <c r="J346" s="4" t="s">
        <v>78</v>
      </c>
      <c r="K346" s="5" t="str">
        <f>HYPERLINK("https://media.licdn.com/dms/image/v2/D4E10AQHmc1R2KRyshA/image-shrink_1280/B4EZpJFlykHoAM-/0/1762162794752/taketheleadv1png?e=2147483647&amp;v=beta&amp;t=u30hfMraoLz4YGWlucxL_3ImcktQp1PuQMxe5mp03-8","View Creative")</f>
        <v>View Creative</v>
      </c>
      <c r="L346" s="4" t="s">
        <v>2321</v>
      </c>
      <c r="M346" s="4" t="s">
        <v>61</v>
      </c>
      <c r="N346" s="4" t="s">
        <v>2870</v>
      </c>
      <c r="O346" s="4" t="s">
        <v>89</v>
      </c>
      <c r="P346" s="4" t="s">
        <v>3081</v>
      </c>
    </row>
    <row r="347">
      <c r="A347" s="4" t="s">
        <v>40</v>
      </c>
      <c r="B347" s="4" t="s">
        <v>40</v>
      </c>
      <c r="C347" s="4">
        <v>345.0</v>
      </c>
      <c r="D347" s="5" t="str">
        <f>HYPERLINK("https://www.linkedin.com/ad-library/detail/1081981504","Open Ad")</f>
        <v>Open Ad</v>
      </c>
      <c r="E347" s="4" t="s">
        <v>78</v>
      </c>
      <c r="F347" s="4" t="s">
        <v>2864</v>
      </c>
      <c r="G347" s="4" t="s">
        <v>2865</v>
      </c>
      <c r="H347" s="4" t="s">
        <v>49</v>
      </c>
      <c r="I347" s="4" t="s">
        <v>2866</v>
      </c>
      <c r="J347" s="4" t="s">
        <v>78</v>
      </c>
      <c r="K347" s="5" t="str">
        <f>HYPERLINK("https://media.licdn.com/dms/image/v2/D4E10AQFALTRYA2PG2g/image-shrink_1280/B4EZpJHOAqIQAM-/0/1762163221643/Everytool_v2png?e=2147483647&amp;v=beta&amp;t=OdIyyNqQeBQAfaHOYFSuH72yURT95HgluqQnSEps6CM","View Creative")</f>
        <v>View Creative</v>
      </c>
      <c r="L347" s="4" t="s">
        <v>2321</v>
      </c>
      <c r="M347" s="4" t="s">
        <v>61</v>
      </c>
      <c r="N347" s="4" t="s">
        <v>2870</v>
      </c>
      <c r="O347" s="4" t="s">
        <v>89</v>
      </c>
      <c r="P347" s="4" t="s">
        <v>3090</v>
      </c>
    </row>
    <row r="348">
      <c r="A348" s="4" t="s">
        <v>40</v>
      </c>
      <c r="B348" s="4" t="s">
        <v>40</v>
      </c>
      <c r="C348" s="4">
        <v>346.0</v>
      </c>
      <c r="D348" s="5" t="str">
        <f>HYPERLINK("https://www.linkedin.com/ad-library/detail/1081981514","Open Ad")</f>
        <v>Open Ad</v>
      </c>
      <c r="E348" s="4" t="s">
        <v>78</v>
      </c>
      <c r="F348" s="4" t="s">
        <v>2864</v>
      </c>
      <c r="G348" s="4" t="s">
        <v>2865</v>
      </c>
      <c r="H348" s="4" t="s">
        <v>49</v>
      </c>
      <c r="I348" s="4" t="s">
        <v>2866</v>
      </c>
      <c r="J348" s="4" t="s">
        <v>78</v>
      </c>
      <c r="K348" s="5" t="str">
        <f>HYPERLINK("https://media.licdn.com/dms/image/v2/D4E10AQG3mhPj4Jq23A/image-shrink_1280/B4EZpJFlyfHMAM-/0/1762162795167/analyzeseov1png?e=2147483647&amp;v=beta&amp;t=PMyvpJXJb7kPV-WN8Hin_f-lkjdHOg6FfkPXWnbLzqM","View Creative")</f>
        <v>View Creative</v>
      </c>
      <c r="L348" s="4" t="s">
        <v>2321</v>
      </c>
      <c r="M348" s="4" t="s">
        <v>61</v>
      </c>
      <c r="N348" s="4" t="s">
        <v>2870</v>
      </c>
      <c r="O348" s="4" t="s">
        <v>89</v>
      </c>
      <c r="P348" s="4" t="s">
        <v>3095</v>
      </c>
    </row>
    <row r="349">
      <c r="A349" s="4" t="s">
        <v>40</v>
      </c>
      <c r="B349" s="4" t="s">
        <v>40</v>
      </c>
      <c r="C349" s="4">
        <v>347.0</v>
      </c>
      <c r="D349" s="5" t="str">
        <f>HYPERLINK("https://www.linkedin.com/ad-library/detail/1081388064","Open Ad")</f>
        <v>Open Ad</v>
      </c>
      <c r="E349" s="4" t="s">
        <v>78</v>
      </c>
      <c r="F349" s="4" t="s">
        <v>2864</v>
      </c>
      <c r="G349" s="4" t="s">
        <v>2865</v>
      </c>
      <c r="H349" s="4" t="s">
        <v>49</v>
      </c>
      <c r="I349" s="4" t="s">
        <v>2866</v>
      </c>
      <c r="J349" s="4" t="s">
        <v>78</v>
      </c>
      <c r="K349" s="5" t="str">
        <f>HYPERLINK("https://media.licdn.com/dms/image/v2/D4E10AQFiderjHNEmfA/image-shrink_1280/B4EZpJFlyjKMAU-/0/1762162795050/everytoolv1png?e=2147483647&amp;v=beta&amp;t=bKwBE2ciiGznP3B9BVejtsHNaVeRohDadTESyyUQ1fI","View Creative")</f>
        <v>View Creative</v>
      </c>
      <c r="L349" s="4" t="s">
        <v>2321</v>
      </c>
      <c r="M349" s="4" t="s">
        <v>61</v>
      </c>
      <c r="N349" s="4" t="s">
        <v>2870</v>
      </c>
      <c r="O349" s="4" t="s">
        <v>89</v>
      </c>
      <c r="P349" s="4" t="s">
        <v>3104</v>
      </c>
    </row>
    <row r="350">
      <c r="A350" s="4" t="s">
        <v>40</v>
      </c>
      <c r="B350" s="4" t="s">
        <v>40</v>
      </c>
      <c r="C350" s="4">
        <v>348.0</v>
      </c>
      <c r="D350" s="5" t="str">
        <f>HYPERLINK("https://www.linkedin.com/ad-library/detail/1081088084","Open Ad")</f>
        <v>Open Ad</v>
      </c>
      <c r="E350" s="4" t="s">
        <v>121</v>
      </c>
      <c r="F350" s="4" t="s">
        <v>2637</v>
      </c>
      <c r="G350" s="4" t="s">
        <v>2638</v>
      </c>
      <c r="H350" s="4" t="s">
        <v>49</v>
      </c>
      <c r="I350" s="4" t="s">
        <v>661</v>
      </c>
      <c r="J350" s="4" t="s">
        <v>121</v>
      </c>
      <c r="K350" s="5" t="str">
        <f>HYPERLINK("https://dms.licdn.com/playlist/vid/v2/D4E10AQE05lyU38SRQA/mp4-720p-30fp-crf28/B4EZtG9S8KGQCY-/0/1766422035393/UGCSEMRUSHVideoEOY1x1mp4?e=2147483647&amp;v=beta&amp;t=vq6oIbU8t7vyDMoAbOgHAXT1j-csdxV8ulUfjri1G4c","View Creative")</f>
        <v>View Creative</v>
      </c>
      <c r="L350" s="4" t="s">
        <v>60</v>
      </c>
      <c r="M350" s="4" t="s">
        <v>61</v>
      </c>
      <c r="N350" s="4" t="s">
        <v>3114</v>
      </c>
      <c r="O350" s="4" t="s">
        <v>89</v>
      </c>
      <c r="P350" s="4" t="s">
        <v>3115</v>
      </c>
    </row>
    <row r="351">
      <c r="A351" s="4" t="s">
        <v>40</v>
      </c>
      <c r="B351" s="4" t="s">
        <v>40</v>
      </c>
      <c r="C351" s="4">
        <v>349.0</v>
      </c>
      <c r="D351" s="5" t="str">
        <f>HYPERLINK("https://www.linkedin.com/ad-library/detail/1072062424","Open Ad")</f>
        <v>Open Ad</v>
      </c>
      <c r="E351" s="4" t="s">
        <v>78</v>
      </c>
      <c r="F351" s="4" t="s">
        <v>2637</v>
      </c>
      <c r="G351" s="4" t="s">
        <v>2638</v>
      </c>
      <c r="H351" s="4" t="s">
        <v>49</v>
      </c>
      <c r="I351" s="4" t="s">
        <v>661</v>
      </c>
      <c r="J351" s="4" t="s">
        <v>78</v>
      </c>
      <c r="K351" s="5" t="str">
        <f>HYPERLINK("https://media.licdn.com/dms/image/v2/D4E10AQHhhPKfgziqSQ/image-shrink_1280/B4EZsSkvFhHgAM-/0/1765543181193/WineverysearchV1png?e=2147483647&amp;v=beta&amp;t=0s9X1-KD0cwda43KUHXiZ6VgA0oYUQummgCRbXIXT5Y","View Creative")</f>
        <v>View Creative</v>
      </c>
      <c r="L351" s="4" t="s">
        <v>60</v>
      </c>
      <c r="M351" s="4" t="s">
        <v>61</v>
      </c>
      <c r="N351" s="4" t="s">
        <v>3036</v>
      </c>
      <c r="O351" s="4" t="s">
        <v>89</v>
      </c>
      <c r="P351" s="4" t="s">
        <v>3125</v>
      </c>
    </row>
    <row r="352">
      <c r="A352" s="4" t="s">
        <v>40</v>
      </c>
      <c r="B352" s="4" t="s">
        <v>40</v>
      </c>
      <c r="C352" s="4">
        <v>350.0</v>
      </c>
      <c r="D352" s="5" t="str">
        <f>HYPERLINK("https://www.linkedin.com/ad-library/detail/1081188074","Open Ad")</f>
        <v>Open Ad</v>
      </c>
      <c r="E352" s="4" t="s">
        <v>78</v>
      </c>
      <c r="F352" s="4" t="s">
        <v>2864</v>
      </c>
      <c r="G352" s="4" t="s">
        <v>2865</v>
      </c>
      <c r="H352" s="4" t="s">
        <v>49</v>
      </c>
      <c r="I352" s="4" t="s">
        <v>2866</v>
      </c>
      <c r="J352" s="4" t="s">
        <v>78</v>
      </c>
      <c r="K352" s="5" t="str">
        <f>HYPERLINK("https://media.licdn.com/dms/image/v2/D4E10AQHXoZWBoQjhiw/image-shrink_1280/B4EZpJH39BHcAM-/0/1762163393322/Takethelead_v3png?e=2147483647&amp;v=beta&amp;t=JM9iYudONjL9Tdbo2Q7hPdjCJTO_z20FFmZ-mLizVDQ","View Creative")</f>
        <v>View Creative</v>
      </c>
      <c r="L352" s="4" t="s">
        <v>2321</v>
      </c>
      <c r="M352" s="4" t="s">
        <v>61</v>
      </c>
      <c r="N352" s="4" t="s">
        <v>2870</v>
      </c>
      <c r="O352" s="4" t="s">
        <v>89</v>
      </c>
      <c r="P352" s="4" t="s">
        <v>3134</v>
      </c>
    </row>
    <row r="353">
      <c r="A353" s="4" t="s">
        <v>40</v>
      </c>
      <c r="B353" s="4" t="s">
        <v>40</v>
      </c>
      <c r="C353" s="4">
        <v>351.0</v>
      </c>
      <c r="D353" s="5" t="str">
        <f>HYPERLINK("https://www.linkedin.com/ad-library/detail/1080788154","Open Ad")</f>
        <v>Open Ad</v>
      </c>
      <c r="E353" s="4" t="s">
        <v>78</v>
      </c>
      <c r="F353" s="4" t="s">
        <v>2864</v>
      </c>
      <c r="G353" s="4" t="s">
        <v>2865</v>
      </c>
      <c r="H353" s="4" t="s">
        <v>49</v>
      </c>
      <c r="I353" s="4" t="s">
        <v>2866</v>
      </c>
      <c r="J353" s="4" t="s">
        <v>78</v>
      </c>
      <c r="K353" s="5" t="str">
        <f>HYPERLINK("https://media.licdn.com/dms/image/v2/D4E10AQHZEwCNmnv2kw/image-shrink_1280/B4EZpJFlypKMAM-/0/1762162795213/cutmanualv1png?e=2147483647&amp;v=beta&amp;t=k4bB-sfflKPBJfNxb0h-Jr8NUOB5s3mJQs8cRTUx_v8","View Creative")</f>
        <v>View Creative</v>
      </c>
      <c r="L353" s="4" t="s">
        <v>2321</v>
      </c>
      <c r="M353" s="4" t="s">
        <v>61</v>
      </c>
      <c r="N353" s="4" t="s">
        <v>2870</v>
      </c>
      <c r="O353" s="4" t="s">
        <v>89</v>
      </c>
      <c r="P353" s="4" t="s">
        <v>3142</v>
      </c>
    </row>
    <row r="354">
      <c r="A354" s="4" t="s">
        <v>40</v>
      </c>
      <c r="B354" s="4" t="s">
        <v>40</v>
      </c>
      <c r="C354" s="4">
        <v>352.0</v>
      </c>
      <c r="D354" s="5" t="str">
        <f>HYPERLINK("https://www.linkedin.com/ad-library/detail/1080788164","Open Ad")</f>
        <v>Open Ad</v>
      </c>
      <c r="E354" s="4" t="s">
        <v>78</v>
      </c>
      <c r="F354" s="4" t="s">
        <v>2864</v>
      </c>
      <c r="G354" s="4" t="s">
        <v>2865</v>
      </c>
      <c r="H354" s="4" t="s">
        <v>49</v>
      </c>
      <c r="I354" s="4" t="s">
        <v>2866</v>
      </c>
      <c r="J354" s="4" t="s">
        <v>78</v>
      </c>
      <c r="K354" s="5" t="str">
        <f>HYPERLINK("https://media.licdn.com/dms/image/v2/D4E10AQHshE6tfg3xGg/image-shrink_1280/B4EZpJH38cKcAM-/0/1762163393342/Cutmanual_v3png?e=2147483647&amp;v=beta&amp;t=Bgq0SMe9nN-tsnJQu7S09qN_EmYvMaxDrk1_hh3DwX8","View Creative")</f>
        <v>View Creative</v>
      </c>
      <c r="L354" s="4" t="s">
        <v>2321</v>
      </c>
      <c r="M354" s="4" t="s">
        <v>61</v>
      </c>
      <c r="N354" s="4" t="s">
        <v>2870</v>
      </c>
      <c r="O354" s="4" t="s">
        <v>89</v>
      </c>
      <c r="P354" s="4" t="s">
        <v>3150</v>
      </c>
    </row>
    <row r="355">
      <c r="A355" s="4" t="s">
        <v>40</v>
      </c>
      <c r="B355" s="4" t="s">
        <v>40</v>
      </c>
      <c r="C355" s="4">
        <v>353.0</v>
      </c>
      <c r="D355" s="5" t="str">
        <f>HYPERLINK("https://www.linkedin.com/ad-library/detail/1080587644","Open Ad")</f>
        <v>Open Ad</v>
      </c>
      <c r="E355" s="4" t="s">
        <v>121</v>
      </c>
      <c r="F355" s="4" t="s">
        <v>2637</v>
      </c>
      <c r="G355" s="4" t="s">
        <v>2638</v>
      </c>
      <c r="H355" s="4" t="s">
        <v>49</v>
      </c>
      <c r="I355" s="4" t="s">
        <v>661</v>
      </c>
      <c r="J355" s="4" t="s">
        <v>121</v>
      </c>
      <c r="K355" s="5" t="str">
        <f>HYPERLINK("https://dms.licdn.com/playlist/vid/v2/D4E10AQG-1-VCiHOiCg/progressive-servable-video/B4EZtG.Ip1HcAk-/0/1766422253306/UGCSEMRUSHVideoEOY16x9mp4?e=2147483647&amp;v=beta&amp;t=d4QqDVRn7Q1a-DO7RkjZidOmy-_VXmQRCoYJt9k1siQ","View Creative")</f>
        <v>View Creative</v>
      </c>
      <c r="L355" s="4" t="s">
        <v>60</v>
      </c>
      <c r="M355" s="4" t="s">
        <v>61</v>
      </c>
      <c r="N355" s="4" t="s">
        <v>3114</v>
      </c>
      <c r="O355" s="4" t="s">
        <v>89</v>
      </c>
      <c r="P355" s="4" t="s">
        <v>3156</v>
      </c>
    </row>
    <row r="356">
      <c r="A356" s="4" t="s">
        <v>40</v>
      </c>
      <c r="B356" s="4" t="s">
        <v>40</v>
      </c>
      <c r="C356" s="4">
        <v>354.0</v>
      </c>
      <c r="D356" s="5" t="str">
        <f>HYPERLINK("https://www.linkedin.com/ad-library/detail/1080288644","Open Ad")</f>
        <v>Open Ad</v>
      </c>
      <c r="E356" s="4" t="s">
        <v>78</v>
      </c>
      <c r="F356" s="4" t="s">
        <v>2864</v>
      </c>
      <c r="G356" s="4" t="s">
        <v>2865</v>
      </c>
      <c r="H356" s="4" t="s">
        <v>49</v>
      </c>
      <c r="I356" s="4" t="s">
        <v>2866</v>
      </c>
      <c r="J356" s="4" t="s">
        <v>78</v>
      </c>
      <c r="K356" s="5" t="str">
        <f>HYPERLINK("https://media.licdn.com/dms/image/v2/D4E10AQFrvZlk7xzYGA/image-shrink_1280/B4EZpJH38cGUAM-/0/1762163393376/Analyzeseo_v3png?e=2147483647&amp;v=beta&amp;t=CATIMuw66HtFFmiECmnv7JsWS6ghLh6qWFZVFsLoJFQ","View Creative")</f>
        <v>View Creative</v>
      </c>
      <c r="L356" s="4" t="s">
        <v>60</v>
      </c>
      <c r="M356" s="4" t="s">
        <v>61</v>
      </c>
      <c r="N356" s="4" t="s">
        <v>2870</v>
      </c>
      <c r="O356" s="4" t="s">
        <v>89</v>
      </c>
      <c r="P356" s="4" t="s">
        <v>3163</v>
      </c>
    </row>
    <row r="357">
      <c r="A357" s="4" t="s">
        <v>40</v>
      </c>
      <c r="B357" s="4" t="s">
        <v>40</v>
      </c>
      <c r="C357" s="4">
        <v>355.0</v>
      </c>
      <c r="D357" s="5" t="str">
        <f>HYPERLINK("https://www.linkedin.com/ad-library/detail/1081785134","Open Ad")</f>
        <v>Open Ad</v>
      </c>
      <c r="E357" s="4" t="s">
        <v>121</v>
      </c>
      <c r="F357" s="4" t="s">
        <v>2637</v>
      </c>
      <c r="G357" s="4" t="s">
        <v>2638</v>
      </c>
      <c r="H357" s="4" t="s">
        <v>49</v>
      </c>
      <c r="I357" s="4" t="s">
        <v>661</v>
      </c>
      <c r="J357" s="4" t="s">
        <v>121</v>
      </c>
      <c r="K357" s="5" t="str">
        <f>HYPERLINK("https://dms.licdn.com/playlist/vid/v2/D4E10AQE05lyU38SRQA/mp4-720p-30fp-crf28/B4EZtG9S8KGQCY-/0/1766422035393/UGCSEMRUSHVideoEOY1x1mp4?e=2147483647&amp;v=beta&amp;t=vq6oIbU8t7vyDMoAbOgHAXT1j-csdxV8ulUfjri1G4c","View Creative")</f>
        <v>View Creative</v>
      </c>
      <c r="L357" s="4" t="s">
        <v>60</v>
      </c>
      <c r="M357" s="4" t="s">
        <v>61</v>
      </c>
      <c r="N357" s="4" t="s">
        <v>3114</v>
      </c>
      <c r="O357" s="4" t="s">
        <v>89</v>
      </c>
      <c r="P357" s="4" t="s">
        <v>3172</v>
      </c>
    </row>
    <row r="358">
      <c r="A358" s="4" t="s">
        <v>40</v>
      </c>
      <c r="B358" s="4" t="s">
        <v>40</v>
      </c>
      <c r="C358" s="4">
        <v>356.0</v>
      </c>
      <c r="D358" s="5" t="str">
        <f>HYPERLINK("https://www.linkedin.com/ad-library/detail/1081587314","Open Ad")</f>
        <v>Open Ad</v>
      </c>
      <c r="E358" s="4" t="s">
        <v>121</v>
      </c>
      <c r="F358" s="4" t="s">
        <v>2637</v>
      </c>
      <c r="G358" s="4" t="s">
        <v>2638</v>
      </c>
      <c r="H358" s="4" t="s">
        <v>49</v>
      </c>
      <c r="I358" s="4" t="s">
        <v>661</v>
      </c>
      <c r="J358" s="4" t="s">
        <v>121</v>
      </c>
      <c r="K358" s="5" t="str">
        <f>HYPERLINK("https://dms.licdn.com/playlist/vid/v2/D4E10AQG-1-VCiHOiCg/progressive-servable-video/B4EZtG.Ip1HcAk-/0/1766422253306/UGCSEMRUSHVideoEOY16x9mp4?e=2147483647&amp;v=beta&amp;t=d4QqDVRn7Q1a-DO7RkjZidOmy-_VXmQRCoYJt9k1siQ","View Creative")</f>
        <v>View Creative</v>
      </c>
      <c r="L358" s="4" t="s">
        <v>60</v>
      </c>
      <c r="M358" s="4" t="s">
        <v>61</v>
      </c>
      <c r="N358" s="4" t="s">
        <v>3114</v>
      </c>
      <c r="O358" s="4" t="s">
        <v>89</v>
      </c>
      <c r="P358" s="4" t="s">
        <v>3178</v>
      </c>
    </row>
    <row r="359">
      <c r="A359" s="4" t="s">
        <v>40</v>
      </c>
      <c r="B359" s="4" t="s">
        <v>40</v>
      </c>
      <c r="C359" s="4">
        <v>357.0</v>
      </c>
      <c r="D359" s="5" t="str">
        <f>HYPERLINK("https://www.linkedin.com/ad-library/detail/1074337974","Open Ad")</f>
        <v>Open Ad</v>
      </c>
      <c r="E359" s="4" t="s">
        <v>121</v>
      </c>
      <c r="F359" s="4" t="s">
        <v>54</v>
      </c>
      <c r="G359" s="4" t="s">
        <v>3185</v>
      </c>
      <c r="H359" s="4" t="s">
        <v>49</v>
      </c>
      <c r="I359" s="4" t="s">
        <v>3186</v>
      </c>
      <c r="J359" s="4" t="s">
        <v>121</v>
      </c>
      <c r="K359" s="5" t="str">
        <f>HYPERLINK("https://dms.licdn.com/playlist/vid/v2/D4E10AQE1AWt1qxey1A/mp4-360p-30fp-crf28/B4EZsxtjsfHgB4-/0/1766065587677?e=2147483647&amp;v=beta&amp;t=l-MeuknfAirbvTJeNGsleYkiwf8iXgOiri4iq5TY2YM","View Creative")</f>
        <v>View Creative</v>
      </c>
      <c r="L359" s="4" t="s">
        <v>60</v>
      </c>
      <c r="M359" s="4" t="s">
        <v>61</v>
      </c>
      <c r="N359" s="4" t="s">
        <v>3192</v>
      </c>
      <c r="O359" s="4" t="s">
        <v>89</v>
      </c>
      <c r="P359" s="4" t="s">
        <v>3193</v>
      </c>
    </row>
    <row r="360">
      <c r="A360" s="4" t="s">
        <v>40</v>
      </c>
      <c r="B360" s="4" t="s">
        <v>40</v>
      </c>
      <c r="C360" s="4">
        <v>358.0</v>
      </c>
      <c r="D360" s="5" t="str">
        <f>HYPERLINK("https://www.linkedin.com/ad-library/detail/1079789214","Open Ad")</f>
        <v>Open Ad</v>
      </c>
      <c r="E360" s="4" t="s">
        <v>78</v>
      </c>
      <c r="F360" s="4" t="s">
        <v>2864</v>
      </c>
      <c r="G360" s="4" t="s">
        <v>2865</v>
      </c>
      <c r="H360" s="4" t="s">
        <v>49</v>
      </c>
      <c r="I360" s="4" t="s">
        <v>2866</v>
      </c>
      <c r="J360" s="4" t="s">
        <v>78</v>
      </c>
      <c r="K360" s="5" t="str">
        <f>HYPERLINK("https://media.licdn.com/dms/image/v2/D4E10AQGlzxaKaJymrw/image-shrink_1280/B4EZpJHOAnHoAM-/0/1762163221695/Analyzeseo_v2png?e=2147483647&amp;v=beta&amp;t=vin2EBRhZuEmnxFdYMIh39L_t5ptC9mjT8COKKz3Jac","View Creative")</f>
        <v>View Creative</v>
      </c>
      <c r="L360" s="4" t="s">
        <v>2321</v>
      </c>
      <c r="M360" s="4" t="s">
        <v>61</v>
      </c>
      <c r="N360" s="4" t="s">
        <v>2870</v>
      </c>
      <c r="O360" s="4" t="s">
        <v>89</v>
      </c>
      <c r="P360" s="4" t="s">
        <v>3201</v>
      </c>
    </row>
    <row r="361">
      <c r="A361" s="4" t="s">
        <v>40</v>
      </c>
      <c r="B361" s="4" t="s">
        <v>40</v>
      </c>
      <c r="C361" s="4">
        <v>359.0</v>
      </c>
      <c r="D361" s="5" t="str">
        <f>HYPERLINK("https://www.linkedin.com/ad-library/detail/1070568914","Open Ad")</f>
        <v>Open Ad</v>
      </c>
      <c r="E361" s="4" t="s">
        <v>78</v>
      </c>
      <c r="F361" s="4" t="s">
        <v>2637</v>
      </c>
      <c r="G361" s="4" t="s">
        <v>2638</v>
      </c>
      <c r="H361" s="4" t="s">
        <v>49</v>
      </c>
      <c r="I361" s="4" t="s">
        <v>661</v>
      </c>
      <c r="J361" s="4" t="s">
        <v>78</v>
      </c>
      <c r="K361" s="5" t="str">
        <f>HYPERLINK("https://media.licdn.com/dms/image/v2/D4E10AQGgvuB7AUd0ow/image-shrink_1280/B4EZsSk6qsIwAQ-/0/1765543228302/WineverysearchV2png?e=2147483647&amp;v=beta&amp;t=tzb5OXtXVLhmvurVfk7gRMUV5DPyqe7Izp010XbgeKc","View Creative")</f>
        <v>View Creative</v>
      </c>
      <c r="L361" s="4" t="s">
        <v>60</v>
      </c>
      <c r="M361" s="4" t="s">
        <v>61</v>
      </c>
      <c r="N361" s="4" t="s">
        <v>3036</v>
      </c>
      <c r="O361" s="4" t="s">
        <v>89</v>
      </c>
      <c r="P361" s="4" t="s">
        <v>3206</v>
      </c>
    </row>
    <row r="362">
      <c r="A362" s="4" t="s">
        <v>40</v>
      </c>
      <c r="B362" s="4" t="s">
        <v>40</v>
      </c>
      <c r="C362" s="4">
        <v>360.0</v>
      </c>
      <c r="D362" s="5" t="str">
        <f>HYPERLINK("https://www.linkedin.com/ad-library/detail/1070372124","Open Ad")</f>
        <v>Open Ad</v>
      </c>
      <c r="E362" s="4" t="s">
        <v>78</v>
      </c>
      <c r="F362" s="4" t="s">
        <v>2637</v>
      </c>
      <c r="G362" s="4" t="s">
        <v>2710</v>
      </c>
      <c r="H362" s="4" t="s">
        <v>49</v>
      </c>
      <c r="I362" s="4" t="s">
        <v>56</v>
      </c>
      <c r="J362" s="4" t="s">
        <v>78</v>
      </c>
      <c r="K362" s="5" t="str">
        <f>HYPERLINK("https://media.licdn.com/dms/image/v2/D4E10AQGWKuqn0S3ZJw/image-shrink_1280/B4EZsSiTvOKUAM-/0/1765542543688/ComebackV2png?e=2147483647&amp;v=beta&amp;t=xyiRjQTvsU2K1zr2MF6MlffvSlA1j8_HscZKvo8n6ME","View Creative")</f>
        <v>View Creative</v>
      </c>
      <c r="L362" s="4" t="s">
        <v>60</v>
      </c>
      <c r="M362" s="4" t="s">
        <v>61</v>
      </c>
      <c r="N362" s="4" t="s">
        <v>3036</v>
      </c>
      <c r="O362" s="4" t="s">
        <v>89</v>
      </c>
      <c r="P362" s="4" t="s">
        <v>3211</v>
      </c>
    </row>
    <row r="363">
      <c r="A363" s="4" t="s">
        <v>40</v>
      </c>
      <c r="B363" s="4" t="s">
        <v>40</v>
      </c>
      <c r="C363" s="4">
        <v>361.0</v>
      </c>
      <c r="D363" s="5" t="str">
        <f>HYPERLINK("https://www.linkedin.com/ad-library/detail/926962234","Open Ad")</f>
        <v>Open Ad</v>
      </c>
      <c r="E363" s="4" t="s">
        <v>78</v>
      </c>
      <c r="F363" s="4" t="s">
        <v>3217</v>
      </c>
      <c r="G363" s="4" t="s">
        <v>3218</v>
      </c>
      <c r="H363" s="4" t="s">
        <v>49</v>
      </c>
      <c r="I363" s="4" t="s">
        <v>873</v>
      </c>
      <c r="J363" s="4" t="s">
        <v>78</v>
      </c>
      <c r="K363" s="5" t="str">
        <f>HYPERLINK("https://media.licdn.com/dms/image/v2/D4E10AQHwN_0BBPz2PA/image-shrink_1280/B4EZp3c7r0KoAM-/0/1762940665717/1080x10803png?e=2147483647&amp;v=beta&amp;t=WsnMIAk6vds0IX_Ey5rc9dJUB4HqZTOZIvb3CLNIFOo","View Creative")</f>
        <v>View Creative</v>
      </c>
      <c r="L363" s="4" t="s">
        <v>60</v>
      </c>
      <c r="M363" s="4" t="s">
        <v>61</v>
      </c>
      <c r="N363" s="4" t="s">
        <v>3223</v>
      </c>
      <c r="O363" s="4" t="s">
        <v>89</v>
      </c>
      <c r="P363" s="4" t="s">
        <v>3225</v>
      </c>
    </row>
    <row r="364">
      <c r="A364" s="4" t="s">
        <v>40</v>
      </c>
      <c r="B364" s="4" t="s">
        <v>40</v>
      </c>
      <c r="C364" s="4">
        <v>362.0</v>
      </c>
      <c r="D364" s="5" t="str">
        <f>HYPERLINK("https://www.linkedin.com/ad-library/detail/934837234","Open Ad")</f>
        <v>Open Ad</v>
      </c>
      <c r="E364" s="4" t="s">
        <v>78</v>
      </c>
      <c r="F364" s="4" t="s">
        <v>2864</v>
      </c>
      <c r="G364" s="4" t="s">
        <v>2865</v>
      </c>
      <c r="H364" s="4" t="s">
        <v>49</v>
      </c>
      <c r="I364" s="4" t="s">
        <v>2866</v>
      </c>
      <c r="J364" s="4" t="s">
        <v>78</v>
      </c>
      <c r="K364" s="5" t="str">
        <f>HYPERLINK("https://media.licdn.com/dms/image/v2/D4E10AQFiderjHNEmfA/image-shrink_1280/B4EZpJFlyjKMAU-/0/1762162795050/everytoolv1png?e=2147483647&amp;v=beta&amp;t=bKwBE2ciiGznP3B9BVejtsHNaVeRohDadTESyyUQ1fI","View Creative")</f>
        <v>View Creative</v>
      </c>
      <c r="L364" s="4" t="s">
        <v>60</v>
      </c>
      <c r="M364" s="4" t="s">
        <v>61</v>
      </c>
      <c r="N364" s="4" t="s">
        <v>3232</v>
      </c>
      <c r="O364" s="4" t="s">
        <v>89</v>
      </c>
      <c r="P364" s="4" t="s">
        <v>3233</v>
      </c>
    </row>
    <row r="365">
      <c r="A365" s="4" t="s">
        <v>40</v>
      </c>
      <c r="B365" s="4" t="s">
        <v>40</v>
      </c>
      <c r="C365" s="4">
        <v>363.0</v>
      </c>
      <c r="D365" s="5" t="str">
        <f>HYPERLINK("https://www.linkedin.com/ad-library/detail/971594623","Open Ad")</f>
        <v>Open Ad</v>
      </c>
      <c r="E365" s="4" t="s">
        <v>78</v>
      </c>
      <c r="F365" s="4" t="s">
        <v>2864</v>
      </c>
      <c r="G365" s="4" t="s">
        <v>2865</v>
      </c>
      <c r="H365" s="4" t="s">
        <v>49</v>
      </c>
      <c r="I365" s="4" t="s">
        <v>2866</v>
      </c>
      <c r="J365" s="4" t="s">
        <v>78</v>
      </c>
      <c r="K365" s="5" t="str">
        <f>HYPERLINK("https://media.licdn.com/dms/image/v2/D4E10AQFrvZlk7xzYGA/image-shrink_1280/B4EZpJH38cGUAM-/0/1762163393376/Analyzeseo_v3png?e=2147483647&amp;v=beta&amp;t=CATIMuw66HtFFmiECmnv7JsWS6ghLh6qWFZVFsLoJFQ","View Creative")</f>
        <v>View Creative</v>
      </c>
      <c r="L365" s="4" t="s">
        <v>60</v>
      </c>
      <c r="M365" s="4" t="s">
        <v>61</v>
      </c>
      <c r="N365" s="4" t="s">
        <v>3242</v>
      </c>
      <c r="O365" s="4" t="s">
        <v>89</v>
      </c>
      <c r="P365" s="4" t="s">
        <v>3243</v>
      </c>
    </row>
    <row r="366">
      <c r="A366" s="4" t="s">
        <v>40</v>
      </c>
      <c r="B366" s="4" t="s">
        <v>40</v>
      </c>
      <c r="C366" s="4">
        <v>364.0</v>
      </c>
      <c r="D366" s="5" t="str">
        <f>HYPERLINK("https://www.linkedin.com/ad-library/detail/971544883","Open Ad")</f>
        <v>Open Ad</v>
      </c>
      <c r="E366" s="4" t="s">
        <v>78</v>
      </c>
      <c r="F366" s="4" t="s">
        <v>2864</v>
      </c>
      <c r="G366" s="4" t="s">
        <v>2865</v>
      </c>
      <c r="H366" s="4" t="s">
        <v>49</v>
      </c>
      <c r="I366" s="4" t="s">
        <v>2866</v>
      </c>
      <c r="J366" s="4" t="s">
        <v>78</v>
      </c>
      <c r="K366" s="5" t="str">
        <f t="shared" ref="K366:K367" si="2">HYPERLINK("https://media.licdn.com/dms/image/v2/D4E10AQEpN2cvLR7V9Q/image-shrink_1280/B4EZpJH38UKoAQ-/0/1762163393251/Everytool_v3png?e=2147483647&amp;v=beta&amp;t=xjVpTyZnU-i3AmlCzJwTQvgQWJYT4myITqseHmwrxtA","View Creative")</f>
        <v>View Creative</v>
      </c>
      <c r="L366" s="4" t="s">
        <v>60</v>
      </c>
      <c r="M366" s="4" t="s">
        <v>61</v>
      </c>
      <c r="N366" s="4" t="s">
        <v>3242</v>
      </c>
      <c r="O366" s="4" t="s">
        <v>89</v>
      </c>
      <c r="P366" s="4" t="s">
        <v>3251</v>
      </c>
    </row>
    <row r="367">
      <c r="A367" s="4" t="s">
        <v>40</v>
      </c>
      <c r="B367" s="4" t="s">
        <v>40</v>
      </c>
      <c r="C367" s="4">
        <v>365.0</v>
      </c>
      <c r="D367" s="5" t="str">
        <f>HYPERLINK("https://www.linkedin.com/ad-library/detail/934946124","Open Ad")</f>
        <v>Open Ad</v>
      </c>
      <c r="E367" s="4" t="s">
        <v>78</v>
      </c>
      <c r="F367" s="4" t="s">
        <v>2864</v>
      </c>
      <c r="G367" s="4" t="s">
        <v>2865</v>
      </c>
      <c r="H367" s="4" t="s">
        <v>49</v>
      </c>
      <c r="I367" s="4" t="s">
        <v>2866</v>
      </c>
      <c r="J367" s="4" t="s">
        <v>78</v>
      </c>
      <c r="K367" s="5" t="str">
        <f t="shared" si="2"/>
        <v>View Creative</v>
      </c>
      <c r="L367" s="4" t="s">
        <v>60</v>
      </c>
      <c r="M367" s="4" t="s">
        <v>61</v>
      </c>
      <c r="N367" s="4" t="s">
        <v>3256</v>
      </c>
      <c r="O367" s="4" t="s">
        <v>89</v>
      </c>
      <c r="P367" s="4" t="s">
        <v>3258</v>
      </c>
    </row>
    <row r="368">
      <c r="A368" s="4" t="s">
        <v>40</v>
      </c>
      <c r="B368" s="4" t="s">
        <v>40</v>
      </c>
      <c r="C368" s="4">
        <v>366.0</v>
      </c>
      <c r="D368" s="5" t="str">
        <f>HYPERLINK("https://www.linkedin.com/ad-library/detail/971673543","Open Ad")</f>
        <v>Open Ad</v>
      </c>
      <c r="E368" s="4" t="s">
        <v>78</v>
      </c>
      <c r="F368" s="4" t="s">
        <v>2864</v>
      </c>
      <c r="G368" s="4" t="s">
        <v>2865</v>
      </c>
      <c r="H368" s="4" t="s">
        <v>49</v>
      </c>
      <c r="I368" s="4" t="s">
        <v>2866</v>
      </c>
      <c r="J368" s="4" t="s">
        <v>78</v>
      </c>
      <c r="K368" s="5" t="str">
        <f>HYPERLINK("https://media.licdn.com/dms/image/v2/D4E10AQGNmJRJ2AaL9Q/image-shrink_1280/B4EZpJHOAlHEAM-/0/1762163221668/Cutmanual_v2png?e=2147483647&amp;v=beta&amp;t=87pX_7WdH1CEMUq0dRJqOLWJH_BHpsYtrJK-SbFSvIA","View Creative")</f>
        <v>View Creative</v>
      </c>
      <c r="L368" s="4" t="s">
        <v>60</v>
      </c>
      <c r="M368" s="4" t="s">
        <v>61</v>
      </c>
      <c r="N368" s="4" t="s">
        <v>3242</v>
      </c>
      <c r="O368" s="4" t="s">
        <v>89</v>
      </c>
      <c r="P368" s="4" t="s">
        <v>3266</v>
      </c>
    </row>
    <row r="369">
      <c r="A369" s="4" t="s">
        <v>40</v>
      </c>
      <c r="B369" s="4" t="s">
        <v>40</v>
      </c>
      <c r="C369" s="4">
        <v>367.0</v>
      </c>
      <c r="D369" s="5" t="str">
        <f>HYPERLINK("https://www.linkedin.com/ad-library/detail/1070372094","Open Ad")</f>
        <v>Open Ad</v>
      </c>
      <c r="E369" s="4" t="s">
        <v>78</v>
      </c>
      <c r="F369" s="4" t="s">
        <v>2637</v>
      </c>
      <c r="G369" s="4" t="s">
        <v>2638</v>
      </c>
      <c r="H369" s="4" t="s">
        <v>49</v>
      </c>
      <c r="I369" s="4" t="s">
        <v>661</v>
      </c>
      <c r="J369" s="4" t="s">
        <v>78</v>
      </c>
      <c r="K369" s="5" t="str">
        <f>HYPERLINK("https://media.licdn.com/dms/image/v2/D4E10AQEl0a5ve_qCPA/image-shrink_1280/B4EZsSlE2oKkAM-/0/1765543270161/WineverysearchV3png?e=2147483647&amp;v=beta&amp;t=A2rieiMVWN_OAyYtoKqA0anCUH2OByXRSQT2N5XrS_I","View Creative")</f>
        <v>View Creative</v>
      </c>
      <c r="L369" s="4" t="s">
        <v>60</v>
      </c>
      <c r="M369" s="4" t="s">
        <v>61</v>
      </c>
      <c r="N369" s="4" t="s">
        <v>3036</v>
      </c>
      <c r="O369" s="4" t="s">
        <v>89</v>
      </c>
      <c r="P369" s="4" t="s">
        <v>3275</v>
      </c>
    </row>
    <row r="370">
      <c r="A370" s="4" t="s">
        <v>40</v>
      </c>
      <c r="B370" s="4" t="s">
        <v>40</v>
      </c>
      <c r="C370" s="4">
        <v>368.0</v>
      </c>
      <c r="D370" s="5" t="str">
        <f>HYPERLINK("https://www.linkedin.com/ad-library/detail/943249844","Open Ad")</f>
        <v>Open Ad</v>
      </c>
      <c r="E370" s="4" t="s">
        <v>78</v>
      </c>
      <c r="F370" s="4" t="s">
        <v>2864</v>
      </c>
      <c r="G370" s="4" t="s">
        <v>2865</v>
      </c>
      <c r="H370" s="4" t="s">
        <v>49</v>
      </c>
      <c r="I370" s="4" t="s">
        <v>2866</v>
      </c>
      <c r="J370" s="4" t="s">
        <v>78</v>
      </c>
      <c r="K370" s="5" t="str">
        <f>HYPERLINK("https://media.licdn.com/dms/image/v2/D4E10AQFALTRYA2PG2g/image-shrink_1280/B4EZpJHOAqIQAM-/0/1762163221643/Everytool_v2png?e=2147483647&amp;v=beta&amp;t=OdIyyNqQeBQAfaHOYFSuH72yURT95HgluqQnSEps6CM","View Creative")</f>
        <v>View Creative</v>
      </c>
      <c r="L370" s="4" t="s">
        <v>60</v>
      </c>
      <c r="M370" s="4" t="s">
        <v>61</v>
      </c>
      <c r="N370" s="4" t="s">
        <v>3281</v>
      </c>
      <c r="O370" s="4" t="s">
        <v>89</v>
      </c>
      <c r="P370" s="4" t="s">
        <v>3282</v>
      </c>
    </row>
    <row r="371">
      <c r="A371" s="4" t="s">
        <v>40</v>
      </c>
      <c r="B371" s="4" t="s">
        <v>40</v>
      </c>
      <c r="C371" s="4">
        <v>369.0</v>
      </c>
      <c r="D371" s="5" t="str">
        <f>HYPERLINK("https://www.linkedin.com/ad-library/detail/935151044","Open Ad")</f>
        <v>Open Ad</v>
      </c>
      <c r="E371" s="4" t="s">
        <v>78</v>
      </c>
      <c r="F371" s="4" t="s">
        <v>2864</v>
      </c>
      <c r="G371" s="4" t="s">
        <v>2865</v>
      </c>
      <c r="H371" s="4" t="s">
        <v>49</v>
      </c>
      <c r="I371" s="4" t="s">
        <v>2866</v>
      </c>
      <c r="J371" s="4" t="s">
        <v>78</v>
      </c>
      <c r="K371" s="5" t="str">
        <f>HYPERLINK("https://media.licdn.com/dms/image/v2/D4E10AQFiderjHNEmfA/image-shrink_1280/B4EZpJFlyjKMAU-/0/1762162795050/everytoolv1png?e=2147483647&amp;v=beta&amp;t=bKwBE2ciiGznP3B9BVejtsHNaVeRohDadTESyyUQ1fI","View Creative")</f>
        <v>View Creative</v>
      </c>
      <c r="L371" s="4" t="s">
        <v>60</v>
      </c>
      <c r="M371" s="4" t="s">
        <v>61</v>
      </c>
      <c r="N371" s="4" t="s">
        <v>3281</v>
      </c>
      <c r="O371" s="4" t="s">
        <v>89</v>
      </c>
      <c r="P371" s="4" t="s">
        <v>3291</v>
      </c>
    </row>
    <row r="372">
      <c r="A372" s="4" t="s">
        <v>40</v>
      </c>
      <c r="B372" s="4" t="s">
        <v>40</v>
      </c>
      <c r="C372" s="4">
        <v>370.0</v>
      </c>
      <c r="D372" s="5" t="str">
        <f>HYPERLINK("https://www.linkedin.com/ad-library/detail/1071364094","Open Ad")</f>
        <v>Open Ad</v>
      </c>
      <c r="E372" s="4" t="s">
        <v>78</v>
      </c>
      <c r="F372" s="4" t="s">
        <v>2637</v>
      </c>
      <c r="G372" s="4" t="s">
        <v>2638</v>
      </c>
      <c r="H372" s="4" t="s">
        <v>49</v>
      </c>
      <c r="I372" s="4" t="s">
        <v>661</v>
      </c>
      <c r="J372" s="4" t="s">
        <v>78</v>
      </c>
      <c r="K372" s="5" t="str">
        <f>HYPERLINK("https://media.licdn.com/dms/image/v2/D4E10AQEs6GRvvoLGSw/image-shrink_1280/B4EZsSlSAsKUAM-/0/1765543324073/WineverysearchV4png?e=2147483647&amp;v=beta&amp;t=E0NkYNU5ZfvDAz6CbfKhF9Nf4Dnt5hXrWTH0m4oRi3s","View Creative")</f>
        <v>View Creative</v>
      </c>
      <c r="L372" s="4" t="s">
        <v>60</v>
      </c>
      <c r="M372" s="4" t="s">
        <v>61</v>
      </c>
      <c r="N372" s="4" t="s">
        <v>3036</v>
      </c>
      <c r="O372" s="4" t="s">
        <v>89</v>
      </c>
      <c r="P372" s="4" t="s">
        <v>3300</v>
      </c>
    </row>
    <row r="373">
      <c r="A373" s="4" t="s">
        <v>40</v>
      </c>
      <c r="B373" s="4" t="s">
        <v>40</v>
      </c>
      <c r="C373" s="4">
        <v>371.0</v>
      </c>
      <c r="D373" s="5" t="str">
        <f>HYPERLINK("https://www.linkedin.com/ad-library/detail/971643803","Open Ad")</f>
        <v>Open Ad</v>
      </c>
      <c r="E373" s="4" t="s">
        <v>78</v>
      </c>
      <c r="F373" s="4" t="s">
        <v>2864</v>
      </c>
      <c r="G373" s="4" t="s">
        <v>2865</v>
      </c>
      <c r="H373" s="4" t="s">
        <v>49</v>
      </c>
      <c r="I373" s="4" t="s">
        <v>2866</v>
      </c>
      <c r="J373" s="4" t="s">
        <v>78</v>
      </c>
      <c r="K373" s="5" t="str">
        <f>HYPERLINK("https://media.licdn.com/dms/image/v2/D4E10AQG3mhPj4Jq23A/image-shrink_1280/B4EZpJFlyfHMAM-/0/1762162795167/analyzeseov1png?e=2147483647&amp;v=beta&amp;t=PMyvpJXJb7kPV-WN8Hin_f-lkjdHOg6FfkPXWnbLzqM","View Creative")</f>
        <v>View Creative</v>
      </c>
      <c r="L373" s="4" t="s">
        <v>60</v>
      </c>
      <c r="M373" s="4" t="s">
        <v>61</v>
      </c>
      <c r="N373" s="4" t="s">
        <v>3242</v>
      </c>
      <c r="O373" s="4" t="s">
        <v>89</v>
      </c>
      <c r="P373" s="4" t="s">
        <v>3306</v>
      </c>
    </row>
    <row r="374">
      <c r="A374" s="4" t="s">
        <v>40</v>
      </c>
      <c r="B374" s="4" t="s">
        <v>40</v>
      </c>
      <c r="C374" s="4">
        <v>372.0</v>
      </c>
      <c r="D374" s="5" t="str">
        <f>HYPERLINK("https://www.linkedin.com/ad-library/detail/934847524","Open Ad")</f>
        <v>Open Ad</v>
      </c>
      <c r="E374" s="4" t="s">
        <v>78</v>
      </c>
      <c r="F374" s="4" t="s">
        <v>2864</v>
      </c>
      <c r="G374" s="4" t="s">
        <v>2865</v>
      </c>
      <c r="H374" s="4" t="s">
        <v>49</v>
      </c>
      <c r="I374" s="4" t="s">
        <v>2866</v>
      </c>
      <c r="J374" s="4" t="s">
        <v>78</v>
      </c>
      <c r="K374" s="5" t="str">
        <f>HYPERLINK("https://media.licdn.com/dms/image/v2/D4E10AQGNmJRJ2AaL9Q/image-shrink_1280/B4EZpJHOAlHEAM-/0/1762163221668/Cutmanual_v2png?e=2147483647&amp;v=beta&amp;t=87pX_7WdH1CEMUq0dRJqOLWJH_BHpsYtrJK-SbFSvIA","View Creative")</f>
        <v>View Creative</v>
      </c>
      <c r="L374" s="4" t="s">
        <v>60</v>
      </c>
      <c r="M374" s="4" t="s">
        <v>61</v>
      </c>
      <c r="N374" s="4" t="s">
        <v>3232</v>
      </c>
      <c r="O374" s="4" t="s">
        <v>89</v>
      </c>
      <c r="P374" s="4" t="s">
        <v>3313</v>
      </c>
    </row>
    <row r="375">
      <c r="A375" s="4" t="s">
        <v>40</v>
      </c>
      <c r="B375" s="4" t="s">
        <v>40</v>
      </c>
      <c r="C375" s="4">
        <v>373.0</v>
      </c>
      <c r="D375" s="5" t="str">
        <f>HYPERLINK("https://www.linkedin.com/ad-library/detail/934956244","Open Ad")</f>
        <v>Open Ad</v>
      </c>
      <c r="E375" s="4" t="s">
        <v>78</v>
      </c>
      <c r="F375" s="4" t="s">
        <v>2864</v>
      </c>
      <c r="G375" s="4" t="s">
        <v>2865</v>
      </c>
      <c r="H375" s="4" t="s">
        <v>49</v>
      </c>
      <c r="I375" s="4" t="s">
        <v>2866</v>
      </c>
      <c r="J375" s="4" t="s">
        <v>78</v>
      </c>
      <c r="K375" s="5" t="str">
        <f>HYPERLINK("https://media.licdn.com/dms/image/v2/D4E10AQFrvZlk7xzYGA/image-shrink_1280/B4EZpJH38cGUAM-/0/1762163393376/Analyzeseo_v3png?e=2147483647&amp;v=beta&amp;t=CATIMuw66HtFFmiECmnv7JsWS6ghLh6qWFZVFsLoJFQ","View Creative")</f>
        <v>View Creative</v>
      </c>
      <c r="L375" s="4" t="s">
        <v>60</v>
      </c>
      <c r="M375" s="4" t="s">
        <v>61</v>
      </c>
      <c r="N375" s="4" t="s">
        <v>3256</v>
      </c>
      <c r="O375" s="4" t="s">
        <v>89</v>
      </c>
      <c r="P375" s="4" t="s">
        <v>3321</v>
      </c>
    </row>
    <row r="376">
      <c r="A376" s="4" t="s">
        <v>40</v>
      </c>
      <c r="B376" s="4" t="s">
        <v>40</v>
      </c>
      <c r="C376" s="4">
        <v>374.0</v>
      </c>
      <c r="D376" s="5" t="str">
        <f>HYPERLINK("https://www.linkedin.com/ad-library/detail/935045194","Open Ad")</f>
        <v>Open Ad</v>
      </c>
      <c r="E376" s="4" t="s">
        <v>78</v>
      </c>
      <c r="F376" s="4" t="s">
        <v>2864</v>
      </c>
      <c r="G376" s="4" t="s">
        <v>2865</v>
      </c>
      <c r="H376" s="4" t="s">
        <v>49</v>
      </c>
      <c r="I376" s="4" t="s">
        <v>2866</v>
      </c>
      <c r="J376" s="4" t="s">
        <v>78</v>
      </c>
      <c r="K376" s="5" t="str">
        <f>HYPERLINK("https://media.licdn.com/dms/image/v2/D4E10AQG3mhPj4Jq23A/image-shrink_1280/B4EZpJFlyfHMAM-/0/1762162795167/analyzeseov1png?e=2147483647&amp;v=beta&amp;t=PMyvpJXJb7kPV-WN8Hin_f-lkjdHOg6FfkPXWnbLzqM","View Creative")</f>
        <v>View Creative</v>
      </c>
      <c r="L376" s="4" t="s">
        <v>60</v>
      </c>
      <c r="M376" s="4" t="s">
        <v>61</v>
      </c>
      <c r="N376" s="4" t="s">
        <v>3256</v>
      </c>
      <c r="O376" s="4" t="s">
        <v>89</v>
      </c>
      <c r="P376" s="4" t="s">
        <v>3332</v>
      </c>
    </row>
    <row r="377">
      <c r="A377" s="4" t="s">
        <v>40</v>
      </c>
      <c r="B377" s="4" t="s">
        <v>40</v>
      </c>
      <c r="C377" s="4">
        <v>375.0</v>
      </c>
      <c r="D377" s="5" t="str">
        <f>HYPERLINK("https://www.linkedin.com/ad-library/detail/934856824","Open Ad")</f>
        <v>Open Ad</v>
      </c>
      <c r="E377" s="4" t="s">
        <v>78</v>
      </c>
      <c r="F377" s="4" t="s">
        <v>2864</v>
      </c>
      <c r="G377" s="4" t="s">
        <v>2865</v>
      </c>
      <c r="H377" s="4" t="s">
        <v>49</v>
      </c>
      <c r="I377" s="4" t="s">
        <v>2866</v>
      </c>
      <c r="J377" s="4" t="s">
        <v>78</v>
      </c>
      <c r="K377" s="5" t="str">
        <f>HYPERLINK("https://media.licdn.com/dms/image/v2/D4E10AQFALTRYA2PG2g/image-shrink_1280/B4EZpJHOAqIQAM-/0/1762163221643/Everytool_v2png?e=2147483647&amp;v=beta&amp;t=OdIyyNqQeBQAfaHOYFSuH72yURT95HgluqQnSEps6CM","View Creative")</f>
        <v>View Creative</v>
      </c>
      <c r="L377" s="4" t="s">
        <v>60</v>
      </c>
      <c r="M377" s="4" t="s">
        <v>61</v>
      </c>
      <c r="N377" s="4" t="s">
        <v>3232</v>
      </c>
      <c r="O377" s="4" t="s">
        <v>89</v>
      </c>
      <c r="P377" s="4" t="s">
        <v>3341</v>
      </c>
    </row>
    <row r="378">
      <c r="A378" s="4" t="s">
        <v>40</v>
      </c>
      <c r="B378" s="4" t="s">
        <v>40</v>
      </c>
      <c r="C378" s="4">
        <v>376.0</v>
      </c>
      <c r="D378" s="5" t="str">
        <f>HYPERLINK("https://www.linkedin.com/ad-library/detail/1071462054","Open Ad")</f>
        <v>Open Ad</v>
      </c>
      <c r="E378" s="4" t="s">
        <v>78</v>
      </c>
      <c r="F378" s="4" t="s">
        <v>2637</v>
      </c>
      <c r="G378" s="4" t="s">
        <v>2710</v>
      </c>
      <c r="H378" s="4" t="s">
        <v>49</v>
      </c>
      <c r="I378" s="4" t="s">
        <v>56</v>
      </c>
      <c r="J378" s="4" t="s">
        <v>78</v>
      </c>
      <c r="K378" s="5" t="str">
        <f>HYPERLINK("https://media.licdn.com/dms/image/v2/D4E10AQFmGc-u4f8TzQ/image-shrink_1280/B4EZsSis4iKUAM-/0/1765542646502/ComebackV3png?e=2147483647&amp;v=beta&amp;t=HpXzAu9jQ_RMbwFn95--WGuO3hY-0Jlkmtvqn9iorw8","View Creative")</f>
        <v>View Creative</v>
      </c>
      <c r="L378" s="4" t="s">
        <v>60</v>
      </c>
      <c r="M378" s="4" t="s">
        <v>61</v>
      </c>
      <c r="N378" s="4" t="s">
        <v>3036</v>
      </c>
      <c r="O378" s="4" t="s">
        <v>89</v>
      </c>
      <c r="P378" s="4" t="s">
        <v>3348</v>
      </c>
    </row>
    <row r="379">
      <c r="A379" s="4" t="s">
        <v>40</v>
      </c>
      <c r="B379" s="4" t="s">
        <v>40</v>
      </c>
      <c r="C379" s="4">
        <v>377.0</v>
      </c>
      <c r="D379" s="5" t="str">
        <f>HYPERLINK("https://www.linkedin.com/ad-library/detail/1072161564","Open Ad")</f>
        <v>Open Ad</v>
      </c>
      <c r="E379" s="4" t="s">
        <v>78</v>
      </c>
      <c r="F379" s="4" t="s">
        <v>2637</v>
      </c>
      <c r="G379" s="4" t="s">
        <v>2710</v>
      </c>
      <c r="H379" s="4" t="s">
        <v>49</v>
      </c>
      <c r="I379" s="4" t="s">
        <v>56</v>
      </c>
      <c r="J379" s="4" t="s">
        <v>78</v>
      </c>
      <c r="K379" s="5" t="str">
        <f>HYPERLINK("https://media.licdn.com/dms/image/v2/D4E10AQEv6svmdRRqNQ/image-shrink_1280/B4EZsSkcJYKcAM-/0/1765543102430/ComebackV4png?e=2147483647&amp;v=beta&amp;t=zctG_0F6xiwZF1gcEzm32euoxNPFljssyeTrHvWtpLI","View Creative")</f>
        <v>View Creative</v>
      </c>
      <c r="L379" s="4" t="s">
        <v>60</v>
      </c>
      <c r="M379" s="4" t="s">
        <v>61</v>
      </c>
      <c r="N379" s="4" t="s">
        <v>3036</v>
      </c>
      <c r="O379" s="4" t="s">
        <v>89</v>
      </c>
      <c r="P379" s="4" t="s">
        <v>3360</v>
      </c>
    </row>
    <row r="380">
      <c r="A380" s="4" t="s">
        <v>40</v>
      </c>
      <c r="B380" s="4" t="s">
        <v>40</v>
      </c>
      <c r="C380" s="4">
        <v>378.0</v>
      </c>
      <c r="D380" s="5" t="str">
        <f>HYPERLINK("https://www.linkedin.com/ad-library/detail/935160624","Open Ad")</f>
        <v>Open Ad</v>
      </c>
      <c r="E380" s="4" t="s">
        <v>78</v>
      </c>
      <c r="F380" s="4" t="s">
        <v>2864</v>
      </c>
      <c r="G380" s="4" t="s">
        <v>2865</v>
      </c>
      <c r="H380" s="4" t="s">
        <v>49</v>
      </c>
      <c r="I380" s="4" t="s">
        <v>2866</v>
      </c>
      <c r="J380" s="4" t="s">
        <v>78</v>
      </c>
      <c r="K380" s="5" t="str">
        <f>HYPERLINK("https://media.licdn.com/dms/image/v2/D4E10AQEpN2cvLR7V9Q/image-shrink_1280/B4EZpJH38UKoAQ-/0/1762163393251/Everytool_v3png?e=2147483647&amp;v=beta&amp;t=xjVpTyZnU-i3AmlCzJwTQvgQWJYT4myITqseHmwrxtA","View Creative")</f>
        <v>View Creative</v>
      </c>
      <c r="L380" s="4" t="s">
        <v>60</v>
      </c>
      <c r="M380" s="4" t="s">
        <v>61</v>
      </c>
      <c r="N380" s="4" t="s">
        <v>3281</v>
      </c>
      <c r="O380" s="4" t="s">
        <v>89</v>
      </c>
      <c r="P380" s="4" t="s">
        <v>3365</v>
      </c>
    </row>
    <row r="381">
      <c r="A381" s="4" t="s">
        <v>40</v>
      </c>
      <c r="B381" s="4" t="s">
        <v>40</v>
      </c>
      <c r="C381" s="4">
        <v>379.0</v>
      </c>
      <c r="D381" s="5" t="str">
        <f>HYPERLINK("https://www.linkedin.com/ad-library/detail/1071562514","Open Ad")</f>
        <v>Open Ad</v>
      </c>
      <c r="E381" s="4" t="s">
        <v>78</v>
      </c>
      <c r="F381" s="4" t="s">
        <v>2637</v>
      </c>
      <c r="G381" s="4" t="s">
        <v>2638</v>
      </c>
      <c r="H381" s="4" t="s">
        <v>49</v>
      </c>
      <c r="I381" s="4" t="s">
        <v>661</v>
      </c>
      <c r="J381" s="4" t="s">
        <v>78</v>
      </c>
      <c r="K381" s="5" t="str">
        <f>HYPERLINK("https://media.licdn.com/dms/image/v2/D4E10AQHhhPKfgziqSQ/image-shrink_1280/B4EZsSkvFhHgAM-/0/1765543181193/WineverysearchV1png?e=2147483647&amp;v=beta&amp;t=0s9X1-KD0cwda43KUHXiZ6VgA0oYUQummgCRbXIXT5Y","View Creative")</f>
        <v>View Creative</v>
      </c>
      <c r="L381" s="4" t="s">
        <v>60</v>
      </c>
      <c r="M381" s="4" t="s">
        <v>61</v>
      </c>
      <c r="N381" s="4" t="s">
        <v>3036</v>
      </c>
      <c r="O381" s="4" t="s">
        <v>89</v>
      </c>
      <c r="P381" s="4" t="s">
        <v>3377</v>
      </c>
    </row>
    <row r="382">
      <c r="A382" s="4" t="s">
        <v>40</v>
      </c>
      <c r="B382" s="4" t="s">
        <v>40</v>
      </c>
      <c r="C382" s="4">
        <v>380.0</v>
      </c>
      <c r="D382" s="5" t="str">
        <f>HYPERLINK("https://www.linkedin.com/ad-library/detail/935072004","Open Ad")</f>
        <v>Open Ad</v>
      </c>
      <c r="E382" s="4" t="s">
        <v>78</v>
      </c>
      <c r="F382" s="4" t="s">
        <v>2864</v>
      </c>
      <c r="G382" s="4" t="s">
        <v>2865</v>
      </c>
      <c r="H382" s="4" t="s">
        <v>49</v>
      </c>
      <c r="I382" s="4" t="s">
        <v>2866</v>
      </c>
      <c r="J382" s="4" t="s">
        <v>78</v>
      </c>
      <c r="K382" s="5" t="str">
        <f>HYPERLINK("https://media.licdn.com/dms/image/v2/D4E10AQGNmJRJ2AaL9Q/image-shrink_1280/B4EZpJHOAlHEAM-/0/1762163221668/Cutmanual_v2png?e=2147483647&amp;v=beta&amp;t=87pX_7WdH1CEMUq0dRJqOLWJH_BHpsYtrJK-SbFSvIA","View Creative")</f>
        <v>View Creative</v>
      </c>
      <c r="L382" s="4" t="s">
        <v>60</v>
      </c>
      <c r="M382" s="4" t="s">
        <v>61</v>
      </c>
      <c r="N382" s="4" t="s">
        <v>3281</v>
      </c>
      <c r="O382" s="4" t="s">
        <v>89</v>
      </c>
      <c r="P382" s="4" t="s">
        <v>3382</v>
      </c>
    </row>
    <row r="383">
      <c r="A383" s="4" t="s">
        <v>40</v>
      </c>
      <c r="B383" s="4" t="s">
        <v>40</v>
      </c>
      <c r="C383" s="4">
        <v>381.0</v>
      </c>
      <c r="D383" s="5" t="str">
        <f>HYPERLINK("https://www.linkedin.com/ad-library/detail/943210114","Open Ad")</f>
        <v>Open Ad</v>
      </c>
      <c r="E383" s="4" t="s">
        <v>78</v>
      </c>
      <c r="F383" s="4" t="s">
        <v>2864</v>
      </c>
      <c r="G383" s="4" t="s">
        <v>2865</v>
      </c>
      <c r="H383" s="4" t="s">
        <v>49</v>
      </c>
      <c r="I383" s="4" t="s">
        <v>2866</v>
      </c>
      <c r="J383" s="4" t="s">
        <v>78</v>
      </c>
      <c r="K383" s="5" t="str">
        <f>HYPERLINK("https://media.licdn.com/dms/image/v2/D4E10AQG3mhPj4Jq23A/image-shrink_1280/B4EZpJFlyfHMAM-/0/1762162795167/analyzeseov1png?e=2147483647&amp;v=beta&amp;t=PMyvpJXJb7kPV-WN8Hin_f-lkjdHOg6FfkPXWnbLzqM","View Creative")</f>
        <v>View Creative</v>
      </c>
      <c r="L383" s="4" t="s">
        <v>60</v>
      </c>
      <c r="M383" s="4" t="s">
        <v>61</v>
      </c>
      <c r="N383" s="4" t="s">
        <v>3281</v>
      </c>
      <c r="O383" s="4" t="s">
        <v>89</v>
      </c>
      <c r="P383" s="4" t="s">
        <v>3393</v>
      </c>
    </row>
    <row r="384">
      <c r="A384" s="4" t="s">
        <v>40</v>
      </c>
      <c r="B384" s="4" t="s">
        <v>40</v>
      </c>
      <c r="C384" s="4">
        <v>382.0</v>
      </c>
      <c r="D384" s="5" t="str">
        <f>HYPERLINK("https://www.linkedin.com/ad-library/detail/1070764004","Open Ad")</f>
        <v>Open Ad</v>
      </c>
      <c r="E384" s="4" t="s">
        <v>78</v>
      </c>
      <c r="F384" s="4" t="s">
        <v>2637</v>
      </c>
      <c r="G384" s="4" t="s">
        <v>2710</v>
      </c>
      <c r="H384" s="4" t="s">
        <v>49</v>
      </c>
      <c r="I384" s="4" t="s">
        <v>56</v>
      </c>
      <c r="J384" s="4" t="s">
        <v>78</v>
      </c>
      <c r="K384" s="5" t="str">
        <f>HYPERLINK("https://media.licdn.com/dms/image/v2/D4E10AQGWKuqn0S3ZJw/image-shrink_1280/B4EZsSiTvOKUAM-/0/1765542543688/ComebackV2png?e=2147483647&amp;v=beta&amp;t=xyiRjQTvsU2K1zr2MF6MlffvSlA1j8_HscZKvo8n6ME","View Creative")</f>
        <v>View Creative</v>
      </c>
      <c r="L384" s="4" t="s">
        <v>60</v>
      </c>
      <c r="M384" s="4" t="s">
        <v>61</v>
      </c>
      <c r="N384" s="4" t="s">
        <v>3036</v>
      </c>
      <c r="O384" s="4" t="s">
        <v>89</v>
      </c>
      <c r="P384" s="4" t="s">
        <v>3397</v>
      </c>
    </row>
    <row r="385">
      <c r="A385" s="4" t="s">
        <v>40</v>
      </c>
      <c r="B385" s="4" t="s">
        <v>40</v>
      </c>
      <c r="C385" s="4">
        <v>383.0</v>
      </c>
      <c r="D385" s="5" t="str">
        <f>HYPERLINK("https://www.linkedin.com/ad-library/detail/927022004","Open Ad")</f>
        <v>Open Ad</v>
      </c>
      <c r="E385" s="4" t="s">
        <v>78</v>
      </c>
      <c r="F385" s="4" t="s">
        <v>3217</v>
      </c>
      <c r="G385" s="4" t="s">
        <v>3218</v>
      </c>
      <c r="H385" s="4" t="s">
        <v>49</v>
      </c>
      <c r="I385" s="4" t="s">
        <v>873</v>
      </c>
      <c r="J385" s="4" t="s">
        <v>78</v>
      </c>
      <c r="K385" s="5" t="str">
        <f>HYPERLINK("https://media.licdn.com/dms/image/v2/D4E10AQEhl1xuexBSeQ/image-shrink_1280/B4EZp3cmUZHcAM-/0/1762940578000/1080x1080png?e=2147483647&amp;v=beta&amp;t=MCYE-UbJnIioDCbmlNbIXaXtPgvSQ15a7mHBuAzGymc","View Creative")</f>
        <v>View Creative</v>
      </c>
      <c r="L385" s="4" t="s">
        <v>60</v>
      </c>
      <c r="M385" s="4" t="s">
        <v>61</v>
      </c>
      <c r="N385" s="4" t="s">
        <v>3223</v>
      </c>
      <c r="O385" s="4" t="s">
        <v>89</v>
      </c>
      <c r="P385" s="4" t="s">
        <v>3407</v>
      </c>
    </row>
    <row r="386">
      <c r="A386" s="4" t="s">
        <v>40</v>
      </c>
      <c r="B386" s="4" t="s">
        <v>40</v>
      </c>
      <c r="C386" s="4">
        <v>384.0</v>
      </c>
      <c r="D386" s="5" t="str">
        <f>HYPERLINK("https://www.linkedin.com/ad-library/detail/1071862634","Open Ad")</f>
        <v>Open Ad</v>
      </c>
      <c r="E386" s="4" t="s">
        <v>78</v>
      </c>
      <c r="F386" s="4" t="s">
        <v>2637</v>
      </c>
      <c r="G386" s="4" t="s">
        <v>2638</v>
      </c>
      <c r="H386" s="4" t="s">
        <v>49</v>
      </c>
      <c r="I386" s="4" t="s">
        <v>661</v>
      </c>
      <c r="J386" s="4" t="s">
        <v>78</v>
      </c>
      <c r="K386" s="5" t="str">
        <f>HYPERLINK("https://media.licdn.com/dms/image/v2/D4E10AQGgvuB7AUd0ow/image-shrink_1280/B4EZsSk6qsIwAQ-/0/1765543228302/WineverysearchV2png?e=2147483647&amp;v=beta&amp;t=tzb5OXtXVLhmvurVfk7gRMUV5DPyqe7Izp010XbgeKc","View Creative")</f>
        <v>View Creative</v>
      </c>
      <c r="L386" s="4" t="s">
        <v>60</v>
      </c>
      <c r="M386" s="4" t="s">
        <v>61</v>
      </c>
      <c r="N386" s="4" t="s">
        <v>3036</v>
      </c>
      <c r="O386" s="4" t="s">
        <v>89</v>
      </c>
      <c r="P386" s="4" t="s">
        <v>3414</v>
      </c>
    </row>
    <row r="387">
      <c r="A387" s="4" t="s">
        <v>40</v>
      </c>
      <c r="B387" s="4" t="s">
        <v>40</v>
      </c>
      <c r="C387" s="4">
        <v>385.0</v>
      </c>
      <c r="D387" s="5" t="str">
        <f>HYPERLINK("https://www.linkedin.com/ad-library/detail/926912464","Open Ad")</f>
        <v>Open Ad</v>
      </c>
      <c r="E387" s="4" t="s">
        <v>78</v>
      </c>
      <c r="F387" s="4" t="s">
        <v>3217</v>
      </c>
      <c r="G387" s="4" t="s">
        <v>3218</v>
      </c>
      <c r="H387" s="4" t="s">
        <v>49</v>
      </c>
      <c r="I387" s="4" t="s">
        <v>873</v>
      </c>
      <c r="J387" s="4" t="s">
        <v>78</v>
      </c>
      <c r="K387" s="5" t="str">
        <f>HYPERLINK("https://media.licdn.com/dms/image/v2/D4E10AQGZJMH_id5Hyw/image-shrink_1280/B4EZp3c15JKgAM-/0/1762940641730/1080x10802png?e=2147483647&amp;v=beta&amp;t=aNNnCOAvPWeSrMDB5gdZKogEniysqLK2z7jXwjWrk94","View Creative")</f>
        <v>View Creative</v>
      </c>
      <c r="L387" s="4" t="s">
        <v>60</v>
      </c>
      <c r="M387" s="4" t="s">
        <v>61</v>
      </c>
      <c r="N387" s="4" t="s">
        <v>3223</v>
      </c>
      <c r="O387" s="4" t="s">
        <v>89</v>
      </c>
      <c r="P387" s="4" t="s">
        <v>3423</v>
      </c>
    </row>
    <row r="388">
      <c r="A388" s="4" t="s">
        <v>40</v>
      </c>
      <c r="B388" s="4" t="s">
        <v>40</v>
      </c>
      <c r="C388" s="4">
        <v>386.0</v>
      </c>
      <c r="D388" s="5" t="str">
        <f>HYPERLINK("https://www.linkedin.com/ad-library/detail/926932274","Open Ad")</f>
        <v>Open Ad</v>
      </c>
      <c r="E388" s="4" t="s">
        <v>78</v>
      </c>
      <c r="F388" s="4" t="s">
        <v>3427</v>
      </c>
      <c r="G388" s="4" t="s">
        <v>3429</v>
      </c>
      <c r="H388" s="4" t="s">
        <v>49</v>
      </c>
      <c r="I388" s="4" t="s">
        <v>873</v>
      </c>
      <c r="J388" s="4" t="s">
        <v>78</v>
      </c>
      <c r="K388" s="5" t="str">
        <f>HYPERLINK("https://media.licdn.com/dms/image/v2/D4E10AQHYuADKfB9VxQ/image-shrink_1280/B4EZrAnmkpHMAM-/0/1764168199277?e=2147483647&amp;v=beta&amp;t=a_GXQ3EsNIIMNUwjzMmjbTC3J--aohP1Uqrs3zCPPmA","View Creative")</f>
        <v>View Creative</v>
      </c>
      <c r="L388" s="4" t="s">
        <v>2321</v>
      </c>
      <c r="M388" s="4" t="s">
        <v>61</v>
      </c>
      <c r="N388" s="4" t="s">
        <v>3432</v>
      </c>
      <c r="O388" s="4" t="s">
        <v>89</v>
      </c>
      <c r="P388" s="4" t="s">
        <v>3435</v>
      </c>
    </row>
    <row r="389">
      <c r="A389" s="4" t="s">
        <v>40</v>
      </c>
      <c r="B389" s="4" t="s">
        <v>40</v>
      </c>
      <c r="C389" s="4">
        <v>387.0</v>
      </c>
      <c r="D389" s="5" t="str">
        <f>HYPERLINK("https://www.linkedin.com/ad-library/detail/927032044","Open Ad")</f>
        <v>Open Ad</v>
      </c>
      <c r="E389" s="4" t="s">
        <v>78</v>
      </c>
      <c r="F389" s="4" t="s">
        <v>3437</v>
      </c>
      <c r="G389" s="4" t="s">
        <v>3438</v>
      </c>
      <c r="H389" s="4" t="s">
        <v>49</v>
      </c>
      <c r="I389" s="4" t="s">
        <v>3439</v>
      </c>
      <c r="J389" s="4" t="s">
        <v>78</v>
      </c>
      <c r="K389" s="5" t="str">
        <f>HYPERLINK("https://media.licdn.com/dms/image/v2/D4E10AQHwN_0BBPz2PA/image-shrink_1280/B4EZp3c7r0KoAM-/0/1762940665717/1080x10803png?e=2147483647&amp;v=beta&amp;t=WsnMIAk6vds0IX_Ey5rc9dJUB4HqZTOZIvb3CLNIFOo","View Creative")</f>
        <v>View Creative</v>
      </c>
      <c r="L389" s="4" t="s">
        <v>60</v>
      </c>
      <c r="M389" s="4" t="s">
        <v>61</v>
      </c>
      <c r="N389" s="4" t="s">
        <v>3223</v>
      </c>
      <c r="O389" s="4" t="s">
        <v>89</v>
      </c>
      <c r="P389" s="4" t="s">
        <v>3444</v>
      </c>
    </row>
    <row r="390">
      <c r="A390" s="4" t="s">
        <v>40</v>
      </c>
      <c r="B390" s="4" t="s">
        <v>40</v>
      </c>
      <c r="C390" s="4">
        <v>388.0</v>
      </c>
      <c r="D390" s="5" t="str">
        <f>HYPERLINK("https://www.linkedin.com/ad-library/detail/927081784","Open Ad")</f>
        <v>Open Ad</v>
      </c>
      <c r="E390" s="4" t="s">
        <v>78</v>
      </c>
      <c r="F390" s="4" t="s">
        <v>3437</v>
      </c>
      <c r="G390" s="4" t="s">
        <v>3438</v>
      </c>
      <c r="H390" s="4" t="s">
        <v>49</v>
      </c>
      <c r="I390" s="4" t="s">
        <v>3439</v>
      </c>
      <c r="J390" s="4" t="s">
        <v>78</v>
      </c>
      <c r="K390" s="5" t="str">
        <f>HYPERLINK("https://media.licdn.com/dms/image/v2/D4E10AQGZJMH_id5Hyw/image-shrink_1280/B4EZp3c15JKgAM-/0/1762940641730/1080x10802png?e=2147483647&amp;v=beta&amp;t=aNNnCOAvPWeSrMDB5gdZKogEniysqLK2z7jXwjWrk94","View Creative")</f>
        <v>View Creative</v>
      </c>
      <c r="L390" s="4" t="s">
        <v>60</v>
      </c>
      <c r="M390" s="4" t="s">
        <v>61</v>
      </c>
      <c r="N390" s="4" t="s">
        <v>3223</v>
      </c>
      <c r="O390" s="4" t="s">
        <v>89</v>
      </c>
      <c r="P390" s="4" t="s">
        <v>3455</v>
      </c>
    </row>
    <row r="391">
      <c r="A391" s="4" t="s">
        <v>40</v>
      </c>
      <c r="B391" s="4" t="s">
        <v>40</v>
      </c>
      <c r="C391" s="4">
        <v>389.0</v>
      </c>
      <c r="D391" s="5" t="str">
        <f>HYPERLINK("https://www.linkedin.com/ad-library/detail/926883244","Open Ad")</f>
        <v>Open Ad</v>
      </c>
      <c r="E391" s="4" t="s">
        <v>78</v>
      </c>
      <c r="F391" s="4" t="s">
        <v>3437</v>
      </c>
      <c r="G391" s="4" t="s">
        <v>3438</v>
      </c>
      <c r="H391" s="4" t="s">
        <v>49</v>
      </c>
      <c r="I391" s="4" t="s">
        <v>3439</v>
      </c>
      <c r="J391" s="4" t="s">
        <v>78</v>
      </c>
      <c r="K391" s="5" t="str">
        <f t="shared" ref="K391:K392" si="3">HYPERLINK("https://media.licdn.com/dms/image/v2/D4E10AQEhl1xuexBSeQ/image-shrink_1280/B4EZp3cmUZHcAM-/0/1762940578000/1080x1080png?e=2147483647&amp;v=beta&amp;t=MCYE-UbJnIioDCbmlNbIXaXtPgvSQ15a7mHBuAzGymc","View Creative")</f>
        <v>View Creative</v>
      </c>
      <c r="L391" s="4" t="s">
        <v>60</v>
      </c>
      <c r="M391" s="4" t="s">
        <v>61</v>
      </c>
      <c r="N391" s="4" t="s">
        <v>3223</v>
      </c>
      <c r="O391" s="4" t="s">
        <v>89</v>
      </c>
      <c r="P391" s="4" t="s">
        <v>3460</v>
      </c>
    </row>
    <row r="392">
      <c r="A392" s="4" t="s">
        <v>40</v>
      </c>
      <c r="B392" s="4" t="s">
        <v>40</v>
      </c>
      <c r="C392" s="4">
        <v>390.0</v>
      </c>
      <c r="D392" s="5" t="str">
        <f>HYPERLINK("https://www.linkedin.com/ad-library/detail/927101344","Open Ad")</f>
        <v>Open Ad</v>
      </c>
      <c r="E392" s="4" t="s">
        <v>78</v>
      </c>
      <c r="F392" s="4" t="s">
        <v>3465</v>
      </c>
      <c r="G392" s="4" t="s">
        <v>3466</v>
      </c>
      <c r="H392" s="4" t="s">
        <v>49</v>
      </c>
      <c r="I392" s="4" t="s">
        <v>1858</v>
      </c>
      <c r="J392" s="4" t="s">
        <v>78</v>
      </c>
      <c r="K392" s="5" t="str">
        <f t="shared" si="3"/>
        <v>View Creative</v>
      </c>
      <c r="L392" s="4" t="s">
        <v>60</v>
      </c>
      <c r="M392" s="4" t="s">
        <v>61</v>
      </c>
      <c r="N392" s="4" t="s">
        <v>3223</v>
      </c>
      <c r="O392" s="4" t="s">
        <v>89</v>
      </c>
      <c r="P392" s="4" t="s">
        <v>3469</v>
      </c>
    </row>
    <row r="393">
      <c r="A393" s="4" t="s">
        <v>40</v>
      </c>
      <c r="B393" s="4" t="s">
        <v>40</v>
      </c>
      <c r="C393" s="4">
        <v>391.0</v>
      </c>
      <c r="D393" s="5" t="str">
        <f>HYPERLINK("https://www.linkedin.com/ad-library/detail/926952494","Open Ad")</f>
        <v>Open Ad</v>
      </c>
      <c r="E393" s="4" t="s">
        <v>78</v>
      </c>
      <c r="F393" s="4" t="s">
        <v>3427</v>
      </c>
      <c r="G393" s="4" t="s">
        <v>3429</v>
      </c>
      <c r="H393" s="4" t="s">
        <v>49</v>
      </c>
      <c r="I393" s="4" t="s">
        <v>873</v>
      </c>
      <c r="J393" s="4" t="s">
        <v>78</v>
      </c>
      <c r="K393" s="5" t="str">
        <f>HYPERLINK("https://media.licdn.com/dms/image/v2/D4E10AQGXMoZgJD2_SQ/image-shrink_1280/B4EZrAnmkwHEAM-/0/1764168199080?e=2147483647&amp;v=beta&amp;t=0lyRi8Xwk_rMo02Mk9zFwtFkGNWtQ8E3FEtGmErT-U8","View Creative")</f>
        <v>View Creative</v>
      </c>
      <c r="L393" s="4" t="s">
        <v>2321</v>
      </c>
      <c r="M393" s="4" t="s">
        <v>61</v>
      </c>
      <c r="N393" s="4" t="s">
        <v>3432</v>
      </c>
      <c r="O393" s="4" t="s">
        <v>89</v>
      </c>
      <c r="P393" s="4" t="s">
        <v>3477</v>
      </c>
    </row>
    <row r="394">
      <c r="A394" s="4" t="s">
        <v>40</v>
      </c>
      <c r="B394" s="4" t="s">
        <v>40</v>
      </c>
      <c r="C394" s="4">
        <v>392.0</v>
      </c>
      <c r="D394" s="5" t="str">
        <f>HYPERLINK("https://www.linkedin.com/ad-library/detail/927101254","Open Ad")</f>
        <v>Open Ad</v>
      </c>
      <c r="E394" s="4" t="s">
        <v>78</v>
      </c>
      <c r="F394" s="4" t="s">
        <v>3427</v>
      </c>
      <c r="G394" s="4" t="s">
        <v>3429</v>
      </c>
      <c r="H394" s="4" t="s">
        <v>49</v>
      </c>
      <c r="I394" s="4" t="s">
        <v>873</v>
      </c>
      <c r="J394" s="4" t="s">
        <v>78</v>
      </c>
      <c r="K394" s="5" t="str">
        <f>HYPERLINK("https://media.licdn.com/dms/image/v2/D4E10AQE36Ca14gTPTQ/image-shrink_1280/B4EZrAnhKWKYAM-/0/1764168176957?e=2147483647&amp;v=beta&amp;t=CE77j2P_W74hHCBzido7C8WjJqIaNbJRUCIFEHjTSxA","View Creative")</f>
        <v>View Creative</v>
      </c>
      <c r="L394" s="4" t="s">
        <v>2321</v>
      </c>
      <c r="M394" s="4" t="s">
        <v>61</v>
      </c>
      <c r="N394" s="4" t="s">
        <v>3432</v>
      </c>
      <c r="O394" s="4" t="s">
        <v>89</v>
      </c>
      <c r="P394" s="4" t="s">
        <v>3484</v>
      </c>
    </row>
    <row r="395">
      <c r="A395" s="4" t="s">
        <v>40</v>
      </c>
      <c r="B395" s="4" t="s">
        <v>40</v>
      </c>
      <c r="C395" s="4">
        <v>393.0</v>
      </c>
      <c r="D395" s="5" t="str">
        <f>HYPERLINK("https://www.linkedin.com/ad-library/detail/926952484","Open Ad")</f>
        <v>Open Ad</v>
      </c>
      <c r="E395" s="4" t="s">
        <v>78</v>
      </c>
      <c r="F395" s="4" t="s">
        <v>3427</v>
      </c>
      <c r="G395" s="4" t="s">
        <v>3429</v>
      </c>
      <c r="H395" s="4" t="s">
        <v>49</v>
      </c>
      <c r="I395" s="4" t="s">
        <v>873</v>
      </c>
      <c r="J395" s="4" t="s">
        <v>78</v>
      </c>
      <c r="K395" s="5" t="str">
        <f>HYPERLINK("https://media.licdn.com/dms/image/v2/D4E10AQGUOBDg5HaULw/image-shrink_1280/B4EZrAnhbuGoAU-/0/1764168178260?e=2147483647&amp;v=beta&amp;t=_r1HLVghI_3O49bNsI9cVPRA9TUsQ0m4HXz2x4S7DM0","View Creative")</f>
        <v>View Creative</v>
      </c>
      <c r="L395" s="4" t="s">
        <v>2321</v>
      </c>
      <c r="M395" s="4" t="s">
        <v>61</v>
      </c>
      <c r="N395" s="4" t="s">
        <v>3432</v>
      </c>
      <c r="O395" s="4" t="s">
        <v>89</v>
      </c>
      <c r="P395" s="4" t="s">
        <v>3491</v>
      </c>
    </row>
    <row r="396">
      <c r="A396" s="4" t="s">
        <v>40</v>
      </c>
      <c r="B396" s="4" t="s">
        <v>40</v>
      </c>
      <c r="C396" s="4">
        <v>394.0</v>
      </c>
      <c r="D396" s="5" t="str">
        <f>HYPERLINK("https://www.linkedin.com/ad-library/detail/927051724","Open Ad")</f>
        <v>Open Ad</v>
      </c>
      <c r="E396" s="4" t="s">
        <v>78</v>
      </c>
      <c r="F396" s="4" t="s">
        <v>3465</v>
      </c>
      <c r="G396" s="4" t="s">
        <v>3466</v>
      </c>
      <c r="H396" s="4" t="s">
        <v>49</v>
      </c>
      <c r="I396" s="4" t="s">
        <v>1858</v>
      </c>
      <c r="J396" s="4" t="s">
        <v>78</v>
      </c>
      <c r="K396" s="5" t="str">
        <f>HYPERLINK("https://media.licdn.com/dms/image/v2/D4E10AQGZJMH_id5Hyw/image-shrink_1280/B4EZp3c15JKgAM-/0/1762940641730/1080x10802png?e=2147483647&amp;v=beta&amp;t=aNNnCOAvPWeSrMDB5gdZKogEniysqLK2z7jXwjWrk94","View Creative")</f>
        <v>View Creative</v>
      </c>
      <c r="L396" s="4" t="s">
        <v>60</v>
      </c>
      <c r="M396" s="4" t="s">
        <v>61</v>
      </c>
      <c r="N396" s="4" t="s">
        <v>3223</v>
      </c>
      <c r="O396" s="4" t="s">
        <v>89</v>
      </c>
      <c r="P396" s="4" t="s">
        <v>3499</v>
      </c>
    </row>
    <row r="397">
      <c r="A397" s="4" t="s">
        <v>40</v>
      </c>
      <c r="B397" s="4" t="s">
        <v>40</v>
      </c>
      <c r="C397" s="4">
        <v>395.0</v>
      </c>
      <c r="D397" s="5" t="str">
        <f>HYPERLINK("https://www.linkedin.com/ad-library/detail/926992264","Open Ad")</f>
        <v>Open Ad</v>
      </c>
      <c r="E397" s="4" t="s">
        <v>78</v>
      </c>
      <c r="F397" s="4" t="s">
        <v>3503</v>
      </c>
      <c r="G397" s="4" t="s">
        <v>3504</v>
      </c>
      <c r="H397" s="4" t="s">
        <v>49</v>
      </c>
      <c r="I397" s="4" t="s">
        <v>429</v>
      </c>
      <c r="J397" s="4" t="s">
        <v>78</v>
      </c>
      <c r="K397" s="5" t="str">
        <f>HYPERLINK("https://media.licdn.com/dms/image/v2/D4E10AQFu-8AOY2HSmg/image-shrink_1280/B4EZrAnmluHgAM-/0/1764168199122?e=2147483647&amp;v=beta&amp;t=FE_wW0Sm416zbLnK71i6x-ZMWL2LhmNsZrXwDOiBG0M","View Creative")</f>
        <v>View Creative</v>
      </c>
      <c r="L397" s="4" t="s">
        <v>2321</v>
      </c>
      <c r="M397" s="4" t="s">
        <v>61</v>
      </c>
      <c r="N397" s="4" t="s">
        <v>3432</v>
      </c>
      <c r="O397" s="4" t="s">
        <v>89</v>
      </c>
      <c r="P397" s="4" t="s">
        <v>3511</v>
      </c>
    </row>
    <row r="398">
      <c r="A398" s="4" t="s">
        <v>40</v>
      </c>
      <c r="B398" s="4" t="s">
        <v>40</v>
      </c>
      <c r="C398" s="4">
        <v>396.0</v>
      </c>
      <c r="D398" s="5" t="str">
        <f>HYPERLINK("https://www.linkedin.com/ad-library/detail/927002104","Open Ad")</f>
        <v>Open Ad</v>
      </c>
      <c r="E398" s="4" t="s">
        <v>78</v>
      </c>
      <c r="F398" s="4" t="s">
        <v>3427</v>
      </c>
      <c r="G398" s="4" t="s">
        <v>3429</v>
      </c>
      <c r="H398" s="4" t="s">
        <v>49</v>
      </c>
      <c r="I398" s="4" t="s">
        <v>873</v>
      </c>
      <c r="J398" s="4" t="s">
        <v>78</v>
      </c>
      <c r="K398" s="5" t="str">
        <f>HYPERLINK("https://media.licdn.com/dms/image/v2/D4E10AQFl8-Spsi4RSw/image-shrink_1280/B4EZrAncCFHEAM-/0/1764168155985?e=2147483647&amp;v=beta&amp;t=pMxgbEmiaFosfWCHNsVfUws5kYLgtwnVlh88vjE_s2s","View Creative")</f>
        <v>View Creative</v>
      </c>
      <c r="L398" s="4" t="s">
        <v>2321</v>
      </c>
      <c r="M398" s="4" t="s">
        <v>61</v>
      </c>
      <c r="N398" s="4" t="s">
        <v>3432</v>
      </c>
      <c r="O398" s="4" t="s">
        <v>89</v>
      </c>
      <c r="P398" s="4" t="s">
        <v>3519</v>
      </c>
    </row>
    <row r="399">
      <c r="A399" s="4" t="s">
        <v>40</v>
      </c>
      <c r="B399" s="4" t="s">
        <v>40</v>
      </c>
      <c r="C399" s="4">
        <v>397.0</v>
      </c>
      <c r="D399" s="5" t="str">
        <f>HYPERLINK("https://www.linkedin.com/ad-library/detail/926952514","Open Ad")</f>
        <v>Open Ad</v>
      </c>
      <c r="E399" s="4" t="s">
        <v>78</v>
      </c>
      <c r="F399" s="4" t="s">
        <v>3465</v>
      </c>
      <c r="G399" s="4" t="s">
        <v>3466</v>
      </c>
      <c r="H399" s="4" t="s">
        <v>49</v>
      </c>
      <c r="I399" s="4" t="s">
        <v>1858</v>
      </c>
      <c r="J399" s="4" t="s">
        <v>78</v>
      </c>
      <c r="K399" s="5" t="str">
        <f>HYPERLINK("https://media.licdn.com/dms/image/v2/D4E10AQEbg0Bmp-0ByA/image-shrink_1280/B4EZp3cw0WGUAU-/0/1762940620977/1080x10801png?e=2147483647&amp;v=beta&amp;t=wXm6L7Z81sI9Y5Sxu8KYIZEVsNzBlRvwFSwR-pCzBLQ","View Creative")</f>
        <v>View Creative</v>
      </c>
      <c r="L399" s="4" t="s">
        <v>60</v>
      </c>
      <c r="M399" s="4" t="s">
        <v>61</v>
      </c>
      <c r="N399" s="4" t="s">
        <v>3223</v>
      </c>
      <c r="O399" s="4" t="s">
        <v>89</v>
      </c>
      <c r="P399" s="4" t="s">
        <v>3525</v>
      </c>
    </row>
    <row r="400">
      <c r="A400" s="4" t="s">
        <v>40</v>
      </c>
      <c r="B400" s="4" t="s">
        <v>40</v>
      </c>
      <c r="C400" s="4">
        <v>398.0</v>
      </c>
      <c r="D400" s="5" t="str">
        <f>HYPERLINK("https://www.linkedin.com/ad-library/detail/927091284","Open Ad")</f>
        <v>Open Ad</v>
      </c>
      <c r="E400" s="4" t="s">
        <v>78</v>
      </c>
      <c r="F400" s="4" t="s">
        <v>3427</v>
      </c>
      <c r="G400" s="4" t="s">
        <v>3429</v>
      </c>
      <c r="H400" s="4" t="s">
        <v>49</v>
      </c>
      <c r="I400" s="4" t="s">
        <v>873</v>
      </c>
      <c r="J400" s="4" t="s">
        <v>78</v>
      </c>
      <c r="K400" s="5" t="str">
        <f>HYPERLINK("https://media.licdn.com/dms/image/v2/D4E10AQEmRbYx9brMTw/image-shrink_1280/B4EZrAnmjPKoAQ-/0/1764168199086?e=2147483647&amp;v=beta&amp;t=yoYSvWiPmI-R1Gf8fM3zYY9wf3ZIsBGcUtAXjd8B4Gg","View Creative")</f>
        <v>View Creative</v>
      </c>
      <c r="L400" s="4" t="s">
        <v>2321</v>
      </c>
      <c r="M400" s="4" t="s">
        <v>61</v>
      </c>
      <c r="N400" s="4" t="s">
        <v>3432</v>
      </c>
      <c r="O400" s="4" t="s">
        <v>89</v>
      </c>
      <c r="P400" s="4" t="s">
        <v>3534</v>
      </c>
    </row>
    <row r="401">
      <c r="A401" s="4" t="s">
        <v>40</v>
      </c>
      <c r="B401" s="4" t="s">
        <v>40</v>
      </c>
      <c r="C401" s="4">
        <v>399.0</v>
      </c>
      <c r="D401" s="5" t="str">
        <f>HYPERLINK("https://www.linkedin.com/ad-library/detail/926872934","Open Ad")</f>
        <v>Open Ad</v>
      </c>
      <c r="E401" s="4" t="s">
        <v>78</v>
      </c>
      <c r="F401" s="4" t="s">
        <v>3437</v>
      </c>
      <c r="G401" s="4" t="s">
        <v>3438</v>
      </c>
      <c r="H401" s="4" t="s">
        <v>49</v>
      </c>
      <c r="I401" s="4" t="s">
        <v>3439</v>
      </c>
      <c r="J401" s="4" t="s">
        <v>78</v>
      </c>
      <c r="K401" s="5" t="str">
        <f>HYPERLINK("https://media.licdn.com/dms/image/v2/D4E10AQEbg0Bmp-0ByA/image-shrink_1280/B4EZp3cw0WGUAU-/0/1762940620977/1080x10801png?e=2147483647&amp;v=beta&amp;t=wXm6L7Z81sI9Y5Sxu8KYIZEVsNzBlRvwFSwR-pCzBLQ","View Creative")</f>
        <v>View Creative</v>
      </c>
      <c r="L401" s="4" t="s">
        <v>60</v>
      </c>
      <c r="M401" s="4" t="s">
        <v>61</v>
      </c>
      <c r="N401" s="4" t="s">
        <v>3223</v>
      </c>
      <c r="O401" s="4" t="s">
        <v>89</v>
      </c>
      <c r="P401" s="4" t="s">
        <v>3538</v>
      </c>
    </row>
    <row r="402">
      <c r="A402" s="4" t="s">
        <v>40</v>
      </c>
      <c r="B402" s="4" t="s">
        <v>40</v>
      </c>
      <c r="C402" s="4">
        <v>400.0</v>
      </c>
      <c r="D402" s="5" t="str">
        <f>HYPERLINK("https://www.linkedin.com/ad-library/detail/926972314","Open Ad")</f>
        <v>Open Ad</v>
      </c>
      <c r="E402" s="4" t="s">
        <v>78</v>
      </c>
      <c r="F402" s="4" t="s">
        <v>3503</v>
      </c>
      <c r="G402" s="4" t="s">
        <v>3504</v>
      </c>
      <c r="H402" s="4" t="s">
        <v>49</v>
      </c>
      <c r="I402" s="4" t="s">
        <v>429</v>
      </c>
      <c r="J402" s="4" t="s">
        <v>78</v>
      </c>
      <c r="K402" s="5" t="str">
        <f>HYPERLINK("https://media.licdn.com/dms/image/v2/D4E10AQE3UU-Sj8Elxg/image-shrink_1280/B4EZrAnhiCKUAM-/0/1764168178490?e=2147483647&amp;v=beta&amp;t=o9vf0P0OJzvsDek6SxLGXm9XEaGUOYe8UzFB-AOOH6c","View Creative")</f>
        <v>View Creative</v>
      </c>
      <c r="L402" s="4" t="s">
        <v>2321</v>
      </c>
      <c r="M402" s="4" t="s">
        <v>61</v>
      </c>
      <c r="N402" s="4" t="s">
        <v>3432</v>
      </c>
      <c r="O402" s="4" t="s">
        <v>89</v>
      </c>
      <c r="P402" s="4" t="s">
        <v>3548</v>
      </c>
    </row>
    <row r="403">
      <c r="A403" s="4" t="s">
        <v>40</v>
      </c>
      <c r="B403" s="4" t="s">
        <v>40</v>
      </c>
      <c r="C403" s="4">
        <v>401.0</v>
      </c>
      <c r="D403" s="5" t="str">
        <f>HYPERLINK("https://www.linkedin.com/ad-library/detail/926872874","Open Ad")</f>
        <v>Open Ad</v>
      </c>
      <c r="E403" s="4" t="s">
        <v>78</v>
      </c>
      <c r="F403" s="4" t="s">
        <v>3427</v>
      </c>
      <c r="G403" s="4" t="s">
        <v>3429</v>
      </c>
      <c r="H403" s="4" t="s">
        <v>49</v>
      </c>
      <c r="I403" s="4" t="s">
        <v>873</v>
      </c>
      <c r="J403" s="4" t="s">
        <v>78</v>
      </c>
      <c r="K403" s="5" t="str">
        <f>HYPERLINK("https://media.licdn.com/dms/image/v2/D4E10AQEC4Ryfo27kLA/image-shrink_1280/B4EZrAnhN_IIAM-/0/1764168177039?e=2147483647&amp;v=beta&amp;t=9_bFHDNZemETk1mDNtGsbIyoGnuJT2bDoSGRNWgc0kk","View Creative")</f>
        <v>View Creative</v>
      </c>
      <c r="L403" s="4" t="s">
        <v>2321</v>
      </c>
      <c r="M403" s="4" t="s">
        <v>61</v>
      </c>
      <c r="N403" s="4" t="s">
        <v>3432</v>
      </c>
      <c r="O403" s="4" t="s">
        <v>89</v>
      </c>
      <c r="P403" s="4" t="s">
        <v>3553</v>
      </c>
    </row>
    <row r="404">
      <c r="A404" s="4" t="s">
        <v>40</v>
      </c>
      <c r="B404" s="4" t="s">
        <v>40</v>
      </c>
      <c r="C404" s="4">
        <v>402.0</v>
      </c>
      <c r="D404" s="5" t="str">
        <f>HYPERLINK("https://www.linkedin.com/ad-library/detail/927061804","Open Ad")</f>
        <v>Open Ad</v>
      </c>
      <c r="E404" s="4" t="s">
        <v>78</v>
      </c>
      <c r="F404" s="4" t="s">
        <v>3427</v>
      </c>
      <c r="G404" s="4" t="s">
        <v>3429</v>
      </c>
      <c r="H404" s="4" t="s">
        <v>49</v>
      </c>
      <c r="I404" s="4" t="s">
        <v>873</v>
      </c>
      <c r="J404" s="4" t="s">
        <v>78</v>
      </c>
      <c r="K404" s="5" t="str">
        <f>HYPERLINK("https://media.licdn.com/dms/image/v2/D4E10AQFhIidLetHSXQ/image-shrink_1280/B4EZrAnmgeJ0AQ-/0/1764168199017?e=2147483647&amp;v=beta&amp;t=cNgBa_GYt79F4k8C5cCAf2unRilUk6DjzzKLb2qlwuw","View Creative")</f>
        <v>View Creative</v>
      </c>
      <c r="L404" s="4" t="s">
        <v>2321</v>
      </c>
      <c r="M404" s="4" t="s">
        <v>61</v>
      </c>
      <c r="N404" s="4" t="s">
        <v>3432</v>
      </c>
      <c r="O404" s="4" t="s">
        <v>89</v>
      </c>
      <c r="P404" s="4" t="s">
        <v>3563</v>
      </c>
    </row>
    <row r="405">
      <c r="A405" s="4" t="s">
        <v>40</v>
      </c>
      <c r="B405" s="4" t="s">
        <v>40</v>
      </c>
      <c r="C405" s="4">
        <v>403.0</v>
      </c>
      <c r="D405" s="5" t="str">
        <f>HYPERLINK("https://www.linkedin.com/ad-library/detail/926893154","Open Ad")</f>
        <v>Open Ad</v>
      </c>
      <c r="E405" s="4" t="s">
        <v>78</v>
      </c>
      <c r="F405" s="4" t="s">
        <v>3427</v>
      </c>
      <c r="G405" s="4" t="s">
        <v>3429</v>
      </c>
      <c r="H405" s="4" t="s">
        <v>49</v>
      </c>
      <c r="I405" s="4" t="s">
        <v>873</v>
      </c>
      <c r="J405" s="4" t="s">
        <v>78</v>
      </c>
      <c r="K405" s="5" t="str">
        <f>HYPERLINK("https://media.licdn.com/dms/image/v2/D4E10AQEVZFfoi8IvWQ/image-shrink_1280/B4EZrAncPEGYAM-/0/1764168157025?e=2147483647&amp;v=beta&amp;t=QVbh4nbmGEivP8HSHeI_xl-QUg1X1s_eZDF3_qxo6gQ","View Creative")</f>
        <v>View Creative</v>
      </c>
      <c r="L405" s="4" t="s">
        <v>2321</v>
      </c>
      <c r="M405" s="4" t="s">
        <v>61</v>
      </c>
      <c r="N405" s="4" t="s">
        <v>3432</v>
      </c>
      <c r="O405" s="4" t="s">
        <v>89</v>
      </c>
      <c r="P405" s="4" t="s">
        <v>3568</v>
      </c>
    </row>
    <row r="406">
      <c r="A406" s="4" t="s">
        <v>40</v>
      </c>
      <c r="B406" s="4" t="s">
        <v>40</v>
      </c>
      <c r="C406" s="4">
        <v>404.0</v>
      </c>
      <c r="D406" s="5" t="str">
        <f>HYPERLINK("https://www.linkedin.com/ad-library/detail/926872864","Open Ad")</f>
        <v>Open Ad</v>
      </c>
      <c r="E406" s="4" t="s">
        <v>78</v>
      </c>
      <c r="F406" s="4" t="s">
        <v>3503</v>
      </c>
      <c r="G406" s="4" t="s">
        <v>3504</v>
      </c>
      <c r="H406" s="4" t="s">
        <v>49</v>
      </c>
      <c r="I406" s="4" t="s">
        <v>429</v>
      </c>
      <c r="J406" s="4" t="s">
        <v>78</v>
      </c>
      <c r="K406" s="5" t="str">
        <f>HYPERLINK("https://media.licdn.com/dms/image/v2/D4E10AQGUlxKx6ng1gw/image-shrink_1280/B4EZrAnb.YHMAM-/0/1764168155812?e=2147483647&amp;v=beta&amp;t=MLjhaopwBz91I3QkewpRoMYIgmrhyK7WpT8zXh0bd8U","View Creative")</f>
        <v>View Creative</v>
      </c>
      <c r="L406" s="4" t="s">
        <v>2321</v>
      </c>
      <c r="M406" s="4" t="s">
        <v>61</v>
      </c>
      <c r="N406" s="4" t="s">
        <v>3576</v>
      </c>
      <c r="O406" s="4" t="s">
        <v>89</v>
      </c>
      <c r="P406" s="4" t="s">
        <v>3577</v>
      </c>
    </row>
    <row r="407">
      <c r="A407" s="4" t="s">
        <v>40</v>
      </c>
      <c r="B407" s="4" t="s">
        <v>40</v>
      </c>
      <c r="C407" s="4">
        <v>405.0</v>
      </c>
      <c r="D407" s="5" t="str">
        <f>HYPERLINK("https://www.linkedin.com/ad-library/detail/927061864","Open Ad")</f>
        <v>Open Ad</v>
      </c>
      <c r="E407" s="4" t="s">
        <v>78</v>
      </c>
      <c r="F407" s="4" t="s">
        <v>3465</v>
      </c>
      <c r="G407" s="4" t="s">
        <v>3466</v>
      </c>
      <c r="H407" s="4" t="s">
        <v>49</v>
      </c>
      <c r="I407" s="4" t="s">
        <v>1858</v>
      </c>
      <c r="J407" s="4" t="s">
        <v>78</v>
      </c>
      <c r="K407" s="5" t="str">
        <f>HYPERLINK("https://media.licdn.com/dms/image/v2/D4E10AQHwN_0BBPz2PA/image-shrink_1280/B4EZp3c7r0KoAM-/0/1762940665717/1080x10803png?e=2147483647&amp;v=beta&amp;t=WsnMIAk6vds0IX_Ey5rc9dJUB4HqZTOZIvb3CLNIFOo","View Creative")</f>
        <v>View Creative</v>
      </c>
      <c r="L407" s="4" t="s">
        <v>60</v>
      </c>
      <c r="M407" s="4" t="s">
        <v>61</v>
      </c>
      <c r="N407" s="4" t="s">
        <v>3223</v>
      </c>
      <c r="O407" s="4" t="s">
        <v>89</v>
      </c>
      <c r="P407" s="4" t="s">
        <v>3587</v>
      </c>
    </row>
    <row r="408">
      <c r="A408" s="4" t="s">
        <v>40</v>
      </c>
      <c r="B408" s="4" t="s">
        <v>40</v>
      </c>
      <c r="C408" s="4">
        <v>406.0</v>
      </c>
      <c r="D408" s="5" t="str">
        <f>HYPERLINK("https://www.linkedin.com/ad-library/detail/927041994","Open Ad")</f>
        <v>Open Ad</v>
      </c>
      <c r="E408" s="4" t="s">
        <v>78</v>
      </c>
      <c r="F408" s="4" t="s">
        <v>3217</v>
      </c>
      <c r="G408" s="4" t="s">
        <v>3218</v>
      </c>
      <c r="H408" s="4" t="s">
        <v>49</v>
      </c>
      <c r="I408" s="4" t="s">
        <v>873</v>
      </c>
      <c r="J408" s="4" t="s">
        <v>78</v>
      </c>
      <c r="K408" s="5" t="str">
        <f>HYPERLINK("https://media.licdn.com/dms/image/v2/D4E10AQEbg0Bmp-0ByA/image-shrink_1280/B4EZp3cw0WGUAU-/0/1762940620977/1080x10801png?e=2147483647&amp;v=beta&amp;t=wXm6L7Z81sI9Y5Sxu8KYIZEVsNzBlRvwFSwR-pCzBLQ","View Creative")</f>
        <v>View Creative</v>
      </c>
      <c r="L408" s="4" t="s">
        <v>60</v>
      </c>
      <c r="M408" s="4" t="s">
        <v>61</v>
      </c>
      <c r="N408" s="4" t="s">
        <v>3223</v>
      </c>
      <c r="O408" s="4" t="s">
        <v>89</v>
      </c>
      <c r="P408" s="4" t="s">
        <v>3596</v>
      </c>
    </row>
    <row r="409">
      <c r="A409" s="4" t="s">
        <v>40</v>
      </c>
      <c r="B409" s="4" t="s">
        <v>40</v>
      </c>
      <c r="C409" s="4">
        <v>407.0</v>
      </c>
      <c r="D409" s="5" t="str">
        <f>HYPERLINK("https://www.linkedin.com/ad-library/detail/926912424","Open Ad")</f>
        <v>Open Ad</v>
      </c>
      <c r="E409" s="4" t="s">
        <v>78</v>
      </c>
      <c r="F409" s="4" t="s">
        <v>3427</v>
      </c>
      <c r="G409" s="4" t="s">
        <v>3429</v>
      </c>
      <c r="H409" s="4" t="s">
        <v>49</v>
      </c>
      <c r="I409" s="4" t="s">
        <v>873</v>
      </c>
      <c r="J409" s="4" t="s">
        <v>78</v>
      </c>
      <c r="K409" s="5" t="str">
        <f>HYPERLINK("https://media.licdn.com/dms/image/v2/D4E10AQG03s1PEao6Dg/image-shrink_1280/B4EZrAnhbyKkAQ-/0/1764168177960?e=2147483647&amp;v=beta&amp;t=jOapKcRNGl0PWu79SibFPFcbV-9ZqgtkqOTXglPPtog","View Creative")</f>
        <v>View Creative</v>
      </c>
      <c r="L409" s="4" t="s">
        <v>2321</v>
      </c>
      <c r="M409" s="4" t="s">
        <v>61</v>
      </c>
      <c r="N409" s="4" t="s">
        <v>3603</v>
      </c>
      <c r="O409" s="4" t="s">
        <v>89</v>
      </c>
      <c r="P409" s="4" t="s">
        <v>3604</v>
      </c>
    </row>
    <row r="410">
      <c r="A410" s="4" t="s">
        <v>40</v>
      </c>
      <c r="B410" s="4" t="s">
        <v>40</v>
      </c>
      <c r="C410" s="4">
        <v>408.0</v>
      </c>
      <c r="D410" s="5" t="str">
        <f>HYPERLINK("https://www.linkedin.com/ad-library/detail/926982054","Open Ad")</f>
        <v>Open Ad</v>
      </c>
      <c r="E410" s="4" t="s">
        <v>78</v>
      </c>
      <c r="F410" s="4" t="s">
        <v>3503</v>
      </c>
      <c r="G410" s="4" t="s">
        <v>3504</v>
      </c>
      <c r="H410" s="4" t="s">
        <v>49</v>
      </c>
      <c r="I410" s="4" t="s">
        <v>429</v>
      </c>
      <c r="J410" s="4" t="s">
        <v>78</v>
      </c>
      <c r="K410" s="5" t="str">
        <f>HYPERLINK("https://media.licdn.com/dms/image/v2/D4E10AQGN3dRhL8rXmA/image-shrink_1280/B4EZrAnhcNKoAM-/0/1764168178382?e=2147483647&amp;v=beta&amp;t=cHrfDHJtoy84DJrhlApMxcY-cOazwDPQ2fwT0bphdQw","View Creative")</f>
        <v>View Creative</v>
      </c>
      <c r="L410" s="4" t="s">
        <v>2321</v>
      </c>
      <c r="M410" s="4" t="s">
        <v>61</v>
      </c>
      <c r="N410" s="4" t="s">
        <v>3603</v>
      </c>
      <c r="O410" s="4" t="s">
        <v>89</v>
      </c>
      <c r="P410" s="4" t="s">
        <v>3609</v>
      </c>
    </row>
    <row r="411">
      <c r="A411" s="4" t="s">
        <v>40</v>
      </c>
      <c r="B411" s="4" t="s">
        <v>40</v>
      </c>
      <c r="C411" s="4">
        <v>409.0</v>
      </c>
      <c r="D411" s="5" t="str">
        <f>HYPERLINK("https://www.linkedin.com/ad-library/detail/927041844","Open Ad")</f>
        <v>Open Ad</v>
      </c>
      <c r="E411" s="4" t="s">
        <v>78</v>
      </c>
      <c r="F411" s="4" t="s">
        <v>3503</v>
      </c>
      <c r="G411" s="4" t="s">
        <v>3504</v>
      </c>
      <c r="H411" s="4" t="s">
        <v>49</v>
      </c>
      <c r="I411" s="4" t="s">
        <v>429</v>
      </c>
      <c r="J411" s="4" t="s">
        <v>78</v>
      </c>
      <c r="K411" s="5" t="str">
        <f>HYPERLINK("https://media.licdn.com/dms/image/v2/D4E10AQEDPQ6l45w8qA/image-shrink_1280/B4EZrAnQZxGUAM-/0/1764168108306?e=2147483647&amp;v=beta&amp;t=EGYDaqGbPL5M-zJ73zYTQz39h-eQQocaHztfw-nl_uI","View Creative")</f>
        <v>View Creative</v>
      </c>
      <c r="L411" s="4" t="s">
        <v>2321</v>
      </c>
      <c r="M411" s="4" t="s">
        <v>61</v>
      </c>
      <c r="N411" s="4" t="s">
        <v>3432</v>
      </c>
      <c r="O411" s="4" t="s">
        <v>89</v>
      </c>
      <c r="P411" s="4" t="s">
        <v>3615</v>
      </c>
    </row>
    <row r="412">
      <c r="A412" s="4" t="s">
        <v>40</v>
      </c>
      <c r="B412" s="4" t="s">
        <v>40</v>
      </c>
      <c r="C412" s="4">
        <v>410.0</v>
      </c>
      <c r="D412" s="5" t="str">
        <f>HYPERLINK("https://www.linkedin.com/ad-library/detail/927041934","Open Ad")</f>
        <v>Open Ad</v>
      </c>
      <c r="E412" s="4" t="s">
        <v>78</v>
      </c>
      <c r="F412" s="4" t="s">
        <v>3427</v>
      </c>
      <c r="G412" s="4" t="s">
        <v>3429</v>
      </c>
      <c r="H412" s="4" t="s">
        <v>49</v>
      </c>
      <c r="I412" s="4" t="s">
        <v>873</v>
      </c>
      <c r="J412" s="4" t="s">
        <v>78</v>
      </c>
      <c r="K412" s="5" t="str">
        <f>HYPERLINK("https://media.licdn.com/dms/image/v2/D4E10AQEm0VeN4RN8Ng/image-shrink_1280/B4EZrAnbtVKcAM-/0/1764168154511?e=2147483647&amp;v=beta&amp;t=pWocwEQKjemLaAPLbiKknKcx3a_aCt2o2PC_wh-CtkE","View Creative")</f>
        <v>View Creative</v>
      </c>
      <c r="L412" s="4" t="s">
        <v>2321</v>
      </c>
      <c r="M412" s="4" t="s">
        <v>61</v>
      </c>
      <c r="N412" s="4" t="s">
        <v>3624</v>
      </c>
      <c r="O412" s="4" t="s">
        <v>89</v>
      </c>
      <c r="P412" s="4" t="s">
        <v>3626</v>
      </c>
    </row>
    <row r="413">
      <c r="A413" s="4" t="s">
        <v>40</v>
      </c>
      <c r="B413" s="4" t="s">
        <v>40</v>
      </c>
      <c r="C413" s="4">
        <v>411.0</v>
      </c>
      <c r="D413" s="5" t="str">
        <f>HYPERLINK("https://www.linkedin.com/ad-library/detail/927021924","Open Ad")</f>
        <v>Open Ad</v>
      </c>
      <c r="E413" s="4" t="s">
        <v>78</v>
      </c>
      <c r="F413" s="4" t="s">
        <v>3427</v>
      </c>
      <c r="G413" s="4" t="s">
        <v>3429</v>
      </c>
      <c r="H413" s="4" t="s">
        <v>49</v>
      </c>
      <c r="I413" s="4" t="s">
        <v>873</v>
      </c>
      <c r="J413" s="4" t="s">
        <v>78</v>
      </c>
      <c r="K413" s="5" t="str">
        <f>HYPERLINK("https://media.licdn.com/dms/image/v2/D4E10AQEdA11fmmBCfw/image-shrink_1280/B4EZrAnVrPHUAQ-/0/1764168129981?e=2147483647&amp;v=beta&amp;t=Y6YmzQx-9y6uHgISRuVEBRDeTtSW7rpHyawzwBdD7FY","View Creative")</f>
        <v>View Creative</v>
      </c>
      <c r="L413" s="4" t="s">
        <v>2321</v>
      </c>
      <c r="M413" s="4" t="s">
        <v>61</v>
      </c>
      <c r="N413" s="4" t="s">
        <v>3432</v>
      </c>
      <c r="O413" s="4" t="s">
        <v>89</v>
      </c>
      <c r="P413" s="4" t="s">
        <v>3631</v>
      </c>
    </row>
    <row r="414">
      <c r="A414" s="4" t="s">
        <v>40</v>
      </c>
      <c r="B414" s="4" t="s">
        <v>40</v>
      </c>
      <c r="C414" s="4">
        <v>412.0</v>
      </c>
      <c r="D414" s="5" t="str">
        <f>HYPERLINK("https://www.linkedin.com/ad-library/detail/927002084","Open Ad")</f>
        <v>Open Ad</v>
      </c>
      <c r="E414" s="4" t="s">
        <v>78</v>
      </c>
      <c r="F414" s="4" t="s">
        <v>3427</v>
      </c>
      <c r="G414" s="4" t="s">
        <v>3429</v>
      </c>
      <c r="H414" s="4" t="s">
        <v>49</v>
      </c>
      <c r="I414" s="4" t="s">
        <v>873</v>
      </c>
      <c r="J414" s="4" t="s">
        <v>78</v>
      </c>
      <c r="K414" s="5" t="str">
        <f>HYPERLINK("https://media.licdn.com/dms/image/v2/D4E10AQHLbqn40XYWiw/image-shrink_1280/B4EZrAnV7UKkAM-/0/1764168130842?e=2147483647&amp;v=beta&amp;t=mkP3auMxfycBqaoU5wufY31sT2FVdFznaxa_7_v7-Ao","View Creative")</f>
        <v>View Creative</v>
      </c>
      <c r="L414" s="4" t="s">
        <v>2321</v>
      </c>
      <c r="M414" s="4" t="s">
        <v>61</v>
      </c>
      <c r="N414" s="4" t="s">
        <v>3432</v>
      </c>
      <c r="O414" s="4" t="s">
        <v>89</v>
      </c>
      <c r="P414" s="4" t="s">
        <v>3639</v>
      </c>
    </row>
    <row r="415">
      <c r="A415" s="4" t="s">
        <v>40</v>
      </c>
      <c r="B415" s="4" t="s">
        <v>40</v>
      </c>
      <c r="C415" s="4">
        <v>413.0</v>
      </c>
      <c r="D415" s="5" t="str">
        <f>HYPERLINK("https://www.linkedin.com/ad-library/detail/926922854","Open Ad")</f>
        <v>Open Ad</v>
      </c>
      <c r="E415" s="4" t="s">
        <v>78</v>
      </c>
      <c r="F415" s="4" t="s">
        <v>3503</v>
      </c>
      <c r="G415" s="4" t="s">
        <v>3504</v>
      </c>
      <c r="H415" s="4" t="s">
        <v>49</v>
      </c>
      <c r="I415" s="4" t="s">
        <v>429</v>
      </c>
      <c r="J415" s="4" t="s">
        <v>78</v>
      </c>
      <c r="K415" s="5" t="str">
        <f>HYPERLINK("https://media.licdn.com/dms/image/v2/D4E10AQFzHLdgHkZ69g/image-shrink_1280/B4EZrAnb5FKgAU-/0/1764168155274?e=2147483647&amp;v=beta&amp;t=j_S8lUSmesQVwmjUUdr__qSrprx72CWS4Pqybs-PV1o","View Creative")</f>
        <v>View Creative</v>
      </c>
      <c r="L415" s="4" t="s">
        <v>2321</v>
      </c>
      <c r="M415" s="4" t="s">
        <v>61</v>
      </c>
      <c r="N415" s="4" t="s">
        <v>3432</v>
      </c>
      <c r="O415" s="4" t="s">
        <v>89</v>
      </c>
      <c r="P415" s="4" t="s">
        <v>3649</v>
      </c>
    </row>
    <row r="416">
      <c r="A416" s="4" t="s">
        <v>40</v>
      </c>
      <c r="B416" s="4" t="s">
        <v>40</v>
      </c>
      <c r="C416" s="4">
        <v>414.0</v>
      </c>
      <c r="D416" s="5" t="str">
        <f>HYPERLINK("https://www.linkedin.com/ad-library/detail/927101244","Open Ad")</f>
        <v>Open Ad</v>
      </c>
      <c r="E416" s="4" t="s">
        <v>78</v>
      </c>
      <c r="F416" s="4" t="s">
        <v>3427</v>
      </c>
      <c r="G416" s="4" t="s">
        <v>3429</v>
      </c>
      <c r="H416" s="4" t="s">
        <v>49</v>
      </c>
      <c r="I416" s="4" t="s">
        <v>873</v>
      </c>
      <c r="J416" s="4" t="s">
        <v>78</v>
      </c>
      <c r="K416" s="5" t="str">
        <f>HYPERLINK("https://media.licdn.com/dms/image/v2/D4E10AQH6tm5a_cs5tA/image-shrink_1280/B4EZrAnQV7KoAQ-/0/1764168108074?e=2147483647&amp;v=beta&amp;t=iAsH0la5w0_hPnXbpQ_r1jLi6o55iGV7QR8MDPQQ2eM","View Creative")</f>
        <v>View Creative</v>
      </c>
      <c r="L416" s="4" t="s">
        <v>2321</v>
      </c>
      <c r="M416" s="4" t="s">
        <v>61</v>
      </c>
      <c r="N416" s="4" t="s">
        <v>3432</v>
      </c>
      <c r="O416" s="4" t="s">
        <v>89</v>
      </c>
      <c r="P416" s="4" t="s">
        <v>3654</v>
      </c>
    </row>
    <row r="417">
      <c r="A417" s="4" t="s">
        <v>40</v>
      </c>
      <c r="B417" s="4" t="s">
        <v>40</v>
      </c>
      <c r="C417" s="4">
        <v>415.0</v>
      </c>
      <c r="D417" s="5" t="str">
        <f>HYPERLINK("https://www.linkedin.com/ad-library/detail/926972294","Open Ad")</f>
        <v>Open Ad</v>
      </c>
      <c r="E417" s="4" t="s">
        <v>78</v>
      </c>
      <c r="F417" s="4" t="s">
        <v>3427</v>
      </c>
      <c r="G417" s="4" t="s">
        <v>3429</v>
      </c>
      <c r="H417" s="4" t="s">
        <v>49</v>
      </c>
      <c r="I417" s="4" t="s">
        <v>873</v>
      </c>
      <c r="J417" s="4" t="s">
        <v>78</v>
      </c>
      <c r="K417" s="5" t="str">
        <f>HYPERLINK("https://media.licdn.com/dms/image/v2/D4E10AQEUi0h5rJtrzw/image-shrink_1280/B4EZrAnWOkJ0AM-/0/1764168132400?e=2147483647&amp;v=beta&amp;t=wq4mv4mcHW8LjVM8m1CEhk0ChY81_abA0ZzORpieNwU","View Creative")</f>
        <v>View Creative</v>
      </c>
      <c r="L417" s="4" t="s">
        <v>2321</v>
      </c>
      <c r="M417" s="4" t="s">
        <v>61</v>
      </c>
      <c r="N417" s="4" t="s">
        <v>3432</v>
      </c>
      <c r="O417" s="4" t="s">
        <v>89</v>
      </c>
      <c r="P417" s="4" t="s">
        <v>3663</v>
      </c>
    </row>
    <row r="418">
      <c r="A418" s="4" t="s">
        <v>40</v>
      </c>
      <c r="B418" s="4" t="s">
        <v>40</v>
      </c>
      <c r="C418" s="4">
        <v>416.0</v>
      </c>
      <c r="D418" s="5" t="str">
        <f>HYPERLINK("https://www.linkedin.com/ad-library/detail/926902834","Open Ad")</f>
        <v>Open Ad</v>
      </c>
      <c r="E418" s="4" t="s">
        <v>78</v>
      </c>
      <c r="F418" s="4" t="s">
        <v>3503</v>
      </c>
      <c r="G418" s="4" t="s">
        <v>3504</v>
      </c>
      <c r="H418" s="4" t="s">
        <v>49</v>
      </c>
      <c r="I418" s="4" t="s">
        <v>429</v>
      </c>
      <c r="J418" s="4" t="s">
        <v>78</v>
      </c>
      <c r="K418" s="5" t="str">
        <f>HYPERLINK("https://media.licdn.com/dms/image/v2/D4E10AQHaYtrVqF3tRw/image-shrink_1280/B4EZrAnVrkKoAM-/0/1764168129849?e=2147483647&amp;v=beta&amp;t=eMSSj7DgezyicUm0pXTNBFtCh3Vagn1gs0tGeE27K_0","View Creative")</f>
        <v>View Creative</v>
      </c>
      <c r="L418" s="4" t="s">
        <v>2321</v>
      </c>
      <c r="M418" s="4" t="s">
        <v>61</v>
      </c>
      <c r="N418" s="4" t="s">
        <v>3432</v>
      </c>
      <c r="O418" s="4" t="s">
        <v>89</v>
      </c>
      <c r="P418" s="4" t="s">
        <v>3668</v>
      </c>
    </row>
    <row r="419">
      <c r="A419" s="4" t="s">
        <v>40</v>
      </c>
      <c r="B419" s="4" t="s">
        <v>40</v>
      </c>
      <c r="C419" s="4">
        <v>417.0</v>
      </c>
      <c r="D419" s="5" t="str">
        <f>HYPERLINK("https://www.linkedin.com/ad-library/detail/926902854","Open Ad")</f>
        <v>Open Ad</v>
      </c>
      <c r="E419" s="4" t="s">
        <v>78</v>
      </c>
      <c r="F419" s="4" t="s">
        <v>3427</v>
      </c>
      <c r="G419" s="4" t="s">
        <v>3429</v>
      </c>
      <c r="H419" s="4" t="s">
        <v>49</v>
      </c>
      <c r="I419" s="4" t="s">
        <v>873</v>
      </c>
      <c r="J419" s="4" t="s">
        <v>78</v>
      </c>
      <c r="K419" s="5" t="str">
        <f>HYPERLINK("https://media.licdn.com/dms/image/v2/D4E10AQEmeRsUgBa1cg/image-shrink_1280/B4EZrAnbqVKkAM-/0/1764168154632?e=2147483647&amp;v=beta&amp;t=YHwWt1CTs7EUUl3eMtmajCsgrCIcnyhxep4S2cKbUts","View Creative")</f>
        <v>View Creative</v>
      </c>
      <c r="L419" s="4" t="s">
        <v>2321</v>
      </c>
      <c r="M419" s="4" t="s">
        <v>61</v>
      </c>
      <c r="N419" s="4" t="s">
        <v>3603</v>
      </c>
      <c r="O419" s="4" t="s">
        <v>89</v>
      </c>
      <c r="P419" s="4" t="s">
        <v>3678</v>
      </c>
    </row>
    <row r="420">
      <c r="A420" s="4" t="s">
        <v>40</v>
      </c>
      <c r="B420" s="4" t="s">
        <v>40</v>
      </c>
      <c r="C420" s="4">
        <v>418.0</v>
      </c>
      <c r="D420" s="5" t="str">
        <f>HYPERLINK("https://www.linkedin.com/ad-library/detail/927031984","Open Ad")</f>
        <v>Open Ad</v>
      </c>
      <c r="E420" s="4" t="s">
        <v>78</v>
      </c>
      <c r="F420" s="4" t="s">
        <v>3427</v>
      </c>
      <c r="G420" s="4" t="s">
        <v>3429</v>
      </c>
      <c r="H420" s="4" t="s">
        <v>49</v>
      </c>
      <c r="I420" s="4" t="s">
        <v>873</v>
      </c>
      <c r="J420" s="4" t="s">
        <v>78</v>
      </c>
      <c r="K420" s="5" t="str">
        <f>HYPERLINK("https://media.licdn.com/dms/image/v2/D4E10AQEoNArcsfQ-uQ/image-shrink_1280/B4EZrAnWS3J0AM-/0/1764168132768?e=2147483647&amp;v=beta&amp;t=kj4Cv_J4RfVMY8sHFh40XeLvY93FB_0EkmwCIwz2awU","View Creative")</f>
        <v>View Creative</v>
      </c>
      <c r="L420" s="4" t="s">
        <v>2321</v>
      </c>
      <c r="M420" s="4" t="s">
        <v>61</v>
      </c>
      <c r="N420" s="4" t="s">
        <v>3432</v>
      </c>
      <c r="O420" s="4" t="s">
        <v>89</v>
      </c>
      <c r="P420" s="4" t="s">
        <v>3686</v>
      </c>
    </row>
    <row r="421">
      <c r="A421" s="4" t="s">
        <v>40</v>
      </c>
      <c r="B421" s="4" t="s">
        <v>40</v>
      </c>
      <c r="C421" s="4">
        <v>419.0</v>
      </c>
      <c r="D421" s="5" t="str">
        <f>HYPERLINK("https://www.linkedin.com/ad-library/detail/927071504","Open Ad")</f>
        <v>Open Ad</v>
      </c>
      <c r="E421" s="4" t="s">
        <v>78</v>
      </c>
      <c r="F421" s="4" t="s">
        <v>3503</v>
      </c>
      <c r="G421" s="4" t="s">
        <v>3504</v>
      </c>
      <c r="H421" s="4" t="s">
        <v>49</v>
      </c>
      <c r="I421" s="4" t="s">
        <v>429</v>
      </c>
      <c r="J421" s="4" t="s">
        <v>78</v>
      </c>
      <c r="K421" s="5" t="str">
        <f>HYPERLINK("https://media.licdn.com/dms/image/v2/D4E10AQGY1PXGkFKBPQ/image-shrink_1280/B4EZrAnQXNIwAM-/0/1764168108029?e=2147483647&amp;v=beta&amp;t=qy3VdMaREweg516bvK3cd5n3-h5g61d59aHa3hEJZjE","View Creative")</f>
        <v>View Creative</v>
      </c>
      <c r="L421" s="4" t="s">
        <v>2321</v>
      </c>
      <c r="M421" s="4" t="s">
        <v>61</v>
      </c>
      <c r="N421" s="4" t="s">
        <v>3432</v>
      </c>
      <c r="O421" s="4" t="s">
        <v>89</v>
      </c>
      <c r="P421" s="4" t="s">
        <v>3695</v>
      </c>
    </row>
    <row r="422">
      <c r="A422" s="4" t="s">
        <v>40</v>
      </c>
      <c r="B422" s="4" t="s">
        <v>40</v>
      </c>
      <c r="C422" s="4">
        <v>420.0</v>
      </c>
      <c r="D422" s="5" t="str">
        <f>HYPERLINK("https://www.linkedin.com/ad-library/detail/926972284","Open Ad")</f>
        <v>Open Ad</v>
      </c>
      <c r="E422" s="4" t="s">
        <v>78</v>
      </c>
      <c r="F422" s="4" t="s">
        <v>3427</v>
      </c>
      <c r="G422" s="4" t="s">
        <v>3429</v>
      </c>
      <c r="H422" s="4" t="s">
        <v>49</v>
      </c>
      <c r="I422" s="4" t="s">
        <v>873</v>
      </c>
      <c r="J422" s="4" t="s">
        <v>78</v>
      </c>
      <c r="K422" s="5" t="str">
        <f>HYPERLINK("https://media.licdn.com/dms/image/v2/D4E10AQEqqXEiRHGJjg/image-shrink_1280/B4EZrAnQFXJ0AM-/0/1764168107562?e=2147483647&amp;v=beta&amp;t=upq7i0ZzRNA77-swzVoJpEkOa_F7VULPv96s3QAvlgo","View Creative")</f>
        <v>View Creative</v>
      </c>
      <c r="L422" s="4" t="s">
        <v>2321</v>
      </c>
      <c r="M422" s="4" t="s">
        <v>61</v>
      </c>
      <c r="N422" s="4" t="s">
        <v>3432</v>
      </c>
      <c r="O422" s="4" t="s">
        <v>89</v>
      </c>
      <c r="P422" s="4" t="s">
        <v>3700</v>
      </c>
    </row>
    <row r="423">
      <c r="A423" s="4" t="s">
        <v>40</v>
      </c>
      <c r="B423" s="4" t="s">
        <v>40</v>
      </c>
      <c r="C423" s="4">
        <v>421.0</v>
      </c>
      <c r="D423" s="5" t="str">
        <f>HYPERLINK("https://www.linkedin.com/ad-library/detail/926972264","Open Ad")</f>
        <v>Open Ad</v>
      </c>
      <c r="E423" s="4" t="s">
        <v>78</v>
      </c>
      <c r="F423" s="4" t="s">
        <v>3503</v>
      </c>
      <c r="G423" s="4" t="s">
        <v>3504</v>
      </c>
      <c r="H423" s="4" t="s">
        <v>49</v>
      </c>
      <c r="I423" s="4" t="s">
        <v>429</v>
      </c>
      <c r="J423" s="4" t="s">
        <v>78</v>
      </c>
      <c r="K423" s="5" t="str">
        <f>HYPERLINK("https://media.licdn.com/dms/image/v2/D4E10AQFwHitvv2nTYA/image-shrink_1280/B4EZrAnLRiKcAM-/0/1764168087866?e=2147483647&amp;v=beta&amp;t=rdfmrVAPAemqm8sqF5IwuOJTieNURJbkwjf1VRjgwpg","View Creative")</f>
        <v>View Creative</v>
      </c>
      <c r="L423" s="4" t="s">
        <v>2321</v>
      </c>
      <c r="M423" s="4" t="s">
        <v>61</v>
      </c>
      <c r="N423" s="4" t="s">
        <v>3603</v>
      </c>
      <c r="O423" s="4" t="s">
        <v>89</v>
      </c>
      <c r="P423" s="4" t="s">
        <v>3706</v>
      </c>
    </row>
    <row r="424">
      <c r="A424" s="4" t="s">
        <v>40</v>
      </c>
      <c r="B424" s="4" t="s">
        <v>40</v>
      </c>
      <c r="C424" s="4">
        <v>422.0</v>
      </c>
      <c r="D424" s="5" t="str">
        <f>HYPERLINK("https://www.linkedin.com/ad-library/detail/927051674","Open Ad")</f>
        <v>Open Ad</v>
      </c>
      <c r="E424" s="4" t="s">
        <v>78</v>
      </c>
      <c r="F424" s="4" t="s">
        <v>3427</v>
      </c>
      <c r="G424" s="4" t="s">
        <v>3429</v>
      </c>
      <c r="H424" s="4" t="s">
        <v>49</v>
      </c>
      <c r="I424" s="4" t="s">
        <v>873</v>
      </c>
      <c r="J424" s="4" t="s">
        <v>78</v>
      </c>
      <c r="K424" s="5" t="str">
        <f>HYPERLINK("https://media.licdn.com/dms/image/v2/D4E10AQGcxUjB0hAuhw/image-shrink_1280/B4EZrAnV8_HMAM-/0/1764168131075?e=2147483647&amp;v=beta&amp;t=z7jyZ4e61nGIQV4cJuICWlavhXWam-H1rvpoBjhDq7s","View Creative")</f>
        <v>View Creative</v>
      </c>
      <c r="L424" s="4" t="s">
        <v>2321</v>
      </c>
      <c r="M424" s="4" t="s">
        <v>61</v>
      </c>
      <c r="N424" s="4" t="s">
        <v>3432</v>
      </c>
      <c r="O424" s="4" t="s">
        <v>89</v>
      </c>
      <c r="P424" s="4" t="s">
        <v>3715</v>
      </c>
    </row>
    <row r="425">
      <c r="A425" s="4" t="s">
        <v>40</v>
      </c>
      <c r="B425" s="4" t="s">
        <v>40</v>
      </c>
      <c r="C425" s="4">
        <v>423.0</v>
      </c>
      <c r="D425" s="5" t="str">
        <f>HYPERLINK("https://www.linkedin.com/ad-library/detail/926872854","Open Ad")</f>
        <v>Open Ad</v>
      </c>
      <c r="E425" s="4" t="s">
        <v>78</v>
      </c>
      <c r="F425" s="4" t="s">
        <v>3427</v>
      </c>
      <c r="G425" s="4" t="s">
        <v>3429</v>
      </c>
      <c r="H425" s="4" t="s">
        <v>49</v>
      </c>
      <c r="I425" s="4" t="s">
        <v>873</v>
      </c>
      <c r="J425" s="4" t="s">
        <v>78</v>
      </c>
      <c r="K425" s="5" t="str">
        <f>HYPERLINK("https://media.licdn.com/dms/image/v2/D4E10AQHtugf5h7w17w/image-shrink_1280/B4EZrAnV97J0AM-/0/1764168131259?e=2147483647&amp;v=beta&amp;t=MfEprfiyfH-d5wt4s96iPcEvDQCidLFpaVA6-rtqJeI","View Creative")</f>
        <v>View Creative</v>
      </c>
      <c r="L425" s="4" t="s">
        <v>2321</v>
      </c>
      <c r="M425" s="4" t="s">
        <v>61</v>
      </c>
      <c r="N425" s="4" t="s">
        <v>3432</v>
      </c>
      <c r="O425" s="4" t="s">
        <v>89</v>
      </c>
      <c r="P425" s="4" t="s">
        <v>3722</v>
      </c>
    </row>
    <row r="426">
      <c r="A426" s="4" t="s">
        <v>40</v>
      </c>
      <c r="B426" s="4" t="s">
        <v>40</v>
      </c>
      <c r="C426" s="4">
        <v>424.0</v>
      </c>
      <c r="D426" s="5" t="str">
        <f>HYPERLINK("https://www.linkedin.com/ad-library/detail/926952464","Open Ad")</f>
        <v>Open Ad</v>
      </c>
      <c r="E426" s="4" t="s">
        <v>78</v>
      </c>
      <c r="F426" s="4" t="s">
        <v>3503</v>
      </c>
      <c r="G426" s="4" t="s">
        <v>3504</v>
      </c>
      <c r="H426" s="4" t="s">
        <v>49</v>
      </c>
      <c r="I426" s="4" t="s">
        <v>429</v>
      </c>
      <c r="J426" s="4" t="s">
        <v>78</v>
      </c>
      <c r="K426" s="5" t="str">
        <f>HYPERLINK("https://media.licdn.com/dms/image/v2/D4E10AQF2fXD888jUvg/image-shrink_1280/B4EZrAnV.mHoAM-/0/1764168131112?e=2147483647&amp;v=beta&amp;t=uB_Mlk5ymBkKu67SXi1Jk5EUb46HOehllAVEje6wOfM","View Creative")</f>
        <v>View Creative</v>
      </c>
      <c r="L426" s="4" t="s">
        <v>2321</v>
      </c>
      <c r="M426" s="4" t="s">
        <v>61</v>
      </c>
      <c r="N426" s="4" t="s">
        <v>3603</v>
      </c>
      <c r="O426" s="4" t="s">
        <v>89</v>
      </c>
      <c r="P426" s="4" t="s">
        <v>3732</v>
      </c>
    </row>
    <row r="427">
      <c r="A427" s="4" t="s">
        <v>40</v>
      </c>
      <c r="B427" s="4" t="s">
        <v>40</v>
      </c>
      <c r="C427" s="4">
        <v>425.0</v>
      </c>
      <c r="D427" s="5" t="str">
        <f>HYPERLINK("https://www.linkedin.com/ad-library/detail/927091254","Open Ad")</f>
        <v>Open Ad</v>
      </c>
      <c r="E427" s="4" t="s">
        <v>78</v>
      </c>
      <c r="F427" s="4" t="s">
        <v>3427</v>
      </c>
      <c r="G427" s="4" t="s">
        <v>3429</v>
      </c>
      <c r="H427" s="4" t="s">
        <v>49</v>
      </c>
      <c r="I427" s="4" t="s">
        <v>873</v>
      </c>
      <c r="J427" s="4" t="s">
        <v>78</v>
      </c>
      <c r="K427" s="5" t="str">
        <f>HYPERLINK("https://media.licdn.com/dms/image/v2/D4E10AQGZOKKGmQtHMA/image-shrink_1280/B4EZrAnP5UHoAM-/0/1764168106273?e=2147483647&amp;v=beta&amp;t=grHQoHDjJKw22kl2-16aRGwr_ZPkairqy_DVNoPUgoA","View Creative")</f>
        <v>View Creative</v>
      </c>
      <c r="L427" s="4" t="s">
        <v>2321</v>
      </c>
      <c r="M427" s="4" t="s">
        <v>61</v>
      </c>
      <c r="N427" s="4" t="s">
        <v>3432</v>
      </c>
      <c r="O427" s="4" t="s">
        <v>89</v>
      </c>
      <c r="P427" s="4" t="s">
        <v>3737</v>
      </c>
    </row>
    <row r="428">
      <c r="A428" s="4" t="s">
        <v>40</v>
      </c>
      <c r="B428" s="4" t="s">
        <v>40</v>
      </c>
      <c r="C428" s="4">
        <v>426.0</v>
      </c>
      <c r="D428" s="5" t="str">
        <f>HYPERLINK("https://www.linkedin.com/ad-library/detail/926893144","Open Ad")</f>
        <v>Open Ad</v>
      </c>
      <c r="E428" s="4" t="s">
        <v>78</v>
      </c>
      <c r="F428" s="4" t="s">
        <v>3503</v>
      </c>
      <c r="G428" s="4" t="s">
        <v>3504</v>
      </c>
      <c r="H428" s="4" t="s">
        <v>49</v>
      </c>
      <c r="I428" s="4" t="s">
        <v>429</v>
      </c>
      <c r="J428" s="4" t="s">
        <v>78</v>
      </c>
      <c r="K428" s="5" t="str">
        <f>HYPERLINK("https://media.licdn.com/dms/image/v2/D4E10AQFk8sLOFZeWBg/image-shrink_1280/B4EZrAnbvAKMAM-/0/1764168155117?e=2147483647&amp;v=beta&amp;t=0ibjS3YfJU225E7CFbbj7EnI5T_IJnTK0i4cSplpba0","View Creative")</f>
        <v>View Creative</v>
      </c>
      <c r="L428" s="4" t="s">
        <v>2321</v>
      </c>
      <c r="M428" s="4" t="s">
        <v>61</v>
      </c>
      <c r="N428" s="4" t="s">
        <v>3432</v>
      </c>
      <c r="O428" s="4" t="s">
        <v>89</v>
      </c>
      <c r="P428" s="4" t="s">
        <v>3746</v>
      </c>
    </row>
    <row r="429">
      <c r="A429" s="4" t="s">
        <v>40</v>
      </c>
      <c r="B429" s="4" t="s">
        <v>40</v>
      </c>
      <c r="C429" s="4">
        <v>427.0</v>
      </c>
      <c r="D429" s="5" t="str">
        <f>HYPERLINK("https://www.linkedin.com/ad-library/detail/927041894","Open Ad")</f>
        <v>Open Ad</v>
      </c>
      <c r="E429" s="4" t="s">
        <v>78</v>
      </c>
      <c r="F429" s="4" t="s">
        <v>3503</v>
      </c>
      <c r="G429" s="4" t="s">
        <v>3504</v>
      </c>
      <c r="H429" s="4" t="s">
        <v>49</v>
      </c>
      <c r="I429" s="4" t="s">
        <v>429</v>
      </c>
      <c r="J429" s="4" t="s">
        <v>78</v>
      </c>
      <c r="K429" s="5" t="str">
        <f>HYPERLINK("https://media.licdn.com/dms/image/v2/D4E10AQGzOfiWBZDxew/image-shrink_1280/B4EZrAnWALHoAc-/0/1764168131165?e=2147483647&amp;v=beta&amp;t=0KAtprwTRn7L7VSkeQmf9mVGd1HE_MI6gDSIXiuZpy0","View Creative")</f>
        <v>View Creative</v>
      </c>
      <c r="L429" s="4" t="s">
        <v>2321</v>
      </c>
      <c r="M429" s="4" t="s">
        <v>61</v>
      </c>
      <c r="N429" s="4" t="s">
        <v>3432</v>
      </c>
      <c r="O429" s="4" t="s">
        <v>89</v>
      </c>
      <c r="P429" s="4" t="s">
        <v>3753</v>
      </c>
    </row>
    <row r="430">
      <c r="A430" s="4" t="s">
        <v>40</v>
      </c>
      <c r="B430" s="4" t="s">
        <v>40</v>
      </c>
      <c r="C430" s="4">
        <v>428.0</v>
      </c>
      <c r="D430" s="5" t="str">
        <f>HYPERLINK("https://www.linkedin.com/ad-library/detail/926962154","Open Ad")</f>
        <v>Open Ad</v>
      </c>
      <c r="E430" s="4" t="s">
        <v>78</v>
      </c>
      <c r="F430" s="4" t="s">
        <v>3427</v>
      </c>
      <c r="G430" s="4" t="s">
        <v>3429</v>
      </c>
      <c r="H430" s="4" t="s">
        <v>49</v>
      </c>
      <c r="I430" s="4" t="s">
        <v>873</v>
      </c>
      <c r="J430" s="4" t="s">
        <v>78</v>
      </c>
      <c r="K430" s="5" t="str">
        <f>HYPERLINK("https://media.licdn.com/dms/image/v2/D4E10AQEavgB0Ub4kBw/image-shrink_1280/B4EZrAnb5PJgAM-/0/1764168155411?e=2147483647&amp;v=beta&amp;t=gKguuWbZO2uTdEvEzuO7XD_o4lJ4Ats-_LrHe5rCZY0","View Creative")</f>
        <v>View Creative</v>
      </c>
      <c r="L430" s="4" t="s">
        <v>2321</v>
      </c>
      <c r="M430" s="4" t="s">
        <v>61</v>
      </c>
      <c r="N430" s="4" t="s">
        <v>3432</v>
      </c>
      <c r="O430" s="4" t="s">
        <v>89</v>
      </c>
      <c r="P430" s="4" t="s">
        <v>3760</v>
      </c>
    </row>
    <row r="431">
      <c r="A431" s="4" t="s">
        <v>40</v>
      </c>
      <c r="B431" s="4" t="s">
        <v>40</v>
      </c>
      <c r="C431" s="4">
        <v>429.0</v>
      </c>
      <c r="D431" s="5" t="str">
        <f>HYPERLINK("https://www.linkedin.com/ad-library/detail/927041874","Open Ad")</f>
        <v>Open Ad</v>
      </c>
      <c r="E431" s="4" t="s">
        <v>78</v>
      </c>
      <c r="F431" s="4" t="s">
        <v>3427</v>
      </c>
      <c r="G431" s="4" t="s">
        <v>3429</v>
      </c>
      <c r="H431" s="4" t="s">
        <v>49</v>
      </c>
      <c r="I431" s="4" t="s">
        <v>873</v>
      </c>
      <c r="J431" s="4" t="s">
        <v>78</v>
      </c>
      <c r="K431" s="5" t="str">
        <f>HYPERLINK("https://media.licdn.com/dms/image/v2/D4E10AQENzSPIhHxzOg/image-shrink_1280/B4EZrAnQoMHMAM-/0/1764168109253?e=2147483647&amp;v=beta&amp;t=fB2_0oo7KDqowdtydjsrbhS00WkrmAXU8zvPxP4fMZQ","View Creative")</f>
        <v>View Creative</v>
      </c>
      <c r="L431" s="4" t="s">
        <v>2321</v>
      </c>
      <c r="M431" s="4" t="s">
        <v>61</v>
      </c>
      <c r="N431" s="4" t="s">
        <v>3432</v>
      </c>
      <c r="O431" s="4" t="s">
        <v>89</v>
      </c>
      <c r="P431" s="4" t="s">
        <v>3765</v>
      </c>
    </row>
    <row r="432">
      <c r="A432" s="4" t="s">
        <v>40</v>
      </c>
      <c r="B432" s="4" t="s">
        <v>40</v>
      </c>
      <c r="C432" s="4">
        <v>430.0</v>
      </c>
      <c r="D432" s="5" t="str">
        <f>HYPERLINK("https://www.linkedin.com/ad-library/detail/926982024","Open Ad")</f>
        <v>Open Ad</v>
      </c>
      <c r="E432" s="4" t="s">
        <v>78</v>
      </c>
      <c r="F432" s="4" t="s">
        <v>3427</v>
      </c>
      <c r="G432" s="4" t="s">
        <v>3429</v>
      </c>
      <c r="H432" s="4" t="s">
        <v>49</v>
      </c>
      <c r="I432" s="4" t="s">
        <v>873</v>
      </c>
      <c r="J432" s="4" t="s">
        <v>78</v>
      </c>
      <c r="K432" s="5" t="str">
        <f>HYPERLINK("https://media.licdn.com/dms/image/v2/D4E10AQGhuN1QMiQzhg/image-shrink_1280/B4EZrAnQCuIwAQ-/0/1764168106740?e=2147483647&amp;v=beta&amp;t=U0gd717aHqpOK5F1rB8vD7DNdIhNDUsxLsVEkWWNHPo","View Creative")</f>
        <v>View Creative</v>
      </c>
      <c r="L432" s="4" t="s">
        <v>2321</v>
      </c>
      <c r="M432" s="4" t="s">
        <v>61</v>
      </c>
      <c r="N432" s="4" t="s">
        <v>3432</v>
      </c>
      <c r="O432" s="4" t="s">
        <v>89</v>
      </c>
      <c r="P432" s="4" t="s">
        <v>3774</v>
      </c>
    </row>
    <row r="433">
      <c r="A433" s="4" t="s">
        <v>40</v>
      </c>
      <c r="B433" s="4" t="s">
        <v>40</v>
      </c>
      <c r="C433" s="4">
        <v>431.0</v>
      </c>
      <c r="D433" s="5" t="str">
        <f>HYPERLINK("https://www.linkedin.com/ad-library/detail/927041884","Open Ad")</f>
        <v>Open Ad</v>
      </c>
      <c r="E433" s="4" t="s">
        <v>78</v>
      </c>
      <c r="F433" s="4" t="s">
        <v>3503</v>
      </c>
      <c r="G433" s="4" t="s">
        <v>3504</v>
      </c>
      <c r="H433" s="4" t="s">
        <v>49</v>
      </c>
      <c r="I433" s="4" t="s">
        <v>429</v>
      </c>
      <c r="J433" s="4" t="s">
        <v>78</v>
      </c>
      <c r="K433" s="5" t="str">
        <f>HYPERLINK("https://media.licdn.com/dms/image/v2/D4E10AQEnpQW1bs-vAw/image-shrink_1280/B4EZrAnQ2DIUAM-/0/1764168110781?e=2147483647&amp;v=beta&amp;t=HGyoIVo3NgyvtUMC5yXPMYNINIhHSXLpot4SfX9BCdQ","View Creative")</f>
        <v>View Creative</v>
      </c>
      <c r="L433" s="4" t="s">
        <v>2321</v>
      </c>
      <c r="M433" s="4" t="s">
        <v>61</v>
      </c>
      <c r="N433" s="4" t="s">
        <v>3432</v>
      </c>
      <c r="O433" s="4" t="s">
        <v>89</v>
      </c>
      <c r="P433" s="4" t="s">
        <v>3780</v>
      </c>
    </row>
    <row r="434">
      <c r="A434" s="4" t="s">
        <v>40</v>
      </c>
      <c r="B434" s="4" t="s">
        <v>40</v>
      </c>
      <c r="C434" s="4">
        <v>432.0</v>
      </c>
      <c r="D434" s="5" t="str">
        <f>HYPERLINK("https://www.linkedin.com/ad-library/detail/927041854","Open Ad")</f>
        <v>Open Ad</v>
      </c>
      <c r="E434" s="4" t="s">
        <v>78</v>
      </c>
      <c r="F434" s="4" t="s">
        <v>3427</v>
      </c>
      <c r="G434" s="4" t="s">
        <v>3429</v>
      </c>
      <c r="H434" s="4" t="s">
        <v>49</v>
      </c>
      <c r="I434" s="4" t="s">
        <v>873</v>
      </c>
      <c r="J434" s="4" t="s">
        <v>78</v>
      </c>
      <c r="K434" s="5" t="str">
        <f>HYPERLINK("https://media.licdn.com/dms/image/v2/D4E10AQFL4eS0NOzJxw/image-shrink_1280/B4EZrAnQWhKkAQ-/0/1764168108707?e=2147483647&amp;v=beta&amp;t=4pahA9zKTNXE0Kq8DrC4rHLi7bogxVU75eXvPzYoGCM","View Creative")</f>
        <v>View Creative</v>
      </c>
      <c r="L434" s="4" t="s">
        <v>2321</v>
      </c>
      <c r="M434" s="4" t="s">
        <v>61</v>
      </c>
      <c r="N434" s="4" t="s">
        <v>3432</v>
      </c>
      <c r="O434" s="4" t="s">
        <v>89</v>
      </c>
      <c r="P434" s="4" t="s">
        <v>3789</v>
      </c>
    </row>
    <row r="435">
      <c r="A435" s="4" t="s">
        <v>40</v>
      </c>
      <c r="B435" s="4" t="s">
        <v>40</v>
      </c>
      <c r="C435" s="4">
        <v>433.0</v>
      </c>
      <c r="D435" s="5" t="str">
        <f>HYPERLINK("https://www.linkedin.com/ad-library/detail/927011794","Open Ad")</f>
        <v>Open Ad</v>
      </c>
      <c r="E435" s="4" t="s">
        <v>78</v>
      </c>
      <c r="F435" s="4" t="s">
        <v>3427</v>
      </c>
      <c r="G435" s="4" t="s">
        <v>3429</v>
      </c>
      <c r="H435" s="4" t="s">
        <v>49</v>
      </c>
      <c r="I435" s="4" t="s">
        <v>873</v>
      </c>
      <c r="J435" s="4" t="s">
        <v>78</v>
      </c>
      <c r="K435" s="5" t="str">
        <f>HYPERLINK("https://media.licdn.com/dms/image/v2/D4E10AQEQze-RNZiOJA/image-shrink_1280/B4EZrAnK2UIQAM-/0/1764168085575?e=2147483647&amp;v=beta&amp;t=R3A3AO3iVt-LSRbO2jrt1TGa5DiQ3UqzGJuMzluUkbQ","View Creative")</f>
        <v>View Creative</v>
      </c>
      <c r="L435" s="4" t="s">
        <v>2321</v>
      </c>
      <c r="M435" s="4" t="s">
        <v>61</v>
      </c>
      <c r="N435" s="4" t="s">
        <v>3432</v>
      </c>
      <c r="O435" s="4" t="s">
        <v>89</v>
      </c>
      <c r="P435" s="4" t="s">
        <v>3798</v>
      </c>
    </row>
    <row r="436">
      <c r="A436" s="4" t="s">
        <v>40</v>
      </c>
      <c r="B436" s="4" t="s">
        <v>40</v>
      </c>
      <c r="C436" s="4">
        <v>434.0</v>
      </c>
      <c r="D436" s="5" t="str">
        <f>HYPERLINK("https://www.linkedin.com/ad-library/detail/926962144","Open Ad")</f>
        <v>Open Ad</v>
      </c>
      <c r="E436" s="4" t="s">
        <v>78</v>
      </c>
      <c r="F436" s="4" t="s">
        <v>3427</v>
      </c>
      <c r="G436" s="4" t="s">
        <v>3429</v>
      </c>
      <c r="H436" s="4" t="s">
        <v>49</v>
      </c>
      <c r="I436" s="4" t="s">
        <v>873</v>
      </c>
      <c r="J436" s="4" t="s">
        <v>78</v>
      </c>
      <c r="K436" s="5" t="str">
        <f>HYPERLINK("https://media.licdn.com/dms/image/v2/D4E10AQEAWUBahRqIYw/image-shrink_1280/B4EZrAnLBFHMAQ-/0/1764168086319?e=2147483647&amp;v=beta&amp;t=hkeAvsGFTS6J0dyOeQBdswmcAb3dH5jCLpTkaP8hlGY","View Creative")</f>
        <v>View Creative</v>
      </c>
      <c r="L436" s="4" t="s">
        <v>2321</v>
      </c>
      <c r="M436" s="4" t="s">
        <v>61</v>
      </c>
      <c r="N436" s="4" t="s">
        <v>3603</v>
      </c>
      <c r="O436" s="4" t="s">
        <v>89</v>
      </c>
      <c r="P436" s="4" t="s">
        <v>3805</v>
      </c>
    </row>
    <row r="437">
      <c r="A437" s="4" t="s">
        <v>40</v>
      </c>
      <c r="B437" s="4" t="s">
        <v>40</v>
      </c>
      <c r="C437" s="4">
        <v>435.0</v>
      </c>
      <c r="D437" s="5" t="str">
        <f>HYPERLINK("https://www.linkedin.com/ad-library/detail/927061774","Open Ad")</f>
        <v>Open Ad</v>
      </c>
      <c r="E437" s="4" t="s">
        <v>78</v>
      </c>
      <c r="F437" s="4" t="s">
        <v>3427</v>
      </c>
      <c r="G437" s="4" t="s">
        <v>3429</v>
      </c>
      <c r="H437" s="4" t="s">
        <v>49</v>
      </c>
      <c r="I437" s="4" t="s">
        <v>873</v>
      </c>
      <c r="J437" s="4" t="s">
        <v>78</v>
      </c>
      <c r="K437" s="5" t="str">
        <f>HYPERLINK("https://media.licdn.com/dms/image/v2/D4E10AQFriW-6uRmg9g/image-shrink_1280/B4EZrAm_.gHEAM-/0/1764168041070?e=2147483647&amp;v=beta&amp;t=r9379F62V1FvXZmaScgQ_5Y3e4-Ap1I9uUUKnkjTBbA","View Creative")</f>
        <v>View Creative</v>
      </c>
      <c r="L437" s="4" t="s">
        <v>2321</v>
      </c>
      <c r="M437" s="4" t="s">
        <v>61</v>
      </c>
      <c r="N437" s="4" t="s">
        <v>3576</v>
      </c>
      <c r="O437" s="4" t="s">
        <v>89</v>
      </c>
      <c r="P437" s="4" t="s">
        <v>3814</v>
      </c>
    </row>
    <row r="438">
      <c r="A438" s="4" t="s">
        <v>40</v>
      </c>
      <c r="B438" s="4" t="s">
        <v>40</v>
      </c>
      <c r="C438" s="4">
        <v>436.0</v>
      </c>
      <c r="D438" s="5" t="str">
        <f>HYPERLINK("https://www.linkedin.com/ad-library/detail/927101234","Open Ad")</f>
        <v>Open Ad</v>
      </c>
      <c r="E438" s="4" t="s">
        <v>78</v>
      </c>
      <c r="F438" s="4" t="s">
        <v>3427</v>
      </c>
      <c r="G438" s="4" t="s">
        <v>3429</v>
      </c>
      <c r="H438" s="4" t="s">
        <v>49</v>
      </c>
      <c r="I438" s="4" t="s">
        <v>873</v>
      </c>
      <c r="J438" s="4" t="s">
        <v>78</v>
      </c>
      <c r="K438" s="5" t="str">
        <f>HYPERLINK("https://media.licdn.com/dms/image/v2/D4E10AQGuhB1Z0ICmtg/image-shrink_1280/B4EZrAnFtUHgAM-/0/1764168064718?e=2147483647&amp;v=beta&amp;t=0pGGwPOCX1-St9Z3QFJJEtkTXO7WBmmq3nhL3LXEeVQ","View Creative")</f>
        <v>View Creative</v>
      </c>
      <c r="L438" s="4" t="s">
        <v>2321</v>
      </c>
      <c r="M438" s="4" t="s">
        <v>61</v>
      </c>
      <c r="N438" s="4" t="s">
        <v>3432</v>
      </c>
      <c r="O438" s="4" t="s">
        <v>89</v>
      </c>
      <c r="P438" s="4" t="s">
        <v>3821</v>
      </c>
    </row>
    <row r="439">
      <c r="A439" s="4" t="s">
        <v>40</v>
      </c>
      <c r="B439" s="4" t="s">
        <v>40</v>
      </c>
      <c r="C439" s="4">
        <v>437.0</v>
      </c>
      <c r="D439" s="5" t="str">
        <f>HYPERLINK("https://www.linkedin.com/ad-library/detail/927091234","Open Ad")</f>
        <v>Open Ad</v>
      </c>
      <c r="E439" s="4" t="s">
        <v>78</v>
      </c>
      <c r="F439" s="4" t="s">
        <v>3427</v>
      </c>
      <c r="G439" s="4" t="s">
        <v>3429</v>
      </c>
      <c r="H439" s="4" t="s">
        <v>49</v>
      </c>
      <c r="I439" s="4" t="s">
        <v>873</v>
      </c>
      <c r="J439" s="4" t="s">
        <v>78</v>
      </c>
      <c r="K439" s="5" t="str">
        <f>HYPERLINK("https://media.licdn.com/dms/image/v2/D4E10AQFGTNHRH3XhQg/image-shrink_1280/B4EZrAnFnlGoAM-/0/1764168064035?e=2147483647&amp;v=beta&amp;t=9HTxKOpHLPieHzERr7dNPvBscSNh36rgmpwy6K-RP0g","View Creative")</f>
        <v>View Creative</v>
      </c>
      <c r="L439" s="4" t="s">
        <v>2321</v>
      </c>
      <c r="M439" s="4" t="s">
        <v>61</v>
      </c>
      <c r="N439" s="4" t="s">
        <v>3432</v>
      </c>
      <c r="O439" s="4" t="s">
        <v>89</v>
      </c>
      <c r="P439" s="4" t="s">
        <v>3831</v>
      </c>
    </row>
    <row r="440">
      <c r="A440" s="4" t="s">
        <v>40</v>
      </c>
      <c r="B440" s="4" t="s">
        <v>40</v>
      </c>
      <c r="C440" s="4">
        <v>438.0</v>
      </c>
      <c r="D440" s="5" t="str">
        <f>HYPERLINK("https://www.linkedin.com/ad-library/detail/926883134","Open Ad")</f>
        <v>Open Ad</v>
      </c>
      <c r="E440" s="4" t="s">
        <v>78</v>
      </c>
      <c r="F440" s="4" t="s">
        <v>3427</v>
      </c>
      <c r="G440" s="4" t="s">
        <v>3429</v>
      </c>
      <c r="H440" s="4" t="s">
        <v>49</v>
      </c>
      <c r="I440" s="4" t="s">
        <v>873</v>
      </c>
      <c r="J440" s="4" t="s">
        <v>78</v>
      </c>
      <c r="K440" s="5" t="str">
        <f>HYPERLINK("https://media.licdn.com/dms/image/v2/D4E10AQFs8oZX9k6dLw/image-shrink_1280/B4EZrAm_uWKMAM-/0/1764168040251?e=2147483647&amp;v=beta&amp;t=kyxEDGo25J1F-FztwDWMH-PizaNeAVeOg-CKe-c-tfg","View Creative")</f>
        <v>View Creative</v>
      </c>
      <c r="L440" s="4" t="s">
        <v>2321</v>
      </c>
      <c r="M440" s="4" t="s">
        <v>61</v>
      </c>
      <c r="N440" s="4" t="s">
        <v>3432</v>
      </c>
      <c r="O440" s="4" t="s">
        <v>89</v>
      </c>
      <c r="P440" s="4" t="s">
        <v>3840</v>
      </c>
    </row>
    <row r="441">
      <c r="A441" s="4" t="s">
        <v>40</v>
      </c>
      <c r="B441" s="4" t="s">
        <v>40</v>
      </c>
      <c r="C441" s="4">
        <v>439.0</v>
      </c>
      <c r="D441" s="5" t="str">
        <f>HYPERLINK("https://www.linkedin.com/ad-library/detail/926992214","Open Ad")</f>
        <v>Open Ad</v>
      </c>
      <c r="E441" s="4" t="s">
        <v>78</v>
      </c>
      <c r="F441" s="4" t="s">
        <v>3427</v>
      </c>
      <c r="G441" s="4" t="s">
        <v>3429</v>
      </c>
      <c r="H441" s="4" t="s">
        <v>49</v>
      </c>
      <c r="I441" s="4" t="s">
        <v>873</v>
      </c>
      <c r="J441" s="4" t="s">
        <v>78</v>
      </c>
      <c r="K441" s="5" t="str">
        <f>HYPERLINK("https://media.licdn.com/dms/image/v2/D4E10AQGkF0f1fJWUMQ/image-shrink_1280/B4EZrAnKw9HEAM-/0/1764168085605?e=2147483647&amp;v=beta&amp;t=RYSyVA9-QOA0BhZvVvNWmfV_sHh4zcnkZK0cVbU1544","View Creative")</f>
        <v>View Creative</v>
      </c>
      <c r="L441" s="4" t="s">
        <v>2321</v>
      </c>
      <c r="M441" s="4" t="s">
        <v>61</v>
      </c>
      <c r="N441" s="4" t="s">
        <v>3432</v>
      </c>
      <c r="O441" s="4" t="s">
        <v>89</v>
      </c>
      <c r="P441" s="4" t="s">
        <v>3846</v>
      </c>
    </row>
    <row r="442">
      <c r="A442" s="4" t="s">
        <v>40</v>
      </c>
      <c r="B442" s="4" t="s">
        <v>40</v>
      </c>
      <c r="C442" s="4">
        <v>440.0</v>
      </c>
      <c r="D442" s="5" t="str">
        <f>HYPERLINK("https://www.linkedin.com/ad-library/detail/927091214","Open Ad")</f>
        <v>Open Ad</v>
      </c>
      <c r="E442" s="4" t="s">
        <v>78</v>
      </c>
      <c r="F442" s="4" t="s">
        <v>3427</v>
      </c>
      <c r="G442" s="4" t="s">
        <v>3429</v>
      </c>
      <c r="H442" s="4" t="s">
        <v>49</v>
      </c>
      <c r="I442" s="4" t="s">
        <v>873</v>
      </c>
      <c r="J442" s="4" t="s">
        <v>78</v>
      </c>
      <c r="K442" s="5" t="str">
        <f>HYPERLINK("https://media.licdn.com/dms/image/v2/D4E10AQHmzQ4X1gA48g/image-shrink_1280/B4EZrAm6rTJ0AQ-/0/1764168019698?e=2147483647&amp;v=beta&amp;t=5J0SFrBnMMTaZQoSG1UO6Rk_WnG9grjFM2Fr-fuwO4M","View Creative")</f>
        <v>View Creative</v>
      </c>
      <c r="L442" s="4" t="s">
        <v>2321</v>
      </c>
      <c r="M442" s="4" t="s">
        <v>61</v>
      </c>
      <c r="N442" s="4" t="s">
        <v>3432</v>
      </c>
      <c r="O442" s="4" t="s">
        <v>89</v>
      </c>
      <c r="P442" s="4" t="s">
        <v>3854</v>
      </c>
    </row>
    <row r="443">
      <c r="A443" s="4" t="s">
        <v>40</v>
      </c>
      <c r="B443" s="4" t="s">
        <v>40</v>
      </c>
      <c r="C443" s="4">
        <v>441.0</v>
      </c>
      <c r="D443" s="5" t="str">
        <f>HYPERLINK("https://www.linkedin.com/ad-library/detail/926922814","Open Ad")</f>
        <v>Open Ad</v>
      </c>
      <c r="E443" s="4" t="s">
        <v>78</v>
      </c>
      <c r="F443" s="4" t="s">
        <v>3427</v>
      </c>
      <c r="G443" s="4" t="s">
        <v>3429</v>
      </c>
      <c r="H443" s="4" t="s">
        <v>49</v>
      </c>
      <c r="I443" s="4" t="s">
        <v>873</v>
      </c>
      <c r="J443" s="4" t="s">
        <v>78</v>
      </c>
      <c r="K443" s="5" t="str">
        <f>HYPERLINK("https://media.licdn.com/dms/image/v2/D4E10AQEQiR2f3_osBg/image-shrink_1280/B4EZrAnFoQJgAM-/0/1764168064502?e=2147483647&amp;v=beta&amp;t=mcTw4Z9qQ0H8nPiE490A9eW7zfh3_D8jsA0sQX418Nc","View Creative")</f>
        <v>View Creative</v>
      </c>
      <c r="L443" s="4" t="s">
        <v>2321</v>
      </c>
      <c r="M443" s="4" t="s">
        <v>61</v>
      </c>
      <c r="N443" s="4" t="s">
        <v>3432</v>
      </c>
      <c r="O443" s="4" t="s">
        <v>89</v>
      </c>
      <c r="P443" s="4" t="s">
        <v>3861</v>
      </c>
    </row>
    <row r="444">
      <c r="A444" s="4" t="s">
        <v>40</v>
      </c>
      <c r="B444" s="4" t="s">
        <v>40</v>
      </c>
      <c r="C444" s="4">
        <v>442.0</v>
      </c>
      <c r="D444" s="5" t="str">
        <f>HYPERLINK("https://www.linkedin.com/ad-library/detail/927051624","Open Ad")</f>
        <v>Open Ad</v>
      </c>
      <c r="E444" s="4" t="s">
        <v>78</v>
      </c>
      <c r="F444" s="4" t="s">
        <v>3503</v>
      </c>
      <c r="G444" s="4" t="s">
        <v>3504</v>
      </c>
      <c r="H444" s="4" t="s">
        <v>49</v>
      </c>
      <c r="I444" s="4" t="s">
        <v>429</v>
      </c>
      <c r="J444" s="4" t="s">
        <v>78</v>
      </c>
      <c r="K444" s="5" t="str">
        <f>HYPERLINK("https://media.licdn.com/dms/image/v2/D4E10AQFzaZOsM-PriA/image-shrink_1280/B4EZrAnFqxHgAQ-/0/1764168065122?e=2147483647&amp;v=beta&amp;t=55D03tgJG_MIQ0o_fXeJqejr7iYP3CBf_7NXgzqHYlc","View Creative")</f>
        <v>View Creative</v>
      </c>
      <c r="L444" s="4" t="s">
        <v>2321</v>
      </c>
      <c r="M444" s="4" t="s">
        <v>61</v>
      </c>
      <c r="N444" s="4" t="s">
        <v>3432</v>
      </c>
      <c r="O444" s="4" t="s">
        <v>89</v>
      </c>
      <c r="P444" s="4" t="s">
        <v>3870</v>
      </c>
    </row>
    <row r="445">
      <c r="A445" s="4" t="s">
        <v>40</v>
      </c>
      <c r="B445" s="4" t="s">
        <v>40</v>
      </c>
      <c r="C445" s="4">
        <v>443.0</v>
      </c>
      <c r="D445" s="5" t="str">
        <f>HYPERLINK("https://www.linkedin.com/ad-library/detail/927051634","Open Ad")</f>
        <v>Open Ad</v>
      </c>
      <c r="E445" s="4" t="s">
        <v>78</v>
      </c>
      <c r="F445" s="4" t="s">
        <v>3427</v>
      </c>
      <c r="G445" s="4" t="s">
        <v>3429</v>
      </c>
      <c r="H445" s="4" t="s">
        <v>49</v>
      </c>
      <c r="I445" s="4" t="s">
        <v>873</v>
      </c>
      <c r="J445" s="4" t="s">
        <v>78</v>
      </c>
      <c r="K445" s="5" t="str">
        <f>HYPERLINK("https://media.licdn.com/dms/image/v2/D4E10AQFjyjvK2vAQuA/image-shrink_1280/B4EZrAnF6iKUAM-/0/1764168065630?e=2147483647&amp;v=beta&amp;t=V7h-yVe3TpVWK4pSQW2vfFfoGGSa1VaITrUkYwnaE-g","View Creative")</f>
        <v>View Creative</v>
      </c>
      <c r="L445" s="4" t="s">
        <v>2321</v>
      </c>
      <c r="M445" s="4" t="s">
        <v>61</v>
      </c>
      <c r="N445" s="4" t="s">
        <v>3432</v>
      </c>
      <c r="O445" s="4" t="s">
        <v>89</v>
      </c>
      <c r="P445" s="4" t="s">
        <v>3875</v>
      </c>
    </row>
    <row r="446">
      <c r="A446" s="4" t="s">
        <v>40</v>
      </c>
      <c r="B446" s="4" t="s">
        <v>40</v>
      </c>
      <c r="C446" s="4">
        <v>444.0</v>
      </c>
      <c r="D446" s="5" t="str">
        <f>HYPERLINK("https://www.linkedin.com/ad-library/detail/927051644","Open Ad")</f>
        <v>Open Ad</v>
      </c>
      <c r="E446" s="4" t="s">
        <v>78</v>
      </c>
      <c r="F446" s="4" t="s">
        <v>3503</v>
      </c>
      <c r="G446" s="4" t="s">
        <v>3504</v>
      </c>
      <c r="H446" s="4" t="s">
        <v>49</v>
      </c>
      <c r="I446" s="4" t="s">
        <v>429</v>
      </c>
      <c r="J446" s="4" t="s">
        <v>78</v>
      </c>
      <c r="K446" s="5" t="str">
        <f>HYPERLINK("https://media.licdn.com/dms/image/v2/D4E10AQFrDzLZnoSVIA/image-shrink_1280/B4EZrAnKw.KYAQ-/0/1764168085484?e=2147483647&amp;v=beta&amp;t=t0fjGlOkhS8G318aO-pxY4Qxc2G2Eb3NJm2TZdlDbYw","View Creative")</f>
        <v>View Creative</v>
      </c>
      <c r="L446" s="4" t="s">
        <v>2321</v>
      </c>
      <c r="M446" s="4" t="s">
        <v>61</v>
      </c>
      <c r="N446" s="4" t="s">
        <v>3432</v>
      </c>
      <c r="O446" s="4" t="s">
        <v>89</v>
      </c>
      <c r="P446" s="4" t="s">
        <v>3881</v>
      </c>
    </row>
    <row r="447">
      <c r="A447" s="4" t="s">
        <v>40</v>
      </c>
      <c r="B447" s="4" t="s">
        <v>40</v>
      </c>
      <c r="C447" s="4">
        <v>445.0</v>
      </c>
      <c r="D447" s="5" t="str">
        <f>HYPERLINK("https://www.linkedin.com/ad-library/detail/926972254","Open Ad")</f>
        <v>Open Ad</v>
      </c>
      <c r="E447" s="4" t="s">
        <v>78</v>
      </c>
      <c r="F447" s="4" t="s">
        <v>3503</v>
      </c>
      <c r="G447" s="4" t="s">
        <v>3504</v>
      </c>
      <c r="H447" s="4" t="s">
        <v>49</v>
      </c>
      <c r="I447" s="4" t="s">
        <v>429</v>
      </c>
      <c r="J447" s="4" t="s">
        <v>78</v>
      </c>
      <c r="K447" s="5" t="str">
        <f>HYPERLINK("https://media.licdn.com/dms/image/v2/D4E10AQF_fPGKaFzb8Q/image-shrink_1280/B4EZrAnAQ6HEAM-/0/1764168042880?e=2147483647&amp;v=beta&amp;t=GdrRbeNYeGMRrr6drf1OhLlnAXtfNCTLuI03SxxUbg8","View Creative")</f>
        <v>View Creative</v>
      </c>
      <c r="L447" s="4" t="s">
        <v>2321</v>
      </c>
      <c r="M447" s="4" t="s">
        <v>61</v>
      </c>
      <c r="N447" s="4" t="s">
        <v>3432</v>
      </c>
      <c r="O447" s="4" t="s">
        <v>89</v>
      </c>
      <c r="P447" s="4" t="s">
        <v>3889</v>
      </c>
    </row>
    <row r="448">
      <c r="A448" s="4" t="s">
        <v>40</v>
      </c>
      <c r="B448" s="4" t="s">
        <v>40</v>
      </c>
      <c r="C448" s="4">
        <v>446.0</v>
      </c>
      <c r="D448" s="5" t="str">
        <f>HYPERLINK("https://www.linkedin.com/ad-library/detail/927051654","Open Ad")</f>
        <v>Open Ad</v>
      </c>
      <c r="E448" s="4" t="s">
        <v>78</v>
      </c>
      <c r="F448" s="4" t="s">
        <v>3427</v>
      </c>
      <c r="G448" s="4" t="s">
        <v>3429</v>
      </c>
      <c r="H448" s="4" t="s">
        <v>49</v>
      </c>
      <c r="I448" s="4" t="s">
        <v>873</v>
      </c>
      <c r="J448" s="4" t="s">
        <v>78</v>
      </c>
      <c r="K448" s="5" t="str">
        <f>HYPERLINK("https://media.licdn.com/dms/image/v2/D4E10AQHD5Vp_tec-5A/image-shrink_1280/B4EZrAnLIuGUAQ-/0/1764168087013?e=2147483647&amp;v=beta&amp;t=0rnAUH4P_ItBQMCPQwRHMYS85KUonYXWwaoq0QVTzOE","View Creative")</f>
        <v>View Creative</v>
      </c>
      <c r="L448" s="4" t="s">
        <v>2321</v>
      </c>
      <c r="M448" s="4" t="s">
        <v>61</v>
      </c>
      <c r="N448" s="4" t="s">
        <v>3432</v>
      </c>
      <c r="O448" s="4" t="s">
        <v>89</v>
      </c>
      <c r="P448" s="4" t="s">
        <v>3895</v>
      </c>
    </row>
    <row r="449">
      <c r="A449" s="4" t="s">
        <v>40</v>
      </c>
      <c r="B449" s="4" t="s">
        <v>40</v>
      </c>
      <c r="C449" s="4">
        <v>447.0</v>
      </c>
      <c r="D449" s="5" t="str">
        <f>HYPERLINK("https://www.linkedin.com/ad-library/detail/927031944","Open Ad")</f>
        <v>Open Ad</v>
      </c>
      <c r="E449" s="4" t="s">
        <v>78</v>
      </c>
      <c r="F449" s="4" t="s">
        <v>3503</v>
      </c>
      <c r="G449" s="4" t="s">
        <v>3504</v>
      </c>
      <c r="H449" s="4" t="s">
        <v>49</v>
      </c>
      <c r="I449" s="4" t="s">
        <v>429</v>
      </c>
      <c r="J449" s="4" t="s">
        <v>78</v>
      </c>
      <c r="K449" s="5" t="str">
        <f>HYPERLINK("https://media.licdn.com/dms/image/v2/D4E10AQH_JSjJXUGqow/image-shrink_1280/B4EZrAnAEtHoAM-/0/1764168041299?e=2147483647&amp;v=beta&amp;t=kNI0nI63mwlY5ISa7LJK2Ouav0zVRTjAyqL8kGolYBM","View Creative")</f>
        <v>View Creative</v>
      </c>
      <c r="L449" s="4" t="s">
        <v>2321</v>
      </c>
      <c r="M449" s="4" t="s">
        <v>61</v>
      </c>
      <c r="N449" s="4" t="s">
        <v>3432</v>
      </c>
      <c r="O449" s="4" t="s">
        <v>89</v>
      </c>
      <c r="P449" s="4" t="s">
        <v>3905</v>
      </c>
    </row>
    <row r="450">
      <c r="A450" s="4" t="s">
        <v>40</v>
      </c>
      <c r="B450" s="4" t="s">
        <v>40</v>
      </c>
      <c r="C450" s="4">
        <v>448.0</v>
      </c>
      <c r="D450" s="5" t="str">
        <f>HYPERLINK("https://www.linkedin.com/ad-library/detail/926972244","Open Ad")</f>
        <v>Open Ad</v>
      </c>
      <c r="E450" s="4" t="s">
        <v>78</v>
      </c>
      <c r="F450" s="4" t="s">
        <v>3427</v>
      </c>
      <c r="G450" s="4" t="s">
        <v>3429</v>
      </c>
      <c r="H450" s="4" t="s">
        <v>49</v>
      </c>
      <c r="I450" s="4" t="s">
        <v>873</v>
      </c>
      <c r="J450" s="4" t="s">
        <v>78</v>
      </c>
      <c r="K450" s="5" t="str">
        <f>HYPERLINK("https://media.licdn.com/dms/image/v2/D4E10AQFb5_ImcZ62Iw/image-shrink_1280/B4EZrAm_1_HUAM-/0/1764168040822?e=2147483647&amp;v=beta&amp;t=2b2VzHTLdAMPW1p6gcGIsYdpmMt5hkVusPFGpOztxJA","View Creative")</f>
        <v>View Creative</v>
      </c>
      <c r="L450" s="4" t="s">
        <v>2321</v>
      </c>
      <c r="M450" s="4" t="s">
        <v>61</v>
      </c>
      <c r="N450" s="4" t="s">
        <v>3432</v>
      </c>
      <c r="O450" s="4" t="s">
        <v>89</v>
      </c>
      <c r="P450" s="4" t="s">
        <v>3909</v>
      </c>
    </row>
    <row r="451">
      <c r="A451" s="4" t="s">
        <v>40</v>
      </c>
      <c r="B451" s="4" t="s">
        <v>40</v>
      </c>
      <c r="C451" s="4">
        <v>449.0</v>
      </c>
      <c r="D451" s="5" t="str">
        <f>HYPERLINK("https://www.linkedin.com/ad-library/detail/926952454","Open Ad")</f>
        <v>Open Ad</v>
      </c>
      <c r="E451" s="4" t="s">
        <v>78</v>
      </c>
      <c r="F451" s="4" t="s">
        <v>3503</v>
      </c>
      <c r="G451" s="4" t="s">
        <v>3504</v>
      </c>
      <c r="H451" s="4" t="s">
        <v>49</v>
      </c>
      <c r="I451" s="4" t="s">
        <v>429</v>
      </c>
      <c r="J451" s="4" t="s">
        <v>78</v>
      </c>
      <c r="K451" s="5" t="str">
        <f>HYPERLINK("https://media.licdn.com/dms/image/v2/D4E10AQFP-7pROP9oEg/image-shrink_1280/B4EZrAnK_IIIAM-/0/1764168085986?e=2147483647&amp;v=beta&amp;t=38HToRi4V0bocd3lA1tzOoQ6Lvx2ckfwZ8M0NU8sgJk","View Creative")</f>
        <v>View Creative</v>
      </c>
      <c r="L451" s="4" t="s">
        <v>2321</v>
      </c>
      <c r="M451" s="4" t="s">
        <v>61</v>
      </c>
      <c r="N451" s="4" t="s">
        <v>3432</v>
      </c>
      <c r="O451" s="4" t="s">
        <v>89</v>
      </c>
      <c r="P451" s="4" t="s">
        <v>3918</v>
      </c>
    </row>
    <row r="452">
      <c r="A452" s="4" t="s">
        <v>40</v>
      </c>
      <c r="B452" s="4" t="s">
        <v>40</v>
      </c>
      <c r="C452" s="4">
        <v>450.0</v>
      </c>
      <c r="D452" s="5" t="str">
        <f>HYPERLINK("https://www.linkedin.com/ad-library/detail/926972224","Open Ad")</f>
        <v>Open Ad</v>
      </c>
      <c r="E452" s="4" t="s">
        <v>78</v>
      </c>
      <c r="F452" s="4" t="s">
        <v>3503</v>
      </c>
      <c r="G452" s="4" t="s">
        <v>3504</v>
      </c>
      <c r="H452" s="4" t="s">
        <v>49</v>
      </c>
      <c r="I452" s="4" t="s">
        <v>429</v>
      </c>
      <c r="J452" s="4" t="s">
        <v>78</v>
      </c>
      <c r="K452" s="5" t="str">
        <f>HYPERLINK("https://media.licdn.com/dms/image/v2/D4E10AQHRCbVkNE0ijg/image-shrink_1280/B4EZrAm6oWHcAM-/0/1764168019472?e=2147483647&amp;v=beta&amp;t=RaWiiXYz10Ecy31RrBppCDVkGRcEhypWw2yNmkZS2B0","View Creative")</f>
        <v>View Creative</v>
      </c>
      <c r="L452" s="4" t="s">
        <v>2321</v>
      </c>
      <c r="M452" s="4" t="s">
        <v>61</v>
      </c>
      <c r="N452" s="4" t="s">
        <v>3432</v>
      </c>
      <c r="O452" s="4" t="s">
        <v>89</v>
      </c>
      <c r="P452" s="4" t="s">
        <v>3925</v>
      </c>
    </row>
    <row r="453">
      <c r="A453" s="4" t="s">
        <v>40</v>
      </c>
      <c r="B453" s="4" t="s">
        <v>40</v>
      </c>
      <c r="C453" s="4">
        <v>451.0</v>
      </c>
      <c r="D453" s="5" t="str">
        <f>HYPERLINK("https://www.linkedin.com/ad-library/detail/927071474","Open Ad")</f>
        <v>Open Ad</v>
      </c>
      <c r="E453" s="4" t="s">
        <v>78</v>
      </c>
      <c r="F453" s="4" t="s">
        <v>3427</v>
      </c>
      <c r="G453" s="4" t="s">
        <v>3429</v>
      </c>
      <c r="H453" s="4" t="s">
        <v>49</v>
      </c>
      <c r="I453" s="4" t="s">
        <v>873</v>
      </c>
      <c r="J453" s="4" t="s">
        <v>78</v>
      </c>
      <c r="K453" s="5" t="str">
        <f>HYPERLINK("https://media.licdn.com/dms/image/v2/D4E10AQFwIpGgIPx4Zg/image-shrink_1280/B4EZrAnLPGKMAM-/0/1764168087093?e=2147483647&amp;v=beta&amp;t=vVX7Cs5t_ze_UikGrJbaCCjkSa-HxFfxlxtJCJQePyI","View Creative")</f>
        <v>View Creative</v>
      </c>
      <c r="L453" s="4" t="s">
        <v>2321</v>
      </c>
      <c r="M453" s="4" t="s">
        <v>61</v>
      </c>
      <c r="N453" s="4" t="s">
        <v>3432</v>
      </c>
      <c r="O453" s="4" t="s">
        <v>89</v>
      </c>
      <c r="P453" s="4" t="s">
        <v>3934</v>
      </c>
    </row>
    <row r="454">
      <c r="A454" s="4" t="s">
        <v>40</v>
      </c>
      <c r="B454" s="4" t="s">
        <v>40</v>
      </c>
      <c r="C454" s="4">
        <v>452.0</v>
      </c>
      <c r="D454" s="5" t="str">
        <f>HYPERLINK("https://www.linkedin.com/ad-library/detail/926942474","Open Ad")</f>
        <v>Open Ad</v>
      </c>
      <c r="E454" s="4" t="s">
        <v>78</v>
      </c>
      <c r="F454" s="4" t="s">
        <v>3503</v>
      </c>
      <c r="G454" s="4" t="s">
        <v>3504</v>
      </c>
      <c r="H454" s="4" t="s">
        <v>49</v>
      </c>
      <c r="I454" s="4" t="s">
        <v>429</v>
      </c>
      <c r="J454" s="4" t="s">
        <v>78</v>
      </c>
      <c r="K454" s="5" t="str">
        <f>HYPERLINK("https://media.licdn.com/dms/image/v2/D4E10AQEkXP_l0wzAAg/image-shrink_1280/B4EZrAm_ucHgAM-/0/1764168040074?e=2147483647&amp;v=beta&amp;t=2BziPRjptU3qOwxdS7VkIWL_QsGZuVOj7kf0pnwezqQ","View Creative")</f>
        <v>View Creative</v>
      </c>
      <c r="L454" s="4" t="s">
        <v>2321</v>
      </c>
      <c r="M454" s="4" t="s">
        <v>61</v>
      </c>
      <c r="N454" s="4" t="s">
        <v>3432</v>
      </c>
      <c r="O454" s="4" t="s">
        <v>89</v>
      </c>
      <c r="P454" s="4" t="s">
        <v>3940</v>
      </c>
    </row>
    <row r="455">
      <c r="A455" s="4" t="s">
        <v>40</v>
      </c>
      <c r="B455" s="4" t="s">
        <v>40</v>
      </c>
      <c r="C455" s="4">
        <v>453.0</v>
      </c>
      <c r="D455" s="5" t="str">
        <f>HYPERLINK("https://www.linkedin.com/ad-library/detail/926942484","Open Ad")</f>
        <v>Open Ad</v>
      </c>
      <c r="E455" s="4" t="s">
        <v>78</v>
      </c>
      <c r="F455" s="4" t="s">
        <v>3503</v>
      </c>
      <c r="G455" s="4" t="s">
        <v>3504</v>
      </c>
      <c r="H455" s="4" t="s">
        <v>49</v>
      </c>
      <c r="I455" s="4" t="s">
        <v>429</v>
      </c>
      <c r="J455" s="4" t="s">
        <v>78</v>
      </c>
      <c r="K455" s="5" t="str">
        <f>HYPERLINK("https://media.licdn.com/dms/image/v2/D4E10AQFF_YBN6_r_qA/image-shrink_1280/B4EZrAnF34HoAM-/0/1764168065251?e=2147483647&amp;v=beta&amp;t=apyeqqrJTub10x8snt4j8fkFTxfO0KEOiuu3NEF83os","View Creative")</f>
        <v>View Creative</v>
      </c>
      <c r="L455" s="4" t="s">
        <v>2321</v>
      </c>
      <c r="M455" s="4" t="s">
        <v>61</v>
      </c>
      <c r="N455" s="4" t="s">
        <v>3432</v>
      </c>
      <c r="O455" s="4" t="s">
        <v>89</v>
      </c>
      <c r="P455" s="4" t="s">
        <v>3949</v>
      </c>
    </row>
    <row r="456">
      <c r="A456" s="4" t="s">
        <v>40</v>
      </c>
      <c r="B456" s="4" t="s">
        <v>40</v>
      </c>
      <c r="C456" s="4">
        <v>454.0</v>
      </c>
      <c r="D456" s="5" t="str">
        <f>HYPERLINK("https://www.linkedin.com/ad-library/detail/927081724","Open Ad")</f>
        <v>Open Ad</v>
      </c>
      <c r="E456" s="4" t="s">
        <v>78</v>
      </c>
      <c r="F456" s="4" t="s">
        <v>3427</v>
      </c>
      <c r="G456" s="4" t="s">
        <v>3429</v>
      </c>
      <c r="H456" s="4" t="s">
        <v>49</v>
      </c>
      <c r="I456" s="4" t="s">
        <v>873</v>
      </c>
      <c r="J456" s="4" t="s">
        <v>78</v>
      </c>
      <c r="K456" s="5" t="str">
        <f>HYPERLINK("https://media.licdn.com/dms/image/v2/D4E10AQEmLZ_v86-TDg/image-shrink_1280/B4EZrAnLAHHEAQ-/0/1764168086239?e=2147483647&amp;v=beta&amp;t=7EFWWr091pFY4D5tHWqR4_dxZdQZbroO91idkrJZ5EU","View Creative")</f>
        <v>View Creative</v>
      </c>
      <c r="L456" s="4" t="s">
        <v>2321</v>
      </c>
      <c r="M456" s="4" t="s">
        <v>61</v>
      </c>
      <c r="N456" s="4" t="s">
        <v>3432</v>
      </c>
      <c r="O456" s="4" t="s">
        <v>89</v>
      </c>
      <c r="P456" s="4" t="s">
        <v>3954</v>
      </c>
    </row>
    <row r="457">
      <c r="A457" s="4" t="s">
        <v>40</v>
      </c>
      <c r="B457" s="4" t="s">
        <v>40</v>
      </c>
      <c r="C457" s="4">
        <v>455.0</v>
      </c>
      <c r="D457" s="5" t="str">
        <f>HYPERLINK("https://www.linkedin.com/ad-library/detail/927021884","Open Ad")</f>
        <v>Open Ad</v>
      </c>
      <c r="E457" s="4" t="s">
        <v>78</v>
      </c>
      <c r="F457" s="4" t="s">
        <v>3427</v>
      </c>
      <c r="G457" s="4" t="s">
        <v>3429</v>
      </c>
      <c r="H457" s="4" t="s">
        <v>49</v>
      </c>
      <c r="I457" s="4" t="s">
        <v>873</v>
      </c>
      <c r="J457" s="4" t="s">
        <v>78</v>
      </c>
      <c r="K457" s="5" t="str">
        <f>HYPERLINK("https://media.licdn.com/dms/image/v2/D4E10AQG0X9IMX8rxtQ/image-shrink_1280/B4EZrAnFoVKYAQ-/0/1764168064439?e=2147483647&amp;v=beta&amp;t=0M-A8i64pN-MSIiAVbjo9vbicHwEVtk0briRpv5SjeQ","View Creative")</f>
        <v>View Creative</v>
      </c>
      <c r="L457" s="4" t="s">
        <v>2321</v>
      </c>
      <c r="M457" s="4" t="s">
        <v>61</v>
      </c>
      <c r="N457" s="4" t="s">
        <v>3432</v>
      </c>
      <c r="O457" s="4" t="s">
        <v>89</v>
      </c>
      <c r="P457" s="4" t="s">
        <v>3964</v>
      </c>
    </row>
    <row r="458">
      <c r="A458" s="4" t="s">
        <v>40</v>
      </c>
      <c r="B458" s="4" t="s">
        <v>40</v>
      </c>
      <c r="C458" s="4">
        <v>456.0</v>
      </c>
      <c r="D458" s="5" t="str">
        <f>HYPERLINK("https://www.linkedin.com/ad-library/detail/926893114","Open Ad")</f>
        <v>Open Ad</v>
      </c>
      <c r="E458" s="4" t="s">
        <v>78</v>
      </c>
      <c r="F458" s="4" t="s">
        <v>3427</v>
      </c>
      <c r="G458" s="4" t="s">
        <v>3429</v>
      </c>
      <c r="H458" s="4" t="s">
        <v>49</v>
      </c>
      <c r="I458" s="4" t="s">
        <v>873</v>
      </c>
      <c r="J458" s="4" t="s">
        <v>78</v>
      </c>
      <c r="K458" s="5" t="str">
        <f>HYPERLINK("https://media.licdn.com/dms/image/v2/D4E10AQEdZ968auMZEg/image-shrink_1280/B4EZrAnABFIIAQ-/0/1764168041102?e=2147483647&amp;v=beta&amp;t=XO-52rxUIieOSvsuZv_ot0c2XAH5QUTz4Nj4t7RaRvU","View Creative")</f>
        <v>View Creative</v>
      </c>
      <c r="L458" s="4" t="s">
        <v>2321</v>
      </c>
      <c r="M458" s="4" t="s">
        <v>61</v>
      </c>
      <c r="N458" s="4" t="s">
        <v>3432</v>
      </c>
      <c r="O458" s="4" t="s">
        <v>89</v>
      </c>
      <c r="P458" s="4" t="s">
        <v>3974</v>
      </c>
    </row>
    <row r="459">
      <c r="A459" s="4" t="s">
        <v>40</v>
      </c>
      <c r="B459" s="4" t="s">
        <v>40</v>
      </c>
      <c r="C459" s="4">
        <v>457.0</v>
      </c>
      <c r="D459" s="5" t="str">
        <f>HYPERLINK("https://www.linkedin.com/ad-library/detail/926962134","Open Ad")</f>
        <v>Open Ad</v>
      </c>
      <c r="E459" s="4" t="s">
        <v>78</v>
      </c>
      <c r="F459" s="4" t="s">
        <v>3427</v>
      </c>
      <c r="G459" s="4" t="s">
        <v>3429</v>
      </c>
      <c r="H459" s="4" t="s">
        <v>49</v>
      </c>
      <c r="I459" s="4" t="s">
        <v>873</v>
      </c>
      <c r="J459" s="4" t="s">
        <v>78</v>
      </c>
      <c r="K459" s="5" t="str">
        <f>HYPERLINK("https://media.licdn.com/dms/image/v2/D4E10AQEQxpfrOcneTA/image-shrink_1280/B4EZrAm6cPJgAU-/0/1764168018358?e=2147483647&amp;v=beta&amp;t=PIBy13em1fm7-Pai9wEzfZXolY2sWDYWGWBzn5UEWfQ","View Creative")</f>
        <v>View Creative</v>
      </c>
      <c r="L459" s="4" t="s">
        <v>2321</v>
      </c>
      <c r="M459" s="4" t="s">
        <v>61</v>
      </c>
      <c r="N459" s="4" t="s">
        <v>3432</v>
      </c>
      <c r="O459" s="4" t="s">
        <v>89</v>
      </c>
      <c r="P459" s="4" t="s">
        <v>3980</v>
      </c>
    </row>
    <row r="460">
      <c r="A460" s="4" t="s">
        <v>40</v>
      </c>
      <c r="B460" s="4" t="s">
        <v>40</v>
      </c>
      <c r="C460" s="4">
        <v>458.0</v>
      </c>
      <c r="D460" s="5" t="str">
        <f>HYPERLINK("https://www.linkedin.com/ad-library/detail/926932254","Open Ad")</f>
        <v>Open Ad</v>
      </c>
      <c r="E460" s="4" t="s">
        <v>78</v>
      </c>
      <c r="F460" s="4" t="s">
        <v>3503</v>
      </c>
      <c r="G460" s="4" t="s">
        <v>3504</v>
      </c>
      <c r="H460" s="4" t="s">
        <v>49</v>
      </c>
      <c r="I460" s="4" t="s">
        <v>429</v>
      </c>
      <c r="J460" s="4" t="s">
        <v>78</v>
      </c>
      <c r="K460" s="5" t="str">
        <f>HYPERLINK("https://media.licdn.com/dms/image/v2/D4E10AQEbft0wS5qdww/image-shrink_1280/B4EZrAm1HzIwAM-/0/1764167996399?e=2147483647&amp;v=beta&amp;t=aiRDxWg8ns9ej7EWUm3M-DA8oabM7nUe3C-4MyMj_Lg","View Creative")</f>
        <v>View Creative</v>
      </c>
      <c r="L460" s="4" t="s">
        <v>2321</v>
      </c>
      <c r="M460" s="4" t="s">
        <v>61</v>
      </c>
      <c r="N460" s="4" t="s">
        <v>3432</v>
      </c>
      <c r="O460" s="4" t="s">
        <v>89</v>
      </c>
      <c r="P460" s="4" t="s">
        <v>3989</v>
      </c>
    </row>
    <row r="461">
      <c r="A461" s="4" t="s">
        <v>40</v>
      </c>
      <c r="B461" s="4" t="s">
        <v>40</v>
      </c>
      <c r="C461" s="4">
        <v>459.0</v>
      </c>
      <c r="D461" s="5" t="str">
        <f>HYPERLINK("https://www.linkedin.com/ad-library/detail/926932264","Open Ad")</f>
        <v>Open Ad</v>
      </c>
      <c r="E461" s="4" t="s">
        <v>78</v>
      </c>
      <c r="F461" s="4" t="s">
        <v>3427</v>
      </c>
      <c r="G461" s="4" t="s">
        <v>3429</v>
      </c>
      <c r="H461" s="4" t="s">
        <v>49</v>
      </c>
      <c r="I461" s="4" t="s">
        <v>873</v>
      </c>
      <c r="J461" s="4" t="s">
        <v>78</v>
      </c>
      <c r="K461" s="5" t="str">
        <f>HYPERLINK("https://media.licdn.com/dms/image/v2/D4E10AQF4GJGgHnqZqQ/image-shrink_1280/B4EZrAm6PlKUAM-/0/1764168017642?e=2147483647&amp;v=beta&amp;t=vwTi3zQKdOnqK5Q8uiWg-TgwTXrThWoyf0Xk2JF5dxw","View Creative")</f>
        <v>View Creative</v>
      </c>
      <c r="L461" s="4" t="s">
        <v>2321</v>
      </c>
      <c r="M461" s="4" t="s">
        <v>61</v>
      </c>
      <c r="N461" s="4" t="s">
        <v>3432</v>
      </c>
      <c r="O461" s="4" t="s">
        <v>89</v>
      </c>
      <c r="P461" s="4" t="s">
        <v>3995</v>
      </c>
    </row>
    <row r="462">
      <c r="A462" s="4" t="s">
        <v>40</v>
      </c>
      <c r="B462" s="4" t="s">
        <v>40</v>
      </c>
      <c r="C462" s="4">
        <v>460.0</v>
      </c>
      <c r="D462" s="5" t="str">
        <f>HYPERLINK("https://www.linkedin.com/ad-library/detail/926912364","Open Ad")</f>
        <v>Open Ad</v>
      </c>
      <c r="E462" s="4" t="s">
        <v>78</v>
      </c>
      <c r="F462" s="4" t="s">
        <v>3427</v>
      </c>
      <c r="G462" s="4" t="s">
        <v>3429</v>
      </c>
      <c r="H462" s="4" t="s">
        <v>49</v>
      </c>
      <c r="I462" s="4" t="s">
        <v>873</v>
      </c>
      <c r="J462" s="4" t="s">
        <v>78</v>
      </c>
      <c r="K462" s="5" t="str">
        <f>HYPERLINK("https://media.licdn.com/dms/image/v2/D4E10AQHkGAAFEoXd9Q/image-shrink_1280/B4EZrAm6jcHoAM-/0/1764168018736?e=2147483647&amp;v=beta&amp;t=JJ_Vz4wAUvmfzI6CYPbEYXIX-CWaPn7QrBTtVx5A7gM","View Creative")</f>
        <v>View Creative</v>
      </c>
      <c r="L462" s="4" t="s">
        <v>2321</v>
      </c>
      <c r="M462" s="4" t="s">
        <v>61</v>
      </c>
      <c r="N462" s="4" t="s">
        <v>3432</v>
      </c>
      <c r="O462" s="4" t="s">
        <v>89</v>
      </c>
      <c r="P462" s="4" t="s">
        <v>4001</v>
      </c>
    </row>
    <row r="463">
      <c r="A463" s="4" t="s">
        <v>40</v>
      </c>
      <c r="B463" s="4" t="s">
        <v>40</v>
      </c>
      <c r="C463" s="4">
        <v>461.0</v>
      </c>
      <c r="D463" s="5" t="str">
        <f>HYPERLINK("https://www.linkedin.com/ad-library/detail/927071434","Open Ad")</f>
        <v>Open Ad</v>
      </c>
      <c r="E463" s="4" t="s">
        <v>78</v>
      </c>
      <c r="F463" s="4" t="s">
        <v>3427</v>
      </c>
      <c r="G463" s="4" t="s">
        <v>3429</v>
      </c>
      <c r="H463" s="4" t="s">
        <v>49</v>
      </c>
      <c r="I463" s="4" t="s">
        <v>873</v>
      </c>
      <c r="J463" s="4" t="s">
        <v>78</v>
      </c>
      <c r="K463" s="5" t="str">
        <f>HYPERLINK("https://media.licdn.com/dms/image/v2/D4E10AQE01ZVID3-x2A/image-shrink_1280/B4EZrAm01oKcAM-/0/1764167995554?e=2147483647&amp;v=beta&amp;t=wmbujmPkg2AXTEMJTXSYz3uAf-rOydIYvrZ5g9rX9NQ","View Creative")</f>
        <v>View Creative</v>
      </c>
      <c r="L463" s="4" t="s">
        <v>2321</v>
      </c>
      <c r="M463" s="4" t="s">
        <v>61</v>
      </c>
      <c r="N463" s="4" t="s">
        <v>3432</v>
      </c>
      <c r="O463" s="4" t="s">
        <v>89</v>
      </c>
      <c r="P463" s="4" t="s">
        <v>4011</v>
      </c>
    </row>
    <row r="464">
      <c r="A464" s="4" t="s">
        <v>40</v>
      </c>
      <c r="B464" s="4" t="s">
        <v>40</v>
      </c>
      <c r="C464" s="4">
        <v>462.0</v>
      </c>
      <c r="D464" s="5" t="str">
        <f>HYPERLINK("https://www.linkedin.com/ad-library/detail/927011744","Open Ad")</f>
        <v>Open Ad</v>
      </c>
      <c r="E464" s="4" t="s">
        <v>78</v>
      </c>
      <c r="F464" s="4" t="s">
        <v>3427</v>
      </c>
      <c r="G464" s="4" t="s">
        <v>3429</v>
      </c>
      <c r="H464" s="4" t="s">
        <v>49</v>
      </c>
      <c r="I464" s="4" t="s">
        <v>873</v>
      </c>
      <c r="J464" s="4" t="s">
        <v>78</v>
      </c>
      <c r="K464" s="5" t="str">
        <f>HYPERLINK("https://media.licdn.com/dms/image/v2/D4E10AQGc47dHgP4-4g/image-shrink_1280/B4EZrAmpldHgAM-/0/1764167949519?e=2147483647&amp;v=beta&amp;t=YoFC1i4YvKywbRD0lfNy5exZzqoe-P3oG1tUuCmXXj0","View Creative")</f>
        <v>View Creative</v>
      </c>
      <c r="L464" s="4" t="s">
        <v>2321</v>
      </c>
      <c r="M464" s="4" t="s">
        <v>61</v>
      </c>
      <c r="N464" s="4" t="s">
        <v>4022</v>
      </c>
      <c r="O464" s="4" t="s">
        <v>89</v>
      </c>
      <c r="P464" s="4" t="s">
        <v>4024</v>
      </c>
    </row>
    <row r="465">
      <c r="A465" s="4" t="s">
        <v>40</v>
      </c>
      <c r="B465" s="4" t="s">
        <v>40</v>
      </c>
      <c r="C465" s="4">
        <v>463.0</v>
      </c>
      <c r="D465" s="5" t="str">
        <f>HYPERLINK("https://www.linkedin.com/ad-library/detail/926972184","Open Ad")</f>
        <v>Open Ad</v>
      </c>
      <c r="E465" s="4" t="s">
        <v>78</v>
      </c>
      <c r="F465" s="4" t="s">
        <v>3427</v>
      </c>
      <c r="G465" s="4" t="s">
        <v>3429</v>
      </c>
      <c r="H465" s="4" t="s">
        <v>49</v>
      </c>
      <c r="I465" s="4" t="s">
        <v>873</v>
      </c>
      <c r="J465" s="4" t="s">
        <v>78</v>
      </c>
      <c r="K465" s="5" t="str">
        <f>HYPERLINK("https://media.licdn.com/dms/image/v2/D4E10AQHMCGSYzdqd5A/image-shrink_1280/B4EZrAmvMWHcAQ-/0/1764167972514?e=2147483647&amp;v=beta&amp;t=hm1-WztGNeXQhmpRpoIo320JrUlr8dIDZn3UjjqbjzU","View Creative")</f>
        <v>View Creative</v>
      </c>
      <c r="L465" s="4" t="s">
        <v>2321</v>
      </c>
      <c r="M465" s="4" t="s">
        <v>61</v>
      </c>
      <c r="N465" s="4" t="s">
        <v>3432</v>
      </c>
      <c r="O465" s="4" t="s">
        <v>89</v>
      </c>
      <c r="P465" s="4" t="s">
        <v>4031</v>
      </c>
    </row>
    <row r="466">
      <c r="A466" s="4" t="s">
        <v>40</v>
      </c>
      <c r="B466" s="4" t="s">
        <v>40</v>
      </c>
      <c r="C466" s="4">
        <v>464.0</v>
      </c>
      <c r="D466" s="5" t="str">
        <f>HYPERLINK("https://www.linkedin.com/ad-library/detail/926922804","Open Ad")</f>
        <v>Open Ad</v>
      </c>
      <c r="E466" s="4" t="s">
        <v>78</v>
      </c>
      <c r="F466" s="4" t="s">
        <v>3427</v>
      </c>
      <c r="G466" s="4" t="s">
        <v>3429</v>
      </c>
      <c r="H466" s="4" t="s">
        <v>49</v>
      </c>
      <c r="I466" s="4" t="s">
        <v>873</v>
      </c>
      <c r="J466" s="4" t="s">
        <v>78</v>
      </c>
      <c r="K466" s="5" t="str">
        <f>HYPERLINK("https://media.licdn.com/dms/image/v2/D4E10AQH-At4IE8G-iw/image-shrink_1280/B4EZrAmu6VKkAM-/0/1764167971133?e=2147483647&amp;v=beta&amp;t=2Y65-Zt3H1OELkukHWFBJPgcfPzPkoxQ0unZnGUEZgc","View Creative")</f>
        <v>View Creative</v>
      </c>
      <c r="L466" s="4" t="s">
        <v>2321</v>
      </c>
      <c r="M466" s="4" t="s">
        <v>61</v>
      </c>
      <c r="N466" s="4" t="s">
        <v>3432</v>
      </c>
      <c r="O466" s="4" t="s">
        <v>89</v>
      </c>
      <c r="P466" s="4" t="s">
        <v>4039</v>
      </c>
    </row>
    <row r="467">
      <c r="A467" s="4" t="s">
        <v>40</v>
      </c>
      <c r="B467" s="4" t="s">
        <v>40</v>
      </c>
      <c r="C467" s="4">
        <v>465.0</v>
      </c>
      <c r="D467" s="5" t="str">
        <f>HYPERLINK("https://www.linkedin.com/ad-library/detail/927051614","Open Ad")</f>
        <v>Open Ad</v>
      </c>
      <c r="E467" s="4" t="s">
        <v>78</v>
      </c>
      <c r="F467" s="4" t="s">
        <v>3427</v>
      </c>
      <c r="G467" s="4" t="s">
        <v>3429</v>
      </c>
      <c r="H467" s="4" t="s">
        <v>49</v>
      </c>
      <c r="I467" s="4" t="s">
        <v>873</v>
      </c>
      <c r="J467" s="4" t="s">
        <v>78</v>
      </c>
      <c r="K467" s="5" t="str">
        <f>HYPERLINK("https://media.licdn.com/dms/image/v2/D4E10AQE2H42vysYg6Q/image-shrink_1280/B4EZrAm6ZsIQAU-/0/1764168018239?e=2147483647&amp;v=beta&amp;t=jQUTBXwW40WJpOgBelXt6jqNFgychRjacVWtXTLpSLA","View Creative")</f>
        <v>View Creative</v>
      </c>
      <c r="L467" s="4" t="s">
        <v>2321</v>
      </c>
      <c r="M467" s="4" t="s">
        <v>61</v>
      </c>
      <c r="N467" s="4" t="s">
        <v>3432</v>
      </c>
      <c r="O467" s="4" t="s">
        <v>89</v>
      </c>
      <c r="P467" s="4" t="s">
        <v>4048</v>
      </c>
    </row>
    <row r="468">
      <c r="A468" s="4" t="s">
        <v>40</v>
      </c>
      <c r="B468" s="4" t="s">
        <v>40</v>
      </c>
      <c r="C468" s="4">
        <v>466.0</v>
      </c>
      <c r="D468" s="5" t="str">
        <f>HYPERLINK("https://www.linkedin.com/ad-library/detail/927011764","Open Ad")</f>
        <v>Open Ad</v>
      </c>
      <c r="E468" s="4" t="s">
        <v>78</v>
      </c>
      <c r="F468" s="4" t="s">
        <v>3503</v>
      </c>
      <c r="G468" s="4" t="s">
        <v>3504</v>
      </c>
      <c r="H468" s="4" t="s">
        <v>49</v>
      </c>
      <c r="I468" s="4" t="s">
        <v>429</v>
      </c>
      <c r="J468" s="4" t="s">
        <v>78</v>
      </c>
      <c r="K468" s="5" t="str">
        <f>HYPERLINK("https://media.licdn.com/dms/image/v2/D4E10AQFl2f5MP4wRTg/image-shrink_1280/B4EZrAmvKqHUAM-/0/1764167972938?e=2147483647&amp;v=beta&amp;t=ijHgPizxv6ct7-NN5U3Z7D0KImxm9bqCmNC2kQO3VmY","View Creative")</f>
        <v>View Creative</v>
      </c>
      <c r="L468" s="4" t="s">
        <v>2321</v>
      </c>
      <c r="M468" s="4" t="s">
        <v>61</v>
      </c>
      <c r="N468" s="4" t="s">
        <v>3432</v>
      </c>
      <c r="O468" s="4" t="s">
        <v>89</v>
      </c>
      <c r="P468" s="4" t="s">
        <v>4055</v>
      </c>
    </row>
    <row r="469">
      <c r="A469" s="4" t="s">
        <v>40</v>
      </c>
      <c r="B469" s="4" t="s">
        <v>40</v>
      </c>
      <c r="C469" s="4">
        <v>467.0</v>
      </c>
      <c r="D469" s="5" t="str">
        <f>HYPERLINK("https://www.linkedin.com/ad-library/detail/927101184","Open Ad")</f>
        <v>Open Ad</v>
      </c>
      <c r="E469" s="4" t="s">
        <v>78</v>
      </c>
      <c r="F469" s="4" t="s">
        <v>3427</v>
      </c>
      <c r="G469" s="4" t="s">
        <v>3429</v>
      </c>
      <c r="H469" s="4" t="s">
        <v>49</v>
      </c>
      <c r="I469" s="4" t="s">
        <v>873</v>
      </c>
      <c r="J469" s="4" t="s">
        <v>78</v>
      </c>
      <c r="K469" s="5" t="str">
        <f>HYPERLINK("https://media.licdn.com/dms/image/v2/D4E10AQEkseu4uV9JLQ/image-shrink_1280/B4EZrAmp2FKYAM-/0/1764167950620?e=2147483647&amp;v=beta&amp;t=3U2wS8RZTfKy-AQZs10KewT0kYqhRaiwOVhM8R1UtnI","View Creative")</f>
        <v>View Creative</v>
      </c>
      <c r="L469" s="4" t="s">
        <v>2321</v>
      </c>
      <c r="M469" s="4" t="s">
        <v>61</v>
      </c>
      <c r="N469" s="4" t="s">
        <v>3603</v>
      </c>
      <c r="O469" s="4" t="s">
        <v>89</v>
      </c>
      <c r="P469" s="4" t="s">
        <v>4064</v>
      </c>
    </row>
    <row r="470">
      <c r="A470" s="4" t="s">
        <v>40</v>
      </c>
      <c r="B470" s="4" t="s">
        <v>40</v>
      </c>
      <c r="C470" s="4">
        <v>468.0</v>
      </c>
      <c r="D470" s="5" t="str">
        <f>HYPERLINK("https://www.linkedin.com/ad-library/detail/926883124","Open Ad")</f>
        <v>Open Ad</v>
      </c>
      <c r="E470" s="4" t="s">
        <v>78</v>
      </c>
      <c r="F470" s="4" t="s">
        <v>3427</v>
      </c>
      <c r="G470" s="4" t="s">
        <v>3429</v>
      </c>
      <c r="H470" s="4" t="s">
        <v>49</v>
      </c>
      <c r="I470" s="4" t="s">
        <v>873</v>
      </c>
      <c r="J470" s="4" t="s">
        <v>78</v>
      </c>
      <c r="K470" s="5" t="str">
        <f>HYPERLINK("https://media.licdn.com/dms/image/v2/D4E10AQEU9nTMC8sZ5A/image-shrink_1280/B4EZrAm51QKUAM-/0/1764168015833?e=2147483647&amp;v=beta&amp;t=9RcwAgpDrpa8UaEzMhcEGi8Sia4u_jxpa7UEa6C533U","View Creative")</f>
        <v>View Creative</v>
      </c>
      <c r="L470" s="4" t="s">
        <v>2321</v>
      </c>
      <c r="M470" s="4" t="s">
        <v>61</v>
      </c>
      <c r="N470" s="4" t="s">
        <v>3432</v>
      </c>
      <c r="O470" s="4" t="s">
        <v>89</v>
      </c>
      <c r="P470" s="4" t="s">
        <v>4071</v>
      </c>
    </row>
    <row r="471">
      <c r="A471" s="4" t="s">
        <v>40</v>
      </c>
      <c r="B471" s="4" t="s">
        <v>40</v>
      </c>
      <c r="C471" s="4">
        <v>469.0</v>
      </c>
      <c r="D471" s="5" t="str">
        <f>HYPERLINK("https://www.linkedin.com/ad-library/detail/927031914","Open Ad")</f>
        <v>Open Ad</v>
      </c>
      <c r="E471" s="4" t="s">
        <v>78</v>
      </c>
      <c r="F471" s="4" t="s">
        <v>3427</v>
      </c>
      <c r="G471" s="4" t="s">
        <v>3429</v>
      </c>
      <c r="H471" s="4" t="s">
        <v>49</v>
      </c>
      <c r="I471" s="4" t="s">
        <v>873</v>
      </c>
      <c r="J471" s="4" t="s">
        <v>78</v>
      </c>
      <c r="K471" s="5" t="str">
        <f>HYPERLINK("https://media.licdn.com/dms/image/v2/D4E10AQEENFGuk-BA4Q/image-shrink_1280/B4EZrAm01DKUAQ-/0/1764167996121?e=2147483647&amp;v=beta&amp;t=Jq0-usyUNNtA2kTLXCw4JioKPSGI8pZdACgQuh6P-5c","View Creative")</f>
        <v>View Creative</v>
      </c>
      <c r="L471" s="4" t="s">
        <v>2321</v>
      </c>
      <c r="M471" s="4" t="s">
        <v>61</v>
      </c>
      <c r="N471" s="4" t="s">
        <v>3432</v>
      </c>
      <c r="O471" s="4" t="s">
        <v>89</v>
      </c>
      <c r="P471" s="4" t="s">
        <v>4076</v>
      </c>
    </row>
    <row r="472">
      <c r="A472" s="4" t="s">
        <v>40</v>
      </c>
      <c r="B472" s="4" t="s">
        <v>40</v>
      </c>
      <c r="C472" s="4">
        <v>470.0</v>
      </c>
      <c r="D472" s="5" t="str">
        <f>HYPERLINK("https://www.linkedin.com/ad-library/detail/927031924","Open Ad")</f>
        <v>Open Ad</v>
      </c>
      <c r="E472" s="4" t="s">
        <v>78</v>
      </c>
      <c r="F472" s="4" t="s">
        <v>3503</v>
      </c>
      <c r="G472" s="4" t="s">
        <v>3504</v>
      </c>
      <c r="H472" s="4" t="s">
        <v>49</v>
      </c>
      <c r="I472" s="4" t="s">
        <v>429</v>
      </c>
      <c r="J472" s="4" t="s">
        <v>78</v>
      </c>
      <c r="K472" s="5" t="str">
        <f>HYPERLINK("https://media.licdn.com/dms/image/v2/D4E10AQEi3k7GlOBSRg/image-shrink_1280/B4EZrAm1FAJgAM-/0/1764167996658?e=2147483647&amp;v=beta&amp;t=tMP3ioCM0DkXtsoGP_AVSfNroiIab8TxmSp9a9ZOBZU","View Creative")</f>
        <v>View Creative</v>
      </c>
      <c r="L472" s="4" t="s">
        <v>2321</v>
      </c>
      <c r="M472" s="4" t="s">
        <v>61</v>
      </c>
      <c r="N472" s="4" t="s">
        <v>3432</v>
      </c>
      <c r="O472" s="4" t="s">
        <v>89</v>
      </c>
      <c r="P472" s="4" t="s">
        <v>4085</v>
      </c>
    </row>
    <row r="473">
      <c r="A473" s="4" t="s">
        <v>40</v>
      </c>
      <c r="B473" s="4" t="s">
        <v>40</v>
      </c>
      <c r="C473" s="4">
        <v>471.0</v>
      </c>
      <c r="D473" s="5" t="str">
        <f>HYPERLINK("https://www.linkedin.com/ad-library/detail/926952424","Open Ad")</f>
        <v>Open Ad</v>
      </c>
      <c r="E473" s="4" t="s">
        <v>78</v>
      </c>
      <c r="F473" s="4" t="s">
        <v>3427</v>
      </c>
      <c r="G473" s="4" t="s">
        <v>3429</v>
      </c>
      <c r="H473" s="4" t="s">
        <v>49</v>
      </c>
      <c r="I473" s="4" t="s">
        <v>873</v>
      </c>
      <c r="J473" s="4" t="s">
        <v>78</v>
      </c>
      <c r="K473" s="5" t="str">
        <f>HYPERLINK("https://media.licdn.com/dms/image/v2/D4E10AQE0l0SByRd3fw/image-shrink_1280/B4EZrAm0yrIIAQ-/0/1764167995490?e=2147483647&amp;v=beta&amp;t=HW_YiNjK_BXevYrek4dYNs1JVnNLWPlS3MIMhRyT_ak","View Creative")</f>
        <v>View Creative</v>
      </c>
      <c r="L473" s="4" t="s">
        <v>2321</v>
      </c>
      <c r="M473" s="4" t="s">
        <v>61</v>
      </c>
      <c r="N473" s="4" t="s">
        <v>3432</v>
      </c>
      <c r="O473" s="4" t="s">
        <v>89</v>
      </c>
      <c r="P473" s="4" t="s">
        <v>4095</v>
      </c>
    </row>
    <row r="474">
      <c r="A474" s="4" t="s">
        <v>40</v>
      </c>
      <c r="B474" s="4" t="s">
        <v>40</v>
      </c>
      <c r="C474" s="4">
        <v>472.0</v>
      </c>
      <c r="D474" s="5" t="str">
        <f>HYPERLINK("https://www.linkedin.com/ad-library/detail/926902794","Open Ad")</f>
        <v>Open Ad</v>
      </c>
      <c r="E474" s="4" t="s">
        <v>78</v>
      </c>
      <c r="F474" s="4" t="s">
        <v>3427</v>
      </c>
      <c r="G474" s="4" t="s">
        <v>3429</v>
      </c>
      <c r="H474" s="4" t="s">
        <v>49</v>
      </c>
      <c r="I474" s="4" t="s">
        <v>873</v>
      </c>
      <c r="J474" s="4" t="s">
        <v>78</v>
      </c>
      <c r="K474" s="5" t="str">
        <f>HYPERLINK("https://media.licdn.com/dms/image/v2/D4E10AQEIDNb214kTJw/image-shrink_1280/B4EZrAmvbXHMAM-/0/1764167973494?e=2147483647&amp;v=beta&amp;t=I7-cxpQrFVfbCBVcK8hFSnJJpCOe-XI4N51Z00Kx91Y","View Creative")</f>
        <v>View Creative</v>
      </c>
      <c r="L474" s="4" t="s">
        <v>2321</v>
      </c>
      <c r="M474" s="4" t="s">
        <v>61</v>
      </c>
      <c r="N474" s="4" t="s">
        <v>3432</v>
      </c>
      <c r="O474" s="4" t="s">
        <v>89</v>
      </c>
      <c r="P474" s="4" t="s">
        <v>4101</v>
      </c>
    </row>
    <row r="475">
      <c r="A475" s="4" t="s">
        <v>40</v>
      </c>
      <c r="B475" s="4" t="s">
        <v>40</v>
      </c>
      <c r="C475" s="4">
        <v>473.0</v>
      </c>
      <c r="D475" s="5" t="str">
        <f>HYPERLINK("https://www.linkedin.com/ad-library/detail/927071454","Open Ad")</f>
        <v>Open Ad</v>
      </c>
      <c r="E475" s="4" t="s">
        <v>78</v>
      </c>
      <c r="F475" s="4" t="s">
        <v>3503</v>
      </c>
      <c r="G475" s="4" t="s">
        <v>3504</v>
      </c>
      <c r="H475" s="4" t="s">
        <v>49</v>
      </c>
      <c r="I475" s="4" t="s">
        <v>429</v>
      </c>
      <c r="J475" s="4" t="s">
        <v>78</v>
      </c>
      <c r="K475" s="5" t="str">
        <f>HYPERLINK("https://media.licdn.com/dms/image/v2/D4E10AQFTPMLVPULJlw/image-shrink_1280/B4EZrAm6n6KYAM-/0/1764168019141?e=2147483647&amp;v=beta&amp;t=YeN0bzaS1kam1K_sNMklvQOXGvIvnuhBI2Whn2k41aE","View Creative")</f>
        <v>View Creative</v>
      </c>
      <c r="L475" s="4" t="s">
        <v>2321</v>
      </c>
      <c r="M475" s="4" t="s">
        <v>61</v>
      </c>
      <c r="N475" s="4" t="s">
        <v>3432</v>
      </c>
      <c r="O475" s="4" t="s">
        <v>89</v>
      </c>
      <c r="P475" s="4" t="s">
        <v>4112</v>
      </c>
    </row>
    <row r="476">
      <c r="A476" s="4" t="s">
        <v>40</v>
      </c>
      <c r="B476" s="4" t="s">
        <v>40</v>
      </c>
      <c r="C476" s="4">
        <v>474.0</v>
      </c>
      <c r="D476" s="5" t="str">
        <f>HYPERLINK("https://www.linkedin.com/ad-library/detail/927081644","Open Ad")</f>
        <v>Open Ad</v>
      </c>
      <c r="E476" s="4" t="s">
        <v>78</v>
      </c>
      <c r="F476" s="4" t="s">
        <v>3427</v>
      </c>
      <c r="G476" s="4" t="s">
        <v>3429</v>
      </c>
      <c r="H476" s="4" t="s">
        <v>49</v>
      </c>
      <c r="I476" s="4" t="s">
        <v>873</v>
      </c>
      <c r="J476" s="4" t="s">
        <v>78</v>
      </c>
      <c r="K476" s="5" t="str">
        <f>HYPERLINK("https://media.licdn.com/dms/image/v2/D4E10AQFCW0jgVw0Crw/image-shrink_1280/B4EZrAm00YKgAM-/0/1764167995355?e=2147483647&amp;v=beta&amp;t=kFB0BJJ-P3d6WUmby168CdWFIh8G_VHsCKCClkPdMLc","View Creative")</f>
        <v>View Creative</v>
      </c>
      <c r="L476" s="4" t="s">
        <v>2321</v>
      </c>
      <c r="M476" s="4" t="s">
        <v>61</v>
      </c>
      <c r="N476" s="4" t="s">
        <v>3432</v>
      </c>
      <c r="O476" s="4" t="s">
        <v>89</v>
      </c>
      <c r="P476" s="4" t="s">
        <v>4121</v>
      </c>
    </row>
    <row r="477">
      <c r="A477" s="4" t="s">
        <v>40</v>
      </c>
      <c r="B477" s="4" t="s">
        <v>40</v>
      </c>
      <c r="C477" s="4">
        <v>475.0</v>
      </c>
      <c r="D477" s="5" t="str">
        <f>HYPERLINK("https://www.linkedin.com/ad-library/detail/927021864","Open Ad")</f>
        <v>Open Ad</v>
      </c>
      <c r="E477" s="4" t="s">
        <v>78</v>
      </c>
      <c r="F477" s="4" t="s">
        <v>3503</v>
      </c>
      <c r="G477" s="4" t="s">
        <v>3504</v>
      </c>
      <c r="H477" s="4" t="s">
        <v>49</v>
      </c>
      <c r="I477" s="4" t="s">
        <v>429</v>
      </c>
      <c r="J477" s="4" t="s">
        <v>78</v>
      </c>
      <c r="K477" s="5" t="str">
        <f>HYPERLINK("https://media.licdn.com/dms/image/v2/D4E10AQGXhjOkxV2RZg/image-shrink_1280/B4EZrAm0ycIwAU-/0/1764167995443?e=2147483647&amp;v=beta&amp;t=iLMfCFkN28aAhTVmsUsWcNY8Y1NnJWN57R0KlPmZS0k","View Creative")</f>
        <v>View Creative</v>
      </c>
      <c r="L477" s="4" t="s">
        <v>2321</v>
      </c>
      <c r="M477" s="4" t="s">
        <v>61</v>
      </c>
      <c r="N477" s="4" t="s">
        <v>3432</v>
      </c>
      <c r="O477" s="4" t="s">
        <v>89</v>
      </c>
      <c r="P477" s="4" t="s">
        <v>4127</v>
      </c>
    </row>
    <row r="478">
      <c r="A478" s="4" t="s">
        <v>40</v>
      </c>
      <c r="B478" s="4" t="s">
        <v>40</v>
      </c>
      <c r="C478" s="4">
        <v>476.0</v>
      </c>
      <c r="D478" s="5" t="str">
        <f>HYPERLINK("https://www.linkedin.com/ad-library/detail/927081634","Open Ad")</f>
        <v>Open Ad</v>
      </c>
      <c r="E478" s="4" t="s">
        <v>78</v>
      </c>
      <c r="F478" s="4" t="s">
        <v>3503</v>
      </c>
      <c r="G478" s="4" t="s">
        <v>3504</v>
      </c>
      <c r="H478" s="4" t="s">
        <v>49</v>
      </c>
      <c r="I478" s="4" t="s">
        <v>429</v>
      </c>
      <c r="J478" s="4" t="s">
        <v>78</v>
      </c>
      <c r="K478" s="5" t="str">
        <f>HYPERLINK("https://media.licdn.com/dms/image/v2/D4E10AQEGthMTqgPvhg/image-shrink_1280/B4EZrAmvctHoAM-/0/1764167973276?e=2147483647&amp;v=beta&amp;t=x0ZwHH4zt0f5V6YtfE1bhuNcGS2sjZU6mnsg1_Tm9U4","View Creative")</f>
        <v>View Creative</v>
      </c>
      <c r="L478" s="4" t="s">
        <v>2321</v>
      </c>
      <c r="M478" s="4" t="s">
        <v>61</v>
      </c>
      <c r="N478" s="4" t="s">
        <v>3432</v>
      </c>
      <c r="O478" s="4" t="s">
        <v>89</v>
      </c>
      <c r="P478" s="4" t="s">
        <v>4136</v>
      </c>
    </row>
    <row r="479">
      <c r="A479" s="4" t="s">
        <v>40</v>
      </c>
      <c r="B479" s="4" t="s">
        <v>40</v>
      </c>
      <c r="C479" s="4">
        <v>477.0</v>
      </c>
      <c r="D479" s="5" t="str">
        <f>HYPERLINK("https://www.linkedin.com/ad-library/detail/927081654","Open Ad")</f>
        <v>Open Ad</v>
      </c>
      <c r="E479" s="4" t="s">
        <v>78</v>
      </c>
      <c r="F479" s="4" t="s">
        <v>3427</v>
      </c>
      <c r="G479" s="4" t="s">
        <v>3429</v>
      </c>
      <c r="H479" s="4" t="s">
        <v>49</v>
      </c>
      <c r="I479" s="4" t="s">
        <v>873</v>
      </c>
      <c r="J479" s="4" t="s">
        <v>78</v>
      </c>
      <c r="K479" s="5" t="str">
        <f>HYPERLINK("https://media.licdn.com/dms/image/v2/D4E10AQEEsKoBjFhngQ/image-shrink_1280/B4EZrAm1IMKoAM-/0/1764167996622?e=2147483647&amp;v=beta&amp;t=ZZwZiD5z8z2MO3uG91M0MtMLtVNuDId2d0UQuO-2YWs","View Creative")</f>
        <v>View Creative</v>
      </c>
      <c r="L479" s="4" t="s">
        <v>2321</v>
      </c>
      <c r="M479" s="4" t="s">
        <v>61</v>
      </c>
      <c r="N479" s="4" t="s">
        <v>3432</v>
      </c>
      <c r="O479" s="4" t="s">
        <v>89</v>
      </c>
      <c r="P479" s="4" t="s">
        <v>4141</v>
      </c>
    </row>
    <row r="480">
      <c r="A480" s="4" t="s">
        <v>40</v>
      </c>
      <c r="B480" s="4" t="s">
        <v>40</v>
      </c>
      <c r="C480" s="4">
        <v>478.0</v>
      </c>
      <c r="D480" s="5" t="str">
        <f>HYPERLINK("https://www.linkedin.com/ad-library/detail/927041794","Open Ad")</f>
        <v>Open Ad</v>
      </c>
      <c r="E480" s="4" t="s">
        <v>78</v>
      </c>
      <c r="F480" s="4" t="s">
        <v>3503</v>
      </c>
      <c r="G480" s="4" t="s">
        <v>3504</v>
      </c>
      <c r="H480" s="4" t="s">
        <v>49</v>
      </c>
      <c r="I480" s="4" t="s">
        <v>429</v>
      </c>
      <c r="J480" s="4" t="s">
        <v>78</v>
      </c>
      <c r="K480" s="5" t="str">
        <f>HYPERLINK("https://media.licdn.com/dms/image/v2/D4E10AQHg6liTIrVbVQ/image-shrink_1280/B4EZrAmvP2IoAM-/0/1764167972758?e=2147483647&amp;v=beta&amp;t=VjnnsuaTpr0MNeUaVhO2uR-Rw6_mUhoH4jB44NdNYlg","View Creative")</f>
        <v>View Creative</v>
      </c>
      <c r="L480" s="4" t="s">
        <v>2321</v>
      </c>
      <c r="M480" s="4" t="s">
        <v>61</v>
      </c>
      <c r="N480" s="4" t="s">
        <v>3432</v>
      </c>
      <c r="O480" s="4" t="s">
        <v>89</v>
      </c>
      <c r="P480" s="4" t="s">
        <v>4149</v>
      </c>
    </row>
    <row r="481">
      <c r="A481" s="4" t="s">
        <v>40</v>
      </c>
      <c r="B481" s="4" t="s">
        <v>40</v>
      </c>
      <c r="C481" s="4">
        <v>479.0</v>
      </c>
      <c r="D481" s="5" t="str">
        <f>HYPERLINK("https://www.linkedin.com/ad-library/detail/927081624","Open Ad")</f>
        <v>Open Ad</v>
      </c>
      <c r="E481" s="4" t="s">
        <v>78</v>
      </c>
      <c r="F481" s="4" t="s">
        <v>3427</v>
      </c>
      <c r="G481" s="4" t="s">
        <v>3429</v>
      </c>
      <c r="H481" s="4" t="s">
        <v>49</v>
      </c>
      <c r="I481" s="4" t="s">
        <v>873</v>
      </c>
      <c r="J481" s="4" t="s">
        <v>78</v>
      </c>
      <c r="K481" s="5" t="str">
        <f>HYPERLINK("https://media.licdn.com/dms/image/v2/D4E10AQHu-NgzKXapmg/image-shrink_1280/B4EZrAmvQ_GYAM-/0/1764167973314?e=2147483647&amp;v=beta&amp;t=ngzFlOUVhWzbF1xQw7mJ6_oZAmEik1MnSBDU6Pro7do","View Creative")</f>
        <v>View Creative</v>
      </c>
      <c r="L481" s="4" t="s">
        <v>2321</v>
      </c>
      <c r="M481" s="4" t="s">
        <v>61</v>
      </c>
      <c r="N481" s="4" t="s">
        <v>3432</v>
      </c>
      <c r="O481" s="4" t="s">
        <v>89</v>
      </c>
      <c r="P481" s="4" t="s">
        <v>4160</v>
      </c>
    </row>
    <row r="482">
      <c r="A482" s="4" t="s">
        <v>40</v>
      </c>
      <c r="B482" s="4" t="s">
        <v>40</v>
      </c>
      <c r="C482" s="4">
        <v>480.0</v>
      </c>
      <c r="D482" s="5" t="str">
        <f>HYPERLINK("https://www.linkedin.com/ad-library/detail/927081614","Open Ad")</f>
        <v>Open Ad</v>
      </c>
      <c r="E482" s="4" t="s">
        <v>78</v>
      </c>
      <c r="F482" s="4" t="s">
        <v>3427</v>
      </c>
      <c r="G482" s="4" t="s">
        <v>3429</v>
      </c>
      <c r="H482" s="4" t="s">
        <v>49</v>
      </c>
      <c r="I482" s="4" t="s">
        <v>873</v>
      </c>
      <c r="J482" s="4" t="s">
        <v>78</v>
      </c>
      <c r="K482" s="5" t="str">
        <f>HYPERLINK("https://media.licdn.com/dms/image/v2/D4E10AQFoC0cpfR0z-Q/image-shrink_1280/B4EZrAmvJFIIAM-/0/1764167972598?e=2147483647&amp;v=beta&amp;t=v6oao_MTKbpRSCuZBKJ45Q6ynUstSjuHoyE7EfM4smM","View Creative")</f>
        <v>View Creative</v>
      </c>
      <c r="L482" s="4" t="s">
        <v>2321</v>
      </c>
      <c r="M482" s="4" t="s">
        <v>61</v>
      </c>
      <c r="N482" s="4" t="s">
        <v>3432</v>
      </c>
      <c r="O482" s="4" t="s">
        <v>89</v>
      </c>
      <c r="P482" s="4" t="s">
        <v>4165</v>
      </c>
    </row>
    <row r="483">
      <c r="A483" s="4" t="s">
        <v>40</v>
      </c>
      <c r="B483" s="4" t="s">
        <v>40</v>
      </c>
      <c r="C483" s="4">
        <v>481.0</v>
      </c>
      <c r="D483" s="5" t="str">
        <f>HYPERLINK("https://www.linkedin.com/ad-library/detail/926912354","Open Ad")</f>
        <v>Open Ad</v>
      </c>
      <c r="E483" s="4" t="s">
        <v>78</v>
      </c>
      <c r="F483" s="4" t="s">
        <v>3427</v>
      </c>
      <c r="G483" s="4" t="s">
        <v>3429</v>
      </c>
      <c r="H483" s="4" t="s">
        <v>49</v>
      </c>
      <c r="I483" s="4" t="s">
        <v>873</v>
      </c>
      <c r="J483" s="4" t="s">
        <v>78</v>
      </c>
      <c r="K483" s="5" t="str">
        <f>HYPERLINK("https://media.licdn.com/dms/image/v2/D4E10AQE3fOHyEiynKQ/image-shrink_1280/B4EZrAmetRKYAM-/0/1764167904987?e=2147483647&amp;v=beta&amp;t=QwF43nWaIG3nogaZKecKcId3jIxILNfZt09Ikkkw8M4","View Creative")</f>
        <v>View Creative</v>
      </c>
      <c r="L483" s="4" t="s">
        <v>2321</v>
      </c>
      <c r="M483" s="4" t="s">
        <v>61</v>
      </c>
      <c r="N483" s="4" t="s">
        <v>3432</v>
      </c>
      <c r="O483" s="4" t="s">
        <v>89</v>
      </c>
      <c r="P483" s="4" t="s">
        <v>4175</v>
      </c>
    </row>
    <row r="484">
      <c r="A484" s="4" t="s">
        <v>40</v>
      </c>
      <c r="B484" s="4" t="s">
        <v>40</v>
      </c>
      <c r="C484" s="4">
        <v>482.0</v>
      </c>
      <c r="D484" s="5" t="str">
        <f>HYPERLINK("https://www.linkedin.com/ad-library/detail/927081574","Open Ad")</f>
        <v>Open Ad</v>
      </c>
      <c r="E484" s="4" t="s">
        <v>78</v>
      </c>
      <c r="F484" s="4" t="s">
        <v>3503</v>
      </c>
      <c r="G484" s="4" t="s">
        <v>3504</v>
      </c>
      <c r="H484" s="4" t="s">
        <v>49</v>
      </c>
      <c r="I484" s="4" t="s">
        <v>429</v>
      </c>
      <c r="J484" s="4" t="s">
        <v>78</v>
      </c>
      <c r="K484" s="5" t="str">
        <f>HYPERLINK("https://media.licdn.com/dms/image/v2/D4E10AQGr49K5s9X9mQ/image-shrink_1280/B4EZrAmZCuIQAQ-/0/1764167881794?e=2147483647&amp;v=beta&amp;t=pl34xPR5bdLVRQx_7_xkXovFTwr6F6VyMEL5l2sVlWE","View Creative")</f>
        <v>View Creative</v>
      </c>
      <c r="L484" s="4" t="s">
        <v>2321</v>
      </c>
      <c r="M484" s="4" t="s">
        <v>61</v>
      </c>
      <c r="N484" s="4" t="s">
        <v>3432</v>
      </c>
      <c r="O484" s="4" t="s">
        <v>89</v>
      </c>
      <c r="P484" s="4" t="s">
        <v>4181</v>
      </c>
    </row>
    <row r="485">
      <c r="A485" s="4" t="s">
        <v>40</v>
      </c>
      <c r="B485" s="4" t="s">
        <v>40</v>
      </c>
      <c r="C485" s="4">
        <v>483.0</v>
      </c>
      <c r="D485" s="5" t="str">
        <f>HYPERLINK("https://www.linkedin.com/ad-library/detail/926932234","Open Ad")</f>
        <v>Open Ad</v>
      </c>
      <c r="E485" s="4" t="s">
        <v>78</v>
      </c>
      <c r="F485" s="4" t="s">
        <v>3503</v>
      </c>
      <c r="G485" s="4" t="s">
        <v>3504</v>
      </c>
      <c r="H485" s="4" t="s">
        <v>49</v>
      </c>
      <c r="I485" s="4" t="s">
        <v>429</v>
      </c>
      <c r="J485" s="4" t="s">
        <v>78</v>
      </c>
      <c r="K485" s="5" t="str">
        <f>HYPERLINK("https://media.licdn.com/dms/image/v2/D4E10AQG9huxWqkXLsQ/image-shrink_1280/B4EZrAmpjgKgAM-/0/1764167949311?e=2147483647&amp;v=beta&amp;t=LUvdzPgKviZROozqgYsVDP94KNIxnQzf9aFXo64fJP8","View Creative")</f>
        <v>View Creative</v>
      </c>
      <c r="L485" s="4" t="s">
        <v>2321</v>
      </c>
      <c r="M485" s="4" t="s">
        <v>61</v>
      </c>
      <c r="N485" s="4" t="s">
        <v>4190</v>
      </c>
      <c r="O485" s="4" t="s">
        <v>89</v>
      </c>
      <c r="P485" s="4" t="s">
        <v>4191</v>
      </c>
    </row>
    <row r="486">
      <c r="A486" s="4" t="s">
        <v>40</v>
      </c>
      <c r="B486" s="4" t="s">
        <v>40</v>
      </c>
      <c r="C486" s="4">
        <v>484.0</v>
      </c>
      <c r="D486" s="5" t="str">
        <f>HYPERLINK("https://www.linkedin.com/ad-library/detail/927081584","Open Ad")</f>
        <v>Open Ad</v>
      </c>
      <c r="E486" s="4" t="s">
        <v>78</v>
      </c>
      <c r="F486" s="4" t="s">
        <v>3503</v>
      </c>
      <c r="G486" s="4" t="s">
        <v>3504</v>
      </c>
      <c r="H486" s="4" t="s">
        <v>49</v>
      </c>
      <c r="I486" s="4" t="s">
        <v>429</v>
      </c>
      <c r="J486" s="4" t="s">
        <v>78</v>
      </c>
      <c r="K486" s="5" t="str">
        <f>HYPERLINK("https://media.licdn.com/dms/image/v2/D4E10AQFgStZ2JTlW-Q/image-shrink_1280/B4EZrAmkIXHEAU-/0/1764167927139?e=2147483647&amp;v=beta&amp;t=_-ZJt3VSYgupxajTLgOCJiYruAL9ivsRcla8q6sUZoY","View Creative")</f>
        <v>View Creative</v>
      </c>
      <c r="L486" s="4" t="s">
        <v>2321</v>
      </c>
      <c r="M486" s="4" t="s">
        <v>61</v>
      </c>
      <c r="N486" s="4" t="s">
        <v>3603</v>
      </c>
      <c r="O486" s="4" t="s">
        <v>89</v>
      </c>
      <c r="P486" s="4" t="s">
        <v>4197</v>
      </c>
    </row>
    <row r="487">
      <c r="A487" s="4" t="s">
        <v>40</v>
      </c>
      <c r="B487" s="4" t="s">
        <v>40</v>
      </c>
      <c r="C487" s="4">
        <v>485.0</v>
      </c>
      <c r="D487" s="5" t="str">
        <f>HYPERLINK("https://www.linkedin.com/ad-library/detail/926942454","Open Ad")</f>
        <v>Open Ad</v>
      </c>
      <c r="E487" s="4" t="s">
        <v>78</v>
      </c>
      <c r="F487" s="4" t="s">
        <v>3503</v>
      </c>
      <c r="G487" s="4" t="s">
        <v>3504</v>
      </c>
      <c r="H487" s="4" t="s">
        <v>49</v>
      </c>
      <c r="I487" s="4" t="s">
        <v>429</v>
      </c>
      <c r="J487" s="4" t="s">
        <v>78</v>
      </c>
      <c r="K487" s="5" t="str">
        <f>HYPERLINK("https://media.licdn.com/dms/image/v2/D4E10AQEUl5_3Q0dFbw/image-shrink_1280/B4EZrAme.sKMAM-/0/1764167906092?e=2147483647&amp;v=beta&amp;t=NTyVBprKckZdi_iKNdQsAGcR-9sbxPeaeoJbJtz4yTw","View Creative")</f>
        <v>View Creative</v>
      </c>
      <c r="L487" s="4" t="s">
        <v>2321</v>
      </c>
      <c r="M487" s="4" t="s">
        <v>61</v>
      </c>
      <c r="N487" s="4" t="s">
        <v>3603</v>
      </c>
      <c r="O487" s="4" t="s">
        <v>89</v>
      </c>
      <c r="P487" s="4" t="s">
        <v>4207</v>
      </c>
    </row>
    <row r="488">
      <c r="A488" s="4" t="s">
        <v>40</v>
      </c>
      <c r="B488" s="4" t="s">
        <v>40</v>
      </c>
      <c r="C488" s="4">
        <v>486.0</v>
      </c>
      <c r="D488" s="5" t="str">
        <f>HYPERLINK("https://www.linkedin.com/ad-library/detail/927031894","Open Ad")</f>
        <v>Open Ad</v>
      </c>
      <c r="E488" s="4" t="s">
        <v>78</v>
      </c>
      <c r="F488" s="4" t="s">
        <v>3427</v>
      </c>
      <c r="G488" s="4" t="s">
        <v>3429</v>
      </c>
      <c r="H488" s="4" t="s">
        <v>49</v>
      </c>
      <c r="I488" s="4" t="s">
        <v>873</v>
      </c>
      <c r="J488" s="4" t="s">
        <v>78</v>
      </c>
      <c r="K488" s="5" t="str">
        <f>HYPERLINK("https://media.licdn.com/dms/image/v2/D4E10AQEXEleyZoHvzw/image-shrink_1280/B4EZrAmpOYKYAM-/0/1764167948316?e=2147483647&amp;v=beta&amp;t=HSxiCZTwm-NRyE7x60rchzK_Y2cjlVG9k3n7qedIrRA","View Creative")</f>
        <v>View Creative</v>
      </c>
      <c r="L488" s="4" t="s">
        <v>2321</v>
      </c>
      <c r="M488" s="4" t="s">
        <v>61</v>
      </c>
      <c r="N488" s="4" t="s">
        <v>3432</v>
      </c>
      <c r="O488" s="4" t="s">
        <v>89</v>
      </c>
      <c r="P488" s="4" t="s">
        <v>4213</v>
      </c>
    </row>
    <row r="489">
      <c r="A489" s="4" t="s">
        <v>40</v>
      </c>
      <c r="B489" s="4" t="s">
        <v>40</v>
      </c>
      <c r="C489" s="4">
        <v>487.0</v>
      </c>
      <c r="D489" s="5" t="str">
        <f>HYPERLINK("https://www.linkedin.com/ad-library/detail/927101164","Open Ad")</f>
        <v>Open Ad</v>
      </c>
      <c r="E489" s="4" t="s">
        <v>78</v>
      </c>
      <c r="F489" s="4" t="s">
        <v>3503</v>
      </c>
      <c r="G489" s="4" t="s">
        <v>3504</v>
      </c>
      <c r="H489" s="4" t="s">
        <v>49</v>
      </c>
      <c r="I489" s="4" t="s">
        <v>429</v>
      </c>
      <c r="J489" s="4" t="s">
        <v>78</v>
      </c>
      <c r="K489" s="5" t="str">
        <f>HYPERLINK("https://media.licdn.com/dms/image/v2/D4E10AQFpaLRvqeHKVA/image-shrink_1280/B4EZrAmkJwGUAM-/0/1764167927216?e=2147483647&amp;v=beta&amp;t=YPJLge474qoBpdSkk832ZHSFYWWfG3Gw-2kXKS-ndAg","View Creative")</f>
        <v>View Creative</v>
      </c>
      <c r="L489" s="4" t="s">
        <v>2321</v>
      </c>
      <c r="M489" s="4" t="s">
        <v>61</v>
      </c>
      <c r="N489" s="4" t="s">
        <v>3432</v>
      </c>
      <c r="O489" s="4" t="s">
        <v>89</v>
      </c>
      <c r="P489" s="4" t="s">
        <v>4223</v>
      </c>
    </row>
    <row r="490">
      <c r="A490" s="4" t="s">
        <v>40</v>
      </c>
      <c r="B490" s="4" t="s">
        <v>40</v>
      </c>
      <c r="C490" s="4">
        <v>488.0</v>
      </c>
      <c r="D490" s="5" t="str">
        <f>HYPERLINK("https://www.linkedin.com/ad-library/detail/926883104","Open Ad")</f>
        <v>Open Ad</v>
      </c>
      <c r="E490" s="4" t="s">
        <v>78</v>
      </c>
      <c r="F490" s="4" t="s">
        <v>3427</v>
      </c>
      <c r="G490" s="4" t="s">
        <v>3429</v>
      </c>
      <c r="H490" s="4" t="s">
        <v>49</v>
      </c>
      <c r="I490" s="4" t="s">
        <v>873</v>
      </c>
      <c r="J490" s="4" t="s">
        <v>78</v>
      </c>
      <c r="K490" s="5" t="str">
        <f>HYPERLINK("https://media.licdn.com/dms/image/v2/D4E10AQFJaM_acX9nnA/image-shrink_1280/B4EZrAmpjcKMAQ-/0/1764167949185?e=2147483647&amp;v=beta&amp;t=hTpkKW6_KKjUiuGYYzcoIt2IwZZI-f9Uq_l6VYWdVLU","View Creative")</f>
        <v>View Creative</v>
      </c>
      <c r="L490" s="4" t="s">
        <v>2321</v>
      </c>
      <c r="M490" s="4" t="s">
        <v>61</v>
      </c>
      <c r="N490" s="4" t="s">
        <v>3432</v>
      </c>
      <c r="O490" s="4" t="s">
        <v>89</v>
      </c>
      <c r="P490" s="4" t="s">
        <v>4231</v>
      </c>
    </row>
    <row r="491">
      <c r="A491" s="4" t="s">
        <v>40</v>
      </c>
      <c r="B491" s="4" t="s">
        <v>40</v>
      </c>
      <c r="C491" s="4">
        <v>489.0</v>
      </c>
      <c r="D491" s="5" t="str">
        <f>HYPERLINK("https://www.linkedin.com/ad-library/detail/927101174","Open Ad")</f>
        <v>Open Ad</v>
      </c>
      <c r="E491" s="4" t="s">
        <v>78</v>
      </c>
      <c r="F491" s="4" t="s">
        <v>3427</v>
      </c>
      <c r="G491" s="4" t="s">
        <v>3429</v>
      </c>
      <c r="H491" s="4" t="s">
        <v>49</v>
      </c>
      <c r="I491" s="4" t="s">
        <v>873</v>
      </c>
      <c r="J491" s="4" t="s">
        <v>78</v>
      </c>
      <c r="K491" s="5" t="str">
        <f>HYPERLINK("https://media.licdn.com/dms/image/v2/D4E10AQHSpX0x4iRXww/image-shrink_1280/B4EZrAmpo7IwAQ-/0/1764167949418?e=2147483647&amp;v=beta&amp;t=YGjMCEaAzTQmb7hIaWI32-ksB2dcmEou-svfftjXQJc","View Creative")</f>
        <v>View Creative</v>
      </c>
      <c r="L491" s="4" t="s">
        <v>2321</v>
      </c>
      <c r="M491" s="4" t="s">
        <v>61</v>
      </c>
      <c r="N491" s="4" t="s">
        <v>3432</v>
      </c>
      <c r="O491" s="4" t="s">
        <v>89</v>
      </c>
      <c r="P491" s="4" t="s">
        <v>4240</v>
      </c>
    </row>
    <row r="492">
      <c r="A492" s="4" t="s">
        <v>40</v>
      </c>
      <c r="B492" s="4" t="s">
        <v>40</v>
      </c>
      <c r="C492" s="4">
        <v>490.0</v>
      </c>
      <c r="D492" s="5" t="str">
        <f>HYPERLINK("https://www.linkedin.com/ad-library/detail/926992184","Open Ad")</f>
        <v>Open Ad</v>
      </c>
      <c r="E492" s="4" t="s">
        <v>78</v>
      </c>
      <c r="F492" s="4" t="s">
        <v>3427</v>
      </c>
      <c r="G492" s="4" t="s">
        <v>3429</v>
      </c>
      <c r="H492" s="4" t="s">
        <v>49</v>
      </c>
      <c r="I492" s="4" t="s">
        <v>873</v>
      </c>
      <c r="J492" s="4" t="s">
        <v>78</v>
      </c>
      <c r="K492" s="5" t="str">
        <f>HYPERLINK("https://media.licdn.com/dms/image/v2/D4E10AQF6G1rnRfB2QA/image-shrink_1280/B4EZrAme5OKUAM-/0/1764167905443?e=2147483647&amp;v=beta&amp;t=QCKwh0aw8JqoCTYC6gph4a_DbFzGw5e88VH-wfs_QMs","View Creative")</f>
        <v>View Creative</v>
      </c>
      <c r="L492" s="4" t="s">
        <v>2321</v>
      </c>
      <c r="M492" s="4" t="s">
        <v>61</v>
      </c>
      <c r="N492" s="4" t="s">
        <v>3432</v>
      </c>
      <c r="O492" s="4" t="s">
        <v>89</v>
      </c>
      <c r="P492" s="4" t="s">
        <v>4246</v>
      </c>
    </row>
    <row r="493">
      <c r="A493" s="4" t="s">
        <v>40</v>
      </c>
      <c r="B493" s="4" t="s">
        <v>40</v>
      </c>
      <c r="C493" s="4">
        <v>491.0</v>
      </c>
      <c r="D493" s="5" t="str">
        <f>HYPERLINK("https://www.linkedin.com/ad-library/detail/926922774","Open Ad")</f>
        <v>Open Ad</v>
      </c>
      <c r="E493" s="4" t="s">
        <v>78</v>
      </c>
      <c r="F493" s="4" t="s">
        <v>3427</v>
      </c>
      <c r="G493" s="4" t="s">
        <v>3429</v>
      </c>
      <c r="H493" s="4" t="s">
        <v>49</v>
      </c>
      <c r="I493" s="4" t="s">
        <v>873</v>
      </c>
      <c r="J493" s="4" t="s">
        <v>78</v>
      </c>
      <c r="K493" s="5" t="str">
        <f>HYPERLINK("https://media.licdn.com/dms/image/v2/D4E10AQF0bS5JhL3Yng/image-shrink_1280/B4EZrAme.vIIAY-/0/1764167906132?e=2147483647&amp;v=beta&amp;t=15yPYOEcGM7IaBv-WXAXeLDKkn6qMFUmwb_Nm13eBv0","View Creative")</f>
        <v>View Creative</v>
      </c>
      <c r="L493" s="4" t="s">
        <v>2321</v>
      </c>
      <c r="M493" s="4" t="s">
        <v>61</v>
      </c>
      <c r="N493" s="4" t="s">
        <v>3432</v>
      </c>
      <c r="O493" s="4" t="s">
        <v>89</v>
      </c>
      <c r="P493" s="4" t="s">
        <v>4255</v>
      </c>
    </row>
    <row r="494">
      <c r="A494" s="4" t="s">
        <v>40</v>
      </c>
      <c r="B494" s="4" t="s">
        <v>40</v>
      </c>
      <c r="C494" s="4">
        <v>492.0</v>
      </c>
      <c r="D494" s="5" t="str">
        <f>HYPERLINK("https://www.linkedin.com/ad-library/detail/926922794","Open Ad")</f>
        <v>Open Ad</v>
      </c>
      <c r="E494" s="4" t="s">
        <v>78</v>
      </c>
      <c r="F494" s="4" t="s">
        <v>3427</v>
      </c>
      <c r="G494" s="4" t="s">
        <v>3429</v>
      </c>
      <c r="H494" s="4" t="s">
        <v>49</v>
      </c>
      <c r="I494" s="4" t="s">
        <v>873</v>
      </c>
      <c r="J494" s="4" t="s">
        <v>78</v>
      </c>
      <c r="K494" s="5" t="str">
        <f>HYPERLINK("https://media.licdn.com/dms/image/v2/D4E10AQFclMTioBI60A/image-shrink_1280/B4EZrAmj5eKYAM-/0/1764167925904?e=2147483647&amp;v=beta&amp;t=HVfQOBuWmXR6ymV4pcMOCNeJ7XFPG39V-Eu6kkIPIQ8","View Creative")</f>
        <v>View Creative</v>
      </c>
      <c r="L494" s="4" t="s">
        <v>2321</v>
      </c>
      <c r="M494" s="4" t="s">
        <v>61</v>
      </c>
      <c r="N494" s="4" t="s">
        <v>3432</v>
      </c>
      <c r="O494" s="4" t="s">
        <v>89</v>
      </c>
      <c r="P494" s="4" t="s">
        <v>4262</v>
      </c>
    </row>
    <row r="495">
      <c r="A495" s="4" t="s">
        <v>40</v>
      </c>
      <c r="B495" s="4" t="s">
        <v>40</v>
      </c>
      <c r="C495" s="4">
        <v>493.0</v>
      </c>
      <c r="D495" s="5" t="str">
        <f>HYPERLINK("https://www.linkedin.com/ad-library/detail/927051594","Open Ad")</f>
        <v>Open Ad</v>
      </c>
      <c r="E495" s="4" t="s">
        <v>78</v>
      </c>
      <c r="F495" s="4" t="s">
        <v>3503</v>
      </c>
      <c r="G495" s="4" t="s">
        <v>3504</v>
      </c>
      <c r="H495" s="4" t="s">
        <v>49</v>
      </c>
      <c r="I495" s="4" t="s">
        <v>429</v>
      </c>
      <c r="J495" s="4" t="s">
        <v>78</v>
      </c>
      <c r="K495" s="5" t="str">
        <f>HYPERLINK("https://media.licdn.com/dms/image/v2/D4E10AQHEaYgeI1D-aQ/image-shrink_1280/B4EZrAmejIKYAM-/0/1764167904099?e=2147483647&amp;v=beta&amp;t=QgKu-d6f8I1Pf3U5T9ypr8F-ES3tFUVuje55KwSXPOg","View Creative")</f>
        <v>View Creative</v>
      </c>
      <c r="L495" s="4" t="s">
        <v>2321</v>
      </c>
      <c r="M495" s="4" t="s">
        <v>61</v>
      </c>
      <c r="N495" s="4" t="s">
        <v>3432</v>
      </c>
      <c r="O495" s="4" t="s">
        <v>89</v>
      </c>
      <c r="P495" s="4" t="s">
        <v>4270</v>
      </c>
    </row>
    <row r="496">
      <c r="A496" s="4" t="s">
        <v>40</v>
      </c>
      <c r="B496" s="4" t="s">
        <v>40</v>
      </c>
      <c r="C496" s="4">
        <v>494.0</v>
      </c>
      <c r="D496" s="5" t="str">
        <f>HYPERLINK("https://www.linkedin.com/ad-library/detail/926872824","Open Ad")</f>
        <v>Open Ad</v>
      </c>
      <c r="E496" s="4" t="s">
        <v>78</v>
      </c>
      <c r="F496" s="4" t="s">
        <v>3427</v>
      </c>
      <c r="G496" s="4" t="s">
        <v>3429</v>
      </c>
      <c r="H496" s="4" t="s">
        <v>49</v>
      </c>
      <c r="I496" s="4" t="s">
        <v>873</v>
      </c>
      <c r="J496" s="4" t="s">
        <v>78</v>
      </c>
      <c r="K496" s="5" t="str">
        <f>HYPERLINK("https://media.licdn.com/dms/image/v2/D4E10AQFMKuGPlyhFoQ/image-shrink_1280/B4EZrAmka2HEAQ-/0/1764167928135?e=2147483647&amp;v=beta&amp;t=I94-kQmdlrEW-BsBnVdnXFFcR1AO3e0mn4X97isqYWY","View Creative")</f>
        <v>View Creative</v>
      </c>
      <c r="L496" s="4" t="s">
        <v>2321</v>
      </c>
      <c r="M496" s="4" t="s">
        <v>61</v>
      </c>
      <c r="N496" s="4" t="s">
        <v>3432</v>
      </c>
      <c r="O496" s="4" t="s">
        <v>89</v>
      </c>
      <c r="P496" s="4" t="s">
        <v>4278</v>
      </c>
    </row>
    <row r="497">
      <c r="A497" s="4" t="s">
        <v>40</v>
      </c>
      <c r="B497" s="4" t="s">
        <v>40</v>
      </c>
      <c r="C497" s="4">
        <v>495.0</v>
      </c>
      <c r="D497" s="5" t="str">
        <f>HYPERLINK("https://www.linkedin.com/ad-library/detail/926883094","Open Ad")</f>
        <v>Open Ad</v>
      </c>
      <c r="E497" s="4" t="s">
        <v>78</v>
      </c>
      <c r="F497" s="4" t="s">
        <v>3503</v>
      </c>
      <c r="G497" s="4" t="s">
        <v>3504</v>
      </c>
      <c r="H497" s="4" t="s">
        <v>49</v>
      </c>
      <c r="I497" s="4" t="s">
        <v>429</v>
      </c>
      <c r="J497" s="4" t="s">
        <v>78</v>
      </c>
      <c r="K497" s="5" t="str">
        <f>HYPERLINK("https://media.licdn.com/dms/image/v2/D4E10AQESVuQQJptOdQ/image-shrink_1280/B4EZrAmkKJIUAU-/0/1764167927197?e=2147483647&amp;v=beta&amp;t=fr7G9dOvH08olqilyBwuLnGg4LviyH-o6G1X5Q9Pk_A","View Creative")</f>
        <v>View Creative</v>
      </c>
      <c r="L497" s="4" t="s">
        <v>2321</v>
      </c>
      <c r="M497" s="4" t="s">
        <v>61</v>
      </c>
      <c r="N497" s="4" t="s">
        <v>3432</v>
      </c>
      <c r="O497" s="4" t="s">
        <v>89</v>
      </c>
      <c r="P497" s="4" t="s">
        <v>4287</v>
      </c>
    </row>
    <row r="498">
      <c r="A498" s="4" t="s">
        <v>40</v>
      </c>
      <c r="B498" s="4" t="s">
        <v>40</v>
      </c>
      <c r="C498" s="4">
        <v>496.0</v>
      </c>
      <c r="D498" s="5" t="str">
        <f>HYPERLINK("https://www.linkedin.com/ad-library/detail/926893064","Open Ad")</f>
        <v>Open Ad</v>
      </c>
      <c r="E498" s="4" t="s">
        <v>78</v>
      </c>
      <c r="F498" s="4" t="s">
        <v>3427</v>
      </c>
      <c r="G498" s="4" t="s">
        <v>3429</v>
      </c>
      <c r="H498" s="4" t="s">
        <v>49</v>
      </c>
      <c r="I498" s="4" t="s">
        <v>873</v>
      </c>
      <c r="J498" s="4" t="s">
        <v>78</v>
      </c>
      <c r="K498" s="5" t="str">
        <f>HYPERLINK("https://media.licdn.com/dms/image/v2/D4E10AQFU72HvjQSnlg/image-shrink_1280/B4EZrAmkOcKoAM-/0/1764167927332?e=2147483647&amp;v=beta&amp;t=pX5Fuvy9QBEuzLpcqsIq6WH49j40ZMKNL2wzz6ZN-kw","View Creative")</f>
        <v>View Creative</v>
      </c>
      <c r="L498" s="4" t="s">
        <v>2321</v>
      </c>
      <c r="M498" s="4" t="s">
        <v>61</v>
      </c>
      <c r="N498" s="4" t="s">
        <v>3603</v>
      </c>
      <c r="O498" s="4" t="s">
        <v>89</v>
      </c>
      <c r="P498" s="4" t="s">
        <v>4297</v>
      </c>
    </row>
    <row r="499">
      <c r="A499" s="4" t="s">
        <v>40</v>
      </c>
      <c r="B499" s="4" t="s">
        <v>40</v>
      </c>
      <c r="C499" s="4">
        <v>497.0</v>
      </c>
      <c r="D499" s="5" t="str">
        <f>HYPERLINK("https://www.linkedin.com/ad-library/detail/926932224","Open Ad")</f>
        <v>Open Ad</v>
      </c>
      <c r="E499" s="4" t="s">
        <v>78</v>
      </c>
      <c r="F499" s="4" t="s">
        <v>3427</v>
      </c>
      <c r="G499" s="4" t="s">
        <v>3429</v>
      </c>
      <c r="H499" s="4" t="s">
        <v>49</v>
      </c>
      <c r="I499" s="4" t="s">
        <v>873</v>
      </c>
      <c r="J499" s="4" t="s">
        <v>78</v>
      </c>
      <c r="K499" s="5" t="str">
        <f>HYPERLINK("https://media.licdn.com/dms/image/v2/D4E10AQGopuhQKkeO2A/image-shrink_1280/B4EZrAmj4ZGYAM-/0/1764167925883?e=2147483647&amp;v=beta&amp;t=tJ5cLRsudT6jaxubgf_Y_R_S72Ji9kH_LRNfy12yU3Y","View Creative")</f>
        <v>View Creative</v>
      </c>
      <c r="L499" s="4" t="s">
        <v>2321</v>
      </c>
      <c r="M499" s="4" t="s">
        <v>61</v>
      </c>
      <c r="N499" s="4" t="s">
        <v>3603</v>
      </c>
      <c r="O499" s="4" t="s">
        <v>89</v>
      </c>
      <c r="P499" s="4" t="s">
        <v>4303</v>
      </c>
    </row>
    <row r="500">
      <c r="A500" s="4" t="s">
        <v>40</v>
      </c>
      <c r="B500" s="4" t="s">
        <v>40</v>
      </c>
      <c r="C500" s="4">
        <v>498.0</v>
      </c>
      <c r="D500" s="5" t="str">
        <f>HYPERLINK("https://www.linkedin.com/ad-library/detail/927021834","Open Ad")</f>
        <v>Open Ad</v>
      </c>
      <c r="E500" s="4" t="s">
        <v>78</v>
      </c>
      <c r="F500" s="4" t="s">
        <v>3427</v>
      </c>
      <c r="G500" s="4" t="s">
        <v>3429</v>
      </c>
      <c r="H500" s="4" t="s">
        <v>49</v>
      </c>
      <c r="I500" s="4" t="s">
        <v>873</v>
      </c>
      <c r="J500" s="4" t="s">
        <v>78</v>
      </c>
      <c r="K500" s="5" t="str">
        <f>HYPERLINK("https://media.licdn.com/dms/image/v2/D4E10AQFlnA1dgAGkBw/image-shrink_1280/B4EZrAmedKIUAM-/0/1764167903624?e=2147483647&amp;v=beta&amp;t=EY-umPspi1lp5i9XY5yJSMJQ6Yq3y33EEpztYDau_WE","View Creative")</f>
        <v>View Creative</v>
      </c>
      <c r="L500" s="4" t="s">
        <v>2321</v>
      </c>
      <c r="M500" s="4" t="s">
        <v>61</v>
      </c>
      <c r="N500" s="4" t="s">
        <v>3432</v>
      </c>
      <c r="O500" s="4" t="s">
        <v>89</v>
      </c>
      <c r="P500" s="4" t="s">
        <v>4313</v>
      </c>
    </row>
    <row r="501">
      <c r="A501" s="4" t="s">
        <v>40</v>
      </c>
      <c r="B501" s="4" t="s">
        <v>40</v>
      </c>
      <c r="C501" s="4">
        <v>499.0</v>
      </c>
      <c r="D501" s="5" t="str">
        <f>HYPERLINK("https://www.linkedin.com/ad-library/detail/927021844","Open Ad")</f>
        <v>Open Ad</v>
      </c>
      <c r="E501" s="4" t="s">
        <v>78</v>
      </c>
      <c r="F501" s="4" t="s">
        <v>3427</v>
      </c>
      <c r="G501" s="4" t="s">
        <v>3429</v>
      </c>
      <c r="H501" s="4" t="s">
        <v>49</v>
      </c>
      <c r="I501" s="4" t="s">
        <v>873</v>
      </c>
      <c r="J501" s="4" t="s">
        <v>78</v>
      </c>
      <c r="K501" s="5" t="str">
        <f>HYPERLINK("https://media.licdn.com/dms/image/v2/D4E10AQFaM8QXRnbEiQ/image-shrink_1280/B4EZrAmkg4IIAU-/0/1764167928428?e=2147483647&amp;v=beta&amp;t=ZzO9I1y-gYFqcqn0L6ETEi0CTHarjD2ifFWXAys2YO0","View Creative")</f>
        <v>View Creative</v>
      </c>
      <c r="L501" s="4" t="s">
        <v>2321</v>
      </c>
      <c r="M501" s="4" t="s">
        <v>61</v>
      </c>
      <c r="N501" s="4" t="s">
        <v>3432</v>
      </c>
      <c r="O501" s="4" t="s">
        <v>89</v>
      </c>
      <c r="P501" s="4" t="s">
        <v>4323</v>
      </c>
    </row>
    <row r="502">
      <c r="A502" s="4" t="s">
        <v>40</v>
      </c>
      <c r="B502" s="4" t="s">
        <v>40</v>
      </c>
      <c r="C502" s="4">
        <v>500.0</v>
      </c>
      <c r="D502" s="5" t="str">
        <f>HYPERLINK("https://www.linkedin.com/ad-library/detail/927061744","Open Ad")</f>
        <v>Open Ad</v>
      </c>
      <c r="E502" s="4" t="s">
        <v>78</v>
      </c>
      <c r="F502" s="4" t="s">
        <v>3503</v>
      </c>
      <c r="G502" s="4" t="s">
        <v>3504</v>
      </c>
      <c r="H502" s="4" t="s">
        <v>49</v>
      </c>
      <c r="I502" s="4" t="s">
        <v>429</v>
      </c>
      <c r="J502" s="4" t="s">
        <v>78</v>
      </c>
      <c r="K502" s="5" t="str">
        <f>HYPERLINK("https://media.licdn.com/dms/image/v2/D4E10AQHICgg33AqErw/image-shrink_1280/B4EZrAmpTRJgAM-/0/1764167948454?e=2147483647&amp;v=beta&amp;t=uXtf_x47-lOG2PVrC_pmvhFro42GTSpiYzNyV8hAmPU","View Creative")</f>
        <v>View Creative</v>
      </c>
      <c r="L502" s="4" t="s">
        <v>2321</v>
      </c>
      <c r="M502" s="4" t="s">
        <v>61</v>
      </c>
      <c r="N502" s="4" t="s">
        <v>3432</v>
      </c>
      <c r="O502" s="4" t="s">
        <v>89</v>
      </c>
      <c r="P502" s="4" t="s">
        <v>4330</v>
      </c>
    </row>
    <row r="503">
      <c r="A503" s="4" t="s">
        <v>40</v>
      </c>
      <c r="B503" s="4" t="s">
        <v>40</v>
      </c>
      <c r="C503" s="4">
        <v>501.0</v>
      </c>
      <c r="D503" s="5" t="str">
        <f>HYPERLINK("https://www.linkedin.com/ad-library/detail/927041764","Open Ad")</f>
        <v>Open Ad</v>
      </c>
      <c r="E503" s="4" t="s">
        <v>78</v>
      </c>
      <c r="F503" s="4" t="s">
        <v>3503</v>
      </c>
      <c r="G503" s="4" t="s">
        <v>3504</v>
      </c>
      <c r="H503" s="4" t="s">
        <v>49</v>
      </c>
      <c r="I503" s="4" t="s">
        <v>429</v>
      </c>
      <c r="J503" s="4" t="s">
        <v>78</v>
      </c>
      <c r="K503" s="5" t="str">
        <f>HYPERLINK("https://media.licdn.com/dms/image/v2/D4E10AQH5q_t451RxHg/image-shrink_1280/B4EZrAmerZJgAM-/0/1764167904936?e=2147483647&amp;v=beta&amp;t=jxziEArzia4BYNrnyoQ3uLUjj92FHKZKqMoC6kG-j5o","View Creative")</f>
        <v>View Creative</v>
      </c>
      <c r="L503" s="4" t="s">
        <v>2321</v>
      </c>
      <c r="M503" s="4" t="s">
        <v>61</v>
      </c>
      <c r="N503" s="4" t="s">
        <v>3432</v>
      </c>
      <c r="O503" s="4" t="s">
        <v>89</v>
      </c>
      <c r="P503" s="4" t="s">
        <v>4340</v>
      </c>
    </row>
    <row r="504">
      <c r="A504" s="4" t="s">
        <v>40</v>
      </c>
      <c r="B504" s="4" t="s">
        <v>40</v>
      </c>
      <c r="C504" s="4">
        <v>502.0</v>
      </c>
      <c r="D504" s="5" t="str">
        <f>HYPERLINK("https://www.linkedin.com/ad-library/detail/927061754","Open Ad")</f>
        <v>Open Ad</v>
      </c>
      <c r="E504" s="4" t="s">
        <v>78</v>
      </c>
      <c r="F504" s="4" t="s">
        <v>3503</v>
      </c>
      <c r="G504" s="4" t="s">
        <v>3504</v>
      </c>
      <c r="H504" s="4" t="s">
        <v>49</v>
      </c>
      <c r="I504" s="4" t="s">
        <v>429</v>
      </c>
      <c r="J504" s="4" t="s">
        <v>78</v>
      </c>
      <c r="K504" s="5" t="str">
        <f>HYPERLINK("https://media.licdn.com/dms/image/v2/D4E10AQEqK_m0Bsseng/image-shrink_1280/B4EZrAmplJGYAM-/0/1764167949349?e=2147483647&amp;v=beta&amp;t=C3dGLFDZ9QKKng0Hj_1_nK62-NfS8HDtAuPvDTVJJBs","View Creative")</f>
        <v>View Creative</v>
      </c>
      <c r="L504" s="4" t="s">
        <v>2321</v>
      </c>
      <c r="M504" s="4" t="s">
        <v>61</v>
      </c>
      <c r="N504" s="4" t="s">
        <v>3432</v>
      </c>
      <c r="O504" s="4" t="s">
        <v>89</v>
      </c>
      <c r="P504" s="4" t="s">
        <v>4347</v>
      </c>
    </row>
    <row r="505">
      <c r="A505" s="4" t="s">
        <v>40</v>
      </c>
      <c r="B505" s="4" t="s">
        <v>40</v>
      </c>
      <c r="C505" s="4">
        <v>503.0</v>
      </c>
      <c r="D505" s="5" t="str">
        <f>HYPERLINK("https://www.linkedin.com/ad-library/detail/927041774","Open Ad")</f>
        <v>Open Ad</v>
      </c>
      <c r="E505" s="4" t="s">
        <v>78</v>
      </c>
      <c r="F505" s="4" t="s">
        <v>3427</v>
      </c>
      <c r="G505" s="4" t="s">
        <v>3429</v>
      </c>
      <c r="H505" s="4" t="s">
        <v>49</v>
      </c>
      <c r="I505" s="4" t="s">
        <v>873</v>
      </c>
      <c r="J505" s="4" t="s">
        <v>78</v>
      </c>
      <c r="K505" s="5" t="str">
        <f>HYPERLINK("https://media.licdn.com/dms/image/v2/D4E10AQFtMj7DDWYv9Q/image-shrink_1280/B4EZrAmkenIwAM-/0/1764167928256?e=2147483647&amp;v=beta&amp;t=18rUoZugcaasc9xGzqsn_lOa_6lVFV-GTpcjKspDK5o","View Creative")</f>
        <v>View Creative</v>
      </c>
      <c r="L505" s="4" t="s">
        <v>2321</v>
      </c>
      <c r="M505" s="4" t="s">
        <v>61</v>
      </c>
      <c r="N505" s="4" t="s">
        <v>3432</v>
      </c>
      <c r="O505" s="4" t="s">
        <v>89</v>
      </c>
      <c r="P505" s="4" t="s">
        <v>4357</v>
      </c>
    </row>
    <row r="506">
      <c r="A506" s="4" t="s">
        <v>40</v>
      </c>
      <c r="B506" s="4" t="s">
        <v>40</v>
      </c>
      <c r="C506" s="4">
        <v>504.0</v>
      </c>
      <c r="D506" s="5" t="str">
        <f>HYPERLINK("https://www.linkedin.com/ad-library/detail/927041754","Open Ad")</f>
        <v>Open Ad</v>
      </c>
      <c r="E506" s="4" t="s">
        <v>78</v>
      </c>
      <c r="F506" s="4" t="s">
        <v>3427</v>
      </c>
      <c r="G506" s="4" t="s">
        <v>3429</v>
      </c>
      <c r="H506" s="4" t="s">
        <v>49</v>
      </c>
      <c r="I506" s="4" t="s">
        <v>873</v>
      </c>
      <c r="J506" s="4" t="s">
        <v>78</v>
      </c>
      <c r="K506" s="5" t="str">
        <f>HYPERLINK("https://media.licdn.com/dms/image/v2/D4E10AQFsevLWMn8QcQ/image-shrink_1280/B4EZrAmeepKoAM-/0/1764167904059?e=2147483647&amp;v=beta&amp;t=eVW-Ek0dGszorIhTKxn_JJh3XM0UoFyNAGix3se4gHQ","View Creative")</f>
        <v>View Creative</v>
      </c>
      <c r="L506" s="4" t="s">
        <v>2321</v>
      </c>
      <c r="M506" s="4" t="s">
        <v>61</v>
      </c>
      <c r="N506" s="4" t="s">
        <v>3432</v>
      </c>
      <c r="O506" s="4" t="s">
        <v>89</v>
      </c>
      <c r="P506" s="4" t="s">
        <v>4366</v>
      </c>
    </row>
    <row r="507">
      <c r="A507" s="4" t="s">
        <v>40</v>
      </c>
      <c r="B507" s="4" t="s">
        <v>40</v>
      </c>
      <c r="C507" s="4">
        <v>505.0</v>
      </c>
      <c r="D507" s="5" t="str">
        <f>HYPERLINK("https://www.linkedin.com/ad-library/detail/926912344","Open Ad")</f>
        <v>Open Ad</v>
      </c>
      <c r="E507" s="4" t="s">
        <v>78</v>
      </c>
      <c r="F507" s="4" t="s">
        <v>3427</v>
      </c>
      <c r="G507" s="4" t="s">
        <v>3429</v>
      </c>
      <c r="H507" s="4" t="s">
        <v>49</v>
      </c>
      <c r="I507" s="4" t="s">
        <v>873</v>
      </c>
      <c r="J507" s="4" t="s">
        <v>78</v>
      </c>
      <c r="K507" s="5" t="str">
        <f>HYPERLINK("https://media.licdn.com/dms/image/v2/D4E10AQGSsSvmHBXNNA/image-shrink_1280/B4EZrAmOdJJgAM-/0/1764167838470?e=2147483647&amp;v=beta&amp;t=7uuCqVSn2MKAsEMqjBFeHpOL2M9zRkmQPurLvHSzIfY","View Creative")</f>
        <v>View Creative</v>
      </c>
      <c r="L507" s="4" t="s">
        <v>2321</v>
      </c>
      <c r="M507" s="4" t="s">
        <v>61</v>
      </c>
      <c r="N507" s="4" t="s">
        <v>3432</v>
      </c>
      <c r="O507" s="4" t="s">
        <v>89</v>
      </c>
      <c r="P507" s="4" t="s">
        <v>4380</v>
      </c>
    </row>
    <row r="508">
      <c r="A508" s="4" t="s">
        <v>40</v>
      </c>
      <c r="B508" s="4" t="s">
        <v>40</v>
      </c>
      <c r="C508" s="4">
        <v>506.0</v>
      </c>
      <c r="D508" s="5" t="str">
        <f>HYPERLINK("https://www.linkedin.com/ad-library/detail/926932194","Open Ad")</f>
        <v>Open Ad</v>
      </c>
      <c r="E508" s="4" t="s">
        <v>78</v>
      </c>
      <c r="F508" s="4" t="s">
        <v>3427</v>
      </c>
      <c r="G508" s="4" t="s">
        <v>3429</v>
      </c>
      <c r="H508" s="4" t="s">
        <v>49</v>
      </c>
      <c r="I508" s="4" t="s">
        <v>873</v>
      </c>
      <c r="J508" s="4" t="s">
        <v>78</v>
      </c>
      <c r="K508" s="5" t="str">
        <f>HYPERLINK("https://media.licdn.com/dms/image/v2/D4E10AQFJj_0iqihuow/image-shrink_1280/B4EZrAmTfoIIAM-/0/1764167859592?e=2147483647&amp;v=beta&amp;t=egAshlSZ9x5y62Jg-M4oaIMBErX9smPtcNvychTc4o8","View Creative")</f>
        <v>View Creative</v>
      </c>
      <c r="L508" s="4" t="s">
        <v>2321</v>
      </c>
      <c r="M508" s="4" t="s">
        <v>61</v>
      </c>
      <c r="N508" s="4" t="s">
        <v>3432</v>
      </c>
      <c r="O508" s="4" t="s">
        <v>89</v>
      </c>
      <c r="P508" s="4" t="s">
        <v>4385</v>
      </c>
    </row>
    <row r="509">
      <c r="A509" s="4" t="s">
        <v>40</v>
      </c>
      <c r="B509" s="4" t="s">
        <v>40</v>
      </c>
      <c r="C509" s="4">
        <v>507.0</v>
      </c>
      <c r="D509" s="5" t="str">
        <f>HYPERLINK("https://www.linkedin.com/ad-library/detail/926942424","Open Ad")</f>
        <v>Open Ad</v>
      </c>
      <c r="E509" s="4" t="s">
        <v>78</v>
      </c>
      <c r="F509" s="4" t="s">
        <v>3427</v>
      </c>
      <c r="G509" s="4" t="s">
        <v>3429</v>
      </c>
      <c r="H509" s="4" t="s">
        <v>49</v>
      </c>
      <c r="I509" s="4" t="s">
        <v>873</v>
      </c>
      <c r="J509" s="4" t="s">
        <v>78</v>
      </c>
      <c r="K509" s="5" t="str">
        <f>HYPERLINK("https://media.licdn.com/dms/image/v2/D4E10AQFJtHXnrcSWiw/image-shrink_1280/B4EZrAmTkYIQAM-/0/1764167859443?e=2147483647&amp;v=beta&amp;t=HDZg7qlyO8mHcXSpxkgsFQZ8z8PNrgUymQOznzyPMrg","View Creative")</f>
        <v>View Creative</v>
      </c>
      <c r="L509" s="4" t="s">
        <v>2321</v>
      </c>
      <c r="M509" s="4" t="s">
        <v>61</v>
      </c>
      <c r="N509" s="4" t="s">
        <v>3432</v>
      </c>
      <c r="O509" s="4" t="s">
        <v>89</v>
      </c>
      <c r="P509" s="4" t="s">
        <v>4396</v>
      </c>
    </row>
    <row r="510">
      <c r="A510" s="4" t="s">
        <v>40</v>
      </c>
      <c r="B510" s="4" t="s">
        <v>40</v>
      </c>
      <c r="C510" s="4">
        <v>508.0</v>
      </c>
      <c r="D510" s="5" t="str">
        <f>HYPERLINK("https://www.linkedin.com/ad-library/detail/927021814","Open Ad")</f>
        <v>Open Ad</v>
      </c>
      <c r="E510" s="4" t="s">
        <v>78</v>
      </c>
      <c r="F510" s="4" t="s">
        <v>3503</v>
      </c>
      <c r="G510" s="4" t="s">
        <v>3504</v>
      </c>
      <c r="H510" s="4" t="s">
        <v>49</v>
      </c>
      <c r="I510" s="4" t="s">
        <v>429</v>
      </c>
      <c r="J510" s="4" t="s">
        <v>78</v>
      </c>
      <c r="K510" s="5" t="str">
        <f>HYPERLINK("https://media.licdn.com/dms/image/v2/D4E10AQFj5VzXNudv5w/image-shrink_1280/B4EZrAmTfmKkAM-/0/1764167858980?e=2147483647&amp;v=beta&amp;t=5dKxJP82nyhEEhq2kElgtMWVI0WPfPQms98DrvdSJCk","View Creative")</f>
        <v>View Creative</v>
      </c>
      <c r="L510" s="4" t="s">
        <v>2321</v>
      </c>
      <c r="M510" s="4" t="s">
        <v>61</v>
      </c>
      <c r="N510" s="4" t="s">
        <v>3432</v>
      </c>
      <c r="O510" s="4" t="s">
        <v>89</v>
      </c>
      <c r="P510" s="4" t="s">
        <v>4402</v>
      </c>
    </row>
    <row r="511">
      <c r="A511" s="4" t="s">
        <v>40</v>
      </c>
      <c r="B511" s="4" t="s">
        <v>40</v>
      </c>
      <c r="C511" s="4">
        <v>509.0</v>
      </c>
      <c r="D511" s="5" t="str">
        <f>HYPERLINK("https://www.linkedin.com/ad-library/detail/927021804","Open Ad")</f>
        <v>Open Ad</v>
      </c>
      <c r="E511" s="4" t="s">
        <v>78</v>
      </c>
      <c r="F511" s="4" t="s">
        <v>3427</v>
      </c>
      <c r="G511" s="4" t="s">
        <v>3429</v>
      </c>
      <c r="H511" s="4" t="s">
        <v>49</v>
      </c>
      <c r="I511" s="4" t="s">
        <v>873</v>
      </c>
      <c r="J511" s="4" t="s">
        <v>78</v>
      </c>
      <c r="K511" s="5" t="str">
        <f>HYPERLINK("https://media.licdn.com/dms/image/v2/D4E10AQE1v9jCUbih9Q/image-shrink_1280/B4EZrAmOdHKMAM-/0/1764167838230?e=2147483647&amp;v=beta&amp;t=YTvVH2EdrRnHmv2IPuhaFAEPhus3CPBKWQjzHgjgv4E","View Creative")</f>
        <v>View Creative</v>
      </c>
      <c r="L511" s="4" t="s">
        <v>2321</v>
      </c>
      <c r="M511" s="4" t="s">
        <v>61</v>
      </c>
      <c r="N511" s="4" t="s">
        <v>3432</v>
      </c>
      <c r="O511" s="4" t="s">
        <v>89</v>
      </c>
      <c r="P511" s="4" t="s">
        <v>4411</v>
      </c>
    </row>
    <row r="512">
      <c r="A512" s="4" t="s">
        <v>40</v>
      </c>
      <c r="B512" s="4" t="s">
        <v>40</v>
      </c>
      <c r="C512" s="4">
        <v>510.0</v>
      </c>
      <c r="D512" s="5" t="str">
        <f>HYPERLINK("https://www.linkedin.com/ad-library/detail/926952384","Open Ad")</f>
        <v>Open Ad</v>
      </c>
      <c r="E512" s="4" t="s">
        <v>78</v>
      </c>
      <c r="F512" s="4" t="s">
        <v>3427</v>
      </c>
      <c r="G512" s="4" t="s">
        <v>3429</v>
      </c>
      <c r="H512" s="4" t="s">
        <v>49</v>
      </c>
      <c r="I512" s="4" t="s">
        <v>873</v>
      </c>
      <c r="J512" s="4" t="s">
        <v>78</v>
      </c>
      <c r="K512" s="5" t="str">
        <f>HYPERLINK("https://media.licdn.com/dms/image/v2/D4E10AQExS4uf9rOLUQ/image-shrink_1280/B4EZrAmTkjKUAM-/0/1764167859083?e=2147483647&amp;v=beta&amp;t=2Ba6_h0vUGrkFntGtwZ0OyomBuhVh7WwavuoDjpQYc4","View Creative")</f>
        <v>View Creative</v>
      </c>
      <c r="L512" s="4" t="s">
        <v>2321</v>
      </c>
      <c r="M512" s="4" t="s">
        <v>61</v>
      </c>
      <c r="N512" s="4" t="s">
        <v>3432</v>
      </c>
      <c r="O512" s="4" t="s">
        <v>89</v>
      </c>
      <c r="P512" s="4" t="s">
        <v>4417</v>
      </c>
    </row>
    <row r="513">
      <c r="A513" s="4" t="s">
        <v>40</v>
      </c>
      <c r="B513" s="4" t="s">
        <v>40</v>
      </c>
      <c r="C513" s="4">
        <v>511.0</v>
      </c>
      <c r="D513" s="5" t="str">
        <f>HYPERLINK("https://www.linkedin.com/ad-library/detail/926952394","Open Ad")</f>
        <v>Open Ad</v>
      </c>
      <c r="E513" s="4" t="s">
        <v>78</v>
      </c>
      <c r="F513" s="4" t="s">
        <v>3427</v>
      </c>
      <c r="G513" s="4" t="s">
        <v>3429</v>
      </c>
      <c r="H513" s="4" t="s">
        <v>49</v>
      </c>
      <c r="I513" s="4" t="s">
        <v>873</v>
      </c>
      <c r="J513" s="4" t="s">
        <v>78</v>
      </c>
      <c r="K513" s="5" t="str">
        <f>HYPERLINK("https://media.licdn.com/dms/image/v2/D4E10AQEenu7UE4xHCg/image-shrink_1280/B4EZrAmT0PKkAM-/0/1764167860244?e=2147483647&amp;v=beta&amp;t=ZkGnZPvqdrwNMMl4kFOOMovMXJE4ggEL3Tz7-Jwg-ZM","View Creative")</f>
        <v>View Creative</v>
      </c>
      <c r="L513" s="4" t="s">
        <v>2321</v>
      </c>
      <c r="M513" s="4" t="s">
        <v>61</v>
      </c>
      <c r="N513" s="4" t="s">
        <v>3432</v>
      </c>
      <c r="O513" s="4" t="s">
        <v>89</v>
      </c>
      <c r="P513" s="4" t="s">
        <v>4421</v>
      </c>
    </row>
    <row r="514">
      <c r="A514" s="4" t="s">
        <v>40</v>
      </c>
      <c r="B514" s="4" t="s">
        <v>40</v>
      </c>
      <c r="C514" s="4">
        <v>512.0</v>
      </c>
      <c r="D514" s="5" t="str">
        <f>HYPERLINK("https://www.linkedin.com/ad-library/detail/926922744","Open Ad")</f>
        <v>Open Ad</v>
      </c>
      <c r="E514" s="4" t="s">
        <v>78</v>
      </c>
      <c r="F514" s="4" t="s">
        <v>3503</v>
      </c>
      <c r="G514" s="4" t="s">
        <v>3504</v>
      </c>
      <c r="H514" s="4" t="s">
        <v>49</v>
      </c>
      <c r="I514" s="4" t="s">
        <v>429</v>
      </c>
      <c r="J514" s="4" t="s">
        <v>78</v>
      </c>
      <c r="K514" s="5" t="str">
        <f>HYPERLINK("https://media.licdn.com/dms/image/v2/D4E10AQHGlGDxyPEe2w/image-shrink_1280/B4EZrAmOLYJ0AM-/0/1764167837069?e=2147483647&amp;v=beta&amp;t=pLqFMXO4zmaGkfDmttA3Dqa86G0HLfXN_o3Cc9Bkbc0","View Creative")</f>
        <v>View Creative</v>
      </c>
      <c r="L514" s="4" t="s">
        <v>2321</v>
      </c>
      <c r="M514" s="4" t="s">
        <v>61</v>
      </c>
      <c r="N514" s="4" t="s">
        <v>3432</v>
      </c>
      <c r="O514" s="4" t="s">
        <v>89</v>
      </c>
      <c r="P514" s="4" t="s">
        <v>4431</v>
      </c>
    </row>
    <row r="515">
      <c r="A515" s="4" t="s">
        <v>40</v>
      </c>
      <c r="B515" s="4" t="s">
        <v>40</v>
      </c>
      <c r="C515" s="4">
        <v>513.0</v>
      </c>
      <c r="D515" s="5" t="str">
        <f>HYPERLINK("https://www.linkedin.com/ad-library/detail/927011734","Open Ad")</f>
        <v>Open Ad</v>
      </c>
      <c r="E515" s="4" t="s">
        <v>78</v>
      </c>
      <c r="F515" s="4" t="s">
        <v>3503</v>
      </c>
      <c r="G515" s="4" t="s">
        <v>3504</v>
      </c>
      <c r="H515" s="4" t="s">
        <v>49</v>
      </c>
      <c r="I515" s="4" t="s">
        <v>429</v>
      </c>
      <c r="J515" s="4" t="s">
        <v>78</v>
      </c>
      <c r="K515" s="5" t="str">
        <f>HYPERLINK("https://media.licdn.com/dms/image/v2/D4E10AQF0NsJF9oFaHQ/image-shrink_1280/B4EZrAmODiIQAM-/0/1764167836973?e=2147483647&amp;v=beta&amp;t=ztBm10R_pswZHEgt_3cxlPprIIrcfrHsip7r2MtivOY","View Creative")</f>
        <v>View Creative</v>
      </c>
      <c r="L515" s="4" t="s">
        <v>2321</v>
      </c>
      <c r="M515" s="4" t="s">
        <v>61</v>
      </c>
      <c r="N515" s="4" t="s">
        <v>3432</v>
      </c>
      <c r="O515" s="4" t="s">
        <v>89</v>
      </c>
      <c r="P515" s="4" t="s">
        <v>4442</v>
      </c>
    </row>
    <row r="516">
      <c r="A516" s="4" t="s">
        <v>40</v>
      </c>
      <c r="B516" s="4" t="s">
        <v>40</v>
      </c>
      <c r="C516" s="4">
        <v>514.0</v>
      </c>
      <c r="D516" s="5" t="str">
        <f>HYPERLINK("https://www.linkedin.com/ad-library/detail/926992174","Open Ad")</f>
        <v>Open Ad</v>
      </c>
      <c r="E516" s="4" t="s">
        <v>78</v>
      </c>
      <c r="F516" s="4" t="s">
        <v>3427</v>
      </c>
      <c r="G516" s="4" t="s">
        <v>3429</v>
      </c>
      <c r="H516" s="4" t="s">
        <v>49</v>
      </c>
      <c r="I516" s="4" t="s">
        <v>873</v>
      </c>
      <c r="J516" s="4" t="s">
        <v>78</v>
      </c>
      <c r="K516" s="5" t="str">
        <f>HYPERLINK("https://media.licdn.com/dms/image/v2/D4E10AQEIaypP6NEq4g/image-shrink_1280/B4EZrAmYuTHoAM-/0/1764167880310?e=2147483647&amp;v=beta&amp;t=LEy5pGNt9vWBZ_kdzlHrwEmW-462eOfOsvDjPCT0HD4","View Creative")</f>
        <v>View Creative</v>
      </c>
      <c r="L516" s="4" t="s">
        <v>2321</v>
      </c>
      <c r="M516" s="4" t="s">
        <v>61</v>
      </c>
      <c r="N516" s="4" t="s">
        <v>3603</v>
      </c>
      <c r="O516" s="4" t="s">
        <v>89</v>
      </c>
      <c r="P516" s="4" t="s">
        <v>4451</v>
      </c>
    </row>
    <row r="517">
      <c r="A517" s="4" t="s">
        <v>40</v>
      </c>
      <c r="B517" s="4" t="s">
        <v>40</v>
      </c>
      <c r="C517" s="4">
        <v>515.0</v>
      </c>
      <c r="D517" s="5" t="str">
        <f>HYPERLINK("https://www.linkedin.com/ad-library/detail/926972164","Open Ad")</f>
        <v>Open Ad</v>
      </c>
      <c r="E517" s="4" t="s">
        <v>78</v>
      </c>
      <c r="F517" s="4" t="s">
        <v>3503</v>
      </c>
      <c r="G517" s="4" t="s">
        <v>3504</v>
      </c>
      <c r="H517" s="4" t="s">
        <v>49</v>
      </c>
      <c r="I517" s="4" t="s">
        <v>429</v>
      </c>
      <c r="J517" s="4" t="s">
        <v>78</v>
      </c>
      <c r="K517" s="5" t="str">
        <f>HYPERLINK("https://media.licdn.com/dms/image/v2/D4E10AQFWuzJDIDSKOg/image-shrink_1280/B4EZrAmYteHMAM-/0/1764167880206?e=2147483647&amp;v=beta&amp;t=KXM4p6_IOH3xwBczTk52d2oLOP6hv1-N1RoJnAx6UcI","View Creative")</f>
        <v>View Creative</v>
      </c>
      <c r="L517" s="4" t="s">
        <v>2321</v>
      </c>
      <c r="M517" s="4" t="s">
        <v>61</v>
      </c>
      <c r="N517" s="4" t="s">
        <v>3432</v>
      </c>
      <c r="O517" s="4" t="s">
        <v>89</v>
      </c>
      <c r="P517" s="4" t="s">
        <v>4457</v>
      </c>
    </row>
    <row r="518">
      <c r="A518" s="4" t="s">
        <v>40</v>
      </c>
      <c r="B518" s="4" t="s">
        <v>40</v>
      </c>
      <c r="C518" s="4">
        <v>516.0</v>
      </c>
      <c r="D518" s="5" t="str">
        <f>HYPERLINK("https://www.linkedin.com/ad-library/detail/926972174","Open Ad")</f>
        <v>Open Ad</v>
      </c>
      <c r="E518" s="4" t="s">
        <v>78</v>
      </c>
      <c r="F518" s="4" t="s">
        <v>3427</v>
      </c>
      <c r="G518" s="4" t="s">
        <v>3429</v>
      </c>
      <c r="H518" s="4" t="s">
        <v>49</v>
      </c>
      <c r="I518" s="4" t="s">
        <v>873</v>
      </c>
      <c r="J518" s="4" t="s">
        <v>78</v>
      </c>
      <c r="K518" s="5" t="str">
        <f>HYPERLINK("https://media.licdn.com/dms/image/v2/D4E10AQESo3AGvuNNEA/image-shrink_1280/B4EZrAmZAUIQAQ-/0/1764167881475?e=2147483647&amp;v=beta&amp;t=TdEaKNNihlKtWlJl3UbE2aeyV5Y-pFJNxc2slC82Ja4","View Creative")</f>
        <v>View Creative</v>
      </c>
      <c r="L518" s="4" t="s">
        <v>2321</v>
      </c>
      <c r="M518" s="4" t="s">
        <v>61</v>
      </c>
      <c r="N518" s="4" t="s">
        <v>3432</v>
      </c>
      <c r="O518" s="4" t="s">
        <v>89</v>
      </c>
      <c r="P518" s="4" t="s">
        <v>4466</v>
      </c>
    </row>
    <row r="519">
      <c r="A519" s="4" t="s">
        <v>40</v>
      </c>
      <c r="B519" s="4" t="s">
        <v>40</v>
      </c>
      <c r="C519" s="4">
        <v>517.0</v>
      </c>
      <c r="D519" s="5" t="str">
        <f>HYPERLINK("https://www.linkedin.com/ad-library/detail/926992154","Open Ad")</f>
        <v>Open Ad</v>
      </c>
      <c r="E519" s="4" t="s">
        <v>78</v>
      </c>
      <c r="F519" s="4" t="s">
        <v>3427</v>
      </c>
      <c r="G519" s="4" t="s">
        <v>3429</v>
      </c>
      <c r="H519" s="4" t="s">
        <v>49</v>
      </c>
      <c r="I519" s="4" t="s">
        <v>873</v>
      </c>
      <c r="J519" s="4" t="s">
        <v>78</v>
      </c>
      <c r="K519" s="5" t="str">
        <f>HYPERLINK("https://media.licdn.com/dms/image/v2/D4E10AQF0Dqv73H6I6A/image-shrink_1280/B4EZrAmOOqHoAM-/0/1764167837278?e=2147483647&amp;v=beta&amp;t=glFDwwyUeKEe8MVgVLO8KhM1Mcfaa2d3DjJ34LxjSNo","View Creative")</f>
        <v>View Creative</v>
      </c>
      <c r="L519" s="4" t="s">
        <v>2321</v>
      </c>
      <c r="M519" s="4" t="s">
        <v>61</v>
      </c>
      <c r="N519" s="4" t="s">
        <v>3432</v>
      </c>
      <c r="O519" s="4" t="s">
        <v>89</v>
      </c>
      <c r="P519" s="4" t="s">
        <v>4473</v>
      </c>
    </row>
    <row r="520">
      <c r="A520" s="4" t="s">
        <v>40</v>
      </c>
      <c r="B520" s="4" t="s">
        <v>40</v>
      </c>
      <c r="C520" s="4">
        <v>518.0</v>
      </c>
      <c r="D520" s="5" t="str">
        <f>HYPERLINK("https://www.linkedin.com/ad-library/detail/926872814","Open Ad")</f>
        <v>Open Ad</v>
      </c>
      <c r="E520" s="4" t="s">
        <v>78</v>
      </c>
      <c r="F520" s="4" t="s">
        <v>3427</v>
      </c>
      <c r="G520" s="4" t="s">
        <v>3429</v>
      </c>
      <c r="H520" s="4" t="s">
        <v>49</v>
      </c>
      <c r="I520" s="4" t="s">
        <v>873</v>
      </c>
      <c r="J520" s="4" t="s">
        <v>78</v>
      </c>
      <c r="K520" s="5" t="str">
        <f>HYPERLINK("https://media.licdn.com/dms/image/v2/D4E10AQEOnzfAwpas7w/image-shrink_1280/B4EZrAmY7VKYAM-/0/1764167881252?e=2147483647&amp;v=beta&amp;t=mRlJ8sH7NQHGV6dNkPNYbIQ7vqjZ-sNfrMfDGXA6mIU","View Creative")</f>
        <v>View Creative</v>
      </c>
      <c r="L520" s="4" t="s">
        <v>2321</v>
      </c>
      <c r="M520" s="4" t="s">
        <v>61</v>
      </c>
      <c r="N520" s="4" t="s">
        <v>3432</v>
      </c>
      <c r="O520" s="4" t="s">
        <v>89</v>
      </c>
      <c r="P520" s="4" t="s">
        <v>4485</v>
      </c>
    </row>
    <row r="521">
      <c r="A521" s="4" t="s">
        <v>40</v>
      </c>
      <c r="B521" s="4" t="s">
        <v>40</v>
      </c>
      <c r="C521" s="4">
        <v>519.0</v>
      </c>
      <c r="D521" s="5" t="str">
        <f>HYPERLINK("https://www.linkedin.com/ad-library/detail/927071384","Open Ad")</f>
        <v>Open Ad</v>
      </c>
      <c r="E521" s="4" t="s">
        <v>78</v>
      </c>
      <c r="F521" s="4" t="s">
        <v>3427</v>
      </c>
      <c r="G521" s="4" t="s">
        <v>3429</v>
      </c>
      <c r="H521" s="4" t="s">
        <v>49</v>
      </c>
      <c r="I521" s="4" t="s">
        <v>873</v>
      </c>
      <c r="J521" s="4" t="s">
        <v>78</v>
      </c>
      <c r="K521" s="5" t="str">
        <f>HYPERLINK("https://media.licdn.com/dms/image/v2/D4E10AQFkLhoGLsoW8Q/image-shrink_1280/B4EZrAmZDaHoAM-/0/1764167881524?e=2147483647&amp;v=beta&amp;t=CVqGLqCEcaqP8qUY2x37U17YQFULW8iYYqKllHn3YRw","View Creative")</f>
        <v>View Creative</v>
      </c>
      <c r="L521" s="4" t="s">
        <v>2321</v>
      </c>
      <c r="M521" s="4" t="s">
        <v>61</v>
      </c>
      <c r="N521" s="4" t="s">
        <v>3432</v>
      </c>
      <c r="O521" s="4" t="s">
        <v>89</v>
      </c>
      <c r="P521" s="4" t="s">
        <v>4499</v>
      </c>
    </row>
    <row r="522">
      <c r="A522" s="4" t="s">
        <v>40</v>
      </c>
      <c r="B522" s="4" t="s">
        <v>40</v>
      </c>
      <c r="C522" s="4">
        <v>520.0</v>
      </c>
      <c r="D522" s="5" t="str">
        <f>HYPERLINK("https://www.linkedin.com/ad-library/detail/926902774","Open Ad")</f>
        <v>Open Ad</v>
      </c>
      <c r="E522" s="4" t="s">
        <v>78</v>
      </c>
      <c r="F522" s="4" t="s">
        <v>3427</v>
      </c>
      <c r="G522" s="4" t="s">
        <v>3429</v>
      </c>
      <c r="H522" s="4" t="s">
        <v>49</v>
      </c>
      <c r="I522" s="4" t="s">
        <v>873</v>
      </c>
      <c r="J522" s="4" t="s">
        <v>78</v>
      </c>
      <c r="K522" s="5" t="str">
        <f>HYPERLINK("https://media.licdn.com/dms/image/v2/D4E10AQEpKHUUP8jN1w/image-shrink_1280/B4EZrAmOaCGYAQ-/0/1764167837890?e=2147483647&amp;v=beta&amp;t=vZzPxZHkm6R7HlT1abNlE2PvsFlUl44h4e0J7JL1mdE","View Creative")</f>
        <v>View Creative</v>
      </c>
      <c r="L522" s="4" t="s">
        <v>2321</v>
      </c>
      <c r="M522" s="4" t="s">
        <v>61</v>
      </c>
      <c r="N522" s="4" t="s">
        <v>3432</v>
      </c>
      <c r="O522" s="4" t="s">
        <v>89</v>
      </c>
      <c r="P522" s="4" t="s">
        <v>4506</v>
      </c>
    </row>
    <row r="523">
      <c r="A523" s="4" t="s">
        <v>40</v>
      </c>
      <c r="B523" s="4" t="s">
        <v>40</v>
      </c>
      <c r="C523" s="4">
        <v>521.0</v>
      </c>
      <c r="D523" s="5" t="str">
        <f>HYPERLINK("https://www.linkedin.com/ad-library/detail/927091174","Open Ad")</f>
        <v>Open Ad</v>
      </c>
      <c r="E523" s="4" t="s">
        <v>78</v>
      </c>
      <c r="F523" s="4" t="s">
        <v>3427</v>
      </c>
      <c r="G523" s="4" t="s">
        <v>3429</v>
      </c>
      <c r="H523" s="4" t="s">
        <v>49</v>
      </c>
      <c r="I523" s="4" t="s">
        <v>873</v>
      </c>
      <c r="J523" s="4" t="s">
        <v>78</v>
      </c>
      <c r="K523" s="5" t="str">
        <f>HYPERLINK("https://media.licdn.com/dms/image/v2/D4E10AQFDM3y5QN-gHQ/image-shrink_1280/B4EZrAmOeNIwAM-/0/1764167838149?e=2147483647&amp;v=beta&amp;t=xbnEx0XI0M3zbd_Anw6hB84vLvhQERxyoqMxnAItIHQ","View Creative")</f>
        <v>View Creative</v>
      </c>
      <c r="L523" s="4" t="s">
        <v>2321</v>
      </c>
      <c r="M523" s="4" t="s">
        <v>61</v>
      </c>
      <c r="N523" s="4" t="s">
        <v>3432</v>
      </c>
      <c r="O523" s="4" t="s">
        <v>89</v>
      </c>
      <c r="P523" s="4" t="s">
        <v>4513</v>
      </c>
    </row>
    <row r="524">
      <c r="A524" s="4" t="s">
        <v>40</v>
      </c>
      <c r="B524" s="4" t="s">
        <v>40</v>
      </c>
      <c r="C524" s="4">
        <v>522.0</v>
      </c>
      <c r="D524" s="5" t="str">
        <f>HYPERLINK("https://www.linkedin.com/ad-library/detail/927051584","Open Ad")</f>
        <v>Open Ad</v>
      </c>
      <c r="E524" s="4" t="s">
        <v>78</v>
      </c>
      <c r="F524" s="4" t="s">
        <v>3427</v>
      </c>
      <c r="G524" s="4" t="s">
        <v>3429</v>
      </c>
      <c r="H524" s="4" t="s">
        <v>49</v>
      </c>
      <c r="I524" s="4" t="s">
        <v>873</v>
      </c>
      <c r="J524" s="4" t="s">
        <v>78</v>
      </c>
      <c r="K524" s="5" t="str">
        <f>HYPERLINK("https://media.licdn.com/dms/image/v2/D4E10AQHY-hoJF_qLaw/image-shrink_1280/B4EZrAmY.XHUAM-/0/1764167881588?e=2147483647&amp;v=beta&amp;t=L_cQhNUpIvkW5P0ubv-2WS-AUStA4OyKBMy5ancn6kw","View Creative")</f>
        <v>View Creative</v>
      </c>
      <c r="L524" s="4" t="s">
        <v>2321</v>
      </c>
      <c r="M524" s="4" t="s">
        <v>61</v>
      </c>
      <c r="N524" s="4" t="s">
        <v>3432</v>
      </c>
      <c r="O524" s="4" t="s">
        <v>89</v>
      </c>
      <c r="P524" s="4" t="s">
        <v>4524</v>
      </c>
    </row>
    <row r="525">
      <c r="A525" s="4" t="s">
        <v>40</v>
      </c>
      <c r="B525" s="4" t="s">
        <v>40</v>
      </c>
      <c r="C525" s="4">
        <v>523.0</v>
      </c>
      <c r="D525" s="5" t="str">
        <f>HYPERLINK("https://www.linkedin.com/ad-library/detail/927071364","Open Ad")</f>
        <v>Open Ad</v>
      </c>
      <c r="E525" s="4" t="s">
        <v>78</v>
      </c>
      <c r="F525" s="4" t="s">
        <v>3503</v>
      </c>
      <c r="G525" s="4" t="s">
        <v>3504</v>
      </c>
      <c r="H525" s="4" t="s">
        <v>49</v>
      </c>
      <c r="I525" s="4" t="s">
        <v>429</v>
      </c>
      <c r="J525" s="4" t="s">
        <v>78</v>
      </c>
      <c r="K525" s="5" t="str">
        <f>HYPERLINK("https://media.licdn.com/dms/image/v2/D4E10AQGtqtsGB8ruqw/image-shrink_1280/B4EZrAmOg8HcAM-/0/1764167838568?e=2147483647&amp;v=beta&amp;t=zVFAkLMVeKlGwBJNWccmUSlnvBc44x05ALmF2_rAEXw","View Creative")</f>
        <v>View Creative</v>
      </c>
      <c r="L525" s="4" t="s">
        <v>2321</v>
      </c>
      <c r="M525" s="4" t="s">
        <v>61</v>
      </c>
      <c r="N525" s="4" t="s">
        <v>3432</v>
      </c>
      <c r="O525" s="4" t="s">
        <v>89</v>
      </c>
      <c r="P525" s="4" t="s">
        <v>4531</v>
      </c>
    </row>
    <row r="526">
      <c r="A526" s="4" t="s">
        <v>40</v>
      </c>
      <c r="B526" s="4" t="s">
        <v>40</v>
      </c>
      <c r="C526" s="4">
        <v>524.0</v>
      </c>
      <c r="D526" s="5" t="str">
        <f>HYPERLINK("https://www.linkedin.com/ad-library/detail/926893054","Open Ad")</f>
        <v>Open Ad</v>
      </c>
      <c r="E526" s="4" t="s">
        <v>78</v>
      </c>
      <c r="F526" s="4" t="s">
        <v>3427</v>
      </c>
      <c r="G526" s="4" t="s">
        <v>3429</v>
      </c>
      <c r="H526" s="4" t="s">
        <v>49</v>
      </c>
      <c r="I526" s="4" t="s">
        <v>873</v>
      </c>
      <c r="J526" s="4" t="s">
        <v>78</v>
      </c>
      <c r="K526" s="5" t="str">
        <f>HYPERLINK("https://media.licdn.com/dms/image/v2/D4E10AQHo31_2unIkiw/image-shrink_1280/B4EZrAmY_IIwAM-/0/1764167881821?e=2147483647&amp;v=beta&amp;t=9eqLurYyd6w53qMZyPbwThetmMcGsjj9epoOEyeDAAw","View Creative")</f>
        <v>View Creative</v>
      </c>
      <c r="L526" s="4" t="s">
        <v>2321</v>
      </c>
      <c r="M526" s="4" t="s">
        <v>61</v>
      </c>
      <c r="N526" s="4" t="s">
        <v>3432</v>
      </c>
      <c r="O526" s="4" t="s">
        <v>89</v>
      </c>
      <c r="P526" s="4" t="s">
        <v>4540</v>
      </c>
    </row>
    <row r="527">
      <c r="A527" s="4" t="s">
        <v>40</v>
      </c>
      <c r="B527" s="4" t="s">
        <v>40</v>
      </c>
      <c r="C527" s="4">
        <v>525.0</v>
      </c>
      <c r="D527" s="5" t="str">
        <f>HYPERLINK("https://www.linkedin.com/ad-library/detail/927061704","Open Ad")</f>
        <v>Open Ad</v>
      </c>
      <c r="E527" s="4" t="s">
        <v>78</v>
      </c>
      <c r="F527" s="4" t="s">
        <v>3427</v>
      </c>
      <c r="G527" s="4" t="s">
        <v>3429</v>
      </c>
      <c r="H527" s="4" t="s">
        <v>49</v>
      </c>
      <c r="I527" s="4" t="s">
        <v>873</v>
      </c>
      <c r="J527" s="4" t="s">
        <v>78</v>
      </c>
      <c r="K527" s="5" t="str">
        <f>HYPERLINK("https://media.licdn.com/dms/image/v2/D4E10AQFJ5KjUdXSRJQ/image-shrink_1280/B4EZrAmON5GoAM-/0/1764167837506?e=2147483647&amp;v=beta&amp;t=PszQMIYIgZawijjeBOpJLLQvlTyP6TEJfEJFuE09mMA","View Creative")</f>
        <v>View Creative</v>
      </c>
      <c r="L527" s="4" t="s">
        <v>2321</v>
      </c>
      <c r="M527" s="4" t="s">
        <v>61</v>
      </c>
      <c r="N527" s="4" t="s">
        <v>3432</v>
      </c>
      <c r="O527" s="4" t="s">
        <v>89</v>
      </c>
      <c r="P527" s="4" t="s">
        <v>4551</v>
      </c>
    </row>
    <row r="528">
      <c r="A528" s="4" t="s">
        <v>40</v>
      </c>
      <c r="B528" s="4" t="s">
        <v>40</v>
      </c>
      <c r="C528" s="4">
        <v>526.0</v>
      </c>
      <c r="D528" s="5" t="str">
        <f>HYPERLINK("https://www.linkedin.com/ad-library/detail/927061714","Open Ad")</f>
        <v>Open Ad</v>
      </c>
      <c r="E528" s="4" t="s">
        <v>78</v>
      </c>
      <c r="F528" s="4" t="s">
        <v>3427</v>
      </c>
      <c r="G528" s="4" t="s">
        <v>3429</v>
      </c>
      <c r="H528" s="4" t="s">
        <v>49</v>
      </c>
      <c r="I528" s="4" t="s">
        <v>873</v>
      </c>
      <c r="J528" s="4" t="s">
        <v>78</v>
      </c>
      <c r="K528" s="5" t="str">
        <f>HYPERLINK("https://media.licdn.com/dms/image/v2/D4E10AQFhFnwM-VTYVQ/image-shrink_1280/B4EZrAmTi8KYAQ-/0/1764167859135?e=2147483647&amp;v=beta&amp;t=1nsnaVcJqkF5mmr76_OXQdyI-WAOlzJ-Xwcloo4O0DY","View Creative")</f>
        <v>View Creative</v>
      </c>
      <c r="L528" s="4" t="s">
        <v>2321</v>
      </c>
      <c r="M528" s="4" t="s">
        <v>61</v>
      </c>
      <c r="N528" s="4" t="s">
        <v>3432</v>
      </c>
      <c r="O528" s="4" t="s">
        <v>89</v>
      </c>
      <c r="P528" s="4" t="s">
        <v>4556</v>
      </c>
    </row>
    <row r="529">
      <c r="A529" s="4" t="s">
        <v>40</v>
      </c>
      <c r="B529" s="4" t="s">
        <v>40</v>
      </c>
      <c r="C529" s="4">
        <v>527.0</v>
      </c>
      <c r="D529" s="5" t="str">
        <f>HYPERLINK("https://www.linkedin.com/ad-library/detail/927061724","Open Ad")</f>
        <v>Open Ad</v>
      </c>
      <c r="E529" s="4" t="s">
        <v>78</v>
      </c>
      <c r="F529" s="4" t="s">
        <v>3427</v>
      </c>
      <c r="G529" s="4" t="s">
        <v>3429</v>
      </c>
      <c r="H529" s="4" t="s">
        <v>49</v>
      </c>
      <c r="I529" s="4" t="s">
        <v>873</v>
      </c>
      <c r="J529" s="4" t="s">
        <v>78</v>
      </c>
      <c r="K529" s="5" t="str">
        <f>HYPERLINK("https://media.licdn.com/dms/image/v2/D4E10AQHTdUS28RS7Bg/image-shrink_1280/B4EZrAmTuuIQAQ-/0/1764167859657?e=2147483647&amp;v=beta&amp;t=SQwlOlYuax7A4XjpacBQ6vV4NSk0fgeFFZoLBmaL2nc","View Creative")</f>
        <v>View Creative</v>
      </c>
      <c r="L529" s="4" t="s">
        <v>2321</v>
      </c>
      <c r="M529" s="4" t="s">
        <v>61</v>
      </c>
      <c r="N529" s="4" t="s">
        <v>3432</v>
      </c>
      <c r="O529" s="4" t="s">
        <v>89</v>
      </c>
      <c r="P529" s="4" t="s">
        <v>4565</v>
      </c>
    </row>
    <row r="530">
      <c r="A530" s="4" t="s">
        <v>40</v>
      </c>
      <c r="B530" s="4" t="s">
        <v>40</v>
      </c>
      <c r="C530" s="4">
        <v>528.0</v>
      </c>
      <c r="D530" s="5" t="str">
        <f>HYPERLINK("https://www.linkedin.com/ad-library/detail/927041744","Open Ad")</f>
        <v>Open Ad</v>
      </c>
      <c r="E530" s="4" t="s">
        <v>78</v>
      </c>
      <c r="F530" s="4" t="s">
        <v>3503</v>
      </c>
      <c r="G530" s="4" t="s">
        <v>3504</v>
      </c>
      <c r="H530" s="4" t="s">
        <v>49</v>
      </c>
      <c r="I530" s="4" t="s">
        <v>429</v>
      </c>
      <c r="J530" s="4" t="s">
        <v>78</v>
      </c>
      <c r="K530" s="5" t="str">
        <f>HYPERLINK("https://media.licdn.com/dms/image/v2/D4E10AQGSPl-BWF3-nQ/image-shrink_1280/B4EZrAmTiQKYAM-/0/1764167859310?e=2147483647&amp;v=beta&amp;t=zZejYbKGCLYdDoXSqxwLV7P0nQsqciX2-naAlm-2iVM","View Creative")</f>
        <v>View Creative</v>
      </c>
      <c r="L530" s="4" t="s">
        <v>2321</v>
      </c>
      <c r="M530" s="4" t="s">
        <v>61</v>
      </c>
      <c r="N530" s="4" t="s">
        <v>3432</v>
      </c>
      <c r="O530" s="4" t="s">
        <v>89</v>
      </c>
      <c r="P530" s="4" t="s">
        <v>4575</v>
      </c>
    </row>
    <row r="531">
      <c r="A531" s="4" t="s">
        <v>40</v>
      </c>
      <c r="B531" s="4" t="s">
        <v>40</v>
      </c>
      <c r="C531" s="4">
        <v>529.0</v>
      </c>
      <c r="D531" s="5" t="str">
        <f>HYPERLINK("https://www.linkedin.com/ad-library/detail/926692504","Open Ad")</f>
        <v>Open Ad</v>
      </c>
      <c r="E531" s="4" t="s">
        <v>78</v>
      </c>
      <c r="F531" s="4" t="s">
        <v>54</v>
      </c>
      <c r="G531" s="4" t="s">
        <v>4579</v>
      </c>
      <c r="H531" s="4" t="s">
        <v>4581</v>
      </c>
      <c r="I531" s="4" t="s">
        <v>198</v>
      </c>
      <c r="J531" s="4" t="s">
        <v>78</v>
      </c>
      <c r="K531" s="5" t="str">
        <f>HYPERLINK("https://media.licdn.com/dms/image/v2/D5622AQH3y53bBSorTQ/feedshare-shrink_1280/B56ZnyfETDIYAw-/0/1760709855322?e=2147483647&amp;v=beta&amp;t=6TscsTd92i0Ni-cwqgFWqh4kRPyFahHf21lTrhKwMac","View Creative")</f>
        <v>View Creative</v>
      </c>
      <c r="L531" s="4" t="s">
        <v>60</v>
      </c>
      <c r="M531" s="4" t="s">
        <v>61</v>
      </c>
      <c r="N531" s="4" t="s">
        <v>4586</v>
      </c>
      <c r="O531" s="4" t="s">
        <v>89</v>
      </c>
      <c r="P531" s="4" t="s">
        <v>4588</v>
      </c>
    </row>
    <row r="532">
      <c r="A532" s="4" t="s">
        <v>40</v>
      </c>
      <c r="B532" s="4" t="s">
        <v>40</v>
      </c>
      <c r="C532" s="4">
        <v>530.0</v>
      </c>
      <c r="D532" s="5" t="str">
        <f>HYPERLINK("https://www.linkedin.com/ad-library/detail/919626554","Open Ad")</f>
        <v>Open Ad</v>
      </c>
      <c r="E532" s="4" t="s">
        <v>78</v>
      </c>
      <c r="F532" s="4" t="s">
        <v>4589</v>
      </c>
      <c r="G532" s="4" t="s">
        <v>4590</v>
      </c>
      <c r="H532" s="4" t="s">
        <v>49</v>
      </c>
      <c r="I532" s="4" t="s">
        <v>4591</v>
      </c>
      <c r="J532" s="4" t="s">
        <v>78</v>
      </c>
      <c r="K532" s="5" t="str">
        <f>HYPERLINK("https://media.licdn.com/dms/image/v2/D4E10AQEN0cgot0y5YQ/image-shrink_1280/B4EZqX4ei1HEAM-/0/1763484758415/1080x1920SocialPostLinkedInCampaignSEO-1png?e=2147483647&amp;v=beta&amp;t=_omOD6KvJgTcCTYPLWNFYFFNEVo1cXO6uuEHM2WQ3hw","View Creative")</f>
        <v>View Creative</v>
      </c>
      <c r="L532" s="4" t="s">
        <v>60</v>
      </c>
      <c r="M532" s="4" t="s">
        <v>61</v>
      </c>
      <c r="N532" s="4" t="s">
        <v>4596</v>
      </c>
      <c r="O532" s="4" t="s">
        <v>89</v>
      </c>
      <c r="P532" s="4" t="s">
        <v>4598</v>
      </c>
    </row>
    <row r="533">
      <c r="A533" s="4" t="s">
        <v>40</v>
      </c>
      <c r="B533" s="4" t="s">
        <v>40</v>
      </c>
      <c r="C533" s="4">
        <v>531.0</v>
      </c>
      <c r="D533" s="5" t="str">
        <f>HYPERLINK("https://www.linkedin.com/ad-library/detail/916932384","Open Ad")</f>
        <v>Open Ad</v>
      </c>
      <c r="E533" s="4" t="s">
        <v>78</v>
      </c>
      <c r="F533" s="4" t="s">
        <v>4589</v>
      </c>
      <c r="G533" s="4" t="s">
        <v>4590</v>
      </c>
      <c r="H533" s="4" t="s">
        <v>49</v>
      </c>
      <c r="I533" s="4" t="s">
        <v>4591</v>
      </c>
      <c r="J533" s="4" t="s">
        <v>78</v>
      </c>
      <c r="K533" s="5" t="str">
        <f>HYPERLINK("https://media.licdn.com/dms/image/v2/D4E10AQFsB71aV6k2AQ/image_627_1200/B4DZqX53ZgIkAY-/0/1763485120380/1200x630SocialPostLinkedInCampaignSEO-png?e=2147483647&amp;v=beta&amp;t=mgBQ0xMQqHluR0zzaXAe9U1HbHzlZ7nveZvnhoTHHwM","View Creative")</f>
        <v>View Creative</v>
      </c>
      <c r="L533" s="4" t="s">
        <v>60</v>
      </c>
      <c r="M533" s="4" t="s">
        <v>61</v>
      </c>
      <c r="N533" s="4" t="s">
        <v>4606</v>
      </c>
      <c r="O533" s="4" t="s">
        <v>89</v>
      </c>
      <c r="P533" s="4" t="s">
        <v>4607</v>
      </c>
    </row>
    <row r="534">
      <c r="A534" s="4" t="s">
        <v>40</v>
      </c>
      <c r="B534" s="4" t="s">
        <v>40</v>
      </c>
      <c r="C534" s="4">
        <v>532.0</v>
      </c>
      <c r="D534" s="5" t="str">
        <f>HYPERLINK("https://www.linkedin.com/ad-library/detail/916723744","Open Ad")</f>
        <v>Open Ad</v>
      </c>
      <c r="E534" s="4" t="s">
        <v>78</v>
      </c>
      <c r="F534" s="4" t="s">
        <v>4589</v>
      </c>
      <c r="G534" s="4" t="s">
        <v>4590</v>
      </c>
      <c r="H534" s="4" t="s">
        <v>49</v>
      </c>
      <c r="I534" s="4" t="s">
        <v>4591</v>
      </c>
      <c r="J534" s="4" t="s">
        <v>78</v>
      </c>
      <c r="K534" s="5" t="str">
        <f>HYPERLINK("https://media.licdn.com/dms/image/v2/D4E10AQEN0cgot0y5YQ/image-shrink_1280/B4EZqX4ei1HEAM-/0/1763484758415/1080x1920SocialPostLinkedInCampaignSEO-1png?e=2147483647&amp;v=beta&amp;t=_omOD6KvJgTcCTYPLWNFYFFNEVo1cXO6uuEHM2WQ3hw","View Creative")</f>
        <v>View Creative</v>
      </c>
      <c r="L534" s="4" t="s">
        <v>60</v>
      </c>
      <c r="M534" s="4" t="s">
        <v>61</v>
      </c>
      <c r="N534" s="4" t="s">
        <v>4606</v>
      </c>
      <c r="O534" s="4" t="s">
        <v>89</v>
      </c>
      <c r="P534" s="4" t="s">
        <v>4612</v>
      </c>
    </row>
    <row r="535">
      <c r="A535" s="4" t="s">
        <v>40</v>
      </c>
      <c r="B535" s="4" t="s">
        <v>40</v>
      </c>
      <c r="C535" s="4">
        <v>533.0</v>
      </c>
      <c r="D535" s="5" t="str">
        <f>HYPERLINK("https://www.linkedin.com/ad-library/detail/916932374","Open Ad")</f>
        <v>Open Ad</v>
      </c>
      <c r="E535" s="4" t="s">
        <v>78</v>
      </c>
      <c r="F535" s="4" t="s">
        <v>4589</v>
      </c>
      <c r="G535" s="4" t="s">
        <v>4590</v>
      </c>
      <c r="H535" s="4" t="s">
        <v>49</v>
      </c>
      <c r="I535" s="4" t="s">
        <v>4591</v>
      </c>
      <c r="J535" s="4" t="s">
        <v>78</v>
      </c>
      <c r="K535" s="5" t="str">
        <f>HYPERLINK("https://media.licdn.com/dms/image/v2/D4E10AQE3wPe599wZtA/image_627_1200/B56ZqX5360G0AY-/0/1763485122442/1080x565SocialPostLinkedInCampaignSEOpng?e=2147483647&amp;v=beta&amp;t=Rs8t1iur0rDYBPTml_NqUvsR791cex6mIzr8WeV1iHU","View Creative")</f>
        <v>View Creative</v>
      </c>
      <c r="L535" s="4" t="s">
        <v>60</v>
      </c>
      <c r="M535" s="4" t="s">
        <v>61</v>
      </c>
      <c r="N535" s="4" t="s">
        <v>4606</v>
      </c>
      <c r="O535" s="4" t="s">
        <v>89</v>
      </c>
      <c r="P535" s="4" t="s">
        <v>4623</v>
      </c>
    </row>
    <row r="536">
      <c r="A536" s="4" t="s">
        <v>40</v>
      </c>
      <c r="B536" s="4" t="s">
        <v>40</v>
      </c>
      <c r="C536" s="4">
        <v>534.0</v>
      </c>
      <c r="D536" s="5" t="str">
        <f>HYPERLINK("https://www.linkedin.com/ad-library/detail/916803134","Open Ad")</f>
        <v>Open Ad</v>
      </c>
      <c r="E536" s="4" t="s">
        <v>78</v>
      </c>
      <c r="F536" s="4" t="s">
        <v>4589</v>
      </c>
      <c r="G536" s="4" t="s">
        <v>4590</v>
      </c>
      <c r="H536" s="4" t="s">
        <v>49</v>
      </c>
      <c r="I536" s="4" t="s">
        <v>4591</v>
      </c>
      <c r="J536" s="4" t="s">
        <v>78</v>
      </c>
      <c r="K536" s="5" t="str">
        <f>HYPERLINK("https://media.licdn.com/dms/image/v2/D4E10AQFsB71aV6k2AQ/image_627_1200/B4DZqX53ZgIkAY-/0/1763485120380/1200x630SocialPostLinkedInCampaignSEO-png?e=2147483647&amp;v=beta&amp;t=mgBQ0xMQqHluR0zzaXAe9U1HbHzlZ7nveZvnhoTHHwM","View Creative")</f>
        <v>View Creative</v>
      </c>
      <c r="L536" s="4" t="s">
        <v>60</v>
      </c>
      <c r="M536" s="4" t="s">
        <v>61</v>
      </c>
      <c r="N536" s="4" t="s">
        <v>4627</v>
      </c>
      <c r="O536" s="4" t="s">
        <v>89</v>
      </c>
      <c r="P536" s="4" t="s">
        <v>4629</v>
      </c>
    </row>
    <row r="537">
      <c r="A537" s="4" t="s">
        <v>40</v>
      </c>
      <c r="B537" s="4" t="s">
        <v>40</v>
      </c>
      <c r="C537" s="4">
        <v>535.0</v>
      </c>
      <c r="D537" s="5" t="str">
        <f>HYPERLINK("https://www.linkedin.com/ad-library/detail/916862824","Open Ad")</f>
        <v>Open Ad</v>
      </c>
      <c r="E537" s="4" t="s">
        <v>78</v>
      </c>
      <c r="F537" s="4" t="s">
        <v>4589</v>
      </c>
      <c r="G537" s="4" t="s">
        <v>4590</v>
      </c>
      <c r="H537" s="4" t="s">
        <v>49</v>
      </c>
      <c r="I537" s="4" t="s">
        <v>4591</v>
      </c>
      <c r="J537" s="4" t="s">
        <v>78</v>
      </c>
      <c r="K537" s="5" t="str">
        <f>HYPERLINK("https://media.licdn.com/dms/image/v2/D4E10AQFOCGJ56bxb4Q/image-shrink_1280/B4EZqX4eieKcAM-/0/1763484757883/1080x1080SocialPostLinkedInCampaignSEO-2png?e=2147483647&amp;v=beta&amp;t=59du5Ln2AEyUfXH_HH0zZsdlV-5LCs3vD59snyV3W2c","View Creative")</f>
        <v>View Creative</v>
      </c>
      <c r="L537" s="4" t="s">
        <v>60</v>
      </c>
      <c r="M537" s="4" t="s">
        <v>61</v>
      </c>
      <c r="N537" s="4" t="s">
        <v>4606</v>
      </c>
      <c r="O537" s="4" t="s">
        <v>89</v>
      </c>
      <c r="P537" s="4" t="s">
        <v>4638</v>
      </c>
    </row>
    <row r="538">
      <c r="A538" s="4" t="s">
        <v>40</v>
      </c>
      <c r="B538" s="4" t="s">
        <v>40</v>
      </c>
      <c r="C538" s="4">
        <v>536.0</v>
      </c>
      <c r="D538" s="5" t="str">
        <f>HYPERLINK("https://www.linkedin.com/ad-library/detail/916773384","Open Ad")</f>
        <v>Open Ad</v>
      </c>
      <c r="E538" s="4" t="s">
        <v>78</v>
      </c>
      <c r="F538" s="4" t="s">
        <v>4589</v>
      </c>
      <c r="G538" s="4" t="s">
        <v>4590</v>
      </c>
      <c r="H538" s="4" t="s">
        <v>49</v>
      </c>
      <c r="I538" s="4" t="s">
        <v>4591</v>
      </c>
      <c r="J538" s="4" t="s">
        <v>78</v>
      </c>
      <c r="K538" s="5" t="str">
        <f>HYPERLINK("https://media.licdn.com/dms/image/v2/D4E10AQEN0cgot0y5YQ/image-shrink_1280/B4EZqX4ei1HEAM-/0/1763484758415/1080x1920SocialPostLinkedInCampaignSEO-1png?e=2147483647&amp;v=beta&amp;t=_omOD6KvJgTcCTYPLWNFYFFNEVo1cXO6uuEHM2WQ3hw","View Creative")</f>
        <v>View Creative</v>
      </c>
      <c r="L538" s="4" t="s">
        <v>60</v>
      </c>
      <c r="M538" s="4" t="s">
        <v>61</v>
      </c>
      <c r="N538" s="4" t="s">
        <v>4627</v>
      </c>
      <c r="O538" s="4" t="s">
        <v>89</v>
      </c>
      <c r="P538" s="4" t="s">
        <v>4647</v>
      </c>
    </row>
    <row r="539">
      <c r="A539" s="4" t="s">
        <v>40</v>
      </c>
      <c r="B539" s="4" t="s">
        <v>40</v>
      </c>
      <c r="C539" s="4">
        <v>537.0</v>
      </c>
      <c r="D539" s="5" t="str">
        <f>HYPERLINK("https://www.linkedin.com/ad-library/detail/916773394","Open Ad")</f>
        <v>Open Ad</v>
      </c>
      <c r="E539" s="4" t="s">
        <v>78</v>
      </c>
      <c r="F539" s="4" t="s">
        <v>4589</v>
      </c>
      <c r="G539" s="4" t="s">
        <v>4590</v>
      </c>
      <c r="H539" s="4" t="s">
        <v>49</v>
      </c>
      <c r="I539" s="4" t="s">
        <v>4591</v>
      </c>
      <c r="J539" s="4" t="s">
        <v>78</v>
      </c>
      <c r="K539" s="5" t="str">
        <f>HYPERLINK("https://media.licdn.com/dms/image/v2/D4E10AQE3wPe599wZtA/image_627_1200/B56ZqX5360G0AY-/0/1763485122442/1080x565SocialPostLinkedInCampaignSEOpng?e=2147483647&amp;v=beta&amp;t=Rs8t1iur0rDYBPTml_NqUvsR791cex6mIzr8WeV1iHU","View Creative")</f>
        <v>View Creative</v>
      </c>
      <c r="L539" s="4" t="s">
        <v>60</v>
      </c>
      <c r="M539" s="4" t="s">
        <v>61</v>
      </c>
      <c r="N539" s="4" t="s">
        <v>4627</v>
      </c>
      <c r="O539" s="4" t="s">
        <v>89</v>
      </c>
      <c r="P539" s="4" t="s">
        <v>4652</v>
      </c>
    </row>
    <row r="540">
      <c r="A540" s="4" t="s">
        <v>40</v>
      </c>
      <c r="B540" s="4" t="s">
        <v>40</v>
      </c>
      <c r="C540" s="4">
        <v>538.0</v>
      </c>
      <c r="D540" s="5" t="str">
        <f>HYPERLINK("https://www.linkedin.com/ad-library/detail/926952254","Open Ad")</f>
        <v>Open Ad</v>
      </c>
      <c r="E540" s="4" t="s">
        <v>78</v>
      </c>
      <c r="F540" s="4" t="s">
        <v>2864</v>
      </c>
      <c r="G540" s="4" t="s">
        <v>2865</v>
      </c>
      <c r="H540" s="4" t="s">
        <v>49</v>
      </c>
      <c r="I540" s="4" t="s">
        <v>2866</v>
      </c>
      <c r="J540" s="4" t="s">
        <v>78</v>
      </c>
      <c r="K540" s="5" t="str">
        <f>HYPERLINK("https://media.licdn.com/dms/image/v2/D4E10AQFrvZlk7xzYGA/image-shrink_1280/B4EZpJH38cGUAM-/0/1762163393376/Analyzeseo_v3png?e=2147483647&amp;v=beta&amp;t=CATIMuw66HtFFmiECmnv7JsWS6ghLh6qWFZVFsLoJFQ","View Creative")</f>
        <v>View Creative</v>
      </c>
      <c r="L540" s="4" t="s">
        <v>60</v>
      </c>
      <c r="M540" s="4" t="s">
        <v>61</v>
      </c>
      <c r="N540" s="4" t="s">
        <v>4658</v>
      </c>
      <c r="O540" s="4" t="s">
        <v>89</v>
      </c>
      <c r="P540" s="4" t="s">
        <v>4659</v>
      </c>
    </row>
    <row r="541">
      <c r="A541" s="4" t="s">
        <v>40</v>
      </c>
      <c r="B541" s="4" t="s">
        <v>40</v>
      </c>
      <c r="C541" s="4">
        <v>539.0</v>
      </c>
      <c r="D541" s="5" t="str">
        <f>HYPERLINK("https://www.linkedin.com/ad-library/detail/927071204","Open Ad")</f>
        <v>Open Ad</v>
      </c>
      <c r="E541" s="4" t="s">
        <v>78</v>
      </c>
      <c r="F541" s="4" t="s">
        <v>2864</v>
      </c>
      <c r="G541" s="4" t="s">
        <v>2865</v>
      </c>
      <c r="H541" s="4" t="s">
        <v>49</v>
      </c>
      <c r="I541" s="4" t="s">
        <v>2866</v>
      </c>
      <c r="J541" s="4" t="s">
        <v>78</v>
      </c>
      <c r="K541" s="5" t="str">
        <f>HYPERLINK("https://media.licdn.com/dms/image/v2/D4E10AQFiderjHNEmfA/image-shrink_1280/B4EZpJFlyjKMAU-/0/1762162795050/everytoolv1png?e=2147483647&amp;v=beta&amp;t=bKwBE2ciiGznP3B9BVejtsHNaVeRohDadTESyyUQ1fI","View Creative")</f>
        <v>View Creative</v>
      </c>
      <c r="L541" s="4" t="s">
        <v>60</v>
      </c>
      <c r="M541" s="4" t="s">
        <v>61</v>
      </c>
      <c r="N541" s="4" t="s">
        <v>4658</v>
      </c>
      <c r="O541" s="4" t="s">
        <v>89</v>
      </c>
      <c r="P541" s="4" t="s">
        <v>4670</v>
      </c>
    </row>
    <row r="542">
      <c r="A542" s="4" t="s">
        <v>40</v>
      </c>
      <c r="B542" s="4" t="s">
        <v>40</v>
      </c>
      <c r="C542" s="4">
        <v>540.0</v>
      </c>
      <c r="D542" s="5" t="str">
        <f>HYPERLINK("https://www.linkedin.com/ad-library/detail/926643004","Open Ad")</f>
        <v>Open Ad</v>
      </c>
      <c r="E542" s="4" t="s">
        <v>78</v>
      </c>
      <c r="F542" s="4" t="s">
        <v>54</v>
      </c>
      <c r="G542" s="4" t="s">
        <v>4672</v>
      </c>
      <c r="H542" s="4" t="s">
        <v>49</v>
      </c>
      <c r="I542" s="4" t="s">
        <v>4674</v>
      </c>
      <c r="J542" s="4" t="s">
        <v>78</v>
      </c>
      <c r="K542" s="5" t="str">
        <f>HYPERLINK("https://media.licdn.com/dms/image/v2/D5622AQEMWgZPiLf1gw/feedshare-shrink_1280/B56ZoLeCpkJkAs-/0/1761129029744?e=2147483647&amp;v=beta&amp;t=PBi2w_CraraWstX2lMqUzfRFr22cnK64GBEFMBTzL38","View Creative")</f>
        <v>View Creative</v>
      </c>
      <c r="L542" s="4" t="s">
        <v>60</v>
      </c>
      <c r="M542" s="4" t="s">
        <v>61</v>
      </c>
      <c r="N542" s="4" t="s">
        <v>4586</v>
      </c>
      <c r="O542" s="4" t="s">
        <v>89</v>
      </c>
      <c r="P542" s="4" t="s">
        <v>4675</v>
      </c>
    </row>
    <row r="543">
      <c r="A543" s="4" t="s">
        <v>40</v>
      </c>
      <c r="B543" s="4" t="s">
        <v>40</v>
      </c>
      <c r="C543" s="4">
        <v>541.0</v>
      </c>
      <c r="D543" s="5" t="str">
        <f>HYPERLINK("https://www.linkedin.com/ad-library/detail/926771934","Open Ad")</f>
        <v>Open Ad</v>
      </c>
      <c r="E543" s="4" t="s">
        <v>78</v>
      </c>
      <c r="F543" s="4" t="s">
        <v>54</v>
      </c>
      <c r="G543" s="4" t="s">
        <v>4685</v>
      </c>
      <c r="H543" s="4" t="s">
        <v>139</v>
      </c>
      <c r="I543" s="4" t="s">
        <v>4686</v>
      </c>
      <c r="J543" s="4" t="s">
        <v>78</v>
      </c>
      <c r="K543" s="5" t="str">
        <f>HYPERLINK("https://media.licdn.com/dms/image/v2/D5622AQH9z1uPArjPTg/feedshare-shrink_1280/B56Zm0ypLwIAAs-/0/1759674800317?e=2147483647&amp;v=beta&amp;t=H_r5dCMJgavZk8cYJQP1WyURb6LOI1o08TDrsPHR0bA","View Creative")</f>
        <v>View Creative</v>
      </c>
      <c r="L543" s="4" t="s">
        <v>60</v>
      </c>
      <c r="M543" s="4" t="s">
        <v>61</v>
      </c>
      <c r="N543" s="4" t="s">
        <v>4586</v>
      </c>
      <c r="O543" s="4" t="s">
        <v>89</v>
      </c>
      <c r="P543" s="4" t="s">
        <v>4689</v>
      </c>
    </row>
    <row r="544">
      <c r="A544" s="4" t="s">
        <v>40</v>
      </c>
      <c r="B544" s="4" t="s">
        <v>40</v>
      </c>
      <c r="C544" s="4">
        <v>542.0</v>
      </c>
      <c r="D544" s="5" t="str">
        <f>HYPERLINK("https://www.linkedin.com/ad-library/detail/926820264","Open Ad")</f>
        <v>Open Ad</v>
      </c>
      <c r="E544" s="4" t="s">
        <v>78</v>
      </c>
      <c r="F544" s="4" t="s">
        <v>4695</v>
      </c>
      <c r="G544" s="4" t="s">
        <v>4696</v>
      </c>
      <c r="H544" s="4" t="s">
        <v>49</v>
      </c>
      <c r="I544" s="4" t="s">
        <v>4699</v>
      </c>
      <c r="J544" s="4" t="s">
        <v>78</v>
      </c>
      <c r="K544" s="5" t="str">
        <f>HYPERLINK("https://media.licdn.com/dms/image/sync/v2/D4D27AQGaKGz7QqsVpw/articleshare-shrink_1280_800/B4DZql8CilJ4AQ-/0/1763720572553?e=2147483647&amp;v=beta&amp;t=C5JCZkUEZYsSbUzMvnxN9tONIh-Fc1X8vDsuWSRY528","View Creative")</f>
        <v>View Creative</v>
      </c>
      <c r="L544" s="4" t="s">
        <v>60</v>
      </c>
      <c r="M544" s="4" t="s">
        <v>61</v>
      </c>
      <c r="N544" s="4" t="s">
        <v>4703</v>
      </c>
      <c r="O544" s="4" t="s">
        <v>89</v>
      </c>
      <c r="P544" s="4" t="s">
        <v>4704</v>
      </c>
    </row>
    <row r="545">
      <c r="A545" s="4" t="s">
        <v>40</v>
      </c>
      <c r="B545" s="4" t="s">
        <v>40</v>
      </c>
      <c r="C545" s="4">
        <v>543.0</v>
      </c>
      <c r="D545" s="5" t="str">
        <f>HYPERLINK("https://www.linkedin.com/ad-library/detail/916922624","Open Ad")</f>
        <v>Open Ad</v>
      </c>
      <c r="E545" s="4" t="s">
        <v>78</v>
      </c>
      <c r="F545" s="4" t="s">
        <v>4589</v>
      </c>
      <c r="G545" s="4" t="s">
        <v>4590</v>
      </c>
      <c r="H545" s="4" t="s">
        <v>49</v>
      </c>
      <c r="I545" s="4" t="s">
        <v>4591</v>
      </c>
      <c r="J545" s="4" t="s">
        <v>78</v>
      </c>
      <c r="K545" s="5" t="str">
        <f>HYPERLINK("https://media.licdn.com/dms/image/v2/D4E10AQFVcCHHbZXKVQ/image-shrink_1280/B4EZqX4eiuGcAM-/0/1763484757941/1080x1080SocialPostLinkedInCampaignSEOpng?e=2147483647&amp;v=beta&amp;t=jaJJ3t7h1jaUBHERZFJmEFm39CdCq4aLOU0SWLU79t0","View Creative")</f>
        <v>View Creative</v>
      </c>
      <c r="L545" s="4" t="s">
        <v>60</v>
      </c>
      <c r="M545" s="4" t="s">
        <v>61</v>
      </c>
      <c r="N545" s="4" t="s">
        <v>4627</v>
      </c>
      <c r="O545" s="4" t="s">
        <v>89</v>
      </c>
      <c r="P545" s="4" t="s">
        <v>4714</v>
      </c>
    </row>
    <row r="546">
      <c r="A546" s="4" t="s">
        <v>40</v>
      </c>
      <c r="B546" s="4" t="s">
        <v>40</v>
      </c>
      <c r="C546" s="4">
        <v>544.0</v>
      </c>
      <c r="D546" s="5" t="str">
        <f>HYPERLINK("https://www.linkedin.com/ad-library/detail/919496254","Open Ad")</f>
        <v>Open Ad</v>
      </c>
      <c r="E546" s="4" t="s">
        <v>78</v>
      </c>
      <c r="F546" s="4" t="s">
        <v>4589</v>
      </c>
      <c r="G546" s="4" t="s">
        <v>4590</v>
      </c>
      <c r="H546" s="4" t="s">
        <v>49</v>
      </c>
      <c r="I546" s="4" t="s">
        <v>4591</v>
      </c>
      <c r="J546" s="4" t="s">
        <v>78</v>
      </c>
      <c r="K546" s="5" t="str">
        <f>HYPERLINK("https://media.licdn.com/dms/image/v2/D4E10AQFsB71aV6k2AQ/image_627_1200/B4DZqX53ZgIkAY-/0/1763485120380/1200x630SocialPostLinkedInCampaignSEO-png?e=2147483647&amp;v=beta&amp;t=mgBQ0xMQqHluR0zzaXAe9U1HbHzlZ7nveZvnhoTHHwM","View Creative")</f>
        <v>View Creative</v>
      </c>
      <c r="L546" s="4" t="s">
        <v>60</v>
      </c>
      <c r="M546" s="4" t="s">
        <v>61</v>
      </c>
      <c r="N546" s="4" t="s">
        <v>4719</v>
      </c>
      <c r="O546" s="4" t="s">
        <v>89</v>
      </c>
      <c r="P546" s="4" t="s">
        <v>4720</v>
      </c>
    </row>
    <row r="547">
      <c r="A547" s="4" t="s">
        <v>40</v>
      </c>
      <c r="B547" s="4" t="s">
        <v>40</v>
      </c>
      <c r="C547" s="4">
        <v>545.0</v>
      </c>
      <c r="D547" s="5" t="str">
        <f>HYPERLINK("https://www.linkedin.com/ad-library/detail/926972034","Open Ad")</f>
        <v>Open Ad</v>
      </c>
      <c r="E547" s="4" t="s">
        <v>78</v>
      </c>
      <c r="F547" s="4" t="s">
        <v>2864</v>
      </c>
      <c r="G547" s="4" t="s">
        <v>2865</v>
      </c>
      <c r="H547" s="4" t="s">
        <v>49</v>
      </c>
      <c r="I547" s="4" t="s">
        <v>2866</v>
      </c>
      <c r="J547" s="4" t="s">
        <v>78</v>
      </c>
      <c r="K547" s="5" t="str">
        <f>HYPERLINK("https://media.licdn.com/dms/image/v2/D4E10AQGNmJRJ2AaL9Q/image-shrink_1280/B4EZpJHOAlHEAM-/0/1762163221668/Cutmanual_v2png?e=2147483647&amp;v=beta&amp;t=87pX_7WdH1CEMUq0dRJqOLWJH_BHpsYtrJK-SbFSvIA","View Creative")</f>
        <v>View Creative</v>
      </c>
      <c r="L547" s="4" t="s">
        <v>60</v>
      </c>
      <c r="M547" s="4" t="s">
        <v>61</v>
      </c>
      <c r="N547" s="4" t="s">
        <v>4658</v>
      </c>
      <c r="O547" s="4" t="s">
        <v>89</v>
      </c>
      <c r="P547" s="4" t="s">
        <v>4728</v>
      </c>
    </row>
    <row r="548">
      <c r="A548" s="4" t="s">
        <v>40</v>
      </c>
      <c r="B548" s="4" t="s">
        <v>40</v>
      </c>
      <c r="C548" s="4">
        <v>546.0</v>
      </c>
      <c r="D548" s="5" t="str">
        <f>HYPERLINK("https://www.linkedin.com/ad-library/detail/919616234","Open Ad")</f>
        <v>Open Ad</v>
      </c>
      <c r="E548" s="4" t="s">
        <v>78</v>
      </c>
      <c r="F548" s="4" t="s">
        <v>4589</v>
      </c>
      <c r="G548" s="4" t="s">
        <v>4590</v>
      </c>
      <c r="H548" s="4" t="s">
        <v>49</v>
      </c>
      <c r="I548" s="4" t="s">
        <v>4591</v>
      </c>
      <c r="J548" s="4" t="s">
        <v>78</v>
      </c>
      <c r="K548" s="5" t="str">
        <f>HYPERLINK("https://media.licdn.com/dms/image/v2/D4E10AQFOCGJ56bxb4Q/image-shrink_1280/B4EZqX4eieKcAM-/0/1763484757883/1080x1080SocialPostLinkedInCampaignSEO-2png?e=2147483647&amp;v=beta&amp;t=59du5Ln2AEyUfXH_HH0zZsdlV-5LCs3vD59snyV3W2c","View Creative")</f>
        <v>View Creative</v>
      </c>
      <c r="L548" s="4" t="s">
        <v>60</v>
      </c>
      <c r="M548" s="4" t="s">
        <v>61</v>
      </c>
      <c r="N548" s="4" t="s">
        <v>4719</v>
      </c>
      <c r="O548" s="4" t="s">
        <v>89</v>
      </c>
      <c r="P548" s="4" t="s">
        <v>4734</v>
      </c>
    </row>
    <row r="549">
      <c r="A549" s="4" t="s">
        <v>40</v>
      </c>
      <c r="B549" s="4" t="s">
        <v>40</v>
      </c>
      <c r="C549" s="4">
        <v>547.0</v>
      </c>
      <c r="D549" s="5" t="str">
        <f>HYPERLINK("https://www.linkedin.com/ad-library/detail/926892934","Open Ad")</f>
        <v>Open Ad</v>
      </c>
      <c r="E549" s="4" t="s">
        <v>78</v>
      </c>
      <c r="F549" s="4" t="s">
        <v>2864</v>
      </c>
      <c r="G549" s="4" t="s">
        <v>2865</v>
      </c>
      <c r="H549" s="4" t="s">
        <v>49</v>
      </c>
      <c r="I549" s="4" t="s">
        <v>2866</v>
      </c>
      <c r="J549" s="4" t="s">
        <v>78</v>
      </c>
      <c r="K549" s="5" t="str">
        <f>HYPERLINK("https://media.licdn.com/dms/image/v2/D4E10AQFALTRYA2PG2g/image-shrink_1280/B4EZpJHOAqIQAM-/0/1762163221643/Everytool_v2png?e=2147483647&amp;v=beta&amp;t=OdIyyNqQeBQAfaHOYFSuH72yURT95HgluqQnSEps6CM","View Creative")</f>
        <v>View Creative</v>
      </c>
      <c r="L549" s="4" t="s">
        <v>60</v>
      </c>
      <c r="M549" s="4" t="s">
        <v>61</v>
      </c>
      <c r="N549" s="4" t="s">
        <v>4658</v>
      </c>
      <c r="O549" s="4" t="s">
        <v>89</v>
      </c>
      <c r="P549" s="4" t="s">
        <v>4740</v>
      </c>
    </row>
    <row r="550">
      <c r="A550" s="4" t="s">
        <v>40</v>
      </c>
      <c r="B550" s="4" t="s">
        <v>40</v>
      </c>
      <c r="C550" s="4">
        <v>548.0</v>
      </c>
      <c r="D550" s="5" t="str">
        <f>HYPERLINK("https://www.linkedin.com/ad-library/detail/916852824","Open Ad")</f>
        <v>Open Ad</v>
      </c>
      <c r="E550" s="4" t="s">
        <v>78</v>
      </c>
      <c r="F550" s="4" t="s">
        <v>4589</v>
      </c>
      <c r="G550" s="4" t="s">
        <v>4590</v>
      </c>
      <c r="H550" s="4" t="s">
        <v>49</v>
      </c>
      <c r="I550" s="4" t="s">
        <v>4591</v>
      </c>
      <c r="J550" s="4" t="s">
        <v>78</v>
      </c>
      <c r="K550" s="5" t="str">
        <f>HYPERLINK("https://media.licdn.com/dms/image/v2/D4E10AQFVcCHHbZXKVQ/image-shrink_1280/B4EZqX4eiuGcAM-/0/1763484757941/1080x1080SocialPostLinkedInCampaignSEOpng?e=2147483647&amp;v=beta&amp;t=jaJJ3t7h1jaUBHERZFJmEFm39CdCq4aLOU0SWLU79t0","View Creative")</f>
        <v>View Creative</v>
      </c>
      <c r="L550" s="4" t="s">
        <v>60</v>
      </c>
      <c r="M550" s="4" t="s">
        <v>61</v>
      </c>
      <c r="N550" s="4" t="s">
        <v>4606</v>
      </c>
      <c r="O550" s="4" t="s">
        <v>89</v>
      </c>
      <c r="P550" s="4" t="s">
        <v>4746</v>
      </c>
    </row>
    <row r="551">
      <c r="A551" s="4" t="s">
        <v>40</v>
      </c>
      <c r="B551" s="4" t="s">
        <v>40</v>
      </c>
      <c r="C551" s="4">
        <v>549.0</v>
      </c>
      <c r="D551" s="5" t="str">
        <f>HYPERLINK("https://www.linkedin.com/ad-library/detail/926952244","Open Ad")</f>
        <v>Open Ad</v>
      </c>
      <c r="E551" s="4" t="s">
        <v>78</v>
      </c>
      <c r="F551" s="4" t="s">
        <v>2864</v>
      </c>
      <c r="G551" s="4" t="s">
        <v>2865</v>
      </c>
      <c r="H551" s="4" t="s">
        <v>49</v>
      </c>
      <c r="I551" s="4" t="s">
        <v>2866</v>
      </c>
      <c r="J551" s="4" t="s">
        <v>78</v>
      </c>
      <c r="K551" s="5" t="str">
        <f>HYPERLINK("https://media.licdn.com/dms/image/v2/D4E10AQG3mhPj4Jq23A/image-shrink_1280/B4EZpJFlyfHMAM-/0/1762162795167/analyzeseov1png?e=2147483647&amp;v=beta&amp;t=PMyvpJXJb7kPV-WN8Hin_f-lkjdHOg6FfkPXWnbLzqM","View Creative")</f>
        <v>View Creative</v>
      </c>
      <c r="L551" s="4" t="s">
        <v>60</v>
      </c>
      <c r="M551" s="4" t="s">
        <v>61</v>
      </c>
      <c r="N551" s="4" t="s">
        <v>4658</v>
      </c>
      <c r="O551" s="4" t="s">
        <v>89</v>
      </c>
      <c r="P551" s="4" t="s">
        <v>4752</v>
      </c>
    </row>
    <row r="552">
      <c r="A552" s="4" t="s">
        <v>40</v>
      </c>
      <c r="B552" s="4" t="s">
        <v>40</v>
      </c>
      <c r="C552" s="4">
        <v>550.0</v>
      </c>
      <c r="D552" s="5" t="str">
        <f>HYPERLINK("https://www.linkedin.com/ad-library/detail/919476434","Open Ad")</f>
        <v>Open Ad</v>
      </c>
      <c r="E552" s="4" t="s">
        <v>78</v>
      </c>
      <c r="F552" s="4" t="s">
        <v>4589</v>
      </c>
      <c r="G552" s="4" t="s">
        <v>4590</v>
      </c>
      <c r="H552" s="4" t="s">
        <v>49</v>
      </c>
      <c r="I552" s="4" t="s">
        <v>4591</v>
      </c>
      <c r="J552" s="4" t="s">
        <v>78</v>
      </c>
      <c r="K552" s="5" t="str">
        <f>HYPERLINK("https://media.licdn.com/dms/image/v2/D4E10AQE3wPe599wZtA/image_627_1200/B56ZqX5360G0AY-/0/1763485122442/1080x565SocialPostLinkedInCampaignSEOpng?e=2147483647&amp;v=beta&amp;t=Rs8t1iur0rDYBPTml_NqUvsR791cex6mIzr8WeV1iHU","View Creative")</f>
        <v>View Creative</v>
      </c>
      <c r="L552" s="4" t="s">
        <v>60</v>
      </c>
      <c r="M552" s="4" t="s">
        <v>61</v>
      </c>
      <c r="N552" s="4" t="s">
        <v>4719</v>
      </c>
      <c r="O552" s="4" t="s">
        <v>89</v>
      </c>
      <c r="P552" s="4" t="s">
        <v>4757</v>
      </c>
    </row>
    <row r="553">
      <c r="A553" s="4" t="s">
        <v>40</v>
      </c>
      <c r="B553" s="4" t="s">
        <v>40</v>
      </c>
      <c r="C553" s="4">
        <v>551.0</v>
      </c>
      <c r="D553" s="5" t="str">
        <f>HYPERLINK("https://www.linkedin.com/ad-library/detail/919666124","Open Ad")</f>
        <v>Open Ad</v>
      </c>
      <c r="E553" s="4" t="s">
        <v>78</v>
      </c>
      <c r="F553" s="4" t="s">
        <v>4589</v>
      </c>
      <c r="G553" s="4" t="s">
        <v>4590</v>
      </c>
      <c r="H553" s="4" t="s">
        <v>49</v>
      </c>
      <c r="I553" s="4" t="s">
        <v>4591</v>
      </c>
      <c r="J553" s="4" t="s">
        <v>78</v>
      </c>
      <c r="K553" s="5" t="str">
        <f>HYPERLINK("https://media.licdn.com/dms/image/v2/D4E10AQFVcCHHbZXKVQ/image-shrink_1280/B4EZqX4eiuGcAM-/0/1763484757941/1080x1080SocialPostLinkedInCampaignSEOpng?e=2147483647&amp;v=beta&amp;t=jaJJ3t7h1jaUBHERZFJmEFm39CdCq4aLOU0SWLU79t0","View Creative")</f>
        <v>View Creative</v>
      </c>
      <c r="L553" s="4" t="s">
        <v>60</v>
      </c>
      <c r="M553" s="4" t="s">
        <v>61</v>
      </c>
      <c r="N553" s="4" t="s">
        <v>4596</v>
      </c>
      <c r="O553" s="4" t="s">
        <v>89</v>
      </c>
      <c r="P553" s="4" t="s">
        <v>4763</v>
      </c>
    </row>
    <row r="554">
      <c r="A554" s="4" t="s">
        <v>40</v>
      </c>
      <c r="B554" s="4" t="s">
        <v>40</v>
      </c>
      <c r="C554" s="4">
        <v>552.0</v>
      </c>
      <c r="D554" s="5" t="str">
        <f>HYPERLINK("https://www.linkedin.com/ad-library/detail/916872794","Open Ad")</f>
        <v>Open Ad</v>
      </c>
      <c r="E554" s="4" t="s">
        <v>78</v>
      </c>
      <c r="F554" s="4" t="s">
        <v>4589</v>
      </c>
      <c r="G554" s="4" t="s">
        <v>4590</v>
      </c>
      <c r="H554" s="4" t="s">
        <v>49</v>
      </c>
      <c r="I554" s="4" t="s">
        <v>4591</v>
      </c>
      <c r="J554" s="4" t="s">
        <v>78</v>
      </c>
      <c r="K554" s="5" t="str">
        <f>HYPERLINK("https://media.licdn.com/dms/image/v2/D4E10AQFOCGJ56bxb4Q/image-shrink_1280/B4EZqX4eieKcAM-/0/1763484757883/1080x1080SocialPostLinkedInCampaignSEO-2png?e=2147483647&amp;v=beta&amp;t=59du5Ln2AEyUfXH_HH0zZsdlV-5LCs3vD59snyV3W2c","View Creative")</f>
        <v>View Creative</v>
      </c>
      <c r="L554" s="4" t="s">
        <v>60</v>
      </c>
      <c r="M554" s="4" t="s">
        <v>61</v>
      </c>
      <c r="N554" s="4" t="s">
        <v>4770</v>
      </c>
      <c r="O554" s="4" t="s">
        <v>89</v>
      </c>
      <c r="P554" s="4" t="s">
        <v>4771</v>
      </c>
    </row>
    <row r="555">
      <c r="A555" s="4" t="s">
        <v>40</v>
      </c>
      <c r="B555" s="4" t="s">
        <v>40</v>
      </c>
      <c r="C555" s="4">
        <v>553.0</v>
      </c>
      <c r="D555" s="5" t="str">
        <f>HYPERLINK("https://www.linkedin.com/ad-library/detail/896162584","Open Ad")</f>
        <v>Open Ad</v>
      </c>
      <c r="E555" s="4" t="s">
        <v>78</v>
      </c>
      <c r="F555" s="4" t="s">
        <v>4775</v>
      </c>
      <c r="G555" s="4" t="s">
        <v>4777</v>
      </c>
      <c r="H555" s="4" t="s">
        <v>49</v>
      </c>
      <c r="I555" s="4" t="s">
        <v>166</v>
      </c>
      <c r="J555" s="4" t="s">
        <v>78</v>
      </c>
      <c r="K555" s="5" t="str">
        <f>HYPERLINK("https://media.licdn.com/dms/image/v2/D4E10AQEcNu0i_bMVzQ/image-shrink_1280/B4EZpytXrpHEAQ-/0/1762861088619/PaidMediaAdditionalAsset2png?e=2147483647&amp;v=beta&amp;t=_8pE7nDX2HV34gCCx7cZ3h8YNe7KUn4VxV9rgXngfGg","View Creative")</f>
        <v>View Creative</v>
      </c>
      <c r="L555" s="4" t="s">
        <v>60</v>
      </c>
      <c r="M555" s="4" t="s">
        <v>61</v>
      </c>
      <c r="N555" s="4" t="s">
        <v>4780</v>
      </c>
      <c r="O555" s="4" t="s">
        <v>89</v>
      </c>
      <c r="P555" s="4" t="s">
        <v>4781</v>
      </c>
    </row>
    <row r="556">
      <c r="A556" s="4" t="s">
        <v>40</v>
      </c>
      <c r="B556" s="4" t="s">
        <v>40</v>
      </c>
      <c r="C556" s="4">
        <v>554.0</v>
      </c>
      <c r="D556" s="5" t="str">
        <f>HYPERLINK("https://www.linkedin.com/ad-library/detail/906406704","Open Ad")</f>
        <v>Open Ad</v>
      </c>
      <c r="E556" s="4" t="s">
        <v>78</v>
      </c>
      <c r="F556" s="4" t="s">
        <v>3437</v>
      </c>
      <c r="G556" s="4" t="s">
        <v>3438</v>
      </c>
      <c r="H556" s="4" t="s">
        <v>49</v>
      </c>
      <c r="I556" s="4" t="s">
        <v>3439</v>
      </c>
      <c r="J556" s="4" t="s">
        <v>78</v>
      </c>
      <c r="K556" s="5" t="str">
        <f>HYPERLINK("https://media.licdn.com/dms/image/v2/D4E10AQHwN_0BBPz2PA/image-shrink_1280/B4EZp3c7r0KoAM-/0/1762940665717/1080x10803png?e=2147483647&amp;v=beta&amp;t=WsnMIAk6vds0IX_Ey5rc9dJUB4HqZTOZIvb3CLNIFOo","View Creative")</f>
        <v>View Creative</v>
      </c>
      <c r="L556" s="4" t="s">
        <v>60</v>
      </c>
      <c r="M556" s="4" t="s">
        <v>61</v>
      </c>
      <c r="N556" s="4" t="s">
        <v>4790</v>
      </c>
      <c r="O556" s="4" t="s">
        <v>89</v>
      </c>
      <c r="P556" s="4" t="s">
        <v>4791</v>
      </c>
    </row>
    <row r="557">
      <c r="A557" s="4" t="s">
        <v>40</v>
      </c>
      <c r="B557" s="4" t="s">
        <v>40</v>
      </c>
      <c r="C557" s="4">
        <v>555.0</v>
      </c>
      <c r="D557" s="5" t="str">
        <f>HYPERLINK("https://www.linkedin.com/ad-library/detail/906536014","Open Ad")</f>
        <v>Open Ad</v>
      </c>
      <c r="E557" s="4" t="s">
        <v>78</v>
      </c>
      <c r="F557" s="4" t="s">
        <v>3437</v>
      </c>
      <c r="G557" s="4" t="s">
        <v>3438</v>
      </c>
      <c r="H557" s="4" t="s">
        <v>49</v>
      </c>
      <c r="I557" s="4" t="s">
        <v>3439</v>
      </c>
      <c r="J557" s="4" t="s">
        <v>78</v>
      </c>
      <c r="K557" s="5" t="str">
        <f>HYPERLINK("https://media.licdn.com/dms/image/v2/D4E10AQEbg0Bmp-0ByA/image-shrink_1280/B4EZp3cw0WGUAU-/0/1762940620977/1080x10801png?e=2147483647&amp;v=beta&amp;t=wXm6L7Z81sI9Y5Sxu8KYIZEVsNzBlRvwFSwR-pCzBLQ","View Creative")</f>
        <v>View Creative</v>
      </c>
      <c r="L557" s="4" t="s">
        <v>60</v>
      </c>
      <c r="M557" s="4" t="s">
        <v>61</v>
      </c>
      <c r="N557" s="4" t="s">
        <v>4790</v>
      </c>
      <c r="O557" s="4" t="s">
        <v>89</v>
      </c>
      <c r="P557" s="4" t="s">
        <v>4796</v>
      </c>
    </row>
    <row r="558">
      <c r="A558" s="4" t="s">
        <v>40</v>
      </c>
      <c r="B558" s="4" t="s">
        <v>40</v>
      </c>
      <c r="C558" s="4">
        <v>556.0</v>
      </c>
      <c r="D558" s="5" t="str">
        <f>HYPERLINK("https://www.linkedin.com/ad-library/detail/906585924","Open Ad")</f>
        <v>Open Ad</v>
      </c>
      <c r="E558" s="4" t="s">
        <v>78</v>
      </c>
      <c r="F558" s="4" t="s">
        <v>3465</v>
      </c>
      <c r="G558" s="4" t="s">
        <v>3466</v>
      </c>
      <c r="H558" s="4" t="s">
        <v>49</v>
      </c>
      <c r="I558" s="4" t="s">
        <v>1858</v>
      </c>
      <c r="J558" s="4" t="s">
        <v>78</v>
      </c>
      <c r="K558" s="5" t="str">
        <f>HYPERLINK("https://media.licdn.com/dms/image/v2/D4E10AQEhl1xuexBSeQ/image-shrink_1280/B4EZp3cmUZHcAM-/0/1762940578000/1080x1080png?e=2147483647&amp;v=beta&amp;t=MCYE-UbJnIioDCbmlNbIXaXtPgvSQ15a7mHBuAzGymc","View Creative")</f>
        <v>View Creative</v>
      </c>
      <c r="L558" s="4" t="s">
        <v>60</v>
      </c>
      <c r="M558" s="4" t="s">
        <v>61</v>
      </c>
      <c r="N558" s="4" t="s">
        <v>4790</v>
      </c>
      <c r="O558" s="4" t="s">
        <v>89</v>
      </c>
      <c r="P558" s="4" t="s">
        <v>4803</v>
      </c>
    </row>
    <row r="559">
      <c r="A559" s="4" t="s">
        <v>40</v>
      </c>
      <c r="B559" s="4" t="s">
        <v>40</v>
      </c>
      <c r="C559" s="4">
        <v>557.0</v>
      </c>
      <c r="D559" s="5" t="str">
        <f>HYPERLINK("https://www.linkedin.com/ad-library/detail/906536024","Open Ad")</f>
        <v>Open Ad</v>
      </c>
      <c r="E559" s="4" t="s">
        <v>78</v>
      </c>
      <c r="F559" s="4" t="s">
        <v>3465</v>
      </c>
      <c r="G559" s="4" t="s">
        <v>3466</v>
      </c>
      <c r="H559" s="4" t="s">
        <v>49</v>
      </c>
      <c r="I559" s="4" t="s">
        <v>1858</v>
      </c>
      <c r="J559" s="4" t="s">
        <v>78</v>
      </c>
      <c r="K559" s="5" t="str">
        <f>HYPERLINK("https://media.licdn.com/dms/image/v2/D4E10AQEbg0Bmp-0ByA/image-shrink_1280/B4EZp3cw0WGUAU-/0/1762940620977/1080x10801png?e=2147483647&amp;v=beta&amp;t=wXm6L7Z81sI9Y5Sxu8KYIZEVsNzBlRvwFSwR-pCzBLQ","View Creative")</f>
        <v>View Creative</v>
      </c>
      <c r="L559" s="4" t="s">
        <v>60</v>
      </c>
      <c r="M559" s="4" t="s">
        <v>61</v>
      </c>
      <c r="N559" s="4" t="s">
        <v>4790</v>
      </c>
      <c r="O559" s="4" t="s">
        <v>89</v>
      </c>
      <c r="P559" s="4" t="s">
        <v>4808</v>
      </c>
    </row>
    <row r="560">
      <c r="A560" s="4" t="s">
        <v>40</v>
      </c>
      <c r="B560" s="4" t="s">
        <v>40</v>
      </c>
      <c r="C560" s="4">
        <v>558.0</v>
      </c>
      <c r="D560" s="5" t="str">
        <f>HYPERLINK("https://www.linkedin.com/ad-library/detail/906386214","Open Ad")</f>
        <v>Open Ad</v>
      </c>
      <c r="E560" s="4" t="s">
        <v>78</v>
      </c>
      <c r="F560" s="4" t="s">
        <v>3437</v>
      </c>
      <c r="G560" s="4" t="s">
        <v>3438</v>
      </c>
      <c r="H560" s="4" t="s">
        <v>49</v>
      </c>
      <c r="I560" s="4" t="s">
        <v>3439</v>
      </c>
      <c r="J560" s="4" t="s">
        <v>78</v>
      </c>
      <c r="K560" s="5" t="str">
        <f>HYPERLINK("https://media.licdn.com/dms/image/v2/D4E10AQEhl1xuexBSeQ/image-shrink_1280/B4EZp3cmUZHcAM-/0/1762940578000/1080x1080png?e=2147483647&amp;v=beta&amp;t=MCYE-UbJnIioDCbmlNbIXaXtPgvSQ15a7mHBuAzGymc","View Creative")</f>
        <v>View Creative</v>
      </c>
      <c r="L560" s="4" t="s">
        <v>60</v>
      </c>
      <c r="M560" s="4" t="s">
        <v>61</v>
      </c>
      <c r="N560" s="4" t="s">
        <v>4790</v>
      </c>
      <c r="O560" s="4" t="s">
        <v>89</v>
      </c>
      <c r="P560" s="4" t="s">
        <v>4816</v>
      </c>
    </row>
    <row r="561">
      <c r="A561" s="4" t="s">
        <v>40</v>
      </c>
      <c r="B561" s="4" t="s">
        <v>40</v>
      </c>
      <c r="C561" s="4">
        <v>559.0</v>
      </c>
      <c r="D561" s="5" t="str">
        <f>HYPERLINK("https://www.linkedin.com/ad-library/detail/906232624","Open Ad")</f>
        <v>Open Ad</v>
      </c>
      <c r="E561" s="4" t="s">
        <v>78</v>
      </c>
      <c r="F561" s="4" t="s">
        <v>4817</v>
      </c>
      <c r="G561" s="4" t="s">
        <v>4818</v>
      </c>
      <c r="H561" s="4" t="s">
        <v>49</v>
      </c>
      <c r="I561" s="4" t="s">
        <v>198</v>
      </c>
      <c r="J561" s="4" t="s">
        <v>78</v>
      </c>
      <c r="K561" s="5" t="str">
        <f t="shared" ref="K561:K562" si="4">HYPERLINK("https://media.licdn.com/dms/image/v2/D4E10AQFbOlxL8OSWJg/image-shrink_1280/B4EZpytqMUKoAM-/0/1762861164416/PaidMediaAdditionalAsset1png?e=2147483647&amp;v=beta&amp;t=ViS8VOKSfPTUYnQbQHAzlbMWJvIAUFQVB5ckRIPIezs","View Creative")</f>
        <v>View Creative</v>
      </c>
      <c r="L561" s="4" t="s">
        <v>60</v>
      </c>
      <c r="M561" s="4" t="s">
        <v>61</v>
      </c>
      <c r="N561" s="4" t="s">
        <v>4780</v>
      </c>
      <c r="O561" s="4" t="s">
        <v>89</v>
      </c>
      <c r="P561" s="4" t="s">
        <v>4821</v>
      </c>
    </row>
    <row r="562">
      <c r="A562" s="4" t="s">
        <v>40</v>
      </c>
      <c r="B562" s="4" t="s">
        <v>40</v>
      </c>
      <c r="C562" s="4">
        <v>560.0</v>
      </c>
      <c r="D562" s="5" t="str">
        <f>HYPERLINK("https://www.linkedin.com/ad-library/detail/906212174","Open Ad")</f>
        <v>Open Ad</v>
      </c>
      <c r="E562" s="4" t="s">
        <v>78</v>
      </c>
      <c r="F562" s="4" t="s">
        <v>4817</v>
      </c>
      <c r="G562" s="4" t="s">
        <v>4818</v>
      </c>
      <c r="H562" s="4" t="s">
        <v>49</v>
      </c>
      <c r="I562" s="4" t="s">
        <v>198</v>
      </c>
      <c r="J562" s="4" t="s">
        <v>78</v>
      </c>
      <c r="K562" s="5" t="str">
        <f t="shared" si="4"/>
        <v>View Creative</v>
      </c>
      <c r="L562" s="4" t="s">
        <v>60</v>
      </c>
      <c r="M562" s="4" t="s">
        <v>61</v>
      </c>
      <c r="N562" s="4" t="s">
        <v>4825</v>
      </c>
      <c r="O562" s="4" t="s">
        <v>89</v>
      </c>
      <c r="P562" s="4" t="s">
        <v>4826</v>
      </c>
    </row>
    <row r="563">
      <c r="A563" s="4" t="s">
        <v>40</v>
      </c>
      <c r="B563" s="4" t="s">
        <v>40</v>
      </c>
      <c r="C563" s="4">
        <v>561.0</v>
      </c>
      <c r="D563" s="5" t="str">
        <f>HYPERLINK("https://www.linkedin.com/ad-library/detail/906386224","Open Ad")</f>
        <v>Open Ad</v>
      </c>
      <c r="E563" s="4" t="s">
        <v>78</v>
      </c>
      <c r="F563" s="4" t="s">
        <v>3465</v>
      </c>
      <c r="G563" s="4" t="s">
        <v>3466</v>
      </c>
      <c r="H563" s="4" t="s">
        <v>49</v>
      </c>
      <c r="I563" s="4" t="s">
        <v>1858</v>
      </c>
      <c r="J563" s="4" t="s">
        <v>78</v>
      </c>
      <c r="K563" s="5" t="str">
        <f>HYPERLINK("https://media.licdn.com/dms/image/v2/D4E10AQHwN_0BBPz2PA/image-shrink_1280/B4EZp3c7r0KoAM-/0/1762940665717/1080x10803png?e=2147483647&amp;v=beta&amp;t=WsnMIAk6vds0IX_Ey5rc9dJUB4HqZTOZIvb3CLNIFOo","View Creative")</f>
        <v>View Creative</v>
      </c>
      <c r="L563" s="4" t="s">
        <v>60</v>
      </c>
      <c r="M563" s="4" t="s">
        <v>61</v>
      </c>
      <c r="N563" s="4" t="s">
        <v>4790</v>
      </c>
      <c r="O563" s="4" t="s">
        <v>89</v>
      </c>
      <c r="P563" s="4" t="s">
        <v>4831</v>
      </c>
    </row>
    <row r="564">
      <c r="A564" s="4" t="s">
        <v>40</v>
      </c>
      <c r="B564" s="4" t="s">
        <v>40</v>
      </c>
      <c r="C564" s="4">
        <v>562.0</v>
      </c>
      <c r="D564" s="5" t="str">
        <f>HYPERLINK("https://www.linkedin.com/ad-library/detail/906496114","Open Ad")</f>
        <v>Open Ad</v>
      </c>
      <c r="E564" s="4" t="s">
        <v>78</v>
      </c>
      <c r="F564" s="4" t="s">
        <v>3465</v>
      </c>
      <c r="G564" s="4" t="s">
        <v>3466</v>
      </c>
      <c r="H564" s="4" t="s">
        <v>49</v>
      </c>
      <c r="I564" s="4" t="s">
        <v>1858</v>
      </c>
      <c r="J564" s="4" t="s">
        <v>78</v>
      </c>
      <c r="K564" s="5" t="str">
        <f>HYPERLINK("https://media.licdn.com/dms/image/v2/D4E10AQGZJMH_id5Hyw/image-shrink_1280/B4EZp3c15JKgAM-/0/1762940641730/1080x10802png?e=2147483647&amp;v=beta&amp;t=aNNnCOAvPWeSrMDB5gdZKogEniysqLK2z7jXwjWrk94","View Creative")</f>
        <v>View Creative</v>
      </c>
      <c r="L564" s="4" t="s">
        <v>60</v>
      </c>
      <c r="M564" s="4" t="s">
        <v>61</v>
      </c>
      <c r="N564" s="4" t="s">
        <v>4790</v>
      </c>
      <c r="O564" s="4" t="s">
        <v>89</v>
      </c>
      <c r="P564" s="4" t="s">
        <v>4835</v>
      </c>
    </row>
    <row r="565">
      <c r="A565" s="4" t="s">
        <v>40</v>
      </c>
      <c r="B565" s="4" t="s">
        <v>40</v>
      </c>
      <c r="C565" s="4">
        <v>563.0</v>
      </c>
      <c r="D565" s="5" t="str">
        <f>HYPERLINK("https://www.linkedin.com/ad-library/detail/906251224","Open Ad")</f>
        <v>Open Ad</v>
      </c>
      <c r="E565" s="4" t="s">
        <v>78</v>
      </c>
      <c r="F565" s="4" t="s">
        <v>4840</v>
      </c>
      <c r="G565" s="4" t="s">
        <v>4841</v>
      </c>
      <c r="H565" s="4" t="s">
        <v>49</v>
      </c>
      <c r="I565" s="4" t="s">
        <v>56</v>
      </c>
      <c r="J565" s="4" t="s">
        <v>78</v>
      </c>
      <c r="K565" s="5" t="str">
        <f>HYPERLINK("https://media.licdn.com/dms/image/v2/D4E10AQFpcHeJ75oKBQ/image-shrink_1280/B4EZpyLzjlIUAM-/0/1762852289524?e=2147483647&amp;v=beta&amp;t=DAmwinJuZOxz0OsSDa_B_f9MJkSI5Mtu4lGEPzMZDgI","View Creative")</f>
        <v>View Creative</v>
      </c>
      <c r="L565" s="4" t="s">
        <v>60</v>
      </c>
      <c r="M565" s="4" t="s">
        <v>61</v>
      </c>
      <c r="N565" s="4" t="s">
        <v>4844</v>
      </c>
      <c r="O565" s="4" t="s">
        <v>89</v>
      </c>
      <c r="P565" s="4" t="s">
        <v>4845</v>
      </c>
    </row>
    <row r="566">
      <c r="A566" s="4" t="s">
        <v>40</v>
      </c>
      <c r="B566" s="4" t="s">
        <v>40</v>
      </c>
      <c r="C566" s="4">
        <v>564.0</v>
      </c>
      <c r="D566" s="5" t="str">
        <f>HYPERLINK("https://www.linkedin.com/ad-library/detail/896113284","Open Ad")</f>
        <v>Open Ad</v>
      </c>
      <c r="E566" s="4" t="s">
        <v>78</v>
      </c>
      <c r="F566" s="4" t="s">
        <v>4817</v>
      </c>
      <c r="G566" s="4" t="s">
        <v>4818</v>
      </c>
      <c r="H566" s="4" t="s">
        <v>49</v>
      </c>
      <c r="I566" s="4" t="s">
        <v>198</v>
      </c>
      <c r="J566" s="4" t="s">
        <v>78</v>
      </c>
      <c r="K566" s="5" t="str">
        <f>HYPERLINK("https://media.licdn.com/dms/image/v2/D4E10AQFbOlxL8OSWJg/image-shrink_1280/B4EZpytqMUKoAM-/0/1762861164416/PaidMediaAdditionalAsset1png?e=2147483647&amp;v=beta&amp;t=ViS8VOKSfPTUYnQbQHAzlbMWJvIAUFQVB5ckRIPIezs","View Creative")</f>
        <v>View Creative</v>
      </c>
      <c r="L566" s="4" t="s">
        <v>60</v>
      </c>
      <c r="M566" s="4" t="s">
        <v>61</v>
      </c>
      <c r="N566" s="4" t="s">
        <v>4849</v>
      </c>
      <c r="O566" s="4" t="s">
        <v>89</v>
      </c>
      <c r="P566" s="4" t="s">
        <v>4850</v>
      </c>
    </row>
    <row r="567">
      <c r="A567" s="4" t="s">
        <v>40</v>
      </c>
      <c r="B567" s="4" t="s">
        <v>40</v>
      </c>
      <c r="C567" s="4">
        <v>565.0</v>
      </c>
      <c r="D567" s="5" t="str">
        <f>HYPERLINK("https://www.linkedin.com/ad-library/detail/906232654","Open Ad")</f>
        <v>Open Ad</v>
      </c>
      <c r="E567" s="4" t="s">
        <v>78</v>
      </c>
      <c r="F567" s="4" t="s">
        <v>4775</v>
      </c>
      <c r="G567" s="4" t="s">
        <v>4777</v>
      </c>
      <c r="H567" s="4" t="s">
        <v>49</v>
      </c>
      <c r="I567" s="4" t="s">
        <v>166</v>
      </c>
      <c r="J567" s="4" t="s">
        <v>78</v>
      </c>
      <c r="K567" s="5" t="str">
        <f>HYPERLINK("https://media.licdn.com/dms/image/v2/D4E10AQEcNu0i_bMVzQ/image-shrink_1280/B4EZpytXrpHEAQ-/0/1762861088619/PaidMediaAdditionalAsset2png?e=2147483647&amp;v=beta&amp;t=_8pE7nDX2HV34gCCx7cZ3h8YNe7KUn4VxV9rgXngfGg","View Creative")</f>
        <v>View Creative</v>
      </c>
      <c r="L567" s="4" t="s">
        <v>60</v>
      </c>
      <c r="M567" s="4" t="s">
        <v>61</v>
      </c>
      <c r="N567" s="4" t="s">
        <v>4849</v>
      </c>
      <c r="O567" s="4" t="s">
        <v>89</v>
      </c>
      <c r="P567" s="4" t="s">
        <v>4856</v>
      </c>
    </row>
    <row r="568">
      <c r="A568" s="4" t="s">
        <v>40</v>
      </c>
      <c r="B568" s="4" t="s">
        <v>40</v>
      </c>
      <c r="C568" s="4">
        <v>566.0</v>
      </c>
      <c r="D568" s="5" t="str">
        <f>HYPERLINK("https://www.linkedin.com/ad-library/detail/906231324","Open Ad")</f>
        <v>Open Ad</v>
      </c>
      <c r="E568" s="4" t="s">
        <v>78</v>
      </c>
      <c r="F568" s="4" t="s">
        <v>4857</v>
      </c>
      <c r="G568" s="4" t="s">
        <v>4858</v>
      </c>
      <c r="H568" s="4" t="s">
        <v>49</v>
      </c>
      <c r="I568" s="4" t="s">
        <v>4859</v>
      </c>
      <c r="J568" s="4" t="s">
        <v>78</v>
      </c>
      <c r="K568" s="5" t="str">
        <f>HYPERLINK("https://media.licdn.com/dms/image/v2/D4E10AQEBX9YUIiph1Q/image-shrink_1280/B4EZpyLzipGYAM-/0/1762852289415?e=2147483647&amp;v=beta&amp;t=EmxFX2wGzdcytraMcT1H1nj6j12gY70T-Ez9zAQvJFo","View Creative")</f>
        <v>View Creative</v>
      </c>
      <c r="L568" s="4" t="s">
        <v>60</v>
      </c>
      <c r="M568" s="4" t="s">
        <v>61</v>
      </c>
      <c r="N568" s="4" t="s">
        <v>4844</v>
      </c>
      <c r="O568" s="4" t="s">
        <v>89</v>
      </c>
      <c r="P568" s="4" t="s">
        <v>4862</v>
      </c>
    </row>
    <row r="569">
      <c r="A569" s="4" t="s">
        <v>40</v>
      </c>
      <c r="B569" s="4" t="s">
        <v>40</v>
      </c>
      <c r="C569" s="4">
        <v>567.0</v>
      </c>
      <c r="D569" s="5" t="str">
        <f>HYPERLINK("https://www.linkedin.com/ad-library/detail/906291174","Open Ad")</f>
        <v>Open Ad</v>
      </c>
      <c r="E569" s="4" t="s">
        <v>78</v>
      </c>
      <c r="F569" s="4" t="s">
        <v>4840</v>
      </c>
      <c r="G569" s="4" t="s">
        <v>4841</v>
      </c>
      <c r="H569" s="4" t="s">
        <v>49</v>
      </c>
      <c r="I569" s="4" t="s">
        <v>56</v>
      </c>
      <c r="J569" s="4" t="s">
        <v>78</v>
      </c>
      <c r="K569" s="5" t="str">
        <f>HYPERLINK("https://media.licdn.com/dms/image/v2/D4E10AQF73e437IRBIQ/image-shrink_1280/B4EZpyLzlLIwAM-/0/1762852289559?e=2147483647&amp;v=beta&amp;t=QpvDDMMr-qZuJ8w4I7i8dvgOvDvrH7EQu7cjvNKmIH8","View Creative")</f>
        <v>View Creative</v>
      </c>
      <c r="L569" s="4" t="s">
        <v>60</v>
      </c>
      <c r="M569" s="4" t="s">
        <v>61</v>
      </c>
      <c r="N569" s="4" t="s">
        <v>4844</v>
      </c>
      <c r="O569" s="4" t="s">
        <v>89</v>
      </c>
      <c r="P569" s="4" t="s">
        <v>4864</v>
      </c>
    </row>
    <row r="570">
      <c r="A570" s="4" t="s">
        <v>40</v>
      </c>
      <c r="B570" s="4" t="s">
        <v>40</v>
      </c>
      <c r="C570" s="4">
        <v>568.0</v>
      </c>
      <c r="D570" s="5" t="str">
        <f>HYPERLINK("https://www.linkedin.com/ad-library/detail/896151414","Open Ad")</f>
        <v>Open Ad</v>
      </c>
      <c r="E570" s="4" t="s">
        <v>78</v>
      </c>
      <c r="F570" s="4" t="s">
        <v>4857</v>
      </c>
      <c r="G570" s="4" t="s">
        <v>4858</v>
      </c>
      <c r="H570" s="4" t="s">
        <v>49</v>
      </c>
      <c r="I570" s="4" t="s">
        <v>4859</v>
      </c>
      <c r="J570" s="4" t="s">
        <v>78</v>
      </c>
      <c r="K570" s="5" t="str">
        <f>HYPERLINK("https://media.licdn.com/dms/image/v2/D4E10AQFu1dtVu5bP8w/image-shrink_1280/B4EZpyLzd.IoAM-/0/1762852289117?e=2147483647&amp;v=beta&amp;t=4qugEXMSj8KwUHOEL8FJ-G38xwY6wPKMSCDKms9CyWQ","View Creative")</f>
        <v>View Creative</v>
      </c>
      <c r="L570" s="4" t="s">
        <v>60</v>
      </c>
      <c r="M570" s="4" t="s">
        <v>61</v>
      </c>
      <c r="N570" s="4" t="s">
        <v>4844</v>
      </c>
      <c r="O570" s="4" t="s">
        <v>89</v>
      </c>
      <c r="P570" s="4" t="s">
        <v>4866</v>
      </c>
    </row>
    <row r="571">
      <c r="A571" s="4" t="s">
        <v>40</v>
      </c>
      <c r="B571" s="4" t="s">
        <v>40</v>
      </c>
      <c r="C571" s="4">
        <v>569.0</v>
      </c>
      <c r="D571" s="5" t="str">
        <f>HYPERLINK("https://www.linkedin.com/ad-library/detail/906486084","Open Ad")</f>
        <v>Open Ad</v>
      </c>
      <c r="E571" s="4" t="s">
        <v>78</v>
      </c>
      <c r="F571" s="4" t="s">
        <v>3217</v>
      </c>
      <c r="G571" s="4" t="s">
        <v>3218</v>
      </c>
      <c r="H571" s="4" t="s">
        <v>49</v>
      </c>
      <c r="I571" s="4" t="s">
        <v>873</v>
      </c>
      <c r="J571" s="4" t="s">
        <v>78</v>
      </c>
      <c r="K571" s="5" t="str">
        <f>HYPERLINK("https://media.licdn.com/dms/image/v2/D4E10AQEbg0Bmp-0ByA/image-shrink_1280/B4EZp3cw0WGUAU-/0/1762940620977/1080x10801png?e=2147483647&amp;v=beta&amp;t=wXm6L7Z81sI9Y5Sxu8KYIZEVsNzBlRvwFSwR-pCzBLQ","View Creative")</f>
        <v>View Creative</v>
      </c>
      <c r="L571" s="4" t="s">
        <v>60</v>
      </c>
      <c r="M571" s="4" t="s">
        <v>61</v>
      </c>
      <c r="N571" s="4" t="s">
        <v>4790</v>
      </c>
      <c r="O571" s="4" t="s">
        <v>89</v>
      </c>
      <c r="P571" s="4" t="s">
        <v>4867</v>
      </c>
    </row>
    <row r="572">
      <c r="A572" s="4" t="s">
        <v>40</v>
      </c>
      <c r="B572" s="4" t="s">
        <v>40</v>
      </c>
      <c r="C572" s="4">
        <v>570.0</v>
      </c>
      <c r="D572" s="5" t="str">
        <f>HYPERLINK("https://www.linkedin.com/ad-library/detail/906406684","Open Ad")</f>
        <v>Open Ad</v>
      </c>
      <c r="E572" s="4" t="s">
        <v>78</v>
      </c>
      <c r="F572" s="4" t="s">
        <v>3217</v>
      </c>
      <c r="G572" s="4" t="s">
        <v>3218</v>
      </c>
      <c r="H572" s="4" t="s">
        <v>49</v>
      </c>
      <c r="I572" s="4" t="s">
        <v>873</v>
      </c>
      <c r="J572" s="4" t="s">
        <v>78</v>
      </c>
      <c r="K572" s="5" t="str">
        <f>HYPERLINK("https://media.licdn.com/dms/image/v2/D4E10AQEhl1xuexBSeQ/image-shrink_1280/B4EZp3cmUZHcAM-/0/1762940578000/1080x1080png?e=2147483647&amp;v=beta&amp;t=MCYE-UbJnIioDCbmlNbIXaXtPgvSQ15a7mHBuAzGymc","View Creative")</f>
        <v>View Creative</v>
      </c>
      <c r="L572" s="4" t="s">
        <v>60</v>
      </c>
      <c r="M572" s="4" t="s">
        <v>61</v>
      </c>
      <c r="N572" s="4" t="s">
        <v>4790</v>
      </c>
      <c r="O572" s="4" t="s">
        <v>89</v>
      </c>
      <c r="P572" s="4" t="s">
        <v>4869</v>
      </c>
    </row>
    <row r="573">
      <c r="A573" s="4" t="s">
        <v>40</v>
      </c>
      <c r="B573" s="4" t="s">
        <v>40</v>
      </c>
      <c r="C573" s="4">
        <v>571.0</v>
      </c>
      <c r="D573" s="5" t="str">
        <f>HYPERLINK("https://www.linkedin.com/ad-library/detail/896141274","Open Ad")</f>
        <v>Open Ad</v>
      </c>
      <c r="E573" s="4" t="s">
        <v>78</v>
      </c>
      <c r="F573" s="4" t="s">
        <v>4840</v>
      </c>
      <c r="G573" s="4" t="s">
        <v>4841</v>
      </c>
      <c r="H573" s="4" t="s">
        <v>49</v>
      </c>
      <c r="I573" s="4" t="s">
        <v>56</v>
      </c>
      <c r="J573" s="4" t="s">
        <v>78</v>
      </c>
      <c r="K573" s="5" t="str">
        <f>HYPERLINK("https://media.licdn.com/dms/image/v2/D4E10AQFUd_Op3dW7wQ/image-shrink_1280/B4EZpyLzc1KkAM-/0/1762852290548?e=2147483647&amp;v=beta&amp;t=sFjXOiLQa-J-awVGe8gZ4joad3KqGErvTB5Xi7n3bjw","View Creative")</f>
        <v>View Creative</v>
      </c>
      <c r="L573" s="4" t="s">
        <v>60</v>
      </c>
      <c r="M573" s="4" t="s">
        <v>61</v>
      </c>
      <c r="N573" s="4" t="s">
        <v>4844</v>
      </c>
      <c r="O573" s="4" t="s">
        <v>89</v>
      </c>
      <c r="P573" s="4" t="s">
        <v>4871</v>
      </c>
    </row>
    <row r="574">
      <c r="A574" s="4" t="s">
        <v>40</v>
      </c>
      <c r="B574" s="4" t="s">
        <v>40</v>
      </c>
      <c r="C574" s="4">
        <v>572.0</v>
      </c>
      <c r="D574" s="5" t="str">
        <f>HYPERLINK("https://www.linkedin.com/ad-library/detail/906585914","Open Ad")</f>
        <v>Open Ad</v>
      </c>
      <c r="E574" s="4" t="s">
        <v>78</v>
      </c>
      <c r="F574" s="4" t="s">
        <v>3217</v>
      </c>
      <c r="G574" s="4" t="s">
        <v>3218</v>
      </c>
      <c r="H574" s="4" t="s">
        <v>49</v>
      </c>
      <c r="I574" s="4" t="s">
        <v>873</v>
      </c>
      <c r="J574" s="4" t="s">
        <v>78</v>
      </c>
      <c r="K574" s="5" t="str">
        <f>HYPERLINK("https://media.licdn.com/dms/image/v2/D4E10AQHwN_0BBPz2PA/image-shrink_1280/B4EZp3c7r0KoAM-/0/1762940665717/1080x10803png?e=2147483647&amp;v=beta&amp;t=WsnMIAk6vds0IX_Ey5rc9dJUB4HqZTOZIvb3CLNIFOo","View Creative")</f>
        <v>View Creative</v>
      </c>
      <c r="L574" s="4" t="s">
        <v>60</v>
      </c>
      <c r="M574" s="4" t="s">
        <v>61</v>
      </c>
      <c r="N574" s="4" t="s">
        <v>4790</v>
      </c>
      <c r="O574" s="4" t="s">
        <v>89</v>
      </c>
      <c r="P574" s="4" t="s">
        <v>4873</v>
      </c>
    </row>
    <row r="575">
      <c r="A575" s="4" t="s">
        <v>40</v>
      </c>
      <c r="B575" s="4" t="s">
        <v>40</v>
      </c>
      <c r="C575" s="4">
        <v>573.0</v>
      </c>
      <c r="D575" s="5" t="str">
        <f>HYPERLINK("https://www.linkedin.com/ad-library/detail/906396754","Open Ad")</f>
        <v>Open Ad</v>
      </c>
      <c r="E575" s="4" t="s">
        <v>78</v>
      </c>
      <c r="F575" s="4" t="s">
        <v>3217</v>
      </c>
      <c r="G575" s="4" t="s">
        <v>3218</v>
      </c>
      <c r="H575" s="4" t="s">
        <v>49</v>
      </c>
      <c r="I575" s="4" t="s">
        <v>873</v>
      </c>
      <c r="J575" s="4" t="s">
        <v>78</v>
      </c>
      <c r="K575" s="5" t="str">
        <f>HYPERLINK("https://media.licdn.com/dms/image/v2/D4E10AQGZJMH_id5Hyw/image-shrink_1280/B4EZp3c15JKgAM-/0/1762940641730/1080x10802png?e=2147483647&amp;v=beta&amp;t=aNNnCOAvPWeSrMDB5gdZKogEniysqLK2z7jXwjWrk94","View Creative")</f>
        <v>View Creative</v>
      </c>
      <c r="L575" s="4" t="s">
        <v>60</v>
      </c>
      <c r="M575" s="4" t="s">
        <v>61</v>
      </c>
      <c r="N575" s="4" t="s">
        <v>4790</v>
      </c>
      <c r="O575" s="4" t="s">
        <v>89</v>
      </c>
      <c r="P575" s="4" t="s">
        <v>4874</v>
      </c>
    </row>
    <row r="576">
      <c r="A576" s="4" t="s">
        <v>40</v>
      </c>
      <c r="B576" s="4" t="s">
        <v>40</v>
      </c>
      <c r="C576" s="4">
        <v>574.0</v>
      </c>
      <c r="D576" s="5" t="str">
        <f>HYPERLINK("https://www.linkedin.com/ad-library/detail/906332594","Open Ad")</f>
        <v>Open Ad</v>
      </c>
      <c r="E576" s="4" t="s">
        <v>78</v>
      </c>
      <c r="F576" s="4" t="s">
        <v>4775</v>
      </c>
      <c r="G576" s="4" t="s">
        <v>4777</v>
      </c>
      <c r="H576" s="4" t="s">
        <v>49</v>
      </c>
      <c r="I576" s="4" t="s">
        <v>166</v>
      </c>
      <c r="J576" s="4" t="s">
        <v>78</v>
      </c>
      <c r="K576" s="5" t="str">
        <f>HYPERLINK("https://media.licdn.com/dms/image/v2/D4E10AQEcNu0i_bMVzQ/image-shrink_1280/B4EZpytXrpHEAQ-/0/1762861088619/PaidMediaAdditionalAsset2png?e=2147483647&amp;v=beta&amp;t=_8pE7nDX2HV34gCCx7cZ3h8YNe7KUn4VxV9rgXngfGg","View Creative")</f>
        <v>View Creative</v>
      </c>
      <c r="L576" s="4" t="s">
        <v>60</v>
      </c>
      <c r="M576" s="4" t="s">
        <v>61</v>
      </c>
      <c r="N576" s="4" t="s">
        <v>4825</v>
      </c>
      <c r="O576" s="4" t="s">
        <v>89</v>
      </c>
      <c r="P576" s="4" t="s">
        <v>4876</v>
      </c>
    </row>
    <row r="577">
      <c r="A577" s="4" t="s">
        <v>40</v>
      </c>
      <c r="B577" s="4" t="s">
        <v>40</v>
      </c>
      <c r="C577" s="4">
        <v>575.0</v>
      </c>
      <c r="D577" s="5" t="str">
        <f>HYPERLINK("https://www.linkedin.com/ad-library/detail/906376744","Open Ad")</f>
        <v>Open Ad</v>
      </c>
      <c r="E577" s="4" t="s">
        <v>78</v>
      </c>
      <c r="F577" s="4" t="s">
        <v>3437</v>
      </c>
      <c r="G577" s="4" t="s">
        <v>3438</v>
      </c>
      <c r="H577" s="4" t="s">
        <v>49</v>
      </c>
      <c r="I577" s="4" t="s">
        <v>3439</v>
      </c>
      <c r="J577" s="4" t="s">
        <v>78</v>
      </c>
      <c r="K577" s="5" t="str">
        <f>HYPERLINK("https://media.licdn.com/dms/image/v2/D4E10AQGZJMH_id5Hyw/image-shrink_1280/B4EZp3c15JKgAM-/0/1762940641730/1080x10802png?e=2147483647&amp;v=beta&amp;t=aNNnCOAvPWeSrMDB5gdZKogEniysqLK2z7jXwjWrk94","View Creative")</f>
        <v>View Creative</v>
      </c>
      <c r="L577" s="4" t="s">
        <v>60</v>
      </c>
      <c r="M577" s="4" t="s">
        <v>61</v>
      </c>
      <c r="N577" s="4" t="s">
        <v>4790</v>
      </c>
      <c r="O577" s="4" t="s">
        <v>89</v>
      </c>
      <c r="P577" s="4" t="s">
        <v>4878</v>
      </c>
    </row>
    <row r="578">
      <c r="A578" s="4" t="s">
        <v>40</v>
      </c>
      <c r="B578" s="4" t="s">
        <v>40</v>
      </c>
      <c r="C578" s="4">
        <v>576.0</v>
      </c>
      <c r="D578" s="5" t="str">
        <f>HYPERLINK("https://www.linkedin.com/ad-library/detail/906260964","Open Ad")</f>
        <v>Open Ad</v>
      </c>
      <c r="E578" s="4" t="s">
        <v>78</v>
      </c>
      <c r="F578" s="4" t="s">
        <v>4879</v>
      </c>
      <c r="G578" s="4" t="s">
        <v>4880</v>
      </c>
      <c r="H578" s="4" t="s">
        <v>49</v>
      </c>
      <c r="I578" s="4" t="s">
        <v>4859</v>
      </c>
      <c r="J578" s="4" t="s">
        <v>78</v>
      </c>
      <c r="K578" s="5" t="str">
        <f>HYPERLINK("https://media.licdn.com/dms/image/v2/D4E10AQGodPXlvb46Cg/image-shrink_1280/B4EZpyLzg.IoAQ-/0/1762852289387?e=2147483647&amp;v=beta&amp;t=CQeaujd-298HjX-KYaO4kXEJd0cUgZJdDZZKO1CXlSA","View Creative")</f>
        <v>View Creative</v>
      </c>
      <c r="L578" s="4" t="s">
        <v>60</v>
      </c>
      <c r="M578" s="4" t="s">
        <v>61</v>
      </c>
      <c r="N578" s="4" t="s">
        <v>4844</v>
      </c>
      <c r="O578" s="4" t="s">
        <v>89</v>
      </c>
      <c r="P578" s="4" t="s">
        <v>4881</v>
      </c>
    </row>
    <row r="579">
      <c r="A579" s="4" t="s">
        <v>40</v>
      </c>
      <c r="B579" s="4" t="s">
        <v>40</v>
      </c>
      <c r="C579" s="4">
        <v>577.0</v>
      </c>
      <c r="D579" s="5" t="str">
        <f>HYPERLINK("https://www.linkedin.com/ad-library/detail/906320864","Open Ad")</f>
        <v>Open Ad</v>
      </c>
      <c r="E579" s="4" t="s">
        <v>78</v>
      </c>
      <c r="F579" s="4" t="s">
        <v>4879</v>
      </c>
      <c r="G579" s="4" t="s">
        <v>4880</v>
      </c>
      <c r="H579" s="4" t="s">
        <v>49</v>
      </c>
      <c r="I579" s="4" t="s">
        <v>4859</v>
      </c>
      <c r="J579" s="4" t="s">
        <v>78</v>
      </c>
      <c r="K579" s="5" t="str">
        <f>HYPERLINK("https://media.licdn.com/dms/image/v2/D4E10AQGdkpUfQmyFGg/image-shrink_1280/B4EZpyKshYGoAQ-/0/1762851999082?e=2147483647&amp;v=beta&amp;t=0HTCI2XPe8kMSenURP3_Og8GYBb9ou89JkQ57yc_8eU","View Creative")</f>
        <v>View Creative</v>
      </c>
      <c r="L579" s="4" t="s">
        <v>60</v>
      </c>
      <c r="M579" s="4" t="s">
        <v>61</v>
      </c>
      <c r="N579" s="4" t="s">
        <v>4844</v>
      </c>
      <c r="O579" s="4" t="s">
        <v>89</v>
      </c>
      <c r="P579" s="4" t="s">
        <v>4883</v>
      </c>
    </row>
    <row r="580">
      <c r="A580" s="4" t="s">
        <v>40</v>
      </c>
      <c r="B580" s="4" t="s">
        <v>40</v>
      </c>
      <c r="C580" s="4">
        <v>578.0</v>
      </c>
      <c r="D580" s="5" t="str">
        <f>HYPERLINK("https://www.linkedin.com/ad-library/detail/906231274","Open Ad")</f>
        <v>Open Ad</v>
      </c>
      <c r="E580" s="4" t="s">
        <v>78</v>
      </c>
      <c r="F580" s="4" t="s">
        <v>4857</v>
      </c>
      <c r="G580" s="4" t="s">
        <v>4858</v>
      </c>
      <c r="H580" s="4" t="s">
        <v>49</v>
      </c>
      <c r="I580" s="4" t="s">
        <v>4859</v>
      </c>
      <c r="J580" s="4" t="s">
        <v>78</v>
      </c>
      <c r="K580" s="5" t="str">
        <f>HYPERLINK("https://media.licdn.com/dms/image/v2/D4E10AQEQFxDsc_0HMg/image-shrink_1280/B4EZpyKsflGUAM-/0/1762851998394?e=2147483647&amp;v=beta&amp;t=7hf4QzYt2CI1RMSMHLNRoAtZwNwsclkaUtgzo3nft0A","View Creative")</f>
        <v>View Creative</v>
      </c>
      <c r="L580" s="4" t="s">
        <v>60</v>
      </c>
      <c r="M580" s="4" t="s">
        <v>61</v>
      </c>
      <c r="N580" s="4" t="s">
        <v>4844</v>
      </c>
      <c r="O580" s="4" t="s">
        <v>89</v>
      </c>
      <c r="P580" s="4" t="s">
        <v>4885</v>
      </c>
    </row>
    <row r="581">
      <c r="A581" s="4" t="s">
        <v>40</v>
      </c>
      <c r="B581" s="4" t="s">
        <v>40</v>
      </c>
      <c r="C581" s="4">
        <v>579.0</v>
      </c>
      <c r="D581" s="5" t="str">
        <f>HYPERLINK("https://www.linkedin.com/ad-library/detail/896141234","Open Ad")</f>
        <v>Open Ad</v>
      </c>
      <c r="E581" s="4" t="s">
        <v>78</v>
      </c>
      <c r="F581" s="4" t="s">
        <v>4840</v>
      </c>
      <c r="G581" s="4" t="s">
        <v>4841</v>
      </c>
      <c r="H581" s="4" t="s">
        <v>49</v>
      </c>
      <c r="I581" s="4" t="s">
        <v>56</v>
      </c>
      <c r="J581" s="4" t="s">
        <v>78</v>
      </c>
      <c r="K581" s="5" t="str">
        <f>HYPERLINK("https://media.licdn.com/dms/image/v2/D4E10AQHQ7QigXqNsJg/image-shrink_1280/B4EZpyKskeHMAM-/0/1762851998715?e=2147483647&amp;v=beta&amp;t=a1O1ncyCxFuKK-dIY2yEofFMGYef17GO8VWkF5FHqb0","View Creative")</f>
        <v>View Creative</v>
      </c>
      <c r="L581" s="4" t="s">
        <v>60</v>
      </c>
      <c r="M581" s="4" t="s">
        <v>61</v>
      </c>
      <c r="N581" s="4" t="s">
        <v>4844</v>
      </c>
      <c r="O581" s="4" t="s">
        <v>89</v>
      </c>
      <c r="P581" s="4" t="s">
        <v>4886</v>
      </c>
    </row>
    <row r="582">
      <c r="A582" s="4" t="s">
        <v>40</v>
      </c>
      <c r="B582" s="4" t="s">
        <v>40</v>
      </c>
      <c r="C582" s="4">
        <v>580.0</v>
      </c>
      <c r="D582" s="5" t="str">
        <f>HYPERLINK("https://www.linkedin.com/ad-library/detail/906231254","Open Ad")</f>
        <v>Open Ad</v>
      </c>
      <c r="E582" s="4" t="s">
        <v>78</v>
      </c>
      <c r="F582" s="4" t="s">
        <v>4879</v>
      </c>
      <c r="G582" s="4" t="s">
        <v>4880</v>
      </c>
      <c r="H582" s="4" t="s">
        <v>49</v>
      </c>
      <c r="I582" s="4" t="s">
        <v>4859</v>
      </c>
      <c r="J582" s="4" t="s">
        <v>78</v>
      </c>
      <c r="K582" s="5" t="str">
        <f>HYPERLINK("https://media.licdn.com/dms/image/v2/D4E10AQE2pRdVrPbjTw/image-shrink_1280/B4EZpyKNdRKcAM-/0/1762851872762?e=2147483647&amp;v=beta&amp;t=b0wdNQvNF-Ex75soL9zUcjYourLakd92esXyRPksZDI","View Creative")</f>
        <v>View Creative</v>
      </c>
      <c r="L582" s="4" t="s">
        <v>60</v>
      </c>
      <c r="M582" s="4" t="s">
        <v>61</v>
      </c>
      <c r="N582" s="4" t="s">
        <v>4844</v>
      </c>
      <c r="O582" s="4" t="s">
        <v>89</v>
      </c>
      <c r="P582" s="4" t="s">
        <v>4888</v>
      </c>
    </row>
    <row r="583">
      <c r="A583" s="4" t="s">
        <v>40</v>
      </c>
      <c r="B583" s="4" t="s">
        <v>40</v>
      </c>
      <c r="C583" s="4">
        <v>581.0</v>
      </c>
      <c r="D583" s="5" t="str">
        <f>HYPERLINK("https://www.linkedin.com/ad-library/detail/906320854","Open Ad")</f>
        <v>Open Ad</v>
      </c>
      <c r="E583" s="4" t="s">
        <v>78</v>
      </c>
      <c r="F583" s="4" t="s">
        <v>4879</v>
      </c>
      <c r="G583" s="4" t="s">
        <v>4880</v>
      </c>
      <c r="H583" s="4" t="s">
        <v>49</v>
      </c>
      <c r="I583" s="4" t="s">
        <v>4859</v>
      </c>
      <c r="J583" s="4" t="s">
        <v>78</v>
      </c>
      <c r="K583" s="5" t="str">
        <f>HYPERLINK("https://media.licdn.com/dms/image/v2/D4E10AQFHcKdPRiOy1Q/image-shrink_1280/B4EZpyKimlKkAQ-/0/1762851960442?e=2147483647&amp;v=beta&amp;t=AX5WR9PRCmNlQyzmGSgkZq4BgBeloJuDmXRk4N3UA7o","View Creative")</f>
        <v>View Creative</v>
      </c>
      <c r="L583" s="4" t="s">
        <v>60</v>
      </c>
      <c r="M583" s="4" t="s">
        <v>61</v>
      </c>
      <c r="N583" s="4" t="s">
        <v>4844</v>
      </c>
      <c r="O583" s="4" t="s">
        <v>89</v>
      </c>
      <c r="P583" s="4" t="s">
        <v>4890</v>
      </c>
    </row>
    <row r="584">
      <c r="A584" s="4" t="s">
        <v>40</v>
      </c>
      <c r="B584" s="4" t="s">
        <v>40</v>
      </c>
      <c r="C584" s="4">
        <v>582.0</v>
      </c>
      <c r="D584" s="5" t="str">
        <f>HYPERLINK("https://www.linkedin.com/ad-library/detail/896111784","Open Ad")</f>
        <v>Open Ad</v>
      </c>
      <c r="E584" s="4" t="s">
        <v>78</v>
      </c>
      <c r="F584" s="4" t="s">
        <v>4840</v>
      </c>
      <c r="G584" s="4" t="s">
        <v>4841</v>
      </c>
      <c r="H584" s="4" t="s">
        <v>49</v>
      </c>
      <c r="I584" s="4" t="s">
        <v>56</v>
      </c>
      <c r="J584" s="4" t="s">
        <v>78</v>
      </c>
      <c r="K584" s="5" t="str">
        <f>HYPERLINK("https://media.licdn.com/dms/image/v2/D4E10AQHNAniyqhyvfw/image-shrink_1280/B4EZpyKig6HcAQ-/0/1762851957501?e=2147483647&amp;v=beta&amp;t=dbpzveIrXCDwk5yL5YbnEiZinRIXrRcfa-mi-1Eqfgo","View Creative")</f>
        <v>View Creative</v>
      </c>
      <c r="L584" s="4" t="s">
        <v>60</v>
      </c>
      <c r="M584" s="4" t="s">
        <v>61</v>
      </c>
      <c r="N584" s="4" t="s">
        <v>4844</v>
      </c>
      <c r="O584" s="4" t="s">
        <v>89</v>
      </c>
      <c r="P584" s="4" t="s">
        <v>4891</v>
      </c>
    </row>
    <row r="585">
      <c r="A585" s="4" t="s">
        <v>40</v>
      </c>
      <c r="B585" s="4" t="s">
        <v>40</v>
      </c>
      <c r="C585" s="4">
        <v>583.0</v>
      </c>
      <c r="D585" s="5" t="str">
        <f>HYPERLINK("https://www.linkedin.com/ad-library/detail/906320844","Open Ad")</f>
        <v>Open Ad</v>
      </c>
      <c r="E585" s="4" t="s">
        <v>78</v>
      </c>
      <c r="F585" s="4" t="s">
        <v>4879</v>
      </c>
      <c r="G585" s="4" t="s">
        <v>4880</v>
      </c>
      <c r="H585" s="4" t="s">
        <v>49</v>
      </c>
      <c r="I585" s="4" t="s">
        <v>4859</v>
      </c>
      <c r="J585" s="4" t="s">
        <v>78</v>
      </c>
      <c r="K585" s="5" t="str">
        <f>HYPERLINK("https://media.licdn.com/dms/image/v2/D4E10AQEzsnOH_UYjkQ/image-shrink_1280/B4EZpyKid2KcAM-/0/1762851957495?e=2147483647&amp;v=beta&amp;t=Nq6P06uKmRjgUR0o9xwio4azGpNgWVTVOkB4SpTMpBg","View Creative")</f>
        <v>View Creative</v>
      </c>
      <c r="L585" s="4" t="s">
        <v>60</v>
      </c>
      <c r="M585" s="4" t="s">
        <v>61</v>
      </c>
      <c r="N585" s="4" t="s">
        <v>4844</v>
      </c>
      <c r="O585" s="4" t="s">
        <v>89</v>
      </c>
      <c r="P585" s="4" t="s">
        <v>4893</v>
      </c>
    </row>
    <row r="586">
      <c r="A586" s="4" t="s">
        <v>40</v>
      </c>
      <c r="B586" s="4" t="s">
        <v>40</v>
      </c>
      <c r="C586" s="4">
        <v>584.0</v>
      </c>
      <c r="D586" s="5" t="str">
        <f>HYPERLINK("https://www.linkedin.com/ad-library/detail/906291104","Open Ad")</f>
        <v>Open Ad</v>
      </c>
      <c r="E586" s="4" t="s">
        <v>78</v>
      </c>
      <c r="F586" s="4" t="s">
        <v>4857</v>
      </c>
      <c r="G586" s="4" t="s">
        <v>4858</v>
      </c>
      <c r="H586" s="4" t="s">
        <v>49</v>
      </c>
      <c r="I586" s="4" t="s">
        <v>4859</v>
      </c>
      <c r="J586" s="4" t="s">
        <v>78</v>
      </c>
      <c r="K586" s="5" t="str">
        <f>HYPERLINK("https://media.licdn.com/dms/image/v2/D4E10AQG-Pr0toAsw0A/image-shrink_1280/B4EZpyKsg3KsAM-/0/1762851998500?e=2147483647&amp;v=beta&amp;t=oABpSzU7BsdTykCIk_Ov6njmJBQtMlzLSyGSsAe8Lmk","View Creative")</f>
        <v>View Creative</v>
      </c>
      <c r="L586" s="4" t="s">
        <v>60</v>
      </c>
      <c r="M586" s="4" t="s">
        <v>61</v>
      </c>
      <c r="N586" s="4" t="s">
        <v>4844</v>
      </c>
      <c r="O586" s="4" t="s">
        <v>89</v>
      </c>
      <c r="P586" s="4" t="s">
        <v>4894</v>
      </c>
    </row>
    <row r="587">
      <c r="A587" s="4" t="s">
        <v>40</v>
      </c>
      <c r="B587" s="4" t="s">
        <v>40</v>
      </c>
      <c r="C587" s="4">
        <v>585.0</v>
      </c>
      <c r="D587" s="5" t="str">
        <f>HYPERLINK("https://www.linkedin.com/ad-library/detail/906191134","Open Ad")</f>
        <v>Open Ad</v>
      </c>
      <c r="E587" s="4" t="s">
        <v>78</v>
      </c>
      <c r="F587" s="4" t="s">
        <v>4840</v>
      </c>
      <c r="G587" s="4" t="s">
        <v>4841</v>
      </c>
      <c r="H587" s="4" t="s">
        <v>49</v>
      </c>
      <c r="I587" s="4" t="s">
        <v>56</v>
      </c>
      <c r="J587" s="4" t="s">
        <v>78</v>
      </c>
      <c r="K587" s="5" t="str">
        <f>HYPERLINK("https://media.licdn.com/dms/image/v2/D4E10AQEwniBcIZAlJg/image-shrink_1280/B4EZpyKih_IwAM-/0/1762851959048?e=2147483647&amp;v=beta&amp;t=CGNZfyaiyQizJ5dPXpM2gHM8jzPSRZZYKwicfkzBq4Q","View Creative")</f>
        <v>View Creative</v>
      </c>
      <c r="L587" s="4" t="s">
        <v>60</v>
      </c>
      <c r="M587" s="4" t="s">
        <v>61</v>
      </c>
      <c r="N587" s="4" t="s">
        <v>4844</v>
      </c>
      <c r="O587" s="4" t="s">
        <v>89</v>
      </c>
      <c r="P587" s="4" t="s">
        <v>4896</v>
      </c>
    </row>
    <row r="588">
      <c r="A588" s="4" t="s">
        <v>40</v>
      </c>
      <c r="B588" s="4" t="s">
        <v>40</v>
      </c>
      <c r="C588" s="4">
        <v>586.0</v>
      </c>
      <c r="D588" s="5" t="str">
        <f>HYPERLINK("https://www.linkedin.com/ad-library/detail/906270914","Open Ad")</f>
        <v>Open Ad</v>
      </c>
      <c r="E588" s="4" t="s">
        <v>78</v>
      </c>
      <c r="F588" s="4" t="s">
        <v>4857</v>
      </c>
      <c r="G588" s="4" t="s">
        <v>4858</v>
      </c>
      <c r="H588" s="4" t="s">
        <v>49</v>
      </c>
      <c r="I588" s="4" t="s">
        <v>4859</v>
      </c>
      <c r="J588" s="4" t="s">
        <v>78</v>
      </c>
      <c r="K588" s="5" t="str">
        <f>HYPERLINK("https://media.licdn.com/dms/image/v2/D4E10AQGBbLnhlMk0tA/image-shrink_1280/B4EZpyKNeEHgAM-/0/1762851872991?e=2147483647&amp;v=beta&amp;t=m-kOpdBU89t_Ma5EPbuN9Wa2B7_DgNig1j7fWZ6AJgU","View Creative")</f>
        <v>View Creative</v>
      </c>
      <c r="L588" s="4" t="s">
        <v>60</v>
      </c>
      <c r="M588" s="4" t="s">
        <v>61</v>
      </c>
      <c r="N588" s="4" t="s">
        <v>4844</v>
      </c>
      <c r="O588" s="4" t="s">
        <v>89</v>
      </c>
      <c r="P588" s="4" t="s">
        <v>4898</v>
      </c>
    </row>
    <row r="589">
      <c r="A589" s="4" t="s">
        <v>40</v>
      </c>
      <c r="B589" s="4" t="s">
        <v>40</v>
      </c>
      <c r="C589" s="4">
        <v>587.0</v>
      </c>
      <c r="D589" s="5" t="str">
        <f>HYPERLINK("https://www.linkedin.com/ad-library/detail/896171274","Open Ad")</f>
        <v>Open Ad</v>
      </c>
      <c r="E589" s="4" t="s">
        <v>78</v>
      </c>
      <c r="F589" s="4" t="s">
        <v>4857</v>
      </c>
      <c r="G589" s="4" t="s">
        <v>4858</v>
      </c>
      <c r="H589" s="4" t="s">
        <v>49</v>
      </c>
      <c r="I589" s="4" t="s">
        <v>4859</v>
      </c>
      <c r="J589" s="4" t="s">
        <v>78</v>
      </c>
      <c r="K589" s="5" t="str">
        <f>HYPERLINK("https://media.licdn.com/dms/image/v2/D4E10AQFbhxy6--XI_A/image-shrink_1280/B4EZpyKNeLJ0AM-/0/1762851872021?e=2147483647&amp;v=beta&amp;t=kyXwHtVVZF-U8IfszQtFXNLA9dT52yvfdcFX3ZtCZFg","View Creative")</f>
        <v>View Creative</v>
      </c>
      <c r="L589" s="4" t="s">
        <v>60</v>
      </c>
      <c r="M589" s="4" t="s">
        <v>61</v>
      </c>
      <c r="N589" s="4" t="s">
        <v>4844</v>
      </c>
      <c r="O589" s="4" t="s">
        <v>89</v>
      </c>
      <c r="P589" s="4" t="s">
        <v>4899</v>
      </c>
    </row>
    <row r="590">
      <c r="A590" s="4" t="s">
        <v>40</v>
      </c>
      <c r="B590" s="4" t="s">
        <v>40</v>
      </c>
      <c r="C590" s="4">
        <v>588.0</v>
      </c>
      <c r="D590" s="5" t="str">
        <f>HYPERLINK("https://www.linkedin.com/ad-library/detail/906211014","Open Ad")</f>
        <v>Open Ad</v>
      </c>
      <c r="E590" s="4" t="s">
        <v>78</v>
      </c>
      <c r="F590" s="4" t="s">
        <v>4879</v>
      </c>
      <c r="G590" s="4" t="s">
        <v>4880</v>
      </c>
      <c r="H590" s="4" t="s">
        <v>49</v>
      </c>
      <c r="I590" s="4" t="s">
        <v>4859</v>
      </c>
      <c r="J590" s="4" t="s">
        <v>78</v>
      </c>
      <c r="K590" s="5" t="str">
        <f>HYPERLINK("https://media.licdn.com/dms/image/v2/D4E10AQGYCaL-rITsnQ/image-shrink_1280/B4EZpyLzaOGcAM-/0/1762852289290?e=2147483647&amp;v=beta&amp;t=ygnAE4VrsAjo52h8JIfSVAQdbdqx5Ixh_rdQnMDo0pk","View Creative")</f>
        <v>View Creative</v>
      </c>
      <c r="L590" s="4" t="s">
        <v>60</v>
      </c>
      <c r="M590" s="4" t="s">
        <v>61</v>
      </c>
      <c r="N590" s="4" t="s">
        <v>4844</v>
      </c>
      <c r="O590" s="4" t="s">
        <v>89</v>
      </c>
      <c r="P590" s="4" t="s">
        <v>4901</v>
      </c>
    </row>
    <row r="591">
      <c r="A591" s="4" t="s">
        <v>40</v>
      </c>
      <c r="B591" s="4" t="s">
        <v>40</v>
      </c>
      <c r="C591" s="4">
        <v>589.0</v>
      </c>
      <c r="D591" s="5" t="str">
        <f>HYPERLINK("https://www.linkedin.com/ad-library/detail/896171294","Open Ad")</f>
        <v>Open Ad</v>
      </c>
      <c r="E591" s="4" t="s">
        <v>78</v>
      </c>
      <c r="F591" s="4" t="s">
        <v>4857</v>
      </c>
      <c r="G591" s="4" t="s">
        <v>4858</v>
      </c>
      <c r="H591" s="4" t="s">
        <v>49</v>
      </c>
      <c r="I591" s="4" t="s">
        <v>4859</v>
      </c>
      <c r="J591" s="4" t="s">
        <v>78</v>
      </c>
      <c r="K591" s="5" t="str">
        <f>HYPERLINK("https://media.licdn.com/dms/image/v2/D4E10AQE0cRULpeLAhA/image-shrink_1280/B4EZpyKieoKcAM-/0/1762851957720?e=2147483647&amp;v=beta&amp;t=rjW5KbcStD__b-_DWRvYZuld8qpMMLf6nUkGuvxYnaE","View Creative")</f>
        <v>View Creative</v>
      </c>
      <c r="L591" s="4" t="s">
        <v>60</v>
      </c>
      <c r="M591" s="4" t="s">
        <v>61</v>
      </c>
      <c r="N591" s="4" t="s">
        <v>4844</v>
      </c>
      <c r="O591" s="4" t="s">
        <v>89</v>
      </c>
      <c r="P591" s="4" t="s">
        <v>4903</v>
      </c>
    </row>
    <row r="592">
      <c r="A592" s="4" t="s">
        <v>40</v>
      </c>
      <c r="B592" s="4" t="s">
        <v>40</v>
      </c>
      <c r="C592" s="4">
        <v>590.0</v>
      </c>
      <c r="D592" s="5" t="str">
        <f>HYPERLINK("https://www.linkedin.com/ad-library/detail/896151334","Open Ad")</f>
        <v>Open Ad</v>
      </c>
      <c r="E592" s="4" t="s">
        <v>78</v>
      </c>
      <c r="F592" s="4" t="s">
        <v>4857</v>
      </c>
      <c r="G592" s="4" t="s">
        <v>4858</v>
      </c>
      <c r="H592" s="4" t="s">
        <v>49</v>
      </c>
      <c r="I592" s="4" t="s">
        <v>4859</v>
      </c>
      <c r="J592" s="4" t="s">
        <v>78</v>
      </c>
      <c r="K592" s="5" t="str">
        <f>HYPERLINK("https://media.licdn.com/dms/image/v2/D4E10AQGWR0XITr8nPg/image-shrink_1280/B4EZpyKsisKYAM-/0/1762852000104?e=2147483647&amp;v=beta&amp;t=Vx-KtHMcBye37Kc7TvZyi62y0gDV4W5YIhf2Tgs9OHI","View Creative")</f>
        <v>View Creative</v>
      </c>
      <c r="L592" s="4" t="s">
        <v>60</v>
      </c>
      <c r="M592" s="4" t="s">
        <v>61</v>
      </c>
      <c r="N592" s="4" t="s">
        <v>4844</v>
      </c>
      <c r="O592" s="4" t="s">
        <v>89</v>
      </c>
      <c r="P592" s="4" t="s">
        <v>4904</v>
      </c>
    </row>
    <row r="593">
      <c r="A593" s="4" t="s">
        <v>40</v>
      </c>
      <c r="B593" s="4" t="s">
        <v>40</v>
      </c>
      <c r="C593" s="4">
        <v>591.0</v>
      </c>
      <c r="D593" s="5" t="str">
        <f>HYPERLINK("https://www.linkedin.com/ad-library/detail/896131344","Open Ad")</f>
        <v>Open Ad</v>
      </c>
      <c r="E593" s="4" t="s">
        <v>78</v>
      </c>
      <c r="F593" s="4" t="s">
        <v>4879</v>
      </c>
      <c r="G593" s="4" t="s">
        <v>4880</v>
      </c>
      <c r="H593" s="4" t="s">
        <v>49</v>
      </c>
      <c r="I593" s="4" t="s">
        <v>4859</v>
      </c>
      <c r="J593" s="4" t="s">
        <v>78</v>
      </c>
      <c r="K593" s="5" t="str">
        <f>HYPERLINK("https://media.licdn.com/dms/image/v2/D4E10AQGtghmcbENoRA/image-shrink_1280/B4EZpyKsenGUAM-/0/1762851998345?e=2147483647&amp;v=beta&amp;t=WYPZ3kUAds2ByyQlGqHRqNH_YPR_HsQm3DQpuEcfPC4","View Creative")</f>
        <v>View Creative</v>
      </c>
      <c r="L593" s="4" t="s">
        <v>60</v>
      </c>
      <c r="M593" s="4" t="s">
        <v>61</v>
      </c>
      <c r="N593" s="4" t="s">
        <v>4844</v>
      </c>
      <c r="O593" s="4" t="s">
        <v>89</v>
      </c>
      <c r="P593" s="4" t="s">
        <v>4906</v>
      </c>
    </row>
    <row r="594">
      <c r="A594" s="4" t="s">
        <v>40</v>
      </c>
      <c r="B594" s="4" t="s">
        <v>40</v>
      </c>
      <c r="C594" s="4">
        <v>592.0</v>
      </c>
      <c r="D594" s="5" t="str">
        <f>HYPERLINK("https://www.linkedin.com/ad-library/detail/896151324","Open Ad")</f>
        <v>Open Ad</v>
      </c>
      <c r="E594" s="4" t="s">
        <v>78</v>
      </c>
      <c r="F594" s="4" t="s">
        <v>4840</v>
      </c>
      <c r="G594" s="4" t="s">
        <v>4841</v>
      </c>
      <c r="H594" s="4" t="s">
        <v>49</v>
      </c>
      <c r="I594" s="4" t="s">
        <v>56</v>
      </c>
      <c r="J594" s="4" t="s">
        <v>78</v>
      </c>
      <c r="K594" s="5" t="str">
        <f>HYPERLINK("https://media.licdn.com/dms/image/v2/D4E10AQEm1zmJw-XuMQ/image-shrink_1280/B4EZpyKNjhKYAM-/0/1762851871723?e=2147483647&amp;v=beta&amp;t=kAIzLspa3s3BalB_p49GiMdvRsFzqys5d0J5UMon8Go","View Creative")</f>
        <v>View Creative</v>
      </c>
      <c r="L594" s="4" t="s">
        <v>60</v>
      </c>
      <c r="M594" s="4" t="s">
        <v>61</v>
      </c>
      <c r="N594" s="4" t="s">
        <v>4844</v>
      </c>
      <c r="O594" s="4" t="s">
        <v>89</v>
      </c>
      <c r="P594" s="4" t="s">
        <v>4908</v>
      </c>
    </row>
    <row r="595">
      <c r="A595" s="4" t="s">
        <v>40</v>
      </c>
      <c r="B595" s="4" t="s">
        <v>40</v>
      </c>
      <c r="C595" s="4">
        <v>593.0</v>
      </c>
      <c r="D595" s="5" t="str">
        <f>HYPERLINK("https://www.linkedin.com/ad-library/detail/906260914","Open Ad")</f>
        <v>Open Ad</v>
      </c>
      <c r="E595" s="4" t="s">
        <v>78</v>
      </c>
      <c r="F595" s="4" t="s">
        <v>4857</v>
      </c>
      <c r="G595" s="4" t="s">
        <v>4858</v>
      </c>
      <c r="H595" s="4" t="s">
        <v>49</v>
      </c>
      <c r="I595" s="4" t="s">
        <v>4859</v>
      </c>
      <c r="J595" s="4" t="s">
        <v>78</v>
      </c>
      <c r="K595" s="5" t="str">
        <f>HYPERLINK("https://media.licdn.com/dms/image/v2/D4E10AQHIUKrraF-SuA/image-shrink_1280/B4EZpyKikRHUAM-/0/1762851959397?e=2147483647&amp;v=beta&amp;t=vVccIxUuMHfE_UTv2P2hciB3hCdhl-wuBX3fxT_WFPA","View Creative")</f>
        <v>View Creative</v>
      </c>
      <c r="L595" s="4" t="s">
        <v>60</v>
      </c>
      <c r="M595" s="4" t="s">
        <v>61</v>
      </c>
      <c r="N595" s="4" t="s">
        <v>4844</v>
      </c>
      <c r="O595" s="4" t="s">
        <v>89</v>
      </c>
      <c r="P595" s="4" t="s">
        <v>4909</v>
      </c>
    </row>
    <row r="596">
      <c r="A596" s="4" t="s">
        <v>40</v>
      </c>
      <c r="B596" s="4" t="s">
        <v>40</v>
      </c>
      <c r="C596" s="4">
        <v>594.0</v>
      </c>
      <c r="D596" s="5" t="str">
        <f>HYPERLINK("https://www.linkedin.com/ad-library/detail/906280994","Open Ad")</f>
        <v>Open Ad</v>
      </c>
      <c r="E596" s="4" t="s">
        <v>78</v>
      </c>
      <c r="F596" s="4" t="s">
        <v>4840</v>
      </c>
      <c r="G596" s="4" t="s">
        <v>4841</v>
      </c>
      <c r="H596" s="4" t="s">
        <v>49</v>
      </c>
      <c r="I596" s="4" t="s">
        <v>56</v>
      </c>
      <c r="J596" s="4" t="s">
        <v>78</v>
      </c>
      <c r="K596" s="5" t="str">
        <f>HYPERLINK("https://media.licdn.com/dms/image/v2/D4E10AQF8Be64VrwNjQ/image-shrink_1280/B4EZpyKscTGcAM-/0/1762851999772?e=2147483647&amp;v=beta&amp;t=vaJ5p_e4vh_z_cY5Ou0s0wDZ_rH3DPHjnSQ-UQ5vcxw","View Creative")</f>
        <v>View Creative</v>
      </c>
      <c r="L596" s="4" t="s">
        <v>60</v>
      </c>
      <c r="M596" s="4" t="s">
        <v>61</v>
      </c>
      <c r="N596" s="4" t="s">
        <v>4844</v>
      </c>
      <c r="O596" s="4" t="s">
        <v>89</v>
      </c>
      <c r="P596" s="4" t="s">
        <v>4911</v>
      </c>
    </row>
    <row r="597">
      <c r="A597" s="4" t="s">
        <v>40</v>
      </c>
      <c r="B597" s="4" t="s">
        <v>40</v>
      </c>
      <c r="C597" s="4">
        <v>595.0</v>
      </c>
      <c r="D597" s="5" t="str">
        <f>HYPERLINK("https://www.linkedin.com/ad-library/detail/906201234","Open Ad")</f>
        <v>Open Ad</v>
      </c>
      <c r="E597" s="4" t="s">
        <v>78</v>
      </c>
      <c r="F597" s="4" t="s">
        <v>4840</v>
      </c>
      <c r="G597" s="4" t="s">
        <v>4841</v>
      </c>
      <c r="H597" s="4" t="s">
        <v>49</v>
      </c>
      <c r="I597" s="4" t="s">
        <v>56</v>
      </c>
      <c r="J597" s="4" t="s">
        <v>78</v>
      </c>
      <c r="K597" s="5" t="str">
        <f>HYPERLINK("https://media.licdn.com/dms/image/v2/D4E10AQHD0Wv5KPGuqQ/image-shrink_1280/B4EZpyKsv_HcAM-/0/1762851999785?e=2147483647&amp;v=beta&amp;t=fuKFzlAI0viz0aZE0q2EhKbNqN09TYCd4TdPf71OPDQ","View Creative")</f>
        <v>View Creative</v>
      </c>
      <c r="L597" s="4" t="s">
        <v>60</v>
      </c>
      <c r="M597" s="4" t="s">
        <v>61</v>
      </c>
      <c r="N597" s="4" t="s">
        <v>4844</v>
      </c>
      <c r="O597" s="4" t="s">
        <v>89</v>
      </c>
      <c r="P597" s="4" t="s">
        <v>4912</v>
      </c>
    </row>
    <row r="598">
      <c r="A598" s="4" t="s">
        <v>40</v>
      </c>
      <c r="B598" s="4" t="s">
        <v>40</v>
      </c>
      <c r="C598" s="4">
        <v>596.0</v>
      </c>
      <c r="D598" s="5" t="str">
        <f>HYPERLINK("https://www.linkedin.com/ad-library/detail/906181064","Open Ad")</f>
        <v>Open Ad</v>
      </c>
      <c r="E598" s="4" t="s">
        <v>78</v>
      </c>
      <c r="F598" s="4" t="s">
        <v>4840</v>
      </c>
      <c r="G598" s="4" t="s">
        <v>4841</v>
      </c>
      <c r="H598" s="4" t="s">
        <v>49</v>
      </c>
      <c r="I598" s="4" t="s">
        <v>56</v>
      </c>
      <c r="J598" s="4" t="s">
        <v>78</v>
      </c>
      <c r="K598" s="5" t="str">
        <f>HYPERLINK("https://media.licdn.com/dms/image/v2/D4E10AQGMm4gBoc-woQ/image-shrink_1280/B4EZpyKiivKgAM-/0/1762851957647?e=2147483647&amp;v=beta&amp;t=gJfBADlFQ-t8AKelKaOsESCf4ua7D8tZFqVGJNCiMd4","View Creative")</f>
        <v>View Creative</v>
      </c>
      <c r="L598" s="4" t="s">
        <v>60</v>
      </c>
      <c r="M598" s="4" t="s">
        <v>61</v>
      </c>
      <c r="N598" s="4" t="s">
        <v>4844</v>
      </c>
      <c r="O598" s="4" t="s">
        <v>89</v>
      </c>
      <c r="P598" s="4" t="s">
        <v>4914</v>
      </c>
    </row>
    <row r="599">
      <c r="A599" s="4" t="s">
        <v>40</v>
      </c>
      <c r="B599" s="4" t="s">
        <v>40</v>
      </c>
      <c r="C599" s="4">
        <v>597.0</v>
      </c>
      <c r="D599" s="5" t="str">
        <f>HYPERLINK("https://www.linkedin.com/ad-library/detail/906331274","Open Ad")</f>
        <v>Open Ad</v>
      </c>
      <c r="E599" s="4" t="s">
        <v>78</v>
      </c>
      <c r="F599" s="4" t="s">
        <v>4857</v>
      </c>
      <c r="G599" s="4" t="s">
        <v>4858</v>
      </c>
      <c r="H599" s="4" t="s">
        <v>49</v>
      </c>
      <c r="I599" s="4" t="s">
        <v>4859</v>
      </c>
      <c r="J599" s="4" t="s">
        <v>78</v>
      </c>
      <c r="K599" s="5" t="str">
        <f>HYPERLINK("https://media.licdn.com/dms/image/v2/D4E10AQHecja3OAU7gA/image-shrink_1280/B4EZpyLzb6GoAM-/0/1762852289127?e=2147483647&amp;v=beta&amp;t=SX1rGy0lsI-EnSh-WirSZWlMP4Y_5jeJOIcNcRccXxI","View Creative")</f>
        <v>View Creative</v>
      </c>
      <c r="L599" s="4" t="s">
        <v>60</v>
      </c>
      <c r="M599" s="4" t="s">
        <v>61</v>
      </c>
      <c r="N599" s="4" t="s">
        <v>4844</v>
      </c>
      <c r="O599" s="4" t="s">
        <v>89</v>
      </c>
      <c r="P599" s="4" t="s">
        <v>4916</v>
      </c>
    </row>
    <row r="600">
      <c r="A600" s="4" t="s">
        <v>40</v>
      </c>
      <c r="B600" s="4" t="s">
        <v>40</v>
      </c>
      <c r="C600" s="4">
        <v>598.0</v>
      </c>
      <c r="D600" s="5" t="str">
        <f>HYPERLINK("https://www.linkedin.com/ad-library/detail/906201224","Open Ad")</f>
        <v>Open Ad</v>
      </c>
      <c r="E600" s="4" t="s">
        <v>78</v>
      </c>
      <c r="F600" s="4" t="s">
        <v>4857</v>
      </c>
      <c r="G600" s="4" t="s">
        <v>4858</v>
      </c>
      <c r="H600" s="4" t="s">
        <v>49</v>
      </c>
      <c r="I600" s="4" t="s">
        <v>4859</v>
      </c>
      <c r="J600" s="4" t="s">
        <v>78</v>
      </c>
      <c r="K600" s="5" t="str">
        <f>HYPERLINK("https://media.licdn.com/dms/image/v2/D4E10AQGIjXckNDo11w/image-shrink_1280/B4EZpyKiaKHEAQ-/0/1762851957367?e=2147483647&amp;v=beta&amp;t=WyqbkBT_OjPVHxOYKOHUSvy9NBuN9EPx0jSuKofdHRw","View Creative")</f>
        <v>View Creative</v>
      </c>
      <c r="L600" s="4" t="s">
        <v>60</v>
      </c>
      <c r="M600" s="4" t="s">
        <v>61</v>
      </c>
      <c r="N600" s="4" t="s">
        <v>4844</v>
      </c>
      <c r="O600" s="4" t="s">
        <v>89</v>
      </c>
      <c r="P600" s="4" t="s">
        <v>4917</v>
      </c>
    </row>
    <row r="601">
      <c r="A601" s="4" t="s">
        <v>40</v>
      </c>
      <c r="B601" s="4" t="s">
        <v>40</v>
      </c>
      <c r="C601" s="4">
        <v>599.0</v>
      </c>
      <c r="D601" s="5" t="str">
        <f>HYPERLINK("https://www.linkedin.com/ad-library/detail/906311164","Open Ad")</f>
        <v>Open Ad</v>
      </c>
      <c r="E601" s="4" t="s">
        <v>78</v>
      </c>
      <c r="F601" s="4" t="s">
        <v>4879</v>
      </c>
      <c r="G601" s="4" t="s">
        <v>4880</v>
      </c>
      <c r="H601" s="4" t="s">
        <v>49</v>
      </c>
      <c r="I601" s="4" t="s">
        <v>4859</v>
      </c>
      <c r="J601" s="4" t="s">
        <v>78</v>
      </c>
      <c r="K601" s="5" t="str">
        <f>HYPERLINK("https://media.licdn.com/dms/image/v2/D4E10AQHh-n0MP4iESg/image-shrink_1280/B4EZpyKsdnGcAM-/0/1762851998298?e=2147483647&amp;v=beta&amp;t=8loD7L3Epu0yeQZ3Euir3AFDkidfvdjhAp9qikpr0P0","View Creative")</f>
        <v>View Creative</v>
      </c>
      <c r="L601" s="4" t="s">
        <v>60</v>
      </c>
      <c r="M601" s="4" t="s">
        <v>61</v>
      </c>
      <c r="N601" s="4" t="s">
        <v>4844</v>
      </c>
      <c r="O601" s="4" t="s">
        <v>89</v>
      </c>
      <c r="P601" s="4" t="s">
        <v>4919</v>
      </c>
    </row>
    <row r="602">
      <c r="A602" s="4" t="s">
        <v>40</v>
      </c>
      <c r="B602" s="4" t="s">
        <v>40</v>
      </c>
      <c r="C602" s="4">
        <v>600.0</v>
      </c>
      <c r="D602" s="5" t="str">
        <f>HYPERLINK("https://www.linkedin.com/ad-library/detail/896161164","Open Ad")</f>
        <v>Open Ad</v>
      </c>
      <c r="E602" s="4" t="s">
        <v>78</v>
      </c>
      <c r="F602" s="4" t="s">
        <v>4879</v>
      </c>
      <c r="G602" s="4" t="s">
        <v>4880</v>
      </c>
      <c r="H602" s="4" t="s">
        <v>49</v>
      </c>
      <c r="I602" s="4" t="s">
        <v>4859</v>
      </c>
      <c r="J602" s="4" t="s">
        <v>78</v>
      </c>
      <c r="K602" s="5" t="str">
        <f>HYPERLINK("https://media.licdn.com/dms/image/v2/D4E10AQFQvci_60lW4w/image-shrink_1280/B4EZpyKihiGcAM-/0/1762851959051?e=2147483647&amp;v=beta&amp;t=EZXT0ZqlgRlZ9v30zl4rknG7FhYDjqAVQ0Wspar-GAU","View Creative")</f>
        <v>View Creative</v>
      </c>
      <c r="L602" s="4" t="s">
        <v>60</v>
      </c>
      <c r="M602" s="4" t="s">
        <v>61</v>
      </c>
      <c r="N602" s="4" t="s">
        <v>4844</v>
      </c>
      <c r="O602" s="4" t="s">
        <v>89</v>
      </c>
      <c r="P602" s="4" t="s">
        <v>4920</v>
      </c>
    </row>
    <row r="603">
      <c r="A603" s="4" t="s">
        <v>40</v>
      </c>
      <c r="B603" s="4" t="s">
        <v>40</v>
      </c>
      <c r="C603" s="4">
        <v>601.0</v>
      </c>
      <c r="D603" s="5" t="str">
        <f>HYPERLINK("https://www.linkedin.com/ad-library/detail/896161144","Open Ad")</f>
        <v>Open Ad</v>
      </c>
      <c r="E603" s="4" t="s">
        <v>78</v>
      </c>
      <c r="F603" s="4" t="s">
        <v>4857</v>
      </c>
      <c r="G603" s="4" t="s">
        <v>4858</v>
      </c>
      <c r="H603" s="4" t="s">
        <v>49</v>
      </c>
      <c r="I603" s="4" t="s">
        <v>4859</v>
      </c>
      <c r="J603" s="4" t="s">
        <v>78</v>
      </c>
      <c r="K603" s="5" t="str">
        <f>HYPERLINK("https://media.licdn.com/dms/image/v2/D4E10AQHMmBC7b0ylEg/image-shrink_1280/B4EZpyKHddKcAM-/0/1762851847213?e=2147483647&amp;v=beta&amp;t=jKITdyYVqjOEtsdTT_7b0fG3IuTg3KbvN0SpSYpACb4","View Creative")</f>
        <v>View Creative</v>
      </c>
      <c r="L603" s="4" t="s">
        <v>60</v>
      </c>
      <c r="M603" s="4" t="s">
        <v>61</v>
      </c>
      <c r="N603" s="4" t="s">
        <v>4844</v>
      </c>
      <c r="O603" s="4" t="s">
        <v>89</v>
      </c>
      <c r="P603" s="4" t="s">
        <v>4922</v>
      </c>
    </row>
    <row r="604">
      <c r="A604" s="4" t="s">
        <v>40</v>
      </c>
      <c r="B604" s="4" t="s">
        <v>40</v>
      </c>
      <c r="C604" s="4">
        <v>602.0</v>
      </c>
      <c r="D604" s="5" t="str">
        <f>HYPERLINK("https://www.linkedin.com/ad-library/detail/896161134","Open Ad")</f>
        <v>Open Ad</v>
      </c>
      <c r="E604" s="4" t="s">
        <v>78</v>
      </c>
      <c r="F604" s="4" t="s">
        <v>4840</v>
      </c>
      <c r="G604" s="4" t="s">
        <v>4841</v>
      </c>
      <c r="H604" s="4" t="s">
        <v>49</v>
      </c>
      <c r="I604" s="4" t="s">
        <v>56</v>
      </c>
      <c r="J604" s="4" t="s">
        <v>78</v>
      </c>
      <c r="K604" s="5" t="str">
        <f>HYPERLINK("https://media.licdn.com/dms/image/v2/D4E10AQEg_jtOX8WO1A/image-shrink_1280/B4EZpyKHW4KoAM-/0/1762851846755?e=2147483647&amp;v=beta&amp;t=rTvPuIZK-JiIHQNKTQLRkJnyHmrsgd6lH-Js1G5f-UA","View Creative")</f>
        <v>View Creative</v>
      </c>
      <c r="L604" s="4" t="s">
        <v>60</v>
      </c>
      <c r="M604" s="4" t="s">
        <v>61</v>
      </c>
      <c r="N604" s="4" t="s">
        <v>4844</v>
      </c>
      <c r="O604" s="4" t="s">
        <v>89</v>
      </c>
      <c r="P604" s="4" t="s">
        <v>4924</v>
      </c>
    </row>
    <row r="605">
      <c r="A605" s="4" t="s">
        <v>40</v>
      </c>
      <c r="B605" s="4" t="s">
        <v>40</v>
      </c>
      <c r="C605" s="4">
        <v>603.0</v>
      </c>
      <c r="D605" s="5" t="str">
        <f>HYPERLINK("https://www.linkedin.com/ad-library/detail/906210964","Open Ad")</f>
        <v>Open Ad</v>
      </c>
      <c r="E605" s="4" t="s">
        <v>78</v>
      </c>
      <c r="F605" s="4" t="s">
        <v>4879</v>
      </c>
      <c r="G605" s="4" t="s">
        <v>4880</v>
      </c>
      <c r="H605" s="4" t="s">
        <v>49</v>
      </c>
      <c r="I605" s="4" t="s">
        <v>4859</v>
      </c>
      <c r="J605" s="4" t="s">
        <v>78</v>
      </c>
      <c r="K605" s="5" t="str">
        <f>HYPERLINK("https://media.licdn.com/dms/image/v2/D4E10AQEHquJEyLWtEA/image-shrink_1280/B4EZpyKNg2KoAM-/0/1762851871630?e=2147483647&amp;v=beta&amp;t=gyZC5vgkMr3WqECYYE6jWV9pThTEudYnmJ4GtymVeEU","View Creative")</f>
        <v>View Creative</v>
      </c>
      <c r="L605" s="4" t="s">
        <v>60</v>
      </c>
      <c r="M605" s="4" t="s">
        <v>61</v>
      </c>
      <c r="N605" s="4" t="s">
        <v>4844</v>
      </c>
      <c r="O605" s="4" t="s">
        <v>89</v>
      </c>
      <c r="P605" s="4" t="s">
        <v>4925</v>
      </c>
    </row>
    <row r="606">
      <c r="A606" s="4" t="s">
        <v>40</v>
      </c>
      <c r="B606" s="4" t="s">
        <v>40</v>
      </c>
      <c r="C606" s="4">
        <v>604.0</v>
      </c>
      <c r="D606" s="5" t="str">
        <f>HYPERLINK("https://www.linkedin.com/ad-library/detail/906210944","Open Ad")</f>
        <v>Open Ad</v>
      </c>
      <c r="E606" s="4" t="s">
        <v>78</v>
      </c>
      <c r="F606" s="4" t="s">
        <v>4857</v>
      </c>
      <c r="G606" s="4" t="s">
        <v>4858</v>
      </c>
      <c r="H606" s="4" t="s">
        <v>49</v>
      </c>
      <c r="I606" s="4" t="s">
        <v>4859</v>
      </c>
      <c r="J606" s="4" t="s">
        <v>78</v>
      </c>
      <c r="K606" s="5" t="str">
        <f>HYPERLINK("https://media.licdn.com/dms/image/v2/D4E10AQFXiJgXxeh7xg/image-shrink_1280/B4EZpyKBkTGUAM-/0/1762851822610?e=2147483647&amp;v=beta&amp;t=61OOOWVEfeHGEFZKx_yy1qh7naarCUnU0E6aHanUvpM","View Creative")</f>
        <v>View Creative</v>
      </c>
      <c r="L606" s="4" t="s">
        <v>60</v>
      </c>
      <c r="M606" s="4" t="s">
        <v>61</v>
      </c>
      <c r="N606" s="4" t="s">
        <v>4844</v>
      </c>
      <c r="O606" s="4" t="s">
        <v>89</v>
      </c>
      <c r="P606" s="4" t="s">
        <v>4927</v>
      </c>
    </row>
    <row r="607">
      <c r="A607" s="4" t="s">
        <v>40</v>
      </c>
      <c r="B607" s="4" t="s">
        <v>40</v>
      </c>
      <c r="C607" s="4">
        <v>605.0</v>
      </c>
      <c r="D607" s="5" t="str">
        <f>HYPERLINK("https://www.linkedin.com/ad-library/detail/906301014","Open Ad")</f>
        <v>Open Ad</v>
      </c>
      <c r="E607" s="4" t="s">
        <v>78</v>
      </c>
      <c r="F607" s="4" t="s">
        <v>4857</v>
      </c>
      <c r="G607" s="4" t="s">
        <v>4858</v>
      </c>
      <c r="H607" s="4" t="s">
        <v>49</v>
      </c>
      <c r="I607" s="4" t="s">
        <v>4859</v>
      </c>
      <c r="J607" s="4" t="s">
        <v>78</v>
      </c>
      <c r="K607" s="5" t="str">
        <f>HYPERLINK("https://media.licdn.com/dms/image/v2/D4E10AQH1QywCfU-WoA/image-shrink_1280/B4EZpyKHZ.HUAQ-/0/1762851847941?e=2147483647&amp;v=beta&amp;t=5dS0ZC9neXKVfmMOoftonbapIhEJWd2Rz95TPRjYtJ0","View Creative")</f>
        <v>View Creative</v>
      </c>
      <c r="L607" s="4" t="s">
        <v>60</v>
      </c>
      <c r="M607" s="4" t="s">
        <v>61</v>
      </c>
      <c r="N607" s="4" t="s">
        <v>4844</v>
      </c>
      <c r="O607" s="4" t="s">
        <v>89</v>
      </c>
      <c r="P607" s="4" t="s">
        <v>4929</v>
      </c>
    </row>
    <row r="608">
      <c r="A608" s="4" t="s">
        <v>40</v>
      </c>
      <c r="B608" s="4" t="s">
        <v>40</v>
      </c>
      <c r="C608" s="4">
        <v>606.0</v>
      </c>
      <c r="D608" s="5" t="str">
        <f>HYPERLINK("https://www.linkedin.com/ad-library/detail/906251124","Open Ad")</f>
        <v>Open Ad</v>
      </c>
      <c r="E608" s="4" t="s">
        <v>78</v>
      </c>
      <c r="F608" s="4" t="s">
        <v>4840</v>
      </c>
      <c r="G608" s="4" t="s">
        <v>4841</v>
      </c>
      <c r="H608" s="4" t="s">
        <v>49</v>
      </c>
      <c r="I608" s="4" t="s">
        <v>56</v>
      </c>
      <c r="J608" s="4" t="s">
        <v>78</v>
      </c>
      <c r="K608" s="5" t="str">
        <f>HYPERLINK("https://media.licdn.com/dms/image/v2/D4E10AQEZ-vQ93cuBjA/image-shrink_1280/B4EZpyKNdyIoAM-/0/1762851871498?e=2147483647&amp;v=beta&amp;t=hIC-tRN-BjS3RcwPJA2IWlTmitMocpQ-c2JCZp7oNX4","View Creative")</f>
        <v>View Creative</v>
      </c>
      <c r="L608" s="4" t="s">
        <v>60</v>
      </c>
      <c r="M608" s="4" t="s">
        <v>61</v>
      </c>
      <c r="N608" s="4" t="s">
        <v>4844</v>
      </c>
      <c r="O608" s="4" t="s">
        <v>89</v>
      </c>
      <c r="P608" s="4" t="s">
        <v>4931</v>
      </c>
    </row>
    <row r="609">
      <c r="A609" s="4" t="s">
        <v>40</v>
      </c>
      <c r="B609" s="4" t="s">
        <v>40</v>
      </c>
      <c r="C609" s="4">
        <v>607.0</v>
      </c>
      <c r="D609" s="5" t="str">
        <f>HYPERLINK("https://www.linkedin.com/ad-library/detail/896171254","Open Ad")</f>
        <v>Open Ad</v>
      </c>
      <c r="E609" s="4" t="s">
        <v>78</v>
      </c>
      <c r="F609" s="4" t="s">
        <v>4857</v>
      </c>
      <c r="G609" s="4" t="s">
        <v>4858</v>
      </c>
      <c r="H609" s="4" t="s">
        <v>49</v>
      </c>
      <c r="I609" s="4" t="s">
        <v>4859</v>
      </c>
      <c r="J609" s="4" t="s">
        <v>78</v>
      </c>
      <c r="K609" s="5" t="str">
        <f>HYPERLINK("https://media.licdn.com/dms/image/v2/D4E10AQFWmSDbDctyiQ/image-shrink_1280/B4EZpyKHVwGoAM-/0/1762851846209?e=2147483647&amp;v=beta&amp;t=lOb0vj9CdJXXROIcRN9wIzU3T_E8iagcx0pz3_DH1EU","View Creative")</f>
        <v>View Creative</v>
      </c>
      <c r="L609" s="4" t="s">
        <v>60</v>
      </c>
      <c r="M609" s="4" t="s">
        <v>61</v>
      </c>
      <c r="N609" s="4" t="s">
        <v>4844</v>
      </c>
      <c r="O609" s="4" t="s">
        <v>89</v>
      </c>
      <c r="P609" s="4" t="s">
        <v>4932</v>
      </c>
    </row>
    <row r="610">
      <c r="A610" s="4" t="s">
        <v>40</v>
      </c>
      <c r="B610" s="4" t="s">
        <v>40</v>
      </c>
      <c r="C610" s="4">
        <v>608.0</v>
      </c>
      <c r="D610" s="5" t="str">
        <f>HYPERLINK("https://www.linkedin.com/ad-library/detail/906231234","Open Ad")</f>
        <v>Open Ad</v>
      </c>
      <c r="E610" s="4" t="s">
        <v>78</v>
      </c>
      <c r="F610" s="4" t="s">
        <v>4840</v>
      </c>
      <c r="G610" s="4" t="s">
        <v>4841</v>
      </c>
      <c r="H610" s="4" t="s">
        <v>49</v>
      </c>
      <c r="I610" s="4" t="s">
        <v>56</v>
      </c>
      <c r="J610" s="4" t="s">
        <v>78</v>
      </c>
      <c r="K610" s="5" t="str">
        <f>HYPERLINK("https://media.licdn.com/dms/image/v2/D4E10AQH1Gs--1a2njg/image-shrink_1280/B4EZpyKBlxHoAM-/0/1762851823032?e=2147483647&amp;v=beta&amp;t=WvjPK_T9NTKf_FOMvRMeevYNiDPwuliVH50CZSoQeIk","View Creative")</f>
        <v>View Creative</v>
      </c>
      <c r="L610" s="4" t="s">
        <v>60</v>
      </c>
      <c r="M610" s="4" t="s">
        <v>61</v>
      </c>
      <c r="N610" s="4" t="s">
        <v>4844</v>
      </c>
      <c r="O610" s="4" t="s">
        <v>89</v>
      </c>
      <c r="P610" s="4" t="s">
        <v>4934</v>
      </c>
    </row>
    <row r="611">
      <c r="A611" s="4" t="s">
        <v>40</v>
      </c>
      <c r="B611" s="4" t="s">
        <v>40</v>
      </c>
      <c r="C611" s="4">
        <v>609.0</v>
      </c>
      <c r="D611" s="5" t="str">
        <f>HYPERLINK("https://www.linkedin.com/ad-library/detail/906221244","Open Ad")</f>
        <v>Open Ad</v>
      </c>
      <c r="E611" s="4" t="s">
        <v>78</v>
      </c>
      <c r="F611" s="4" t="s">
        <v>4879</v>
      </c>
      <c r="G611" s="4" t="s">
        <v>4880</v>
      </c>
      <c r="H611" s="4" t="s">
        <v>49</v>
      </c>
      <c r="I611" s="4" t="s">
        <v>4859</v>
      </c>
      <c r="J611" s="4" t="s">
        <v>78</v>
      </c>
      <c r="K611" s="5" t="str">
        <f>HYPERLINK("https://media.licdn.com/dms/image/v2/D4E10AQH7N7-OjokUYg/image-shrink_1280/B4EZpyKNdVKgAM-/0/1762851871495?e=2147483647&amp;v=beta&amp;t=LTQevQmrgHMY6A2qKFMob_EZZLyloS5Ftxna_DZzzxU","View Creative")</f>
        <v>View Creative</v>
      </c>
      <c r="L611" s="4" t="s">
        <v>60</v>
      </c>
      <c r="M611" s="4" t="s">
        <v>61</v>
      </c>
      <c r="N611" s="4" t="s">
        <v>4844</v>
      </c>
      <c r="O611" s="4" t="s">
        <v>89</v>
      </c>
      <c r="P611" s="4" t="s">
        <v>4936</v>
      </c>
    </row>
    <row r="612">
      <c r="A612" s="4" t="s">
        <v>40</v>
      </c>
      <c r="B612" s="4" t="s">
        <v>40</v>
      </c>
      <c r="C612" s="4">
        <v>610.0</v>
      </c>
      <c r="D612" s="5" t="str">
        <f>HYPERLINK("https://www.linkedin.com/ad-library/detail/906241194","Open Ad")</f>
        <v>Open Ad</v>
      </c>
      <c r="E612" s="4" t="s">
        <v>78</v>
      </c>
      <c r="F612" s="4" t="s">
        <v>4879</v>
      </c>
      <c r="G612" s="4" t="s">
        <v>4880</v>
      </c>
      <c r="H612" s="4" t="s">
        <v>49</v>
      </c>
      <c r="I612" s="4" t="s">
        <v>4859</v>
      </c>
      <c r="J612" s="4" t="s">
        <v>78</v>
      </c>
      <c r="K612" s="5" t="str">
        <f>HYPERLINK("https://media.licdn.com/dms/image/v2/D4E10AQEBZAZWm4qUhA/image-shrink_1280/B4EZpyKHTFHoAM-/0/1762851846071?e=2147483647&amp;v=beta&amp;t=jJv8-L9Q8qRvF4r82W33BF0InYrdb709rOZWmtG_QDo","View Creative")</f>
        <v>View Creative</v>
      </c>
      <c r="L612" s="4" t="s">
        <v>60</v>
      </c>
      <c r="M612" s="4" t="s">
        <v>61</v>
      </c>
      <c r="N612" s="4" t="s">
        <v>4844</v>
      </c>
      <c r="O612" s="4" t="s">
        <v>89</v>
      </c>
      <c r="P612" s="4" t="s">
        <v>4937</v>
      </c>
    </row>
    <row r="613">
      <c r="A613" s="4" t="s">
        <v>40</v>
      </c>
      <c r="B613" s="4" t="s">
        <v>40</v>
      </c>
      <c r="C613" s="4">
        <v>611.0</v>
      </c>
      <c r="D613" s="5" t="str">
        <f>HYPERLINK("https://www.linkedin.com/ad-library/detail/906201214","Open Ad")</f>
        <v>Open Ad</v>
      </c>
      <c r="E613" s="4" t="s">
        <v>78</v>
      </c>
      <c r="F613" s="4" t="s">
        <v>4840</v>
      </c>
      <c r="G613" s="4" t="s">
        <v>4841</v>
      </c>
      <c r="H613" s="4" t="s">
        <v>49</v>
      </c>
      <c r="I613" s="4" t="s">
        <v>56</v>
      </c>
      <c r="J613" s="4" t="s">
        <v>78</v>
      </c>
      <c r="K613" s="5" t="str">
        <f>HYPERLINK("https://media.licdn.com/dms/image/v2/D4E10AQEi7MN_VbnwLQ/image-shrink_1280/B4EZpyKHVkIoAM-/0/1762851846245?e=2147483647&amp;v=beta&amp;t=4PzpnaPR4f0Eg3TiCDHHENFa8V8x_fZYb66yF60BLrY","View Creative")</f>
        <v>View Creative</v>
      </c>
      <c r="L613" s="4" t="s">
        <v>60</v>
      </c>
      <c r="M613" s="4" t="s">
        <v>61</v>
      </c>
      <c r="N613" s="4" t="s">
        <v>4844</v>
      </c>
      <c r="O613" s="4" t="s">
        <v>89</v>
      </c>
      <c r="P613" s="4" t="s">
        <v>4939</v>
      </c>
    </row>
    <row r="614">
      <c r="A614" s="4" t="s">
        <v>40</v>
      </c>
      <c r="B614" s="4" t="s">
        <v>40</v>
      </c>
      <c r="C614" s="4">
        <v>612.0</v>
      </c>
      <c r="D614" s="5" t="str">
        <f>HYPERLINK("https://www.linkedin.com/ad-library/detail/906270894","Open Ad")</f>
        <v>Open Ad</v>
      </c>
      <c r="E614" s="4" t="s">
        <v>78</v>
      </c>
      <c r="F614" s="4" t="s">
        <v>4879</v>
      </c>
      <c r="G614" s="4" t="s">
        <v>4880</v>
      </c>
      <c r="H614" s="4" t="s">
        <v>49</v>
      </c>
      <c r="I614" s="4" t="s">
        <v>4859</v>
      </c>
      <c r="J614" s="4" t="s">
        <v>78</v>
      </c>
      <c r="K614" s="5" t="str">
        <f>HYPERLINK("https://media.licdn.com/dms/image/v2/D4E10AQFRfWcy3uobjg/image-shrink_1280/B4EZpyKBmRKMAM-/0/1762851823132?e=2147483647&amp;v=beta&amp;t=WY5a9Bl037hW3fcmbjEqhLFZ9Uk-Ds0dMSJF3TRAPck","View Creative")</f>
        <v>View Creative</v>
      </c>
      <c r="L614" s="4" t="s">
        <v>60</v>
      </c>
      <c r="M614" s="4" t="s">
        <v>61</v>
      </c>
      <c r="N614" s="4" t="s">
        <v>4844</v>
      </c>
      <c r="O614" s="4" t="s">
        <v>89</v>
      </c>
      <c r="P614" s="4" t="s">
        <v>4940</v>
      </c>
    </row>
    <row r="615">
      <c r="A615" s="4" t="s">
        <v>40</v>
      </c>
      <c r="B615" s="4" t="s">
        <v>40</v>
      </c>
      <c r="C615" s="4">
        <v>613.0</v>
      </c>
      <c r="D615" s="5" t="str">
        <f>HYPERLINK("https://www.linkedin.com/ad-library/detail/906291064","Open Ad")</f>
        <v>Open Ad</v>
      </c>
      <c r="E615" s="4" t="s">
        <v>78</v>
      </c>
      <c r="F615" s="4" t="s">
        <v>4879</v>
      </c>
      <c r="G615" s="4" t="s">
        <v>4880</v>
      </c>
      <c r="H615" s="4" t="s">
        <v>49</v>
      </c>
      <c r="I615" s="4" t="s">
        <v>4859</v>
      </c>
      <c r="J615" s="4" t="s">
        <v>78</v>
      </c>
      <c r="K615" s="5" t="str">
        <f>HYPERLINK("https://media.licdn.com/dms/image/v2/D4E10AQExsUQKJKsqXQ/image-shrink_1280/B4EZpyKHXDKkAM-/0/1762851846891?e=2147483647&amp;v=beta&amp;t=QnrMsJCkCeI2e-peAeAgP9RgRGoAmWCfxVGfLV7QQ0M","View Creative")</f>
        <v>View Creative</v>
      </c>
      <c r="L615" s="4" t="s">
        <v>60</v>
      </c>
      <c r="M615" s="4" t="s">
        <v>61</v>
      </c>
      <c r="N615" s="4" t="s">
        <v>4844</v>
      </c>
      <c r="O615" s="4" t="s">
        <v>89</v>
      </c>
      <c r="P615" s="4" t="s">
        <v>4942</v>
      </c>
    </row>
    <row r="616">
      <c r="A616" s="4" t="s">
        <v>40</v>
      </c>
      <c r="B616" s="4" t="s">
        <v>40</v>
      </c>
      <c r="C616" s="4">
        <v>614.0</v>
      </c>
      <c r="D616" s="5" t="str">
        <f>HYPERLINK("https://www.linkedin.com/ad-library/detail/906270884","Open Ad")</f>
        <v>Open Ad</v>
      </c>
      <c r="E616" s="4" t="s">
        <v>78</v>
      </c>
      <c r="F616" s="4" t="s">
        <v>4857</v>
      </c>
      <c r="G616" s="4" t="s">
        <v>4858</v>
      </c>
      <c r="H616" s="4" t="s">
        <v>49</v>
      </c>
      <c r="I616" s="4" t="s">
        <v>4859</v>
      </c>
      <c r="J616" s="4" t="s">
        <v>78</v>
      </c>
      <c r="K616" s="5" t="str">
        <f>HYPERLINK("https://media.licdn.com/dms/image/v2/D4E10AQEhpirMu_jwZg/image-shrink_1280/B4EZpyKBkIJ0AU-/0/1762851822527?e=2147483647&amp;v=beta&amp;t=ScP7qBvrnmG6-1MndzepSBbHH6S1cepzaxbvHvtfQa4","View Creative")</f>
        <v>View Creative</v>
      </c>
      <c r="L616" s="4" t="s">
        <v>60</v>
      </c>
      <c r="M616" s="4" t="s">
        <v>61</v>
      </c>
      <c r="N616" s="4" t="s">
        <v>4844</v>
      </c>
      <c r="O616" s="4" t="s">
        <v>89</v>
      </c>
      <c r="P616" s="4" t="s">
        <v>4944</v>
      </c>
    </row>
    <row r="617">
      <c r="A617" s="4" t="s">
        <v>40</v>
      </c>
      <c r="B617" s="4" t="s">
        <v>40</v>
      </c>
      <c r="C617" s="4">
        <v>615.0</v>
      </c>
      <c r="D617" s="5" t="str">
        <f>HYPERLINK("https://www.linkedin.com/ad-library/detail/896151304","Open Ad")</f>
        <v>Open Ad</v>
      </c>
      <c r="E617" s="4" t="s">
        <v>78</v>
      </c>
      <c r="F617" s="4" t="s">
        <v>4879</v>
      </c>
      <c r="G617" s="4" t="s">
        <v>4880</v>
      </c>
      <c r="H617" s="4" t="s">
        <v>49</v>
      </c>
      <c r="I617" s="4" t="s">
        <v>4859</v>
      </c>
      <c r="J617" s="4" t="s">
        <v>78</v>
      </c>
      <c r="K617" s="5" t="str">
        <f>HYPERLINK("https://media.licdn.com/dms/image/v2/D4E10AQFIxZYwQNgAAQ/image-shrink_1280/B4EZpyKHWdKsAM-/0/1762851846420?e=2147483647&amp;v=beta&amp;t=ckzwQ-vOIQUDYNMDWMI42wL72edmr4_8O6qSib7OkcU","View Creative")</f>
        <v>View Creative</v>
      </c>
      <c r="L617" s="4" t="s">
        <v>60</v>
      </c>
      <c r="M617" s="4" t="s">
        <v>61</v>
      </c>
      <c r="N617" s="4" t="s">
        <v>4844</v>
      </c>
      <c r="O617" s="4" t="s">
        <v>89</v>
      </c>
      <c r="P617" s="4" t="s">
        <v>4945</v>
      </c>
    </row>
    <row r="618">
      <c r="A618" s="4" t="s">
        <v>40</v>
      </c>
      <c r="B618" s="4" t="s">
        <v>40</v>
      </c>
      <c r="C618" s="4">
        <v>616.0</v>
      </c>
      <c r="D618" s="5" t="str">
        <f>HYPERLINK("https://www.linkedin.com/ad-library/detail/896151314","Open Ad")</f>
        <v>Open Ad</v>
      </c>
      <c r="E618" s="4" t="s">
        <v>78</v>
      </c>
      <c r="F618" s="4" t="s">
        <v>4857</v>
      </c>
      <c r="G618" s="4" t="s">
        <v>4858</v>
      </c>
      <c r="H618" s="4" t="s">
        <v>49</v>
      </c>
      <c r="I618" s="4" t="s">
        <v>4859</v>
      </c>
      <c r="J618" s="4" t="s">
        <v>78</v>
      </c>
      <c r="K618" s="5" t="str">
        <f>HYPERLINK("https://media.licdn.com/dms/image/v2/D4E10AQHwu0tVYkzVWA/image-shrink_1280/B4EZpyKNdcHUAM-/0/1762851871662?e=2147483647&amp;v=beta&amp;t=GCMWjPmjZlKcN2DDgJzVQ1pypcZOZZXld286CwlRy50","View Creative")</f>
        <v>View Creative</v>
      </c>
      <c r="L618" s="4" t="s">
        <v>60</v>
      </c>
      <c r="M618" s="4" t="s">
        <v>61</v>
      </c>
      <c r="N618" s="4" t="s">
        <v>4844</v>
      </c>
      <c r="O618" s="4" t="s">
        <v>89</v>
      </c>
      <c r="P618" s="4" t="s">
        <v>4947</v>
      </c>
    </row>
    <row r="619">
      <c r="A619" s="4" t="s">
        <v>40</v>
      </c>
      <c r="B619" s="4" t="s">
        <v>40</v>
      </c>
      <c r="C619" s="4">
        <v>617.0</v>
      </c>
      <c r="D619" s="5" t="str">
        <f>HYPERLINK("https://www.linkedin.com/ad-library/detail/906311134","Open Ad")</f>
        <v>Open Ad</v>
      </c>
      <c r="E619" s="4" t="s">
        <v>78</v>
      </c>
      <c r="F619" s="4" t="s">
        <v>4840</v>
      </c>
      <c r="G619" s="4" t="s">
        <v>4841</v>
      </c>
      <c r="H619" s="4" t="s">
        <v>49</v>
      </c>
      <c r="I619" s="4" t="s">
        <v>56</v>
      </c>
      <c r="J619" s="4" t="s">
        <v>78</v>
      </c>
      <c r="K619" s="5" t="str">
        <f>HYPERLINK("https://media.licdn.com/dms/image/v2/D4E10AQEnGOtPyMbhGg/image-shrink_1280/B4EZpyKHZqKsAQ-/0/1762851848141?e=2147483647&amp;v=beta&amp;t=kJgUvJfWicVC0k3cTKKFKPJGS7x6nfjz_nnoxMaazro","View Creative")</f>
        <v>View Creative</v>
      </c>
      <c r="L619" s="4" t="s">
        <v>60</v>
      </c>
      <c r="M619" s="4" t="s">
        <v>61</v>
      </c>
      <c r="N619" s="4" t="s">
        <v>4844</v>
      </c>
      <c r="O619" s="4" t="s">
        <v>89</v>
      </c>
      <c r="P619" s="4" t="s">
        <v>4949</v>
      </c>
    </row>
    <row r="620">
      <c r="A620" s="4" t="s">
        <v>40</v>
      </c>
      <c r="B620" s="4" t="s">
        <v>40</v>
      </c>
      <c r="C620" s="4">
        <v>618.0</v>
      </c>
      <c r="D620" s="5" t="str">
        <f>HYPERLINK("https://www.linkedin.com/ad-library/detail/896111764","Open Ad")</f>
        <v>Open Ad</v>
      </c>
      <c r="E620" s="4" t="s">
        <v>78</v>
      </c>
      <c r="F620" s="4" t="s">
        <v>4840</v>
      </c>
      <c r="G620" s="4" t="s">
        <v>4841</v>
      </c>
      <c r="H620" s="4" t="s">
        <v>49</v>
      </c>
      <c r="I620" s="4" t="s">
        <v>56</v>
      </c>
      <c r="J620" s="4" t="s">
        <v>78</v>
      </c>
      <c r="K620" s="5" t="str">
        <f>HYPERLINK("https://media.licdn.com/dms/image/v2/D4E10AQHfynDR4_oRsQ/image-shrink_1280/B4EZpyKNddHcAM-/0/1762851871416?e=2147483647&amp;v=beta&amp;t=cIFCAs64wddRO394YUiCfjnW5OTstuqm0E8vWaP5K64","View Creative")</f>
        <v>View Creative</v>
      </c>
      <c r="L620" s="4" t="s">
        <v>60</v>
      </c>
      <c r="M620" s="4" t="s">
        <v>61</v>
      </c>
      <c r="N620" s="4" t="s">
        <v>4844</v>
      </c>
      <c r="O620" s="4" t="s">
        <v>89</v>
      </c>
      <c r="P620" s="4" t="s">
        <v>4950</v>
      </c>
    </row>
    <row r="621">
      <c r="A621" s="4" t="s">
        <v>40</v>
      </c>
      <c r="B621" s="4" t="s">
        <v>40</v>
      </c>
      <c r="C621" s="4">
        <v>619.0</v>
      </c>
      <c r="D621" s="5" t="str">
        <f>HYPERLINK("https://www.linkedin.com/ad-library/detail/895559424","Open Ad")</f>
        <v>Open Ad</v>
      </c>
      <c r="E621" s="4" t="s">
        <v>121</v>
      </c>
      <c r="F621" s="4" t="s">
        <v>54</v>
      </c>
      <c r="G621" s="4" t="s">
        <v>4952</v>
      </c>
      <c r="H621" s="4" t="s">
        <v>49</v>
      </c>
      <c r="I621" s="4" t="s">
        <v>4953</v>
      </c>
      <c r="J621" s="4" t="s">
        <v>121</v>
      </c>
      <c r="K621" s="5" t="str">
        <f>HYPERLINK("https://dms.licdn.com/playlist/vid/v2/D4D05AQF5JV5n3VJBTA/mp4-720p-30fp-crf28/B4DZpaXTnwJEBw-/0/1762452690473?e=2147483647&amp;v=beta&amp;t=4EzIsUjyujMe7cqUH5scJ53bgxlGCkYL-uK5adYitR4","View Creative")</f>
        <v>View Creative</v>
      </c>
      <c r="L621" s="4" t="s">
        <v>60</v>
      </c>
      <c r="M621" s="4" t="s">
        <v>61</v>
      </c>
      <c r="N621" s="4" t="s">
        <v>4954</v>
      </c>
      <c r="O621" s="4" t="s">
        <v>89</v>
      </c>
      <c r="P621" s="4" t="s">
        <v>4955</v>
      </c>
    </row>
    <row r="622">
      <c r="A622" s="4" t="s">
        <v>40</v>
      </c>
      <c r="B622" s="4" t="s">
        <v>40</v>
      </c>
      <c r="C622" s="4">
        <v>620.0</v>
      </c>
      <c r="D622" s="5" t="str">
        <f>HYPERLINK("https://www.linkedin.com/ad-library/detail/906311124","Open Ad")</f>
        <v>Open Ad</v>
      </c>
      <c r="E622" s="4" t="s">
        <v>78</v>
      </c>
      <c r="F622" s="4" t="s">
        <v>4879</v>
      </c>
      <c r="G622" s="4" t="s">
        <v>4880</v>
      </c>
      <c r="H622" s="4" t="s">
        <v>49</v>
      </c>
      <c r="I622" s="4" t="s">
        <v>4859</v>
      </c>
      <c r="J622" s="4" t="s">
        <v>78</v>
      </c>
      <c r="K622" s="5" t="str">
        <f>HYPERLINK("https://media.licdn.com/dms/image/v2/D4E10AQFJOA8lHRzTqQ/image-shrink_1280/B4EZpyKBn1HoAM-/0/1762851822839?e=2147483647&amp;v=beta&amp;t=67iHdDbMQVQFUZyQsgLNVaw1TC6aNRY7k_ctIkJ7Xcc","View Creative")</f>
        <v>View Creative</v>
      </c>
      <c r="L622" s="4" t="s">
        <v>60</v>
      </c>
      <c r="M622" s="4" t="s">
        <v>61</v>
      </c>
      <c r="N622" s="4" t="s">
        <v>4844</v>
      </c>
      <c r="O622" s="4" t="s">
        <v>89</v>
      </c>
      <c r="P622" s="4" t="s">
        <v>4957</v>
      </c>
    </row>
    <row r="623">
      <c r="A623" s="4" t="s">
        <v>40</v>
      </c>
      <c r="B623" s="4" t="s">
        <v>40</v>
      </c>
      <c r="C623" s="4">
        <v>621.0</v>
      </c>
      <c r="D623" s="5" t="str">
        <f>HYPERLINK("https://www.linkedin.com/ad-library/detail/906320804","Open Ad")</f>
        <v>Open Ad</v>
      </c>
      <c r="E623" s="4" t="s">
        <v>78</v>
      </c>
      <c r="F623" s="4" t="s">
        <v>4879</v>
      </c>
      <c r="G623" s="4" t="s">
        <v>4880</v>
      </c>
      <c r="H623" s="4" t="s">
        <v>49</v>
      </c>
      <c r="I623" s="4" t="s">
        <v>4859</v>
      </c>
      <c r="J623" s="4" t="s">
        <v>78</v>
      </c>
      <c r="K623" s="5" t="str">
        <f>HYPERLINK("https://media.licdn.com/dms/image/v2/D4E10AQHON_p64kqbxg/image-shrink_1280/B4EZpyKBmOHoAM-/0/1762851822705?e=2147483647&amp;v=beta&amp;t=uKRL4e13JFzlPFGkZaMtM-i5TfBoP28rWMPsEjyllp8","View Creative")</f>
        <v>View Creative</v>
      </c>
      <c r="L623" s="4" t="s">
        <v>60</v>
      </c>
      <c r="M623" s="4" t="s">
        <v>61</v>
      </c>
      <c r="N623" s="4" t="s">
        <v>4844</v>
      </c>
      <c r="O623" s="4" t="s">
        <v>89</v>
      </c>
      <c r="P623" s="4" t="s">
        <v>4958</v>
      </c>
    </row>
    <row r="624">
      <c r="A624" s="4" t="s">
        <v>40</v>
      </c>
      <c r="B624" s="4" t="s">
        <v>40</v>
      </c>
      <c r="C624" s="4">
        <v>622.0</v>
      </c>
      <c r="D624" s="5" t="str">
        <f>HYPERLINK("https://www.linkedin.com/ad-library/detail/906331154","Open Ad")</f>
        <v>Open Ad</v>
      </c>
      <c r="E624" s="4" t="s">
        <v>78</v>
      </c>
      <c r="F624" s="4" t="s">
        <v>4840</v>
      </c>
      <c r="G624" s="4" t="s">
        <v>4841</v>
      </c>
      <c r="H624" s="4" t="s">
        <v>49</v>
      </c>
      <c r="I624" s="4" t="s">
        <v>56</v>
      </c>
      <c r="J624" s="4" t="s">
        <v>78</v>
      </c>
      <c r="K624" s="5" t="str">
        <f>HYPERLINK("https://media.licdn.com/dms/image/v2/D4E10AQE3w4gqvs_CBQ/image-shrink_1280/B4EZpyKBkIHgAQ-/0/1762851823159?e=2147483647&amp;v=beta&amp;t=XJC_tWSEtQez_fks7skZYPJpmSvcSXUwwslGcR4G97M","View Creative")</f>
        <v>View Creative</v>
      </c>
      <c r="L624" s="4" t="s">
        <v>60</v>
      </c>
      <c r="M624" s="4" t="s">
        <v>61</v>
      </c>
      <c r="N624" s="4" t="s">
        <v>4844</v>
      </c>
      <c r="O624" s="4" t="s">
        <v>89</v>
      </c>
      <c r="P624" s="4" t="s">
        <v>4960</v>
      </c>
    </row>
    <row r="625">
      <c r="A625" s="4" t="s">
        <v>40</v>
      </c>
      <c r="B625" s="4" t="s">
        <v>40</v>
      </c>
      <c r="C625" s="4">
        <v>623.0</v>
      </c>
      <c r="D625" s="5" t="str">
        <f>HYPERLINK("https://www.linkedin.com/ad-library/detail/906221234","Open Ad")</f>
        <v>Open Ad</v>
      </c>
      <c r="E625" s="4" t="s">
        <v>78</v>
      </c>
      <c r="F625" s="4" t="s">
        <v>4840</v>
      </c>
      <c r="G625" s="4" t="s">
        <v>4841</v>
      </c>
      <c r="H625" s="4" t="s">
        <v>49</v>
      </c>
      <c r="I625" s="4" t="s">
        <v>56</v>
      </c>
      <c r="J625" s="4" t="s">
        <v>78</v>
      </c>
      <c r="K625" s="5" t="str">
        <f>HYPERLINK("https://media.licdn.com/dms/image/v2/D4E10AQGYItisNc5dfw/image-shrink_1280/B4EZpyKBmnHgAQ-/0/1762851822841?e=2147483647&amp;v=beta&amp;t=fYADE7Ny04FENoDiPo72ye62BV_14oiXJwh2RPplkd8","View Creative")</f>
        <v>View Creative</v>
      </c>
      <c r="L625" s="4" t="s">
        <v>60</v>
      </c>
      <c r="M625" s="4" t="s">
        <v>61</v>
      </c>
      <c r="N625" s="4" t="s">
        <v>4844</v>
      </c>
      <c r="O625" s="4" t="s">
        <v>89</v>
      </c>
      <c r="P625" s="4" t="s">
        <v>4961</v>
      </c>
    </row>
    <row r="626">
      <c r="A626" s="4" t="s">
        <v>40</v>
      </c>
      <c r="B626" s="4" t="s">
        <v>40</v>
      </c>
      <c r="C626" s="4">
        <v>624.0</v>
      </c>
      <c r="D626" s="5" t="str">
        <f>HYPERLINK("https://www.linkedin.com/ad-library/detail/906331144","Open Ad")</f>
        <v>Open Ad</v>
      </c>
      <c r="E626" s="4" t="s">
        <v>78</v>
      </c>
      <c r="F626" s="4" t="s">
        <v>4857</v>
      </c>
      <c r="G626" s="4" t="s">
        <v>4858</v>
      </c>
      <c r="H626" s="4" t="s">
        <v>49</v>
      </c>
      <c r="I626" s="4" t="s">
        <v>4859</v>
      </c>
      <c r="J626" s="4" t="s">
        <v>78</v>
      </c>
      <c r="K626" s="5" t="str">
        <f>HYPERLINK("https://media.licdn.com/dms/image/v2/D4E10AQGlewWy1e1euA/image-shrink_1280/B4EZpyKBh6GcAM-/0/1762851822597?e=2147483647&amp;v=beta&amp;t=kut6Mi32BzEa5bO-3qwJ2_JWWN84vAyhKgcKLaWopUw","View Creative")</f>
        <v>View Creative</v>
      </c>
      <c r="L626" s="4" t="s">
        <v>60</v>
      </c>
      <c r="M626" s="4" t="s">
        <v>61</v>
      </c>
      <c r="N626" s="4" t="s">
        <v>4844</v>
      </c>
      <c r="O626" s="4" t="s">
        <v>89</v>
      </c>
      <c r="P626" s="4" t="s">
        <v>4963</v>
      </c>
    </row>
    <row r="627">
      <c r="A627" s="4" t="s">
        <v>40</v>
      </c>
      <c r="B627" s="4" t="s">
        <v>40</v>
      </c>
      <c r="C627" s="4">
        <v>625.0</v>
      </c>
      <c r="D627" s="5" t="str">
        <f>HYPERLINK("https://www.linkedin.com/ad-library/detail/895278734","Open Ad")</f>
        <v>Open Ad</v>
      </c>
      <c r="E627" s="4" t="s">
        <v>78</v>
      </c>
      <c r="F627" s="4" t="s">
        <v>3427</v>
      </c>
      <c r="G627" s="4" t="s">
        <v>3429</v>
      </c>
      <c r="H627" s="4" t="s">
        <v>49</v>
      </c>
      <c r="I627" s="4" t="s">
        <v>873</v>
      </c>
      <c r="J627" s="4" t="s">
        <v>78</v>
      </c>
      <c r="K627" s="5" t="str">
        <f>HYPERLINK("https://media.licdn.com/dms/image/v2/D4E10AQHSSu84vzdelQ/image-shrink_1280/B4EZpYv5LRHgAM-/0/1762425542446?e=2147483647&amp;v=beta&amp;t=_AVpAThw4S97ln-A4tVafmfqIi1kdlYVCh5-ylyCAQU","View Creative")</f>
        <v>View Creative</v>
      </c>
      <c r="L627" s="4" t="s">
        <v>2321</v>
      </c>
      <c r="M627" s="4" t="s">
        <v>61</v>
      </c>
      <c r="N627" s="4" t="s">
        <v>4965</v>
      </c>
      <c r="O627" s="4" t="s">
        <v>89</v>
      </c>
      <c r="P627" s="4" t="s">
        <v>4966</v>
      </c>
    </row>
    <row r="628">
      <c r="A628" s="4" t="s">
        <v>40</v>
      </c>
      <c r="B628" s="4" t="s">
        <v>40</v>
      </c>
      <c r="C628" s="4">
        <v>626.0</v>
      </c>
      <c r="D628" s="5" t="str">
        <f>HYPERLINK("https://www.linkedin.com/ad-library/detail/895278724","Open Ad")</f>
        <v>Open Ad</v>
      </c>
      <c r="E628" s="4" t="s">
        <v>78</v>
      </c>
      <c r="F628" s="4" t="s">
        <v>3427</v>
      </c>
      <c r="G628" s="4" t="s">
        <v>3429</v>
      </c>
      <c r="H628" s="4" t="s">
        <v>49</v>
      </c>
      <c r="I628" s="4" t="s">
        <v>873</v>
      </c>
      <c r="J628" s="4" t="s">
        <v>78</v>
      </c>
      <c r="K628" s="5" t="str">
        <f>HYPERLINK("https://media.licdn.com/dms/image/v2/D4E10AQFyREzJJK9d6w/image-shrink_1280/B4EZpYv0i4HMAM-/0/1762425523581?e=2147483647&amp;v=beta&amp;t=_oA5-f9BwqOLV_pI4z3G8bZce8EBccedRUTbBPvTADY","View Creative")</f>
        <v>View Creative</v>
      </c>
      <c r="L628" s="4" t="s">
        <v>2321</v>
      </c>
      <c r="M628" s="4" t="s">
        <v>61</v>
      </c>
      <c r="N628" s="4" t="s">
        <v>4965</v>
      </c>
      <c r="O628" s="4" t="s">
        <v>89</v>
      </c>
      <c r="P628" s="4" t="s">
        <v>4967</v>
      </c>
    </row>
    <row r="629">
      <c r="A629" s="4" t="s">
        <v>40</v>
      </c>
      <c r="B629" s="4" t="s">
        <v>40</v>
      </c>
      <c r="C629" s="4">
        <v>627.0</v>
      </c>
      <c r="D629" s="5" t="str">
        <f>HYPERLINK("https://www.linkedin.com/ad-library/detail/895357444","Open Ad")</f>
        <v>Open Ad</v>
      </c>
      <c r="E629" s="4" t="s">
        <v>78</v>
      </c>
      <c r="F629" s="4" t="s">
        <v>3427</v>
      </c>
      <c r="G629" s="4" t="s">
        <v>3429</v>
      </c>
      <c r="H629" s="4" t="s">
        <v>49</v>
      </c>
      <c r="I629" s="4" t="s">
        <v>873</v>
      </c>
      <c r="J629" s="4" t="s">
        <v>78</v>
      </c>
      <c r="K629" s="5" t="str">
        <f>HYPERLINK("https://media.licdn.com/dms/image/v2/D4E10AQFnTecDUpfanw/image-shrink_1280/B4EZpYv5GoJ0AM-/0/1762425541696?e=2147483647&amp;v=beta&amp;t=qzuU8TiIQFLkhebn2EwceME3ovv6tq_ND8tVjQNcknk","View Creative")</f>
        <v>View Creative</v>
      </c>
      <c r="L629" s="4" t="s">
        <v>2321</v>
      </c>
      <c r="M629" s="4" t="s">
        <v>61</v>
      </c>
      <c r="N629" s="4" t="s">
        <v>4965</v>
      </c>
      <c r="O629" s="4" t="s">
        <v>89</v>
      </c>
      <c r="P629" s="4" t="s">
        <v>4969</v>
      </c>
    </row>
    <row r="630">
      <c r="A630" s="4" t="s">
        <v>40</v>
      </c>
      <c r="B630" s="4" t="s">
        <v>40</v>
      </c>
      <c r="C630" s="4">
        <v>628.0</v>
      </c>
      <c r="D630" s="5" t="str">
        <f>HYPERLINK("https://www.linkedin.com/ad-library/detail/895308204","Open Ad")</f>
        <v>Open Ad</v>
      </c>
      <c r="E630" s="4" t="s">
        <v>78</v>
      </c>
      <c r="F630" s="4" t="s">
        <v>3503</v>
      </c>
      <c r="G630" s="4" t="s">
        <v>3504</v>
      </c>
      <c r="H630" s="4" t="s">
        <v>49</v>
      </c>
      <c r="I630" s="4" t="s">
        <v>429</v>
      </c>
      <c r="J630" s="4" t="s">
        <v>78</v>
      </c>
      <c r="K630" s="5" t="str">
        <f>HYPERLINK("https://media.licdn.com/dms/image/v2/D4E10AQFTwfo6iuC-Rw/image-shrink_1280/B4EZpYv5HMHcAU-/0/1762425541833?e=2147483647&amp;v=beta&amp;t=lnkrJRJk-VhHgaUsdxsrpRrUc1XiJAIPrtyQgaTNlfU","View Creative")</f>
        <v>View Creative</v>
      </c>
      <c r="L630" s="4" t="s">
        <v>2321</v>
      </c>
      <c r="M630" s="4" t="s">
        <v>61</v>
      </c>
      <c r="N630" s="4" t="s">
        <v>4965</v>
      </c>
      <c r="O630" s="4" t="s">
        <v>89</v>
      </c>
      <c r="P630" s="4" t="s">
        <v>4971</v>
      </c>
    </row>
    <row r="631">
      <c r="A631" s="4" t="s">
        <v>40</v>
      </c>
      <c r="B631" s="4" t="s">
        <v>40</v>
      </c>
      <c r="C631" s="4">
        <v>629.0</v>
      </c>
      <c r="D631" s="5" t="str">
        <f>HYPERLINK("https://www.linkedin.com/ad-library/detail/895367804","Open Ad")</f>
        <v>Open Ad</v>
      </c>
      <c r="E631" s="4" t="s">
        <v>78</v>
      </c>
      <c r="F631" s="4" t="s">
        <v>3503</v>
      </c>
      <c r="G631" s="4" t="s">
        <v>3504</v>
      </c>
      <c r="H631" s="4" t="s">
        <v>49</v>
      </c>
      <c r="I631" s="4" t="s">
        <v>429</v>
      </c>
      <c r="J631" s="4" t="s">
        <v>78</v>
      </c>
      <c r="K631" s="5" t="str">
        <f>HYPERLINK("https://media.licdn.com/dms/image/v2/D4E10AQHrU8NX7KhoOw/image-shrink_1280/B4EZpYv0fbJ0AM-/0/1762425523289?e=2147483647&amp;v=beta&amp;t=agIzwdKAL_khE8VPZj1cFkEhjtmMyYUeM6_IiRUonJE","View Creative")</f>
        <v>View Creative</v>
      </c>
      <c r="L631" s="4" t="s">
        <v>2321</v>
      </c>
      <c r="M631" s="4" t="s">
        <v>61</v>
      </c>
      <c r="N631" s="4" t="s">
        <v>4965</v>
      </c>
      <c r="O631" s="4" t="s">
        <v>89</v>
      </c>
      <c r="P631" s="4" t="s">
        <v>4972</v>
      </c>
    </row>
    <row r="632">
      <c r="A632" s="4" t="s">
        <v>40</v>
      </c>
      <c r="B632" s="4" t="s">
        <v>40</v>
      </c>
      <c r="C632" s="4">
        <v>630.0</v>
      </c>
      <c r="D632" s="5" t="str">
        <f>HYPERLINK("https://www.linkedin.com/ad-library/detail/895298584","Open Ad")</f>
        <v>Open Ad</v>
      </c>
      <c r="E632" s="4" t="s">
        <v>78</v>
      </c>
      <c r="F632" s="4" t="s">
        <v>3427</v>
      </c>
      <c r="G632" s="4" t="s">
        <v>3429</v>
      </c>
      <c r="H632" s="4" t="s">
        <v>49</v>
      </c>
      <c r="I632" s="4" t="s">
        <v>873</v>
      </c>
      <c r="J632" s="4" t="s">
        <v>78</v>
      </c>
      <c r="K632" s="5" t="str">
        <f>HYPERLINK("https://media.licdn.com/dms/image/v2/D4E10AQE0rFXqjpXehQ/image-shrink_1280/B4EZpYvv5tGcAM-/0/1762425503982?e=2147483647&amp;v=beta&amp;t=E8Fz346PHGP1Iuq_OwAkrRgP4gAVmbpcto4yZDLoEOE","View Creative")</f>
        <v>View Creative</v>
      </c>
      <c r="L632" s="4" t="s">
        <v>2321</v>
      </c>
      <c r="M632" s="4" t="s">
        <v>61</v>
      </c>
      <c r="N632" s="4" t="s">
        <v>4965</v>
      </c>
      <c r="O632" s="4" t="s">
        <v>89</v>
      </c>
      <c r="P632" s="4" t="s">
        <v>4974</v>
      </c>
    </row>
    <row r="633">
      <c r="A633" s="4" t="s">
        <v>40</v>
      </c>
      <c r="B633" s="4" t="s">
        <v>40</v>
      </c>
      <c r="C633" s="4">
        <v>631.0</v>
      </c>
      <c r="D633" s="5" t="str">
        <f>HYPERLINK("https://www.linkedin.com/ad-library/detail/895377444","Open Ad")</f>
        <v>Open Ad</v>
      </c>
      <c r="E633" s="4" t="s">
        <v>78</v>
      </c>
      <c r="F633" s="4" t="s">
        <v>3427</v>
      </c>
      <c r="G633" s="4" t="s">
        <v>3429</v>
      </c>
      <c r="H633" s="4" t="s">
        <v>49</v>
      </c>
      <c r="I633" s="4" t="s">
        <v>873</v>
      </c>
      <c r="J633" s="4" t="s">
        <v>78</v>
      </c>
      <c r="K633" s="5" t="str">
        <f>HYPERLINK("https://media.licdn.com/dms/image/v2/D4E10AQGj9Az78z6S8w/image-shrink_1280/B4EZpYv0n6KoAM-/0/1762425523450?e=2147483647&amp;v=beta&amp;t=LT4C_50XMl9bH7fj37laDhJwJQAC3R12dFfh2pnzLKU","View Creative")</f>
        <v>View Creative</v>
      </c>
      <c r="L633" s="4" t="s">
        <v>2321</v>
      </c>
      <c r="M633" s="4" t="s">
        <v>61</v>
      </c>
      <c r="N633" s="4" t="s">
        <v>4965</v>
      </c>
      <c r="O633" s="4" t="s">
        <v>89</v>
      </c>
      <c r="P633" s="4" t="s">
        <v>4975</v>
      </c>
    </row>
    <row r="634">
      <c r="A634" s="4" t="s">
        <v>40</v>
      </c>
      <c r="B634" s="4" t="s">
        <v>40</v>
      </c>
      <c r="C634" s="4">
        <v>632.0</v>
      </c>
      <c r="D634" s="5" t="str">
        <f>HYPERLINK("https://www.linkedin.com/ad-library/detail/895377434","Open Ad")</f>
        <v>Open Ad</v>
      </c>
      <c r="E634" s="4" t="s">
        <v>78</v>
      </c>
      <c r="F634" s="4" t="s">
        <v>3427</v>
      </c>
      <c r="G634" s="4" t="s">
        <v>3429</v>
      </c>
      <c r="H634" s="4" t="s">
        <v>49</v>
      </c>
      <c r="I634" s="4" t="s">
        <v>873</v>
      </c>
      <c r="J634" s="4" t="s">
        <v>78</v>
      </c>
      <c r="K634" s="5" t="str">
        <f>HYPERLINK("https://media.licdn.com/dms/image/v2/D4E10AQE2bSo0I5MDFw/image-shrink_1280/B4EZpYv0f5HcAM-/0/1762425522863?e=2147483647&amp;v=beta&amp;t=mSuZpi7celrBi8k_KY_7Rg5om3dGKhgt1JncvGKb0xw","View Creative")</f>
        <v>View Creative</v>
      </c>
      <c r="L634" s="4" t="s">
        <v>2321</v>
      </c>
      <c r="M634" s="4" t="s">
        <v>61</v>
      </c>
      <c r="N634" s="4" t="s">
        <v>4965</v>
      </c>
      <c r="O634" s="4" t="s">
        <v>89</v>
      </c>
      <c r="P634" s="4" t="s">
        <v>4977</v>
      </c>
    </row>
    <row r="635">
      <c r="A635" s="4" t="s">
        <v>40</v>
      </c>
      <c r="B635" s="4" t="s">
        <v>40</v>
      </c>
      <c r="C635" s="4">
        <v>633.0</v>
      </c>
      <c r="D635" s="5" t="str">
        <f>HYPERLINK("https://www.linkedin.com/ad-library/detail/895377424","Open Ad")</f>
        <v>Open Ad</v>
      </c>
      <c r="E635" s="4" t="s">
        <v>78</v>
      </c>
      <c r="F635" s="4" t="s">
        <v>3503</v>
      </c>
      <c r="G635" s="4" t="s">
        <v>3504</v>
      </c>
      <c r="H635" s="4" t="s">
        <v>49</v>
      </c>
      <c r="I635" s="4" t="s">
        <v>429</v>
      </c>
      <c r="J635" s="4" t="s">
        <v>78</v>
      </c>
      <c r="K635" s="5" t="str">
        <f>HYPERLINK("https://media.licdn.com/dms/image/v2/D4E10AQExutQByyFQTQ/image-shrink_1280/B4EZpYvv3AKsAM-/0/1762425503919?e=2147483647&amp;v=beta&amp;t=fSWeEr9Vkc0_XUihod4OL8jMGzyIC-VtkVgK01_IsmU","View Creative")</f>
        <v>View Creative</v>
      </c>
      <c r="L635" s="4" t="s">
        <v>2321</v>
      </c>
      <c r="M635" s="4" t="s">
        <v>61</v>
      </c>
      <c r="N635" s="4" t="s">
        <v>4979</v>
      </c>
      <c r="O635" s="4" t="s">
        <v>89</v>
      </c>
      <c r="P635" s="4" t="s">
        <v>4980</v>
      </c>
    </row>
    <row r="636">
      <c r="A636" s="4" t="s">
        <v>40</v>
      </c>
      <c r="B636" s="4" t="s">
        <v>40</v>
      </c>
      <c r="C636" s="4">
        <v>634.0</v>
      </c>
      <c r="D636" s="5" t="str">
        <f>HYPERLINK("https://www.linkedin.com/ad-library/detail/895249424","Open Ad")</f>
        <v>Open Ad</v>
      </c>
      <c r="E636" s="4" t="s">
        <v>78</v>
      </c>
      <c r="F636" s="4" t="s">
        <v>3427</v>
      </c>
      <c r="G636" s="4" t="s">
        <v>3429</v>
      </c>
      <c r="H636" s="4" t="s">
        <v>49</v>
      </c>
      <c r="I636" s="4" t="s">
        <v>873</v>
      </c>
      <c r="J636" s="4" t="s">
        <v>78</v>
      </c>
      <c r="K636" s="5" t="str">
        <f>HYPERLINK("https://media.licdn.com/dms/image/v2/D4E10AQE4HLIYs6OA4g/image-shrink_1280/B4EZpYvv50IUAM-/0/1762425504095?e=2147483647&amp;v=beta&amp;t=hN3R4hsOwM7z3IUCFr4wopXl2OX-UvnUXhXHOIAJneg","View Creative")</f>
        <v>View Creative</v>
      </c>
      <c r="L636" s="4" t="s">
        <v>2321</v>
      </c>
      <c r="M636" s="4" t="s">
        <v>61</v>
      </c>
      <c r="N636" s="4" t="s">
        <v>4965</v>
      </c>
      <c r="O636" s="4" t="s">
        <v>89</v>
      </c>
      <c r="P636" s="4" t="s">
        <v>4981</v>
      </c>
    </row>
    <row r="637">
      <c r="A637" s="4" t="s">
        <v>40</v>
      </c>
      <c r="B637" s="4" t="s">
        <v>40</v>
      </c>
      <c r="C637" s="4">
        <v>635.0</v>
      </c>
      <c r="D637" s="5" t="str">
        <f>HYPERLINK("https://www.linkedin.com/ad-library/detail/895396694","Open Ad")</f>
        <v>Open Ad</v>
      </c>
      <c r="E637" s="4" t="s">
        <v>78</v>
      </c>
      <c r="F637" s="4" t="s">
        <v>3427</v>
      </c>
      <c r="G637" s="4" t="s">
        <v>3429</v>
      </c>
      <c r="H637" s="4" t="s">
        <v>49</v>
      </c>
      <c r="I637" s="4" t="s">
        <v>873</v>
      </c>
      <c r="J637" s="4" t="s">
        <v>78</v>
      </c>
      <c r="K637" s="5" t="str">
        <f>HYPERLINK("https://media.licdn.com/dms/image/v2/D4E10AQHJ7EvqPtJLzA/image-shrink_1280/B4EZpYvvqfHgAM-/0/1762425503492?e=2147483647&amp;v=beta&amp;t=uk3V4kKDYg27eTYK4104YKjlLthJpA2ArSVQxxjS78U","View Creative")</f>
        <v>View Creative</v>
      </c>
      <c r="L637" s="4" t="s">
        <v>2321</v>
      </c>
      <c r="M637" s="4" t="s">
        <v>61</v>
      </c>
      <c r="N637" s="4" t="s">
        <v>4965</v>
      </c>
      <c r="O637" s="4" t="s">
        <v>89</v>
      </c>
      <c r="P637" s="4" t="s">
        <v>4983</v>
      </c>
    </row>
    <row r="638">
      <c r="A638" s="4" t="s">
        <v>40</v>
      </c>
      <c r="B638" s="4" t="s">
        <v>40</v>
      </c>
      <c r="C638" s="4">
        <v>636.0</v>
      </c>
      <c r="D638" s="5" t="str">
        <f>HYPERLINK("https://www.linkedin.com/ad-library/detail/895249444","Open Ad")</f>
        <v>Open Ad</v>
      </c>
      <c r="E638" s="4" t="s">
        <v>78</v>
      </c>
      <c r="F638" s="4" t="s">
        <v>3427</v>
      </c>
      <c r="G638" s="4" t="s">
        <v>3429</v>
      </c>
      <c r="H638" s="4" t="s">
        <v>49</v>
      </c>
      <c r="I638" s="4" t="s">
        <v>873</v>
      </c>
      <c r="J638" s="4" t="s">
        <v>78</v>
      </c>
      <c r="K638" s="5" t="str">
        <f>HYPERLINK("https://media.licdn.com/dms/image/v2/D4E10AQGunlgBl-txMA/image-shrink_1280/B4EZpYv5OIKsAM-/0/1762425542667?e=2147483647&amp;v=beta&amp;t=mUy0ujNCtiEObSK0GOnJJTNk4aMcevfNK_HvQRDIvdE","View Creative")</f>
        <v>View Creative</v>
      </c>
      <c r="L638" s="4" t="s">
        <v>2321</v>
      </c>
      <c r="M638" s="4" t="s">
        <v>61</v>
      </c>
      <c r="N638" s="4" t="s">
        <v>4965</v>
      </c>
      <c r="O638" s="4" t="s">
        <v>89</v>
      </c>
      <c r="P638" s="4" t="s">
        <v>4985</v>
      </c>
    </row>
    <row r="639">
      <c r="A639" s="4" t="s">
        <v>40</v>
      </c>
      <c r="B639" s="4" t="s">
        <v>40</v>
      </c>
      <c r="C639" s="4">
        <v>637.0</v>
      </c>
      <c r="D639" s="5" t="str">
        <f>HYPERLINK("https://www.linkedin.com/ad-library/detail/895249434","Open Ad")</f>
        <v>Open Ad</v>
      </c>
      <c r="E639" s="4" t="s">
        <v>78</v>
      </c>
      <c r="F639" s="4" t="s">
        <v>3503</v>
      </c>
      <c r="G639" s="4" t="s">
        <v>3504</v>
      </c>
      <c r="H639" s="4" t="s">
        <v>49</v>
      </c>
      <c r="I639" s="4" t="s">
        <v>429</v>
      </c>
      <c r="J639" s="4" t="s">
        <v>78</v>
      </c>
      <c r="K639" s="5" t="str">
        <f>HYPERLINK("https://media.licdn.com/dms/image/v2/D4E10AQHuTHCB9f_L7A/image-shrink_1280/B4EZpYvv77GoAM-/0/1762425504327?e=2147483647&amp;v=beta&amp;t=jXDn_mYk7jGNdWLuvtqwdKsTqH0REEG56QOGkLb2E00","View Creative")</f>
        <v>View Creative</v>
      </c>
      <c r="L639" s="4" t="s">
        <v>2321</v>
      </c>
      <c r="M639" s="4" t="s">
        <v>61</v>
      </c>
      <c r="N639" s="4" t="s">
        <v>4965</v>
      </c>
      <c r="O639" s="4" t="s">
        <v>89</v>
      </c>
      <c r="P639" s="4" t="s">
        <v>4987</v>
      </c>
    </row>
    <row r="640">
      <c r="A640" s="4" t="s">
        <v>40</v>
      </c>
      <c r="B640" s="4" t="s">
        <v>40</v>
      </c>
      <c r="C640" s="4">
        <v>638.0</v>
      </c>
      <c r="D640" s="5" t="str">
        <f>HYPERLINK("https://www.linkedin.com/ad-library/detail/895318274","Open Ad")</f>
        <v>Open Ad</v>
      </c>
      <c r="E640" s="4" t="s">
        <v>78</v>
      </c>
      <c r="F640" s="4" t="s">
        <v>3427</v>
      </c>
      <c r="G640" s="4" t="s">
        <v>3429</v>
      </c>
      <c r="H640" s="4" t="s">
        <v>49</v>
      </c>
      <c r="I640" s="4" t="s">
        <v>873</v>
      </c>
      <c r="J640" s="4" t="s">
        <v>78</v>
      </c>
      <c r="K640" s="5" t="str">
        <f>HYPERLINK("https://media.licdn.com/dms/image/v2/D4E10AQHNvVbFMaL_VA/image-shrink_1280/B4EZpYv0moHoAM-/0/1762425523277?e=2147483647&amp;v=beta&amp;t=woaOSqnBAZUzc6ZLke9NRD0ImWiyz4dnbJ9ru_BYPd0","View Creative")</f>
        <v>View Creative</v>
      </c>
      <c r="L640" s="4" t="s">
        <v>2321</v>
      </c>
      <c r="M640" s="4" t="s">
        <v>61</v>
      </c>
      <c r="N640" s="4" t="s">
        <v>4965</v>
      </c>
      <c r="O640" s="4" t="s">
        <v>89</v>
      </c>
      <c r="P640" s="4" t="s">
        <v>4988</v>
      </c>
    </row>
    <row r="641">
      <c r="A641" s="4" t="s">
        <v>40</v>
      </c>
      <c r="B641" s="4" t="s">
        <v>40</v>
      </c>
      <c r="C641" s="4">
        <v>639.0</v>
      </c>
      <c r="D641" s="5" t="str">
        <f>HYPERLINK("https://www.linkedin.com/ad-library/detail/895318264","Open Ad")</f>
        <v>Open Ad</v>
      </c>
      <c r="E641" s="4" t="s">
        <v>78</v>
      </c>
      <c r="F641" s="4" t="s">
        <v>3427</v>
      </c>
      <c r="G641" s="4" t="s">
        <v>3429</v>
      </c>
      <c r="H641" s="4" t="s">
        <v>49</v>
      </c>
      <c r="I641" s="4" t="s">
        <v>873</v>
      </c>
      <c r="J641" s="4" t="s">
        <v>78</v>
      </c>
      <c r="K641" s="5" t="str">
        <f>HYPERLINK("https://media.licdn.com/dms/image/v2/D4E10AQHcncS5j_VOJg/image-shrink_1280/B4EZpYv0kTHEAQ-/0/1762425523127?e=2147483647&amp;v=beta&amp;t=uKIZlcbGxYQ2vPJlMRR5We5UplHxVp6-yL92Y_0gkZQ","View Creative")</f>
        <v>View Creative</v>
      </c>
      <c r="L641" s="4" t="s">
        <v>2321</v>
      </c>
      <c r="M641" s="4" t="s">
        <v>61</v>
      </c>
      <c r="N641" s="4" t="s">
        <v>4965</v>
      </c>
      <c r="O641" s="4" t="s">
        <v>89</v>
      </c>
      <c r="P641" s="4" t="s">
        <v>4990</v>
      </c>
    </row>
    <row r="642">
      <c r="A642" s="4" t="s">
        <v>40</v>
      </c>
      <c r="B642" s="4" t="s">
        <v>40</v>
      </c>
      <c r="C642" s="4">
        <v>640.0</v>
      </c>
      <c r="D642" s="5" t="str">
        <f>HYPERLINK("https://www.linkedin.com/ad-library/detail/895406644","Open Ad")</f>
        <v>Open Ad</v>
      </c>
      <c r="E642" s="4" t="s">
        <v>78</v>
      </c>
      <c r="F642" s="4" t="s">
        <v>3503</v>
      </c>
      <c r="G642" s="4" t="s">
        <v>3504</v>
      </c>
      <c r="H642" s="4" t="s">
        <v>49</v>
      </c>
      <c r="I642" s="4" t="s">
        <v>429</v>
      </c>
      <c r="J642" s="4" t="s">
        <v>78</v>
      </c>
      <c r="K642" s="5" t="str">
        <f>HYPERLINK("https://media.licdn.com/dms/image/v2/D4E10AQGmr-C2iBYifw/image-shrink_1280/B4EZpYv0gWJgAQ-/0/1762425523418?e=2147483647&amp;v=beta&amp;t=KL7MZzSvtdoDpCAh-dqCAuxTirP7W3G3KcM3NAA84SM","View Creative")</f>
        <v>View Creative</v>
      </c>
      <c r="L642" s="4" t="s">
        <v>2321</v>
      </c>
      <c r="M642" s="4" t="s">
        <v>61</v>
      </c>
      <c r="N642" s="4" t="s">
        <v>4965</v>
      </c>
      <c r="O642" s="4" t="s">
        <v>89</v>
      </c>
      <c r="P642" s="4" t="s">
        <v>4991</v>
      </c>
    </row>
    <row r="643">
      <c r="A643" s="4" t="s">
        <v>40</v>
      </c>
      <c r="B643" s="4" t="s">
        <v>40</v>
      </c>
      <c r="C643" s="4">
        <v>641.0</v>
      </c>
      <c r="D643" s="5" t="str">
        <f>HYPERLINK("https://www.linkedin.com/ad-library/detail/895288204","Open Ad")</f>
        <v>Open Ad</v>
      </c>
      <c r="E643" s="4" t="s">
        <v>78</v>
      </c>
      <c r="F643" s="4" t="s">
        <v>3503</v>
      </c>
      <c r="G643" s="4" t="s">
        <v>3504</v>
      </c>
      <c r="H643" s="4" t="s">
        <v>49</v>
      </c>
      <c r="I643" s="4" t="s">
        <v>429</v>
      </c>
      <c r="J643" s="4" t="s">
        <v>78</v>
      </c>
      <c r="K643" s="5" t="str">
        <f>HYPERLINK("https://media.licdn.com/dms/image/v2/D4E10AQENyMDWqFgHOw/image-shrink_1280/B4EZpYvvvfKMAM-/0/1762425503373?e=2147483647&amp;v=beta&amp;t=ApCxFU3HpsqJxJEiL2Zj5hDFtYDLEiWthSMJ2KZ-rz0","View Creative")</f>
        <v>View Creative</v>
      </c>
      <c r="L643" s="4" t="s">
        <v>2321</v>
      </c>
      <c r="M643" s="4" t="s">
        <v>61</v>
      </c>
      <c r="N643" s="4" t="s">
        <v>4965</v>
      </c>
      <c r="O643" s="4" t="s">
        <v>89</v>
      </c>
      <c r="P643" s="4" t="s">
        <v>4993</v>
      </c>
    </row>
    <row r="644">
      <c r="A644" s="4" t="s">
        <v>40</v>
      </c>
      <c r="B644" s="4" t="s">
        <v>40</v>
      </c>
      <c r="C644" s="4">
        <v>642.0</v>
      </c>
      <c r="D644" s="5" t="str">
        <f>HYPERLINK("https://www.linkedin.com/ad-library/detail/895318244","Open Ad")</f>
        <v>Open Ad</v>
      </c>
      <c r="E644" s="4" t="s">
        <v>78</v>
      </c>
      <c r="F644" s="4" t="s">
        <v>3427</v>
      </c>
      <c r="G644" s="4" t="s">
        <v>3429</v>
      </c>
      <c r="H644" s="4" t="s">
        <v>49</v>
      </c>
      <c r="I644" s="4" t="s">
        <v>873</v>
      </c>
      <c r="J644" s="4" t="s">
        <v>78</v>
      </c>
      <c r="K644" s="5" t="str">
        <f>HYPERLINK("https://media.licdn.com/dms/image/v2/D4E10AQGuBVO0lApEYA/image-shrink_1280/B4EZpYvwBHKoAM-/0/1762425504369?e=2147483647&amp;v=beta&amp;t=1vJFEczuhsHDi4x_VIX5NWZn-felZvXqXB5o-PAT0ao","View Creative")</f>
        <v>View Creative</v>
      </c>
      <c r="L644" s="4" t="s">
        <v>2321</v>
      </c>
      <c r="M644" s="4" t="s">
        <v>61</v>
      </c>
      <c r="N644" s="4" t="s">
        <v>4965</v>
      </c>
      <c r="O644" s="4" t="s">
        <v>89</v>
      </c>
      <c r="P644" s="4" t="s">
        <v>4995</v>
      </c>
    </row>
    <row r="645">
      <c r="A645" s="4" t="s">
        <v>40</v>
      </c>
      <c r="B645" s="4" t="s">
        <v>40</v>
      </c>
      <c r="C645" s="4">
        <v>643.0</v>
      </c>
      <c r="D645" s="5" t="str">
        <f>HYPERLINK("https://www.linkedin.com/ad-library/detail/895396724","Open Ad")</f>
        <v>Open Ad</v>
      </c>
      <c r="E645" s="4" t="s">
        <v>78</v>
      </c>
      <c r="F645" s="4" t="s">
        <v>3503</v>
      </c>
      <c r="G645" s="4" t="s">
        <v>3504</v>
      </c>
      <c r="H645" s="4" t="s">
        <v>49</v>
      </c>
      <c r="I645" s="4" t="s">
        <v>429</v>
      </c>
      <c r="J645" s="4" t="s">
        <v>78</v>
      </c>
      <c r="K645" s="5" t="str">
        <f>HYPERLINK("https://media.licdn.com/dms/image/v2/D4E10AQECKUvErNPcFg/image-shrink_1280/B4EZpYv5KBIQAQ-/0/1762425541853?e=2147483647&amp;v=beta&amp;t=lAJDwc70CQ4ATLiQuPGIvA1VXPSb1uTuGkLF4Bu2XoQ","View Creative")</f>
        <v>View Creative</v>
      </c>
      <c r="L645" s="4" t="s">
        <v>2321</v>
      </c>
      <c r="M645" s="4" t="s">
        <v>61</v>
      </c>
      <c r="N645" s="4" t="s">
        <v>4965</v>
      </c>
      <c r="O645" s="4" t="s">
        <v>89</v>
      </c>
      <c r="P645" s="4" t="s">
        <v>4996</v>
      </c>
    </row>
    <row r="646">
      <c r="A646" s="4" t="s">
        <v>40</v>
      </c>
      <c r="B646" s="4" t="s">
        <v>40</v>
      </c>
      <c r="C646" s="4">
        <v>644.0</v>
      </c>
      <c r="D646" s="5" t="str">
        <f>HYPERLINK("https://www.linkedin.com/ad-library/detail/895426124","Open Ad")</f>
        <v>Open Ad</v>
      </c>
      <c r="E646" s="4" t="s">
        <v>78</v>
      </c>
      <c r="F646" s="4" t="s">
        <v>3427</v>
      </c>
      <c r="G646" s="4" t="s">
        <v>3429</v>
      </c>
      <c r="H646" s="4" t="s">
        <v>49</v>
      </c>
      <c r="I646" s="4" t="s">
        <v>873</v>
      </c>
      <c r="J646" s="4" t="s">
        <v>78</v>
      </c>
      <c r="K646" s="5" t="str">
        <f>HYPERLINK("https://media.licdn.com/dms/image/v2/D4E10AQGCQcb2aNAA5A/image-shrink_1280/B4EZpYvv66JgAM-/0/1762425504598?e=2147483647&amp;v=beta&amp;t=ER3ItfkO5JkivWzNAbzaq3le7mbtLHdbpg7aFhHuUvE","View Creative")</f>
        <v>View Creative</v>
      </c>
      <c r="L646" s="4" t="s">
        <v>2321</v>
      </c>
      <c r="M646" s="4" t="s">
        <v>61</v>
      </c>
      <c r="N646" s="4" t="s">
        <v>4998</v>
      </c>
      <c r="O646" s="4" t="s">
        <v>89</v>
      </c>
      <c r="P646" s="4" t="s">
        <v>4999</v>
      </c>
    </row>
    <row r="647">
      <c r="A647" s="4" t="s">
        <v>40</v>
      </c>
      <c r="B647" s="4" t="s">
        <v>40</v>
      </c>
      <c r="C647" s="4">
        <v>645.0</v>
      </c>
      <c r="D647" s="5" t="str">
        <f>HYPERLINK("https://www.linkedin.com/ad-library/detail/895426134","Open Ad")</f>
        <v>Open Ad</v>
      </c>
      <c r="E647" s="4" t="s">
        <v>78</v>
      </c>
      <c r="F647" s="4" t="s">
        <v>3503</v>
      </c>
      <c r="G647" s="4" t="s">
        <v>3504</v>
      </c>
      <c r="H647" s="4" t="s">
        <v>49</v>
      </c>
      <c r="I647" s="4" t="s">
        <v>429</v>
      </c>
      <c r="J647" s="4" t="s">
        <v>78</v>
      </c>
      <c r="K647" s="5" t="str">
        <f>HYPERLINK("https://media.licdn.com/dms/image/v2/D4E10AQGyDzLPEXWnUw/image-shrink_1280/B4EZpYv0hTKoAM-/0/1762425523442?e=2147483647&amp;v=beta&amp;t=p-k73cF4q0PhP66eQ3Pdd77Oaz6W6RXoBXOI1SchKTc","View Creative")</f>
        <v>View Creative</v>
      </c>
      <c r="L647" s="4" t="s">
        <v>2321</v>
      </c>
      <c r="M647" s="4" t="s">
        <v>61</v>
      </c>
      <c r="N647" s="4" t="s">
        <v>4965</v>
      </c>
      <c r="O647" s="4" t="s">
        <v>89</v>
      </c>
      <c r="P647" s="4" t="s">
        <v>5000</v>
      </c>
    </row>
    <row r="648">
      <c r="A648" s="4" t="s">
        <v>40</v>
      </c>
      <c r="B648" s="4" t="s">
        <v>40</v>
      </c>
      <c r="C648" s="4">
        <v>646.0</v>
      </c>
      <c r="D648" s="5" t="str">
        <f>HYPERLINK("https://www.linkedin.com/ad-library/detail/895259234","Open Ad")</f>
        <v>Open Ad</v>
      </c>
      <c r="E648" s="4" t="s">
        <v>78</v>
      </c>
      <c r="F648" s="4" t="s">
        <v>3427</v>
      </c>
      <c r="G648" s="4" t="s">
        <v>3429</v>
      </c>
      <c r="H648" s="4" t="s">
        <v>49</v>
      </c>
      <c r="I648" s="4" t="s">
        <v>873</v>
      </c>
      <c r="J648" s="4" t="s">
        <v>78</v>
      </c>
      <c r="K648" s="5" t="str">
        <f>HYPERLINK("https://media.licdn.com/dms/image/v2/D4E10AQFiIma9oIKoZQ/image-shrink_1280/B4EZpYv5GIKoAQ-/0/1762425541821?e=2147483647&amp;v=beta&amp;t=KCjO5JCLmHh63CXXVH5wZtHkcKJwDTrfJfFU07-tPdI","View Creative")</f>
        <v>View Creative</v>
      </c>
      <c r="L648" s="4" t="s">
        <v>2321</v>
      </c>
      <c r="M648" s="4" t="s">
        <v>61</v>
      </c>
      <c r="N648" s="4" t="s">
        <v>4965</v>
      </c>
      <c r="O648" s="4" t="s">
        <v>89</v>
      </c>
      <c r="P648" s="4" t="s">
        <v>5002</v>
      </c>
    </row>
    <row r="649">
      <c r="A649" s="4" t="s">
        <v>40</v>
      </c>
      <c r="B649" s="4" t="s">
        <v>40</v>
      </c>
      <c r="C649" s="4">
        <v>647.0</v>
      </c>
      <c r="D649" s="5" t="str">
        <f>HYPERLINK("https://www.linkedin.com/ad-library/detail/895259224","Open Ad")</f>
        <v>Open Ad</v>
      </c>
      <c r="E649" s="4" t="s">
        <v>78</v>
      </c>
      <c r="F649" s="4" t="s">
        <v>3427</v>
      </c>
      <c r="G649" s="4" t="s">
        <v>3429</v>
      </c>
      <c r="H649" s="4" t="s">
        <v>49</v>
      </c>
      <c r="I649" s="4" t="s">
        <v>873</v>
      </c>
      <c r="J649" s="4" t="s">
        <v>78</v>
      </c>
      <c r="K649" s="5" t="str">
        <f>HYPERLINK("https://media.licdn.com/dms/image/v2/D4E10AQHVhrQ5Hqmb2w/image-shrink_1280/B4EZpYv0gcIoAM-/0/1762425523495?e=2147483647&amp;v=beta&amp;t=905Eaa5oB1g3aVyQ9adJgTNjYeaMHBj1gzu7FBNe-j0","View Creative")</f>
        <v>View Creative</v>
      </c>
      <c r="L649" s="4" t="s">
        <v>2321</v>
      </c>
      <c r="M649" s="4" t="s">
        <v>61</v>
      </c>
      <c r="N649" s="4" t="s">
        <v>4965</v>
      </c>
      <c r="O649" s="4" t="s">
        <v>89</v>
      </c>
      <c r="P649" s="4" t="s">
        <v>5004</v>
      </c>
    </row>
    <row r="650">
      <c r="A650" s="4" t="s">
        <v>40</v>
      </c>
      <c r="B650" s="4" t="s">
        <v>40</v>
      </c>
      <c r="C650" s="4">
        <v>648.0</v>
      </c>
      <c r="D650" s="5" t="str">
        <f>HYPERLINK("https://www.linkedin.com/ad-library/detail/895308194","Open Ad")</f>
        <v>Open Ad</v>
      </c>
      <c r="E650" s="4" t="s">
        <v>78</v>
      </c>
      <c r="F650" s="4" t="s">
        <v>3427</v>
      </c>
      <c r="G650" s="4" t="s">
        <v>3429</v>
      </c>
      <c r="H650" s="4" t="s">
        <v>49</v>
      </c>
      <c r="I650" s="4" t="s">
        <v>873</v>
      </c>
      <c r="J650" s="4" t="s">
        <v>78</v>
      </c>
      <c r="K650" s="5" t="str">
        <f>HYPERLINK("https://media.licdn.com/dms/image/v2/D4E10AQEVz9byr_kjvQ/image-shrink_1280/B4EZpYvv7EIwAQ-/0/1762425504173?e=2147483647&amp;v=beta&amp;t=pBy97CTEyG0fulrw4eCBuljqZKI9b7p3Xd60t1BhRyk","View Creative")</f>
        <v>View Creative</v>
      </c>
      <c r="L650" s="4" t="s">
        <v>2321</v>
      </c>
      <c r="M650" s="4" t="s">
        <v>61</v>
      </c>
      <c r="N650" s="4" t="s">
        <v>5005</v>
      </c>
      <c r="O650" s="4" t="s">
        <v>89</v>
      </c>
      <c r="P650" s="4" t="s">
        <v>5006</v>
      </c>
    </row>
    <row r="651">
      <c r="A651" s="4" t="s">
        <v>40</v>
      </c>
      <c r="B651" s="4" t="s">
        <v>40</v>
      </c>
      <c r="C651" s="4">
        <v>649.0</v>
      </c>
      <c r="D651" s="5" t="str">
        <f>HYPERLINK("https://www.linkedin.com/ad-library/detail/895298574","Open Ad")</f>
        <v>Open Ad</v>
      </c>
      <c r="E651" s="4" t="s">
        <v>78</v>
      </c>
      <c r="F651" s="4" t="s">
        <v>3503</v>
      </c>
      <c r="G651" s="4" t="s">
        <v>3504</v>
      </c>
      <c r="H651" s="4" t="s">
        <v>49</v>
      </c>
      <c r="I651" s="4" t="s">
        <v>429</v>
      </c>
      <c r="J651" s="4" t="s">
        <v>78</v>
      </c>
      <c r="K651" s="5" t="str">
        <f>HYPERLINK("https://media.licdn.com/dms/image/v2/D4E10AQE5Yo_Fmb7htQ/image-shrink_1280/B4EZpYviOQJgAU-/0/1762425448458?e=2147483647&amp;v=beta&amp;t=exBxaVm0TxRdiAmINopSeIuKbWtD3y0mW9y9aNB3Y8E","View Creative")</f>
        <v>View Creative</v>
      </c>
      <c r="L651" s="4" t="s">
        <v>2321</v>
      </c>
      <c r="M651" s="4" t="s">
        <v>61</v>
      </c>
      <c r="N651" s="4" t="s">
        <v>4965</v>
      </c>
      <c r="O651" s="4" t="s">
        <v>89</v>
      </c>
      <c r="P651" s="4" t="s">
        <v>5008</v>
      </c>
    </row>
    <row r="652">
      <c r="A652" s="4" t="s">
        <v>40</v>
      </c>
      <c r="B652" s="4" t="s">
        <v>40</v>
      </c>
      <c r="C652" s="4">
        <v>650.0</v>
      </c>
      <c r="D652" s="5" t="str">
        <f>HYPERLINK("https://www.linkedin.com/ad-library/detail/895377394","Open Ad")</f>
        <v>Open Ad</v>
      </c>
      <c r="E652" s="4" t="s">
        <v>78</v>
      </c>
      <c r="F652" s="4" t="s">
        <v>3427</v>
      </c>
      <c r="G652" s="4" t="s">
        <v>3429</v>
      </c>
      <c r="H652" s="4" t="s">
        <v>49</v>
      </c>
      <c r="I652" s="4" t="s">
        <v>873</v>
      </c>
      <c r="J652" s="4" t="s">
        <v>78</v>
      </c>
      <c r="K652" s="5" t="str">
        <f>HYPERLINK("https://media.licdn.com/dms/image/v2/D4E10AQG5YVkApPbwzw/image-shrink_1280/B4EZpYvmwCJgAM-/0/1762425466404?e=2147483647&amp;v=beta&amp;t=28Us0biTvv-xbD-QuM_uebfFL_4ay1LopZaCW5uCYJg","View Creative")</f>
        <v>View Creative</v>
      </c>
      <c r="L652" s="4" t="s">
        <v>2321</v>
      </c>
      <c r="M652" s="4" t="s">
        <v>61</v>
      </c>
      <c r="N652" s="4" t="s">
        <v>4965</v>
      </c>
      <c r="O652" s="4" t="s">
        <v>89</v>
      </c>
      <c r="P652" s="4" t="s">
        <v>5009</v>
      </c>
    </row>
    <row r="653">
      <c r="A653" s="4" t="s">
        <v>40</v>
      </c>
      <c r="B653" s="4" t="s">
        <v>40</v>
      </c>
      <c r="C653" s="4">
        <v>651.0</v>
      </c>
      <c r="D653" s="5" t="str">
        <f>HYPERLINK("https://www.linkedin.com/ad-library/detail/895308154","Open Ad")</f>
        <v>Open Ad</v>
      </c>
      <c r="E653" s="4" t="s">
        <v>78</v>
      </c>
      <c r="F653" s="4" t="s">
        <v>3427</v>
      </c>
      <c r="G653" s="4" t="s">
        <v>3429</v>
      </c>
      <c r="H653" s="4" t="s">
        <v>49</v>
      </c>
      <c r="I653" s="4" t="s">
        <v>873</v>
      </c>
      <c r="J653" s="4" t="s">
        <v>78</v>
      </c>
      <c r="K653" s="5" t="str">
        <f>HYPERLINK("https://media.licdn.com/dms/image/v2/D4E10AQGvGl0Jnhax1Q/image-shrink_1280/B4EZpYviVyKoAM-/0/1762425448347?e=2147483647&amp;v=beta&amp;t=UPWZ5ug9EaSin-52yTFwSBEtAYRHGWw9mG2DQQFf3UQ","View Creative")</f>
        <v>View Creative</v>
      </c>
      <c r="L653" s="4" t="s">
        <v>2321</v>
      </c>
      <c r="M653" s="4" t="s">
        <v>61</v>
      </c>
      <c r="N653" s="4" t="s">
        <v>4965</v>
      </c>
      <c r="O653" s="4" t="s">
        <v>89</v>
      </c>
      <c r="P653" s="4" t="s">
        <v>5011</v>
      </c>
    </row>
    <row r="654">
      <c r="A654" s="4" t="s">
        <v>40</v>
      </c>
      <c r="B654" s="4" t="s">
        <v>40</v>
      </c>
      <c r="C654" s="4">
        <v>652.0</v>
      </c>
      <c r="D654" s="5" t="str">
        <f>HYPERLINK("https://www.linkedin.com/ad-library/detail/895416544","Open Ad")</f>
        <v>Open Ad</v>
      </c>
      <c r="E654" s="4" t="s">
        <v>78</v>
      </c>
      <c r="F654" s="4" t="s">
        <v>3427</v>
      </c>
      <c r="G654" s="4" t="s">
        <v>3429</v>
      </c>
      <c r="H654" s="4" t="s">
        <v>49</v>
      </c>
      <c r="I654" s="4" t="s">
        <v>873</v>
      </c>
      <c r="J654" s="4" t="s">
        <v>78</v>
      </c>
      <c r="K654" s="5" t="str">
        <f>HYPERLINK("https://media.licdn.com/dms/image/v2/D4E10AQFpqziyr3V0Ig/image-shrink_1280/B4EZpYvraAGcAM-/0/1762425485943?e=2147483647&amp;v=beta&amp;t=wA84BVKzejT43DJrYCPQqr-Wi-FWzugnDUUgm6swuas","View Creative")</f>
        <v>View Creative</v>
      </c>
      <c r="L654" s="4" t="s">
        <v>2321</v>
      </c>
      <c r="M654" s="4" t="s">
        <v>61</v>
      </c>
      <c r="N654" s="4" t="s">
        <v>4965</v>
      </c>
      <c r="O654" s="4" t="s">
        <v>89</v>
      </c>
      <c r="P654" s="4" t="s">
        <v>5012</v>
      </c>
    </row>
    <row r="655">
      <c r="A655" s="4" t="s">
        <v>40</v>
      </c>
      <c r="B655" s="4" t="s">
        <v>40</v>
      </c>
      <c r="C655" s="4">
        <v>653.0</v>
      </c>
      <c r="D655" s="5" t="str">
        <f>HYPERLINK("https://www.linkedin.com/ad-library/detail/895278704","Open Ad")</f>
        <v>Open Ad</v>
      </c>
      <c r="E655" s="4" t="s">
        <v>78</v>
      </c>
      <c r="F655" s="4" t="s">
        <v>3427</v>
      </c>
      <c r="G655" s="4" t="s">
        <v>3429</v>
      </c>
      <c r="H655" s="4" t="s">
        <v>49</v>
      </c>
      <c r="I655" s="4" t="s">
        <v>873</v>
      </c>
      <c r="J655" s="4" t="s">
        <v>78</v>
      </c>
      <c r="K655" s="5" t="str">
        <f>HYPERLINK("https://media.licdn.com/dms/image/v2/D4E10AQFKBmLBVIgPww/image-shrink_1280/B4EZpYvrVJHEAM-/0/1762425485291?e=2147483647&amp;v=beta&amp;t=2XN35dMbYgMtD664HxRv6fRJYybz2QaFzhfe1WmqzvU","View Creative")</f>
        <v>View Creative</v>
      </c>
      <c r="L655" s="4" t="s">
        <v>2321</v>
      </c>
      <c r="M655" s="4" t="s">
        <v>61</v>
      </c>
      <c r="N655" s="4" t="s">
        <v>4965</v>
      </c>
      <c r="O655" s="4" t="s">
        <v>89</v>
      </c>
      <c r="P655" s="4" t="s">
        <v>5014</v>
      </c>
    </row>
    <row r="656">
      <c r="A656" s="4" t="s">
        <v>40</v>
      </c>
      <c r="B656" s="4" t="s">
        <v>40</v>
      </c>
      <c r="C656" s="4">
        <v>654.0</v>
      </c>
      <c r="D656" s="5" t="str">
        <f>HYPERLINK("https://www.linkedin.com/ad-library/detail/895249394","Open Ad")</f>
        <v>Open Ad</v>
      </c>
      <c r="E656" s="4" t="s">
        <v>78</v>
      </c>
      <c r="F656" s="4" t="s">
        <v>3427</v>
      </c>
      <c r="G656" s="4" t="s">
        <v>3429</v>
      </c>
      <c r="H656" s="4" t="s">
        <v>49</v>
      </c>
      <c r="I656" s="4" t="s">
        <v>873</v>
      </c>
      <c r="J656" s="4" t="s">
        <v>78</v>
      </c>
      <c r="K656" s="5" t="str">
        <f>HYPERLINK("https://media.licdn.com/dms/image/v2/D4E10AQG3CImgrZcdTA/image-shrink_1280/B4EZpYviSaGoAM-/0/1762425448381?e=2147483647&amp;v=beta&amp;t=qZAbiZY0jHPiNYdbachVpcX7CGy9U5WPZ9rMaPsyEPA","View Creative")</f>
        <v>View Creative</v>
      </c>
      <c r="L656" s="4" t="s">
        <v>2321</v>
      </c>
      <c r="M656" s="4" t="s">
        <v>61</v>
      </c>
      <c r="N656" s="4" t="s">
        <v>4965</v>
      </c>
      <c r="O656" s="4" t="s">
        <v>89</v>
      </c>
      <c r="P656" s="4" t="s">
        <v>5016</v>
      </c>
    </row>
    <row r="657">
      <c r="A657" s="4" t="s">
        <v>40</v>
      </c>
      <c r="B657" s="4" t="s">
        <v>40</v>
      </c>
      <c r="C657" s="4">
        <v>655.0</v>
      </c>
      <c r="D657" s="5" t="str">
        <f>HYPERLINK("https://www.linkedin.com/ad-library/detail/895445484","Open Ad")</f>
        <v>Open Ad</v>
      </c>
      <c r="E657" s="4" t="s">
        <v>78</v>
      </c>
      <c r="F657" s="4" t="s">
        <v>3427</v>
      </c>
      <c r="G657" s="4" t="s">
        <v>3429</v>
      </c>
      <c r="H657" s="4" t="s">
        <v>49</v>
      </c>
      <c r="I657" s="4" t="s">
        <v>873</v>
      </c>
      <c r="J657" s="4" t="s">
        <v>78</v>
      </c>
      <c r="K657" s="5" t="str">
        <f>HYPERLINK("https://media.licdn.com/dms/image/v2/D4E10AQFGa82ga45Jxw/image-shrink_1280/B4EZpYvmxQIwAM-/0/1762425466616?e=2147483647&amp;v=beta&amp;t=O0nU4dpDQ9sjmUFo24jDr1JPbnxnYvdUR78tCopxFTw","View Creative")</f>
        <v>View Creative</v>
      </c>
      <c r="L657" s="4" t="s">
        <v>2321</v>
      </c>
      <c r="M657" s="4" t="s">
        <v>61</v>
      </c>
      <c r="N657" s="4" t="s">
        <v>4965</v>
      </c>
      <c r="O657" s="4" t="s">
        <v>89</v>
      </c>
      <c r="P657" s="4" t="s">
        <v>5017</v>
      </c>
    </row>
    <row r="658">
      <c r="A658" s="4" t="s">
        <v>40</v>
      </c>
      <c r="B658" s="4" t="s">
        <v>40</v>
      </c>
      <c r="C658" s="4">
        <v>656.0</v>
      </c>
      <c r="D658" s="5" t="str">
        <f>HYPERLINK("https://www.linkedin.com/ad-library/detail/895445474","Open Ad")</f>
        <v>Open Ad</v>
      </c>
      <c r="E658" s="4" t="s">
        <v>78</v>
      </c>
      <c r="F658" s="4" t="s">
        <v>3427</v>
      </c>
      <c r="G658" s="4" t="s">
        <v>3429</v>
      </c>
      <c r="H658" s="4" t="s">
        <v>49</v>
      </c>
      <c r="I658" s="4" t="s">
        <v>873</v>
      </c>
      <c r="J658" s="4" t="s">
        <v>78</v>
      </c>
      <c r="K658" s="5" t="str">
        <f>HYPERLINK("https://media.licdn.com/dms/image/v2/D4E10AQGbw0d5FrGYEQ/image-shrink_1280/B4EZpYviQoGYAQ-/0/1762425448265?e=2147483647&amp;v=beta&amp;t=T_U7kU0GH5mTDp2udgBkEdwZ2q_GRQGEcna1BpFlpHo","View Creative")</f>
        <v>View Creative</v>
      </c>
      <c r="L658" s="4" t="s">
        <v>2321</v>
      </c>
      <c r="M658" s="4" t="s">
        <v>61</v>
      </c>
      <c r="N658" s="4" t="s">
        <v>4965</v>
      </c>
      <c r="O658" s="4" t="s">
        <v>89</v>
      </c>
      <c r="P658" s="4" t="s">
        <v>5019</v>
      </c>
    </row>
    <row r="659">
      <c r="A659" s="4" t="s">
        <v>40</v>
      </c>
      <c r="B659" s="4" t="s">
        <v>40</v>
      </c>
      <c r="C659" s="4">
        <v>657.0</v>
      </c>
      <c r="D659" s="5" t="str">
        <f>HYPERLINK("https://www.linkedin.com/ad-library/detail/895249404","Open Ad")</f>
        <v>Open Ad</v>
      </c>
      <c r="E659" s="4" t="s">
        <v>78</v>
      </c>
      <c r="F659" s="4" t="s">
        <v>3503</v>
      </c>
      <c r="G659" s="4" t="s">
        <v>3504</v>
      </c>
      <c r="H659" s="4" t="s">
        <v>49</v>
      </c>
      <c r="I659" s="4" t="s">
        <v>429</v>
      </c>
      <c r="J659" s="4" t="s">
        <v>78</v>
      </c>
      <c r="K659" s="5" t="str">
        <f>HYPERLINK("https://media.licdn.com/dms/image/v2/D4E10AQFc5J17Nonq7w/image-shrink_1280/B4EZpYviQcJgAM-/0/1762425448557?e=2147483647&amp;v=beta&amp;t=Csm2cuO-7956H-gGg4xnvtx3V-DrMyycn7LNQ1kCNyk","View Creative")</f>
        <v>View Creative</v>
      </c>
      <c r="L659" s="4" t="s">
        <v>2321</v>
      </c>
      <c r="M659" s="4" t="s">
        <v>61</v>
      </c>
      <c r="N659" s="4" t="s">
        <v>4965</v>
      </c>
      <c r="O659" s="4" t="s">
        <v>89</v>
      </c>
      <c r="P659" s="4" t="s">
        <v>5020</v>
      </c>
    </row>
    <row r="660">
      <c r="A660" s="4" t="s">
        <v>40</v>
      </c>
      <c r="B660" s="4" t="s">
        <v>40</v>
      </c>
      <c r="C660" s="4">
        <v>658.0</v>
      </c>
      <c r="D660" s="5" t="str">
        <f>HYPERLINK("https://www.linkedin.com/ad-library/detail/895377414","Open Ad")</f>
        <v>Open Ad</v>
      </c>
      <c r="E660" s="4" t="s">
        <v>78</v>
      </c>
      <c r="F660" s="4" t="s">
        <v>3427</v>
      </c>
      <c r="G660" s="4" t="s">
        <v>3429</v>
      </c>
      <c r="H660" s="4" t="s">
        <v>49</v>
      </c>
      <c r="I660" s="4" t="s">
        <v>873</v>
      </c>
      <c r="J660" s="4" t="s">
        <v>78</v>
      </c>
      <c r="K660" s="5" t="str">
        <f>HYPERLINK("https://media.licdn.com/dms/image/v2/D4E10AQGPyiDOYZcPCA/image-shrink_1280/B4EZpYvrWeKgAM-/0/1762425485882?e=2147483647&amp;v=beta&amp;t=l39QIT8EU4e8M3NNHi77s-iLiKyP0SWcQcMu3cClklQ","View Creative")</f>
        <v>View Creative</v>
      </c>
      <c r="L660" s="4" t="s">
        <v>2321</v>
      </c>
      <c r="M660" s="4" t="s">
        <v>61</v>
      </c>
      <c r="N660" s="4" t="s">
        <v>4965</v>
      </c>
      <c r="O660" s="4" t="s">
        <v>89</v>
      </c>
      <c r="P660" s="4" t="s">
        <v>5022</v>
      </c>
    </row>
    <row r="661">
      <c r="A661" s="4" t="s">
        <v>40</v>
      </c>
      <c r="B661" s="4" t="s">
        <v>40</v>
      </c>
      <c r="C661" s="4">
        <v>659.0</v>
      </c>
      <c r="D661" s="5" t="str">
        <f>HYPERLINK("https://www.linkedin.com/ad-library/detail/895396674","Open Ad")</f>
        <v>Open Ad</v>
      </c>
      <c r="E661" s="4" t="s">
        <v>78</v>
      </c>
      <c r="F661" s="4" t="s">
        <v>3427</v>
      </c>
      <c r="G661" s="4" t="s">
        <v>3429</v>
      </c>
      <c r="H661" s="4" t="s">
        <v>49</v>
      </c>
      <c r="I661" s="4" t="s">
        <v>873</v>
      </c>
      <c r="J661" s="4" t="s">
        <v>78</v>
      </c>
      <c r="K661" s="5" t="str">
        <f>HYPERLINK("https://media.licdn.com/dms/image/v2/D4E10AQFcsRBOsJlG6g/image-shrink_1280/B4EZpYvmy5HMAM-/0/1762425466957?e=2147483647&amp;v=beta&amp;t=ndXSqa9apkBetMcI3HUjPLvGh27aIUEfexPdZLaiR6c","View Creative")</f>
        <v>View Creative</v>
      </c>
      <c r="L661" s="4" t="s">
        <v>2321</v>
      </c>
      <c r="M661" s="4" t="s">
        <v>61</v>
      </c>
      <c r="N661" s="4" t="s">
        <v>4965</v>
      </c>
      <c r="O661" s="4" t="s">
        <v>89</v>
      </c>
      <c r="P661" s="4" t="s">
        <v>5023</v>
      </c>
    </row>
    <row r="662">
      <c r="A662" s="4" t="s">
        <v>40</v>
      </c>
      <c r="B662" s="4" t="s">
        <v>40</v>
      </c>
      <c r="C662" s="4">
        <v>660.0</v>
      </c>
      <c r="D662" s="5" t="str">
        <f>HYPERLINK("https://www.linkedin.com/ad-library/detail/895387184","Open Ad")</f>
        <v>Open Ad</v>
      </c>
      <c r="E662" s="4" t="s">
        <v>78</v>
      </c>
      <c r="F662" s="4" t="s">
        <v>3503</v>
      </c>
      <c r="G662" s="4" t="s">
        <v>3504</v>
      </c>
      <c r="H662" s="4" t="s">
        <v>49</v>
      </c>
      <c r="I662" s="4" t="s">
        <v>429</v>
      </c>
      <c r="J662" s="4" t="s">
        <v>78</v>
      </c>
      <c r="K662" s="5" t="str">
        <f>HYPERLINK("https://media.licdn.com/dms/image/v2/D4E10AQFcsJ88c_ttWg/image-shrink_1280/B4EZpYvmzbIwAM-/0/1762425466774?e=2147483647&amp;v=beta&amp;t=uQChmaMGvmooLSPTETu3MglJfxSAWGD_eHivLSOtWgo","View Creative")</f>
        <v>View Creative</v>
      </c>
      <c r="L662" s="4" t="s">
        <v>2321</v>
      </c>
      <c r="M662" s="4" t="s">
        <v>61</v>
      </c>
      <c r="N662" s="4" t="s">
        <v>4965</v>
      </c>
      <c r="O662" s="4" t="s">
        <v>89</v>
      </c>
      <c r="P662" s="4" t="s">
        <v>5025</v>
      </c>
    </row>
    <row r="663">
      <c r="A663" s="4" t="s">
        <v>40</v>
      </c>
      <c r="B663" s="4" t="s">
        <v>40</v>
      </c>
      <c r="C663" s="4">
        <v>661.0</v>
      </c>
      <c r="D663" s="5" t="str">
        <f>HYPERLINK("https://www.linkedin.com/ad-library/detail/895259194","Open Ad")</f>
        <v>Open Ad</v>
      </c>
      <c r="E663" s="4" t="s">
        <v>78</v>
      </c>
      <c r="F663" s="4" t="s">
        <v>3503</v>
      </c>
      <c r="G663" s="4" t="s">
        <v>3504</v>
      </c>
      <c r="H663" s="4" t="s">
        <v>49</v>
      </c>
      <c r="I663" s="4" t="s">
        <v>429</v>
      </c>
      <c r="J663" s="4" t="s">
        <v>78</v>
      </c>
      <c r="K663" s="5" t="str">
        <f>HYPERLINK("https://media.licdn.com/dms/image/v2/D4E10AQH2INvAJGASqg/image-shrink_1280/B4EZpYvm2rKkAM-/0/1762425467479?e=2147483647&amp;v=beta&amp;t=MKDro3axjbDs7nh_F6Tltz5GOlatMcAGVkrAu0kasoc","View Creative")</f>
        <v>View Creative</v>
      </c>
      <c r="L663" s="4" t="s">
        <v>2321</v>
      </c>
      <c r="M663" s="4" t="s">
        <v>61</v>
      </c>
      <c r="N663" s="4" t="s">
        <v>4965</v>
      </c>
      <c r="O663" s="4" t="s">
        <v>89</v>
      </c>
      <c r="P663" s="4" t="s">
        <v>5027</v>
      </c>
    </row>
    <row r="664">
      <c r="A664" s="4" t="s">
        <v>40</v>
      </c>
      <c r="B664" s="4" t="s">
        <v>40</v>
      </c>
      <c r="C664" s="4">
        <v>662.0</v>
      </c>
      <c r="D664" s="5" t="str">
        <f>HYPERLINK("https://www.linkedin.com/ad-library/detail/895318224","Open Ad")</f>
        <v>Open Ad</v>
      </c>
      <c r="E664" s="4" t="s">
        <v>78</v>
      </c>
      <c r="F664" s="4" t="s">
        <v>3503</v>
      </c>
      <c r="G664" s="4" t="s">
        <v>3504</v>
      </c>
      <c r="H664" s="4" t="s">
        <v>49</v>
      </c>
      <c r="I664" s="4" t="s">
        <v>429</v>
      </c>
      <c r="J664" s="4" t="s">
        <v>78</v>
      </c>
      <c r="K664" s="5" t="str">
        <f>HYPERLINK("https://media.licdn.com/dms/image/v2/D4E10AQHbxrGvZfWvFQ/image-shrink_1280/B4EZpYvmysKcAM-/0/1762425466779?e=2147483647&amp;v=beta&amp;t=893xpjv-tk70bOTfZ1kNbvZvvIRHdHJ8vmS9WhyifIY","View Creative")</f>
        <v>View Creative</v>
      </c>
      <c r="L664" s="4" t="s">
        <v>2321</v>
      </c>
      <c r="M664" s="4" t="s">
        <v>61</v>
      </c>
      <c r="N664" s="4" t="s">
        <v>4965</v>
      </c>
      <c r="O664" s="4" t="s">
        <v>89</v>
      </c>
      <c r="P664" s="4" t="s">
        <v>5028</v>
      </c>
    </row>
    <row r="665">
      <c r="A665" s="4" t="s">
        <v>40</v>
      </c>
      <c r="B665" s="4" t="s">
        <v>40</v>
      </c>
      <c r="C665" s="4">
        <v>663.0</v>
      </c>
      <c r="D665" s="5" t="str">
        <f>HYPERLINK("https://www.linkedin.com/ad-library/detail/895426114","Open Ad")</f>
        <v>Open Ad</v>
      </c>
      <c r="E665" s="4" t="s">
        <v>78</v>
      </c>
      <c r="F665" s="4" t="s">
        <v>3427</v>
      </c>
      <c r="G665" s="4" t="s">
        <v>3429</v>
      </c>
      <c r="H665" s="4" t="s">
        <v>49</v>
      </c>
      <c r="I665" s="4" t="s">
        <v>873</v>
      </c>
      <c r="J665" s="4" t="s">
        <v>78</v>
      </c>
      <c r="K665" s="5" t="str">
        <f>HYPERLINK("https://media.licdn.com/dms/image/v2/D4E10AQGMGr3oyQipyg/image-shrink_1280/B4EZpYviTSHoAM-/0/1762425448335?e=2147483647&amp;v=beta&amp;t=q-vAkZ-7yq0D_RecaSSTPAw19uWW--0QHhjW0AYDAS0","View Creative")</f>
        <v>View Creative</v>
      </c>
      <c r="L665" s="4" t="s">
        <v>2321</v>
      </c>
      <c r="M665" s="4" t="s">
        <v>61</v>
      </c>
      <c r="N665" s="4" t="s">
        <v>4965</v>
      </c>
      <c r="O665" s="4" t="s">
        <v>89</v>
      </c>
      <c r="P665" s="4" t="s">
        <v>5030</v>
      </c>
    </row>
    <row r="666">
      <c r="A666" s="4" t="s">
        <v>40</v>
      </c>
      <c r="B666" s="4" t="s">
        <v>40</v>
      </c>
      <c r="C666" s="4">
        <v>664.0</v>
      </c>
      <c r="D666" s="5" t="str">
        <f>HYPERLINK("https://www.linkedin.com/ad-library/detail/895318214","Open Ad")</f>
        <v>Open Ad</v>
      </c>
      <c r="E666" s="4" t="s">
        <v>78</v>
      </c>
      <c r="F666" s="4" t="s">
        <v>3427</v>
      </c>
      <c r="G666" s="4" t="s">
        <v>3429</v>
      </c>
      <c r="H666" s="4" t="s">
        <v>49</v>
      </c>
      <c r="I666" s="4" t="s">
        <v>873</v>
      </c>
      <c r="J666" s="4" t="s">
        <v>78</v>
      </c>
      <c r="K666" s="5" t="str">
        <f>HYPERLINK("https://media.licdn.com/dms/image/v2/D4E10AQEH2HE3TOIeEA/image-shrink_1280/B4EZpYviQ7GoAM-/0/1762425448607?e=2147483647&amp;v=beta&amp;t=90XeTt7WvTcH1UPLG6pvyOtg0uLfx_LQLPkwHD1C_YM","View Creative")</f>
        <v>View Creative</v>
      </c>
      <c r="L666" s="4" t="s">
        <v>2321</v>
      </c>
      <c r="M666" s="4" t="s">
        <v>61</v>
      </c>
      <c r="N666" s="4" t="s">
        <v>4965</v>
      </c>
      <c r="O666" s="4" t="s">
        <v>89</v>
      </c>
      <c r="P666" s="4" t="s">
        <v>5032</v>
      </c>
    </row>
    <row r="667">
      <c r="A667" s="4" t="s">
        <v>40</v>
      </c>
      <c r="B667" s="4" t="s">
        <v>40</v>
      </c>
      <c r="C667" s="4">
        <v>665.0</v>
      </c>
      <c r="D667" s="5" t="str">
        <f>HYPERLINK("https://www.linkedin.com/ad-library/detail/895288184","Open Ad")</f>
        <v>Open Ad</v>
      </c>
      <c r="E667" s="4" t="s">
        <v>78</v>
      </c>
      <c r="F667" s="4" t="s">
        <v>3427</v>
      </c>
      <c r="G667" s="4" t="s">
        <v>3429</v>
      </c>
      <c r="H667" s="4" t="s">
        <v>49</v>
      </c>
      <c r="I667" s="4" t="s">
        <v>873</v>
      </c>
      <c r="J667" s="4" t="s">
        <v>78</v>
      </c>
      <c r="K667" s="5" t="str">
        <f>HYPERLINK("https://media.licdn.com/dms/image/v2/D4E10AQGbSct8QZEBgw/image-shrink_1280/B4EZpYvmxrGcAM-/0/1762425467010?e=2147483647&amp;v=beta&amp;t=fG9P0id8K7S4RsllzEhTyflwgaQIlTOubGWwzUiowqY","View Creative")</f>
        <v>View Creative</v>
      </c>
      <c r="L667" s="4" t="s">
        <v>2321</v>
      </c>
      <c r="M667" s="4" t="s">
        <v>61</v>
      </c>
      <c r="N667" s="4" t="s">
        <v>4965</v>
      </c>
      <c r="O667" s="4" t="s">
        <v>89</v>
      </c>
      <c r="P667" s="4" t="s">
        <v>5033</v>
      </c>
    </row>
    <row r="668">
      <c r="A668" s="4" t="s">
        <v>40</v>
      </c>
      <c r="B668" s="4" t="s">
        <v>40</v>
      </c>
      <c r="C668" s="4">
        <v>666.0</v>
      </c>
      <c r="D668" s="5" t="str">
        <f>HYPERLINK("https://www.linkedin.com/ad-library/detail/895288174","Open Ad")</f>
        <v>Open Ad</v>
      </c>
      <c r="E668" s="4" t="s">
        <v>78</v>
      </c>
      <c r="F668" s="4" t="s">
        <v>3427</v>
      </c>
      <c r="G668" s="4" t="s">
        <v>3429</v>
      </c>
      <c r="H668" s="4" t="s">
        <v>49</v>
      </c>
      <c r="I668" s="4" t="s">
        <v>873</v>
      </c>
      <c r="J668" s="4" t="s">
        <v>78</v>
      </c>
      <c r="K668" s="5" t="str">
        <f>HYPERLINK("https://media.licdn.com/dms/image/v2/D4E10AQHVXR7Wi2t_kQ/image-shrink_1280/B4EZpYvm2oIIAQ-/0/1762425466944?e=2147483647&amp;v=beta&amp;t=dLHALnZX1khuIG59zNssWHN55Tw6voC1o_6Xp8QzNys","View Creative")</f>
        <v>View Creative</v>
      </c>
      <c r="L668" s="4" t="s">
        <v>2321</v>
      </c>
      <c r="M668" s="4" t="s">
        <v>61</v>
      </c>
      <c r="N668" s="4" t="s">
        <v>4965</v>
      </c>
      <c r="O668" s="4" t="s">
        <v>89</v>
      </c>
      <c r="P668" s="4" t="s">
        <v>5035</v>
      </c>
    </row>
    <row r="669">
      <c r="A669" s="4" t="s">
        <v>40</v>
      </c>
      <c r="B669" s="4" t="s">
        <v>40</v>
      </c>
      <c r="C669" s="4">
        <v>667.0</v>
      </c>
      <c r="D669" s="5" t="str">
        <f>HYPERLINK("https://www.linkedin.com/ad-library/detail/895288194","Open Ad")</f>
        <v>Open Ad</v>
      </c>
      <c r="E669" s="4" t="s">
        <v>78</v>
      </c>
      <c r="F669" s="4" t="s">
        <v>3503</v>
      </c>
      <c r="G669" s="4" t="s">
        <v>3504</v>
      </c>
      <c r="H669" s="4" t="s">
        <v>49</v>
      </c>
      <c r="I669" s="4" t="s">
        <v>429</v>
      </c>
      <c r="J669" s="4" t="s">
        <v>78</v>
      </c>
      <c r="K669" s="5" t="str">
        <f>HYPERLINK("https://media.licdn.com/dms/image/v2/D4E10AQHm9srDvvtk-A/image-shrink_1280/B4EZpYvrLrGcAQ-/0/1762425484600?e=2147483647&amp;v=beta&amp;t=OmbJNvk_plRgIKZnoHIAV7wtttRF98eB5lCd2r-02jk","View Creative")</f>
        <v>View Creative</v>
      </c>
      <c r="L669" s="4" t="s">
        <v>2321</v>
      </c>
      <c r="M669" s="4" t="s">
        <v>61</v>
      </c>
      <c r="N669" s="4" t="s">
        <v>4965</v>
      </c>
      <c r="O669" s="4" t="s">
        <v>89</v>
      </c>
      <c r="P669" s="4" t="s">
        <v>5036</v>
      </c>
    </row>
    <row r="670">
      <c r="A670" s="4" t="s">
        <v>40</v>
      </c>
      <c r="B670" s="4" t="s">
        <v>40</v>
      </c>
      <c r="C670" s="4">
        <v>668.0</v>
      </c>
      <c r="D670" s="5" t="str">
        <f>HYPERLINK("https://www.linkedin.com/ad-library/detail/895308174","Open Ad")</f>
        <v>Open Ad</v>
      </c>
      <c r="E670" s="4" t="s">
        <v>78</v>
      </c>
      <c r="F670" s="4" t="s">
        <v>3503</v>
      </c>
      <c r="G670" s="4" t="s">
        <v>3504</v>
      </c>
      <c r="H670" s="4" t="s">
        <v>49</v>
      </c>
      <c r="I670" s="4" t="s">
        <v>429</v>
      </c>
      <c r="J670" s="4" t="s">
        <v>78</v>
      </c>
      <c r="K670" s="5" t="str">
        <f>HYPERLINK("https://media.licdn.com/dms/image/v2/D4E10AQEJWBWW-5Bl1Q/image-shrink_1280/B4EZpYvrVfHEAM-/0/1762425485353?e=2147483647&amp;v=beta&amp;t=EZ6HcQEwzPmsCkZaI3Nub40YRMj159KZE5dJVuVsb_8","View Creative")</f>
        <v>View Creative</v>
      </c>
      <c r="L670" s="4" t="s">
        <v>2321</v>
      </c>
      <c r="M670" s="4" t="s">
        <v>61</v>
      </c>
      <c r="N670" s="4" t="s">
        <v>4965</v>
      </c>
      <c r="O670" s="4" t="s">
        <v>89</v>
      </c>
      <c r="P670" s="4" t="s">
        <v>5038</v>
      </c>
    </row>
    <row r="671">
      <c r="A671" s="4" t="s">
        <v>40</v>
      </c>
      <c r="B671" s="4" t="s">
        <v>40</v>
      </c>
      <c r="C671" s="4">
        <v>669.0</v>
      </c>
      <c r="D671" s="5" t="str">
        <f>HYPERLINK("https://www.linkedin.com/ad-library/detail/895387214","Open Ad")</f>
        <v>Open Ad</v>
      </c>
      <c r="E671" s="4" t="s">
        <v>78</v>
      </c>
      <c r="F671" s="4" t="s">
        <v>3427</v>
      </c>
      <c r="G671" s="4" t="s">
        <v>3429</v>
      </c>
      <c r="H671" s="4" t="s">
        <v>49</v>
      </c>
      <c r="I671" s="4" t="s">
        <v>873</v>
      </c>
      <c r="J671" s="4" t="s">
        <v>78</v>
      </c>
      <c r="K671" s="5" t="str">
        <f>HYPERLINK("https://media.licdn.com/dms/image/v2/D4E10AQFnMWFpWDHQdg/image-shrink_1280/B4EZpYvrISJ0AQ-/0/1762425484658?e=2147483647&amp;v=beta&amp;t=n2VJAtnrJDGM3wncWkly7ihF2czqTXlv5MR-4OQol_Y","View Creative")</f>
        <v>View Creative</v>
      </c>
      <c r="L671" s="4" t="s">
        <v>2321</v>
      </c>
      <c r="M671" s="4" t="s">
        <v>61</v>
      </c>
      <c r="N671" s="4" t="s">
        <v>4965</v>
      </c>
      <c r="O671" s="4" t="s">
        <v>89</v>
      </c>
      <c r="P671" s="4" t="s">
        <v>5039</v>
      </c>
    </row>
    <row r="672">
      <c r="A672" s="4" t="s">
        <v>40</v>
      </c>
      <c r="B672" s="4" t="s">
        <v>40</v>
      </c>
      <c r="C672" s="4">
        <v>670.0</v>
      </c>
      <c r="D672" s="5" t="str">
        <f>HYPERLINK("https://www.linkedin.com/ad-library/detail/895328254","Open Ad")</f>
        <v>Open Ad</v>
      </c>
      <c r="E672" s="4" t="s">
        <v>78</v>
      </c>
      <c r="F672" s="4" t="s">
        <v>3427</v>
      </c>
      <c r="G672" s="4" t="s">
        <v>3429</v>
      </c>
      <c r="H672" s="4" t="s">
        <v>49</v>
      </c>
      <c r="I672" s="4" t="s">
        <v>873</v>
      </c>
      <c r="J672" s="4" t="s">
        <v>78</v>
      </c>
      <c r="K672" s="5" t="str">
        <f>HYPERLINK("https://media.licdn.com/dms/image/v2/D4E10AQG1NoSm8yDsJg/image-shrink_1280/B4EZpYvrV_IQAM-/0/1762425485439?e=2147483647&amp;v=beta&amp;t=QfieSyfOgEF1N20UWvqhBmff52BqqcXIixsy_2MnoBk","View Creative")</f>
        <v>View Creative</v>
      </c>
      <c r="L672" s="4" t="s">
        <v>2321</v>
      </c>
      <c r="M672" s="4" t="s">
        <v>61</v>
      </c>
      <c r="N672" s="4" t="s">
        <v>4965</v>
      </c>
      <c r="O672" s="4" t="s">
        <v>89</v>
      </c>
      <c r="P672" s="4" t="s">
        <v>5041</v>
      </c>
    </row>
    <row r="673">
      <c r="A673" s="4" t="s">
        <v>40</v>
      </c>
      <c r="B673" s="4" t="s">
        <v>40</v>
      </c>
      <c r="C673" s="4">
        <v>671.0</v>
      </c>
      <c r="D673" s="5" t="str">
        <f>HYPERLINK("https://www.linkedin.com/ad-library/detail/895387204","Open Ad")</f>
        <v>Open Ad</v>
      </c>
      <c r="E673" s="4" t="s">
        <v>78</v>
      </c>
      <c r="F673" s="4" t="s">
        <v>3503</v>
      </c>
      <c r="G673" s="4" t="s">
        <v>3504</v>
      </c>
      <c r="H673" s="4" t="s">
        <v>49</v>
      </c>
      <c r="I673" s="4" t="s">
        <v>429</v>
      </c>
      <c r="J673" s="4" t="s">
        <v>78</v>
      </c>
      <c r="K673" s="5" t="str">
        <f>HYPERLINK("https://media.licdn.com/dms/image/v2/D4E10AQElbDC7cRR6RA/image-shrink_1280/B4EZpYvrJ2KgAM-/0/1762425484524?e=2147483647&amp;v=beta&amp;t=XRNXXTKDUkOv-2N_TTLe-REG_OY2cdWo5cz8IEMsLqQ","View Creative")</f>
        <v>View Creative</v>
      </c>
      <c r="L673" s="4" t="s">
        <v>2321</v>
      </c>
      <c r="M673" s="4" t="s">
        <v>61</v>
      </c>
      <c r="N673" s="4" t="s">
        <v>4965</v>
      </c>
      <c r="O673" s="4" t="s">
        <v>89</v>
      </c>
      <c r="P673" s="4" t="s">
        <v>5043</v>
      </c>
    </row>
    <row r="674">
      <c r="A674" s="4" t="s">
        <v>40</v>
      </c>
      <c r="B674" s="4" t="s">
        <v>40</v>
      </c>
      <c r="C674" s="4">
        <v>672.0</v>
      </c>
      <c r="D674" s="5" t="str">
        <f>HYPERLINK("https://www.linkedin.com/ad-library/detail/895308164","Open Ad")</f>
        <v>Open Ad</v>
      </c>
      <c r="E674" s="4" t="s">
        <v>78</v>
      </c>
      <c r="F674" s="4" t="s">
        <v>3427</v>
      </c>
      <c r="G674" s="4" t="s">
        <v>3429</v>
      </c>
      <c r="H674" s="4" t="s">
        <v>49</v>
      </c>
      <c r="I674" s="4" t="s">
        <v>873</v>
      </c>
      <c r="J674" s="4" t="s">
        <v>78</v>
      </c>
      <c r="K674" s="5" t="str">
        <f>HYPERLINK("https://media.licdn.com/dms/image/v2/D4E10AQGZT-3bqxoZ2g/image-shrink_1280/B4EZpYvmzdHoAM-/0/1762425466782?e=2147483647&amp;v=beta&amp;t=oZHmRyl1aiuA-B4uLN33mqgSufBy3zhqXXMQmcAyodc","View Creative")</f>
        <v>View Creative</v>
      </c>
      <c r="L674" s="4" t="s">
        <v>2321</v>
      </c>
      <c r="M674" s="4" t="s">
        <v>61</v>
      </c>
      <c r="N674" s="4" t="s">
        <v>4965</v>
      </c>
      <c r="O674" s="4" t="s">
        <v>89</v>
      </c>
      <c r="P674" s="4" t="s">
        <v>5044</v>
      </c>
    </row>
    <row r="675">
      <c r="A675" s="4" t="s">
        <v>40</v>
      </c>
      <c r="B675" s="4" t="s">
        <v>40</v>
      </c>
      <c r="C675" s="4">
        <v>673.0</v>
      </c>
      <c r="D675" s="5" t="str">
        <f>HYPERLINK("https://www.linkedin.com/ad-library/detail/895249354","Open Ad")</f>
        <v>Open Ad</v>
      </c>
      <c r="E675" s="4" t="s">
        <v>78</v>
      </c>
      <c r="F675" s="4" t="s">
        <v>3427</v>
      </c>
      <c r="G675" s="4" t="s">
        <v>3429</v>
      </c>
      <c r="H675" s="4" t="s">
        <v>49</v>
      </c>
      <c r="I675" s="4" t="s">
        <v>873</v>
      </c>
      <c r="J675" s="4" t="s">
        <v>78</v>
      </c>
      <c r="K675" s="5" t="str">
        <f>HYPERLINK("https://media.licdn.com/dms/image/v2/D4E10AQGGHqCj0WKM2g/image-shrink_1280/B4EZpYvUmmHEAM-/0/1762425392356?e=2147483647&amp;v=beta&amp;t=xv0jJsn9qMpN56Lj4hRSIDkUgG4GDkFklLQFHZE7Gzo","View Creative")</f>
        <v>View Creative</v>
      </c>
      <c r="L675" s="4" t="s">
        <v>2321</v>
      </c>
      <c r="M675" s="4" t="s">
        <v>61</v>
      </c>
      <c r="N675" s="4" t="s">
        <v>4965</v>
      </c>
      <c r="O675" s="4" t="s">
        <v>89</v>
      </c>
      <c r="P675" s="4" t="s">
        <v>5046</v>
      </c>
    </row>
    <row r="676">
      <c r="A676" s="4" t="s">
        <v>40</v>
      </c>
      <c r="B676" s="4" t="s">
        <v>40</v>
      </c>
      <c r="C676" s="4">
        <v>674.0</v>
      </c>
      <c r="D676" s="5" t="str">
        <f>HYPERLINK("https://www.linkedin.com/ad-library/detail/895298564","Open Ad")</f>
        <v>Open Ad</v>
      </c>
      <c r="E676" s="4" t="s">
        <v>78</v>
      </c>
      <c r="F676" s="4" t="s">
        <v>3503</v>
      </c>
      <c r="G676" s="4" t="s">
        <v>3504</v>
      </c>
      <c r="H676" s="4" t="s">
        <v>49</v>
      </c>
      <c r="I676" s="4" t="s">
        <v>429</v>
      </c>
      <c r="J676" s="4" t="s">
        <v>78</v>
      </c>
      <c r="K676" s="5" t="str">
        <f>HYPERLINK("https://media.licdn.com/dms/image/v2/D4E10AQEHRbAUZmOdRg/image-shrink_1280/B4EZpYvdsnKYAQ-/0/1762425429510?e=2147483647&amp;v=beta&amp;t=R-vtedd5pntgEMZUHPrgVdSwLerH6einAn1UlOCq7fU","View Creative")</f>
        <v>View Creative</v>
      </c>
      <c r="L676" s="4" t="s">
        <v>2321</v>
      </c>
      <c r="M676" s="4" t="s">
        <v>61</v>
      </c>
      <c r="N676" s="4" t="s">
        <v>4965</v>
      </c>
      <c r="O676" s="4" t="s">
        <v>89</v>
      </c>
      <c r="P676" s="4" t="s">
        <v>5047</v>
      </c>
    </row>
    <row r="677">
      <c r="A677" s="4" t="s">
        <v>40</v>
      </c>
      <c r="B677" s="4" t="s">
        <v>40</v>
      </c>
      <c r="C677" s="4">
        <v>675.0</v>
      </c>
      <c r="D677" s="5" t="str">
        <f>HYPERLINK("https://www.linkedin.com/ad-library/detail/895249374","Open Ad")</f>
        <v>Open Ad</v>
      </c>
      <c r="E677" s="4" t="s">
        <v>78</v>
      </c>
      <c r="F677" s="4" t="s">
        <v>3427</v>
      </c>
      <c r="G677" s="4" t="s">
        <v>3429</v>
      </c>
      <c r="H677" s="4" t="s">
        <v>49</v>
      </c>
      <c r="I677" s="4" t="s">
        <v>873</v>
      </c>
      <c r="J677" s="4" t="s">
        <v>78</v>
      </c>
      <c r="K677" s="5" t="str">
        <f>HYPERLINK("https://media.licdn.com/dms/image/v2/D4E10AQFjuu_oYnMm-w/image-shrink_1280/B4EZpYvdt7HgAQ-/0/1762425429590?e=2147483647&amp;v=beta&amp;t=JlFy7tkCJk6H62OnPXb9lXdsSvvmNpavdYjW7XmphfE","View Creative")</f>
        <v>View Creative</v>
      </c>
      <c r="L677" s="4" t="s">
        <v>2321</v>
      </c>
      <c r="M677" s="4" t="s">
        <v>61</v>
      </c>
      <c r="N677" s="4" t="s">
        <v>4965</v>
      </c>
      <c r="O677" s="4" t="s">
        <v>89</v>
      </c>
      <c r="P677" s="4" t="s">
        <v>5049</v>
      </c>
    </row>
    <row r="678">
      <c r="A678" s="4" t="s">
        <v>40</v>
      </c>
      <c r="B678" s="4" t="s">
        <v>40</v>
      </c>
      <c r="C678" s="4">
        <v>676.0</v>
      </c>
      <c r="D678" s="5" t="str">
        <f>HYPERLINK("https://www.linkedin.com/ad-library/detail/895308144","Open Ad")</f>
        <v>Open Ad</v>
      </c>
      <c r="E678" s="4" t="s">
        <v>78</v>
      </c>
      <c r="F678" s="4" t="s">
        <v>3503</v>
      </c>
      <c r="G678" s="4" t="s">
        <v>3504</v>
      </c>
      <c r="H678" s="4" t="s">
        <v>49</v>
      </c>
      <c r="I678" s="4" t="s">
        <v>429</v>
      </c>
      <c r="J678" s="4" t="s">
        <v>78</v>
      </c>
      <c r="K678" s="5" t="str">
        <f>HYPERLINK("https://media.licdn.com/dms/image/v2/D4E10AQErZfSFTCgg-Q/image-shrink_1280/B4EZpYvUn8JgAM-/0/1762425392928?e=2147483647&amp;v=beta&amp;t=mdHQ5kvkAfPEGHU2kWf16ieZRPA5UqUV9GXW7yVn8WY","View Creative")</f>
        <v>View Creative</v>
      </c>
      <c r="L678" s="4" t="s">
        <v>2321</v>
      </c>
      <c r="M678" s="4" t="s">
        <v>61</v>
      </c>
      <c r="N678" s="4" t="s">
        <v>4965</v>
      </c>
      <c r="O678" s="4" t="s">
        <v>89</v>
      </c>
      <c r="P678" s="4" t="s">
        <v>5052</v>
      </c>
    </row>
    <row r="679">
      <c r="A679" s="4" t="s">
        <v>40</v>
      </c>
      <c r="B679" s="4" t="s">
        <v>40</v>
      </c>
      <c r="C679" s="4">
        <v>677.0</v>
      </c>
      <c r="D679" s="5" t="str">
        <f>HYPERLINK("https://www.linkedin.com/ad-library/detail/895249364","Open Ad")</f>
        <v>Open Ad</v>
      </c>
      <c r="E679" s="4" t="s">
        <v>78</v>
      </c>
      <c r="F679" s="4" t="s">
        <v>3503</v>
      </c>
      <c r="G679" s="4" t="s">
        <v>3504</v>
      </c>
      <c r="H679" s="4" t="s">
        <v>49</v>
      </c>
      <c r="I679" s="4" t="s">
        <v>429</v>
      </c>
      <c r="J679" s="4" t="s">
        <v>78</v>
      </c>
      <c r="K679" s="5" t="str">
        <f>HYPERLINK("https://media.licdn.com/dms/image/v2/D4E10AQEQZOOmR0YYrg/image-shrink_1280/B4EZpYvUpsHcAQ-/0/1762425392644?e=2147483647&amp;v=beta&amp;t=eNdhYW7GKfL62z3Rci8rjzk6T7bfGjs_c761gSHkvb8","View Creative")</f>
        <v>View Creative</v>
      </c>
      <c r="L679" s="4" t="s">
        <v>2321</v>
      </c>
      <c r="M679" s="4" t="s">
        <v>61</v>
      </c>
      <c r="N679" s="4" t="s">
        <v>4965</v>
      </c>
      <c r="O679" s="4" t="s">
        <v>89</v>
      </c>
      <c r="P679" s="4" t="s">
        <v>5053</v>
      </c>
    </row>
    <row r="680">
      <c r="A680" s="4" t="s">
        <v>40</v>
      </c>
      <c r="B680" s="4" t="s">
        <v>40</v>
      </c>
      <c r="C680" s="4">
        <v>678.0</v>
      </c>
      <c r="D680" s="5" t="str">
        <f>HYPERLINK("https://www.linkedin.com/ad-library/detail/895435684","Open Ad")</f>
        <v>Open Ad</v>
      </c>
      <c r="E680" s="4" t="s">
        <v>78</v>
      </c>
      <c r="F680" s="4" t="s">
        <v>3427</v>
      </c>
      <c r="G680" s="4" t="s">
        <v>3429</v>
      </c>
      <c r="H680" s="4" t="s">
        <v>49</v>
      </c>
      <c r="I680" s="4" t="s">
        <v>873</v>
      </c>
      <c r="J680" s="4" t="s">
        <v>78</v>
      </c>
      <c r="K680" s="5" t="str">
        <f>HYPERLINK("https://media.licdn.com/dms/image/v2/D4E10AQGvFWSBwvEf_w/image-shrink_1280/B4EZpYvdx2IQAQ-/0/1762425430317?e=2147483647&amp;v=beta&amp;t=cbzP_8NkTu4_jFUVxpPuCUFat9D_2V2WnCzWKI_CHF8","View Creative")</f>
        <v>View Creative</v>
      </c>
      <c r="L680" s="4" t="s">
        <v>2321</v>
      </c>
      <c r="M680" s="4" t="s">
        <v>61</v>
      </c>
      <c r="N680" s="4" t="s">
        <v>4965</v>
      </c>
      <c r="O680" s="4" t="s">
        <v>89</v>
      </c>
      <c r="P680" s="4" t="s">
        <v>5055</v>
      </c>
    </row>
    <row r="681">
      <c r="A681" s="4" t="s">
        <v>40</v>
      </c>
      <c r="B681" s="4" t="s">
        <v>40</v>
      </c>
      <c r="C681" s="4">
        <v>679.0</v>
      </c>
      <c r="D681" s="5" t="str">
        <f>HYPERLINK("https://www.linkedin.com/ad-library/detail/895445454","Open Ad")</f>
        <v>Open Ad</v>
      </c>
      <c r="E681" s="4" t="s">
        <v>78</v>
      </c>
      <c r="F681" s="4" t="s">
        <v>3427</v>
      </c>
      <c r="G681" s="4" t="s">
        <v>3429</v>
      </c>
      <c r="H681" s="4" t="s">
        <v>49</v>
      </c>
      <c r="I681" s="4" t="s">
        <v>873</v>
      </c>
      <c r="J681" s="4" t="s">
        <v>78</v>
      </c>
      <c r="K681" s="5" t="str">
        <f>HYPERLINK("https://media.licdn.com/dms/image/v2/D4E10AQHyD26q_uMRLQ/image-shrink_1280/B4EZpYvZMAGcAQ-/0/1762425411473?e=2147483647&amp;v=beta&amp;t=EQQHZb5jgN7SYa-_4Pcn7hC4JVc-Y4ZHAxrRQxPu1lY","View Creative")</f>
        <v>View Creative</v>
      </c>
      <c r="L681" s="4" t="s">
        <v>2321</v>
      </c>
      <c r="M681" s="4" t="s">
        <v>61</v>
      </c>
      <c r="N681" s="4" t="s">
        <v>4965</v>
      </c>
      <c r="O681" s="4" t="s">
        <v>89</v>
      </c>
      <c r="P681" s="4" t="s">
        <v>5056</v>
      </c>
    </row>
    <row r="682">
      <c r="A682" s="4" t="s">
        <v>40</v>
      </c>
      <c r="B682" s="4" t="s">
        <v>40</v>
      </c>
      <c r="C682" s="4">
        <v>680.0</v>
      </c>
      <c r="D682" s="5" t="str">
        <f>HYPERLINK("https://www.linkedin.com/ad-library/detail/895435674","Open Ad")</f>
        <v>Open Ad</v>
      </c>
      <c r="E682" s="4" t="s">
        <v>78</v>
      </c>
      <c r="F682" s="4" t="s">
        <v>3427</v>
      </c>
      <c r="G682" s="4" t="s">
        <v>3429</v>
      </c>
      <c r="H682" s="4" t="s">
        <v>49</v>
      </c>
      <c r="I682" s="4" t="s">
        <v>873</v>
      </c>
      <c r="J682" s="4" t="s">
        <v>78</v>
      </c>
      <c r="K682" s="5" t="str">
        <f>HYPERLINK("https://media.licdn.com/dms/image/v2/D4E10AQGw1doGWUZ-qw/image-shrink_1280/B4EZpYvdu6KYAQ-/0/1762425429499?e=2147483647&amp;v=beta&amp;t=e2jVLt6Cmua5MD_a3T6D3zWy8OaLJV4UptDnAKBrTaw","View Creative")</f>
        <v>View Creative</v>
      </c>
      <c r="L682" s="4" t="s">
        <v>2321</v>
      </c>
      <c r="M682" s="4" t="s">
        <v>61</v>
      </c>
      <c r="N682" s="4" t="s">
        <v>4965</v>
      </c>
      <c r="O682" s="4" t="s">
        <v>89</v>
      </c>
      <c r="P682" s="4" t="s">
        <v>5058</v>
      </c>
    </row>
    <row r="683">
      <c r="A683" s="4" t="s">
        <v>40</v>
      </c>
      <c r="B683" s="4" t="s">
        <v>40</v>
      </c>
      <c r="C683" s="4">
        <v>681.0</v>
      </c>
      <c r="D683" s="5" t="str">
        <f>HYPERLINK("https://www.linkedin.com/ad-library/detail/268376744","Open Ad")</f>
        <v>Open Ad</v>
      </c>
      <c r="E683" s="4" t="s">
        <v>78</v>
      </c>
      <c r="F683" s="4" t="s">
        <v>3427</v>
      </c>
      <c r="G683" s="4" t="s">
        <v>3429</v>
      </c>
      <c r="H683" s="4" t="s">
        <v>49</v>
      </c>
      <c r="I683" s="4" t="s">
        <v>873</v>
      </c>
      <c r="J683" s="4" t="s">
        <v>78</v>
      </c>
      <c r="K683" s="5" t="str">
        <f>HYPERLINK("https://media.licdn.com/dms/image/v2/D4E10AQGqhZOEGcxedQ/image-shrink_1280/B4EZpYvZIxIoAM-/0/1762425411177?e=2147483647&amp;v=beta&amp;t=lMpwrdDEvwyCNZi-mc8H6HmIW4kS1fDHFfaYGuqCDTA","View Creative")</f>
        <v>View Creative</v>
      </c>
      <c r="L683" s="4" t="s">
        <v>2321</v>
      </c>
      <c r="M683" s="4" t="s">
        <v>61</v>
      </c>
      <c r="N683" s="4" t="s">
        <v>4965</v>
      </c>
      <c r="O683" s="4" t="s">
        <v>89</v>
      </c>
      <c r="P683" s="4" t="s">
        <v>5059</v>
      </c>
    </row>
    <row r="684">
      <c r="A684" s="4" t="s">
        <v>40</v>
      </c>
      <c r="B684" s="4" t="s">
        <v>40</v>
      </c>
      <c r="C684" s="4">
        <v>682.0</v>
      </c>
      <c r="D684" s="5" t="str">
        <f>HYPERLINK("https://www.linkedin.com/ad-library/detail/895337694","Open Ad")</f>
        <v>Open Ad</v>
      </c>
      <c r="E684" s="4" t="s">
        <v>78</v>
      </c>
      <c r="F684" s="4" t="s">
        <v>3427</v>
      </c>
      <c r="G684" s="4" t="s">
        <v>3429</v>
      </c>
      <c r="H684" s="4" t="s">
        <v>49</v>
      </c>
      <c r="I684" s="4" t="s">
        <v>873</v>
      </c>
      <c r="J684" s="4" t="s">
        <v>78</v>
      </c>
      <c r="K684" s="5" t="str">
        <f>HYPERLINK("https://media.licdn.com/dms/image/v2/D4E10AQFbK3B9xs4SWQ/image-shrink_1280/B4EZpYvZObJ0AM-/0/1762425411051?e=2147483647&amp;v=beta&amp;t=CBuDtGfj6CefVOexHgQ1ClDaEf-l-HpuRzkE2xgE2Ys","View Creative")</f>
        <v>View Creative</v>
      </c>
      <c r="L684" s="4" t="s">
        <v>2321</v>
      </c>
      <c r="M684" s="4" t="s">
        <v>61</v>
      </c>
      <c r="N684" s="4" t="s">
        <v>4965</v>
      </c>
      <c r="O684" s="4" t="s">
        <v>89</v>
      </c>
      <c r="P684" s="4" t="s">
        <v>5061</v>
      </c>
    </row>
    <row r="685">
      <c r="A685" s="4" t="s">
        <v>40</v>
      </c>
      <c r="B685" s="4" t="s">
        <v>40</v>
      </c>
      <c r="C685" s="4">
        <v>683.0</v>
      </c>
      <c r="D685" s="5" t="str">
        <f>HYPERLINK("https://www.linkedin.com/ad-library/detail/895435664","Open Ad")</f>
        <v>Open Ad</v>
      </c>
      <c r="E685" s="4" t="s">
        <v>78</v>
      </c>
      <c r="F685" s="4" t="s">
        <v>3427</v>
      </c>
      <c r="G685" s="4" t="s">
        <v>3429</v>
      </c>
      <c r="H685" s="4" t="s">
        <v>49</v>
      </c>
      <c r="I685" s="4" t="s">
        <v>873</v>
      </c>
      <c r="J685" s="4" t="s">
        <v>78</v>
      </c>
      <c r="K685" s="5" t="str">
        <f>HYPERLINK("https://media.licdn.com/dms/image/v2/D4E10AQFoOw2GTqieZQ/image-shrink_1280/B4EZpYvY5OIQAM-/0/1762425409818?e=2147483647&amp;v=beta&amp;t=2J2LegbIWOLIOoWO7Hw0ZpCYkQn0LjjvDiXYG8IGl2c","View Creative")</f>
        <v>View Creative</v>
      </c>
      <c r="L685" s="4" t="s">
        <v>2321</v>
      </c>
      <c r="M685" s="4" t="s">
        <v>61</v>
      </c>
      <c r="N685" s="4" t="s">
        <v>4965</v>
      </c>
      <c r="O685" s="4" t="s">
        <v>89</v>
      </c>
      <c r="P685" s="4" t="s">
        <v>5062</v>
      </c>
    </row>
    <row r="686">
      <c r="A686" s="4" t="s">
        <v>40</v>
      </c>
      <c r="B686" s="4" t="s">
        <v>40</v>
      </c>
      <c r="C686" s="4">
        <v>684.0</v>
      </c>
      <c r="D686" s="5" t="str">
        <f>HYPERLINK("https://www.linkedin.com/ad-library/detail/895416524","Open Ad")</f>
        <v>Open Ad</v>
      </c>
      <c r="E686" s="4" t="s">
        <v>78</v>
      </c>
      <c r="F686" s="4" t="s">
        <v>3503</v>
      </c>
      <c r="G686" s="4" t="s">
        <v>3504</v>
      </c>
      <c r="H686" s="4" t="s">
        <v>49</v>
      </c>
      <c r="I686" s="4" t="s">
        <v>429</v>
      </c>
      <c r="J686" s="4" t="s">
        <v>78</v>
      </c>
      <c r="K686" s="5" t="str">
        <f>HYPERLINK("https://media.licdn.com/dms/image/v2/D4E10AQFrOwvYjtQfDA/image-shrink_1280/B4EZpYviSFHMAM-/0/1762425448329?e=2147483647&amp;v=beta&amp;t=dqwJS88AECt_F4x7hK0zBOSoyDH-gSXT03QqIVAF8aU","View Creative")</f>
        <v>View Creative</v>
      </c>
      <c r="L686" s="4" t="s">
        <v>2321</v>
      </c>
      <c r="M686" s="4" t="s">
        <v>61</v>
      </c>
      <c r="N686" s="4" t="s">
        <v>4965</v>
      </c>
      <c r="O686" s="4" t="s">
        <v>89</v>
      </c>
      <c r="P686" s="4" t="s">
        <v>5064</v>
      </c>
    </row>
    <row r="687">
      <c r="A687" s="4" t="s">
        <v>40</v>
      </c>
      <c r="B687" s="4" t="s">
        <v>40</v>
      </c>
      <c r="C687" s="4">
        <v>685.0</v>
      </c>
      <c r="D687" s="5" t="str">
        <f>HYPERLINK("https://www.linkedin.com/ad-library/detail/895416514","Open Ad")</f>
        <v>Open Ad</v>
      </c>
      <c r="E687" s="4" t="s">
        <v>78</v>
      </c>
      <c r="F687" s="4" t="s">
        <v>3503</v>
      </c>
      <c r="G687" s="4" t="s">
        <v>3504</v>
      </c>
      <c r="H687" s="4" t="s">
        <v>49</v>
      </c>
      <c r="I687" s="4" t="s">
        <v>429</v>
      </c>
      <c r="J687" s="4" t="s">
        <v>78</v>
      </c>
      <c r="K687" s="5" t="str">
        <f>HYPERLINK("https://media.licdn.com/dms/image/v2/D4E10AQHwekFdykcKIA/image-shrink_1280/B4EZpYvdsdJgAM-/0/1762425429533?e=2147483647&amp;v=beta&amp;t=tmwfheGFeVDF56rYQL_CQkSB8Nto7AplenFlEzGRywU","View Creative")</f>
        <v>View Creative</v>
      </c>
      <c r="L687" s="4" t="s">
        <v>2321</v>
      </c>
      <c r="M687" s="4" t="s">
        <v>61</v>
      </c>
      <c r="N687" s="4" t="s">
        <v>4965</v>
      </c>
      <c r="O687" s="4" t="s">
        <v>89</v>
      </c>
      <c r="P687" s="4" t="s">
        <v>5066</v>
      </c>
    </row>
    <row r="688">
      <c r="A688" s="4" t="s">
        <v>40</v>
      </c>
      <c r="B688" s="4" t="s">
        <v>40</v>
      </c>
      <c r="C688" s="4">
        <v>686.0</v>
      </c>
      <c r="D688" s="5" t="str">
        <f>HYPERLINK("https://www.linkedin.com/ad-library/detail/895268754","Open Ad")</f>
        <v>Open Ad</v>
      </c>
      <c r="E688" s="4" t="s">
        <v>78</v>
      </c>
      <c r="F688" s="4" t="s">
        <v>3427</v>
      </c>
      <c r="G688" s="4" t="s">
        <v>3429</v>
      </c>
      <c r="H688" s="4" t="s">
        <v>49</v>
      </c>
      <c r="I688" s="4" t="s">
        <v>873</v>
      </c>
      <c r="J688" s="4" t="s">
        <v>78</v>
      </c>
      <c r="K688" s="5" t="str">
        <f>HYPERLINK("https://media.licdn.com/dms/image/v2/D4E10AQGLKBXQDCcJsA/image-shrink_1280/B4EZpYvdtiIoAM-/0/1762425429933?e=2147483647&amp;v=beta&amp;t=eJSNFG0g8i-r614pYVb4EsrNR1F8EcE2y62As-qe9VU","View Creative")</f>
        <v>View Creative</v>
      </c>
      <c r="L688" s="4" t="s">
        <v>2321</v>
      </c>
      <c r="M688" s="4" t="s">
        <v>61</v>
      </c>
      <c r="N688" s="4" t="s">
        <v>4965</v>
      </c>
      <c r="O688" s="4" t="s">
        <v>89</v>
      </c>
      <c r="P688" s="4" t="s">
        <v>5067</v>
      </c>
    </row>
    <row r="689">
      <c r="A689" s="4" t="s">
        <v>40</v>
      </c>
      <c r="B689" s="4" t="s">
        <v>40</v>
      </c>
      <c r="C689" s="4">
        <v>687.0</v>
      </c>
      <c r="D689" s="5" t="str">
        <f>HYPERLINK("https://www.linkedin.com/ad-library/detail/895259164","Open Ad")</f>
        <v>Open Ad</v>
      </c>
      <c r="E689" s="4" t="s">
        <v>78</v>
      </c>
      <c r="F689" s="4" t="s">
        <v>3503</v>
      </c>
      <c r="G689" s="4" t="s">
        <v>3504</v>
      </c>
      <c r="H689" s="4" t="s">
        <v>49</v>
      </c>
      <c r="I689" s="4" t="s">
        <v>429</v>
      </c>
      <c r="J689" s="4" t="s">
        <v>78</v>
      </c>
      <c r="K689" s="5" t="str">
        <f>HYPERLINK("https://media.licdn.com/dms/image/v2/D4E10AQGo4Ebr_JC2tQ/image-shrink_1280/B4EZpYvds5IwAM-/0/1762425429872?e=2147483647&amp;v=beta&amp;t=K49Wlh1OZE4P6IAtmHkXRqDFaqn58pxuWB_5_9AS6j0","View Creative")</f>
        <v>View Creative</v>
      </c>
      <c r="L689" s="4" t="s">
        <v>2321</v>
      </c>
      <c r="M689" s="4" t="s">
        <v>61</v>
      </c>
      <c r="N689" s="4" t="s">
        <v>4965</v>
      </c>
      <c r="O689" s="4" t="s">
        <v>89</v>
      </c>
      <c r="P689" s="4" t="s">
        <v>5069</v>
      </c>
    </row>
    <row r="690">
      <c r="A690" s="4" t="s">
        <v>40</v>
      </c>
      <c r="B690" s="4" t="s">
        <v>40</v>
      </c>
      <c r="C690" s="4">
        <v>688.0</v>
      </c>
      <c r="D690" s="5" t="str">
        <f>HYPERLINK("https://www.linkedin.com/ad-library/detail/895396644","Open Ad")</f>
        <v>Open Ad</v>
      </c>
      <c r="E690" s="4" t="s">
        <v>78</v>
      </c>
      <c r="F690" s="4" t="s">
        <v>3427</v>
      </c>
      <c r="G690" s="4" t="s">
        <v>3429</v>
      </c>
      <c r="H690" s="4" t="s">
        <v>49</v>
      </c>
      <c r="I690" s="4" t="s">
        <v>873</v>
      </c>
      <c r="J690" s="4" t="s">
        <v>78</v>
      </c>
      <c r="K690" s="5" t="str">
        <f>HYPERLINK("https://media.licdn.com/dms/image/v2/D4E10AQHXwt0NPRwRTQ/image-shrink_1280/B4EZpYvdrPHgAQ-/0/1762425429534?e=2147483647&amp;v=beta&amp;t=ZFxJ3efuzg7L2OgeBfIAYKUNLQTX7fcHYi6Yjkxf_AI","View Creative")</f>
        <v>View Creative</v>
      </c>
      <c r="L690" s="4" t="s">
        <v>2321</v>
      </c>
      <c r="M690" s="4" t="s">
        <v>61</v>
      </c>
      <c r="N690" s="4" t="s">
        <v>4965</v>
      </c>
      <c r="O690" s="4" t="s">
        <v>89</v>
      </c>
      <c r="P690" s="4" t="s">
        <v>5070</v>
      </c>
    </row>
    <row r="691">
      <c r="A691" s="4" t="s">
        <v>40</v>
      </c>
      <c r="B691" s="4" t="s">
        <v>40</v>
      </c>
      <c r="C691" s="4">
        <v>689.0</v>
      </c>
      <c r="D691" s="5" t="str">
        <f>HYPERLINK("https://www.linkedin.com/ad-library/detail/895396634","Open Ad")</f>
        <v>Open Ad</v>
      </c>
      <c r="E691" s="4" t="s">
        <v>78</v>
      </c>
      <c r="F691" s="4" t="s">
        <v>3503</v>
      </c>
      <c r="G691" s="4" t="s">
        <v>3504</v>
      </c>
      <c r="H691" s="4" t="s">
        <v>49</v>
      </c>
      <c r="I691" s="4" t="s">
        <v>429</v>
      </c>
      <c r="J691" s="4" t="s">
        <v>78</v>
      </c>
      <c r="K691" s="5" t="str">
        <f>HYPERLINK("https://media.licdn.com/dms/image/v2/D4E10AQGp-SPzUCJDFw/image-shrink_1280/B4EZpYvY6.IUAM-/0/1762425409921?e=2147483647&amp;v=beta&amp;t=5S8qcqKoZqN2LvevPr5ut39TOJCRcAVefQt5I-fEkzg","View Creative")</f>
        <v>View Creative</v>
      </c>
      <c r="L691" s="4" t="s">
        <v>2321</v>
      </c>
      <c r="M691" s="4" t="s">
        <v>61</v>
      </c>
      <c r="N691" s="4" t="s">
        <v>4965</v>
      </c>
      <c r="O691" s="4" t="s">
        <v>89</v>
      </c>
      <c r="P691" s="4" t="s">
        <v>5072</v>
      </c>
    </row>
    <row r="692">
      <c r="A692" s="4" t="s">
        <v>40</v>
      </c>
      <c r="B692" s="4" t="s">
        <v>40</v>
      </c>
      <c r="C692" s="4">
        <v>690.0</v>
      </c>
      <c r="D692" s="5" t="str">
        <f>HYPERLINK("https://www.linkedin.com/ad-library/detail/895396614","Open Ad")</f>
        <v>Open Ad</v>
      </c>
      <c r="E692" s="4" t="s">
        <v>78</v>
      </c>
      <c r="F692" s="4" t="s">
        <v>3427</v>
      </c>
      <c r="G692" s="4" t="s">
        <v>3429</v>
      </c>
      <c r="H692" s="4" t="s">
        <v>49</v>
      </c>
      <c r="I692" s="4" t="s">
        <v>873</v>
      </c>
      <c r="J692" s="4" t="s">
        <v>78</v>
      </c>
      <c r="K692" s="5" t="str">
        <f>HYPERLINK("https://media.licdn.com/dms/image/v2/D4E10AQGxM-SGWen-Sg/image-shrink_1280/B4EZpYvUnIHgAM-/0/1762425392839?e=2147483647&amp;v=beta&amp;t=rBC7xr5iiudtsvX9PWoc0aNIAwX38axEOPXS_mr9CN8","View Creative")</f>
        <v>View Creative</v>
      </c>
      <c r="L692" s="4" t="s">
        <v>2321</v>
      </c>
      <c r="M692" s="4" t="s">
        <v>61</v>
      </c>
      <c r="N692" s="4" t="s">
        <v>4965</v>
      </c>
      <c r="O692" s="4" t="s">
        <v>89</v>
      </c>
      <c r="P692" s="4" t="s">
        <v>5074</v>
      </c>
    </row>
    <row r="693">
      <c r="A693" s="4" t="s">
        <v>40</v>
      </c>
      <c r="B693" s="4" t="s">
        <v>40</v>
      </c>
      <c r="C693" s="4">
        <v>691.0</v>
      </c>
      <c r="D693" s="5" t="str">
        <f>HYPERLINK("https://www.linkedin.com/ad-library/detail/895396604","Open Ad")</f>
        <v>Open Ad</v>
      </c>
      <c r="E693" s="4" t="s">
        <v>78</v>
      </c>
      <c r="F693" s="4" t="s">
        <v>3427</v>
      </c>
      <c r="G693" s="4" t="s">
        <v>3429</v>
      </c>
      <c r="H693" s="4" t="s">
        <v>49</v>
      </c>
      <c r="I693" s="4" t="s">
        <v>873</v>
      </c>
      <c r="J693" s="4" t="s">
        <v>78</v>
      </c>
      <c r="K693" s="5" t="str">
        <f>HYPERLINK("https://media.licdn.com/dms/image/v2/D4E10AQHOnJPCu62BEw/image-shrink_1280/B4EZpYvUquIwAM-/0/1762425392515?e=2147483647&amp;v=beta&amp;t=1nGxn6eCGHEhgx5a-E_V8wD2PYt-ZqXK5fP_dEQcjck","View Creative")</f>
        <v>View Creative</v>
      </c>
      <c r="L693" s="4" t="s">
        <v>2321</v>
      </c>
      <c r="M693" s="4" t="s">
        <v>61</v>
      </c>
      <c r="N693" s="4" t="s">
        <v>4965</v>
      </c>
      <c r="O693" s="4" t="s">
        <v>89</v>
      </c>
      <c r="P693" s="4" t="s">
        <v>5076</v>
      </c>
    </row>
    <row r="694">
      <c r="A694" s="4" t="s">
        <v>40</v>
      </c>
      <c r="B694" s="4" t="s">
        <v>40</v>
      </c>
      <c r="C694" s="4">
        <v>692.0</v>
      </c>
      <c r="D694" s="5" t="str">
        <f>HYPERLINK("https://www.linkedin.com/ad-library/detail/895278694","Open Ad")</f>
        <v>Open Ad</v>
      </c>
      <c r="E694" s="4" t="s">
        <v>78</v>
      </c>
      <c r="F694" s="4" t="s">
        <v>3427</v>
      </c>
      <c r="G694" s="4" t="s">
        <v>3429</v>
      </c>
      <c r="H694" s="4" t="s">
        <v>49</v>
      </c>
      <c r="I694" s="4" t="s">
        <v>873</v>
      </c>
      <c r="J694" s="4" t="s">
        <v>78</v>
      </c>
      <c r="K694" s="5" t="str">
        <f>HYPERLINK("https://media.licdn.com/dms/image/v2/D4E10AQG-MgEwZRGBuA/image-shrink_1280/B4EZpYvduSIwAM-/0/1762425429721?e=2147483647&amp;v=beta&amp;t=_acCNJkIrZSgDNCxH7C-HZCo379tBKjMoExFT1pGGgM","View Creative")</f>
        <v>View Creative</v>
      </c>
      <c r="L694" s="4" t="s">
        <v>2321</v>
      </c>
      <c r="M694" s="4" t="s">
        <v>61</v>
      </c>
      <c r="N694" s="4" t="s">
        <v>4965</v>
      </c>
      <c r="O694" s="4" t="s">
        <v>89</v>
      </c>
      <c r="P694" s="4" t="s">
        <v>5077</v>
      </c>
    </row>
    <row r="695">
      <c r="A695" s="4" t="s">
        <v>40</v>
      </c>
      <c r="B695" s="4" t="s">
        <v>40</v>
      </c>
      <c r="C695" s="4">
        <v>693.0</v>
      </c>
      <c r="D695" s="5" t="str">
        <f>HYPERLINK("https://www.linkedin.com/ad-library/detail/895328234","Open Ad")</f>
        <v>Open Ad</v>
      </c>
      <c r="E695" s="4" t="s">
        <v>78</v>
      </c>
      <c r="F695" s="4" t="s">
        <v>3427</v>
      </c>
      <c r="G695" s="4" t="s">
        <v>3429</v>
      </c>
      <c r="H695" s="4" t="s">
        <v>49</v>
      </c>
      <c r="I695" s="4" t="s">
        <v>873</v>
      </c>
      <c r="J695" s="4" t="s">
        <v>78</v>
      </c>
      <c r="K695" s="5" t="str">
        <f>HYPERLINK("https://media.licdn.com/dms/image/v2/D4E10AQELtl4D-e_aeA/image-shrink_1280/B4EZpYviQYKgAM-/0/1762425448180?e=2147483647&amp;v=beta&amp;t=nJLD6rHQjgKM2EoScFQzVTMzCRgueYk-EU2LwPVmHfY","View Creative")</f>
        <v>View Creative</v>
      </c>
      <c r="L695" s="4" t="s">
        <v>2321</v>
      </c>
      <c r="M695" s="4" t="s">
        <v>61</v>
      </c>
      <c r="N695" s="4" t="s">
        <v>4965</v>
      </c>
      <c r="O695" s="4" t="s">
        <v>89</v>
      </c>
      <c r="P695" s="4" t="s">
        <v>5079</v>
      </c>
    </row>
    <row r="696">
      <c r="A696" s="4" t="s">
        <v>40</v>
      </c>
      <c r="B696" s="4" t="s">
        <v>40</v>
      </c>
      <c r="C696" s="4">
        <v>694.0</v>
      </c>
      <c r="D696" s="5" t="str">
        <f>HYPERLINK("https://www.linkedin.com/ad-library/detail/895278674","Open Ad")</f>
        <v>Open Ad</v>
      </c>
      <c r="E696" s="4" t="s">
        <v>78</v>
      </c>
      <c r="F696" s="4" t="s">
        <v>3427</v>
      </c>
      <c r="G696" s="4" t="s">
        <v>3429</v>
      </c>
      <c r="H696" s="4" t="s">
        <v>49</v>
      </c>
      <c r="I696" s="4" t="s">
        <v>873</v>
      </c>
      <c r="J696" s="4" t="s">
        <v>78</v>
      </c>
      <c r="K696" s="5" t="str">
        <f>HYPERLINK("https://media.licdn.com/dms/image/v2/D4E10AQFINeP7ujQcWg/image-shrink_1280/B4EZpYvZNuIQAQ-/0/1762425411004?e=2147483647&amp;v=beta&amp;t=4JyXRmiLmZJzSQHA-y2COpc7_zh0h6xh9J15JiDl4Ug","View Creative")</f>
        <v>View Creative</v>
      </c>
      <c r="L696" s="4" t="s">
        <v>2321</v>
      </c>
      <c r="M696" s="4" t="s">
        <v>61</v>
      </c>
      <c r="N696" s="4" t="s">
        <v>4965</v>
      </c>
      <c r="O696" s="4" t="s">
        <v>89</v>
      </c>
      <c r="P696" s="4" t="s">
        <v>5080</v>
      </c>
    </row>
    <row r="697">
      <c r="A697" s="4" t="s">
        <v>40</v>
      </c>
      <c r="B697" s="4" t="s">
        <v>40</v>
      </c>
      <c r="C697" s="4">
        <v>695.0</v>
      </c>
      <c r="D697" s="5" t="str">
        <f>HYPERLINK("https://www.linkedin.com/ad-library/detail/895347254","Open Ad")</f>
        <v>Open Ad</v>
      </c>
      <c r="E697" s="4" t="s">
        <v>78</v>
      </c>
      <c r="F697" s="4" t="s">
        <v>3427</v>
      </c>
      <c r="G697" s="4" t="s">
        <v>3429</v>
      </c>
      <c r="H697" s="4" t="s">
        <v>49</v>
      </c>
      <c r="I697" s="4" t="s">
        <v>873</v>
      </c>
      <c r="J697" s="4" t="s">
        <v>78</v>
      </c>
      <c r="K697" s="5" t="str">
        <f>HYPERLINK("https://media.licdn.com/dms/image/v2/D4E10AQFZuqppTFqllw/image-shrink_1280/B4EZpYvUofJgAM-/0/1762425392856?e=2147483647&amp;v=beta&amp;t=A0Y-C6e8c1D9XyTlyRL_FlCzJbXhRFc1hLfA_GoGGlM","View Creative")</f>
        <v>View Creative</v>
      </c>
      <c r="L697" s="4" t="s">
        <v>2321</v>
      </c>
      <c r="M697" s="4" t="s">
        <v>61</v>
      </c>
      <c r="N697" s="4" t="s">
        <v>4965</v>
      </c>
      <c r="O697" s="4" t="s">
        <v>89</v>
      </c>
      <c r="P697" s="4" t="s">
        <v>5082</v>
      </c>
    </row>
    <row r="698">
      <c r="A698" s="4" t="s">
        <v>40</v>
      </c>
      <c r="B698" s="4" t="s">
        <v>40</v>
      </c>
      <c r="C698" s="4">
        <v>696.0</v>
      </c>
      <c r="D698" s="5" t="str">
        <f>HYPERLINK("https://www.linkedin.com/ad-library/detail/895347264","Open Ad")</f>
        <v>Open Ad</v>
      </c>
      <c r="E698" s="4" t="s">
        <v>78</v>
      </c>
      <c r="F698" s="4" t="s">
        <v>3427</v>
      </c>
      <c r="G698" s="4" t="s">
        <v>3429</v>
      </c>
      <c r="H698" s="4" t="s">
        <v>49</v>
      </c>
      <c r="I698" s="4" t="s">
        <v>873</v>
      </c>
      <c r="J698" s="4" t="s">
        <v>78</v>
      </c>
      <c r="K698" s="5" t="str">
        <f>HYPERLINK("https://media.licdn.com/dms/image/v2/D4E10AQGt3FMCqljk3Q/image-shrink_1280/B4EZpYvZKzKsAQ-/0/1762425411030?e=2147483647&amp;v=beta&amp;t=dcXZwpzsCQM8K7l-yVZUjiMe4uQPsA0OelKR_zHqiL4","View Creative")</f>
        <v>View Creative</v>
      </c>
      <c r="L698" s="4" t="s">
        <v>2321</v>
      </c>
      <c r="M698" s="4" t="s">
        <v>61</v>
      </c>
      <c r="N698" s="4" t="s">
        <v>4965</v>
      </c>
      <c r="O698" s="4" t="s">
        <v>89</v>
      </c>
      <c r="P698" s="4" t="s">
        <v>5084</v>
      </c>
    </row>
    <row r="699">
      <c r="A699" s="4" t="s">
        <v>40</v>
      </c>
      <c r="B699" s="4" t="s">
        <v>40</v>
      </c>
      <c r="C699" s="4">
        <v>697.0</v>
      </c>
      <c r="D699" s="5" t="str">
        <f>HYPERLINK("https://www.linkedin.com/ad-library/detail/895357354","Open Ad")</f>
        <v>Open Ad</v>
      </c>
      <c r="E699" s="4" t="s">
        <v>78</v>
      </c>
      <c r="F699" s="4" t="s">
        <v>3427</v>
      </c>
      <c r="G699" s="4" t="s">
        <v>3429</v>
      </c>
      <c r="H699" s="4" t="s">
        <v>49</v>
      </c>
      <c r="I699" s="4" t="s">
        <v>873</v>
      </c>
      <c r="J699" s="4" t="s">
        <v>78</v>
      </c>
      <c r="K699" s="5" t="str">
        <f>HYPERLINK("https://media.licdn.com/dms/image/v2/D4E10AQEuljB_Vp1KQg/image-shrink_1280/B4EZpYvLs6HcAM-/0/1762425355778?e=2147483647&amp;v=beta&amp;t=2UrLQOUBp-owKJzwB2huKcGyFrrSBFRs8Ck8VFVPunc","View Creative")</f>
        <v>View Creative</v>
      </c>
      <c r="L699" s="4" t="s">
        <v>2321</v>
      </c>
      <c r="M699" s="4" t="s">
        <v>61</v>
      </c>
      <c r="N699" s="4" t="s">
        <v>4965</v>
      </c>
      <c r="O699" s="4" t="s">
        <v>89</v>
      </c>
      <c r="P699" s="4" t="s">
        <v>5085</v>
      </c>
    </row>
    <row r="700">
      <c r="A700" s="4" t="s">
        <v>40</v>
      </c>
      <c r="B700" s="4" t="s">
        <v>40</v>
      </c>
      <c r="C700" s="4">
        <v>698.0</v>
      </c>
      <c r="D700" s="5" t="str">
        <f>HYPERLINK("https://www.linkedin.com/ad-library/detail/895445414","Open Ad")</f>
        <v>Open Ad</v>
      </c>
      <c r="E700" s="4" t="s">
        <v>78</v>
      </c>
      <c r="F700" s="4" t="s">
        <v>3427</v>
      </c>
      <c r="G700" s="4" t="s">
        <v>3429</v>
      </c>
      <c r="H700" s="4" t="s">
        <v>49</v>
      </c>
      <c r="I700" s="4" t="s">
        <v>873</v>
      </c>
      <c r="J700" s="4" t="s">
        <v>78</v>
      </c>
      <c r="K700" s="5" t="str">
        <f>HYPERLINK("https://media.licdn.com/dms/image/v2/D4E10AQGTToeOzgI-bg/image-shrink_1280/B4EZpYvP3cGUAQ-/0/1762425372740?e=2147483647&amp;v=beta&amp;t=Nd4xObfZJALF8p2W8JeXoRHhBoPXRksJdu0-X6-Ra1c","View Creative")</f>
        <v>View Creative</v>
      </c>
      <c r="L700" s="4" t="s">
        <v>2321</v>
      </c>
      <c r="M700" s="4" t="s">
        <v>61</v>
      </c>
      <c r="N700" s="4" t="s">
        <v>4965</v>
      </c>
      <c r="O700" s="4" t="s">
        <v>89</v>
      </c>
      <c r="P700" s="4" t="s">
        <v>5087</v>
      </c>
    </row>
    <row r="701">
      <c r="A701" s="4" t="s">
        <v>40</v>
      </c>
      <c r="B701" s="4" t="s">
        <v>40</v>
      </c>
      <c r="C701" s="4">
        <v>699.0</v>
      </c>
      <c r="D701" s="5" t="str">
        <f>HYPERLINK("https://www.linkedin.com/ad-library/detail/895308114","Open Ad")</f>
        <v>Open Ad</v>
      </c>
      <c r="E701" s="4" t="s">
        <v>78</v>
      </c>
      <c r="F701" s="4" t="s">
        <v>3427</v>
      </c>
      <c r="G701" s="4" t="s">
        <v>3429</v>
      </c>
      <c r="H701" s="4" t="s">
        <v>49</v>
      </c>
      <c r="I701" s="4" t="s">
        <v>873</v>
      </c>
      <c r="J701" s="4" t="s">
        <v>78</v>
      </c>
      <c r="K701" s="5" t="str">
        <f>HYPERLINK("https://media.licdn.com/dms/image/v2/D4E10AQFiig7OR4ozaA/image-shrink_1280/B4EZpYvLqzKoAQ-/0/1762425355710?e=2147483647&amp;v=beta&amp;t=cTFJR3dY434lYDVE0WXumaYOdQi409CDje5ksC39MXE","View Creative")</f>
        <v>View Creative</v>
      </c>
      <c r="L701" s="4" t="s">
        <v>2321</v>
      </c>
      <c r="M701" s="4" t="s">
        <v>61</v>
      </c>
      <c r="N701" s="4" t="s">
        <v>4965</v>
      </c>
      <c r="O701" s="4" t="s">
        <v>89</v>
      </c>
      <c r="P701" s="4" t="s">
        <v>5088</v>
      </c>
    </row>
    <row r="702">
      <c r="A702" s="4" t="s">
        <v>40</v>
      </c>
      <c r="B702" s="4" t="s">
        <v>40</v>
      </c>
      <c r="C702" s="4">
        <v>700.0</v>
      </c>
      <c r="D702" s="5" t="str">
        <f>HYPERLINK("https://www.linkedin.com/ad-library/detail/895416474","Open Ad")</f>
        <v>Open Ad</v>
      </c>
      <c r="E702" s="4" t="s">
        <v>78</v>
      </c>
      <c r="F702" s="4" t="s">
        <v>3427</v>
      </c>
      <c r="G702" s="4" t="s">
        <v>3429</v>
      </c>
      <c r="H702" s="4" t="s">
        <v>49</v>
      </c>
      <c r="I702" s="4" t="s">
        <v>873</v>
      </c>
      <c r="J702" s="4" t="s">
        <v>78</v>
      </c>
      <c r="K702" s="5" t="str">
        <f>HYPERLINK("https://media.licdn.com/dms/image/v2/D4E10AQERcl4iVZrnkA/image-shrink_1280/B4EZpYvQFbHcAM-/0/1762425374293?e=2147483647&amp;v=beta&amp;t=BiobchVpu2uqzIyKTZoK3q53vTXK344ieMPxba4ssDo","View Creative")</f>
        <v>View Creative</v>
      </c>
      <c r="L702" s="4" t="s">
        <v>2321</v>
      </c>
      <c r="M702" s="4" t="s">
        <v>61</v>
      </c>
      <c r="N702" s="4" t="s">
        <v>4965</v>
      </c>
      <c r="O702" s="4" t="s">
        <v>89</v>
      </c>
      <c r="P702" s="4" t="s">
        <v>5090</v>
      </c>
    </row>
    <row r="703">
      <c r="A703" s="4" t="s">
        <v>40</v>
      </c>
      <c r="B703" s="4" t="s">
        <v>40</v>
      </c>
      <c r="C703" s="4">
        <v>701.0</v>
      </c>
      <c r="D703" s="5" t="str">
        <f>HYPERLINK("https://www.linkedin.com/ad-library/detail/895337674","Open Ad")</f>
        <v>Open Ad</v>
      </c>
      <c r="E703" s="4" t="s">
        <v>78</v>
      </c>
      <c r="F703" s="4" t="s">
        <v>3427</v>
      </c>
      <c r="G703" s="4" t="s">
        <v>3429</v>
      </c>
      <c r="H703" s="4" t="s">
        <v>49</v>
      </c>
      <c r="I703" s="4" t="s">
        <v>873</v>
      </c>
      <c r="J703" s="4" t="s">
        <v>78</v>
      </c>
      <c r="K703" s="5" t="str">
        <f>HYPERLINK("https://media.licdn.com/dms/image/v2/D4E10AQGQEMIqEERxXw/image-shrink_1280/B4EZpYvQFBKMAM-/0/1762425373798?e=2147483647&amp;v=beta&amp;t=KNcPCvGlNrMg8PASKJ3QkOLPICoUelJHDsws3gPBt0M","View Creative")</f>
        <v>View Creative</v>
      </c>
      <c r="L703" s="4" t="s">
        <v>2321</v>
      </c>
      <c r="M703" s="4" t="s">
        <v>61</v>
      </c>
      <c r="N703" s="4" t="s">
        <v>4965</v>
      </c>
      <c r="O703" s="4" t="s">
        <v>89</v>
      </c>
      <c r="P703" s="4" t="s">
        <v>5091</v>
      </c>
    </row>
    <row r="704">
      <c r="A704" s="4" t="s">
        <v>40</v>
      </c>
      <c r="B704" s="4" t="s">
        <v>40</v>
      </c>
      <c r="C704" s="4">
        <v>702.0</v>
      </c>
      <c r="D704" s="5" t="str">
        <f>HYPERLINK("https://www.linkedin.com/ad-library/detail/268476174","Open Ad")</f>
        <v>Open Ad</v>
      </c>
      <c r="E704" s="4" t="s">
        <v>78</v>
      </c>
      <c r="F704" s="4" t="s">
        <v>3503</v>
      </c>
      <c r="G704" s="4" t="s">
        <v>3504</v>
      </c>
      <c r="H704" s="4" t="s">
        <v>49</v>
      </c>
      <c r="I704" s="4" t="s">
        <v>429</v>
      </c>
      <c r="J704" s="4" t="s">
        <v>78</v>
      </c>
      <c r="K704" s="5" t="str">
        <f>HYPERLINK("https://media.licdn.com/dms/image/v2/D4E10AQHwtzovC5n17Q/image-shrink_1280/B4EZpYvQDEGUAM-/0/1762425373598?e=2147483647&amp;v=beta&amp;t=sx-zKMXT6o3ulmgMFYR83y54jl8uWmmc6WVHneEU1UE","View Creative")</f>
        <v>View Creative</v>
      </c>
      <c r="L704" s="4" t="s">
        <v>2321</v>
      </c>
      <c r="M704" s="4" t="s">
        <v>61</v>
      </c>
      <c r="N704" s="4" t="s">
        <v>4965</v>
      </c>
      <c r="O704" s="4" t="s">
        <v>89</v>
      </c>
      <c r="P704" s="4" t="s">
        <v>5093</v>
      </c>
    </row>
    <row r="705">
      <c r="A705" s="4" t="s">
        <v>40</v>
      </c>
      <c r="B705" s="4" t="s">
        <v>40</v>
      </c>
      <c r="C705" s="4">
        <v>703.0</v>
      </c>
      <c r="D705" s="5" t="str">
        <f>HYPERLINK("https://www.linkedin.com/ad-library/detail/895435644","Open Ad")</f>
        <v>Open Ad</v>
      </c>
      <c r="E705" s="4" t="s">
        <v>78</v>
      </c>
      <c r="F705" s="4" t="s">
        <v>3503</v>
      </c>
      <c r="G705" s="4" t="s">
        <v>3504</v>
      </c>
      <c r="H705" s="4" t="s">
        <v>49</v>
      </c>
      <c r="I705" s="4" t="s">
        <v>429</v>
      </c>
      <c r="J705" s="4" t="s">
        <v>78</v>
      </c>
      <c r="K705" s="5" t="str">
        <f>HYPERLINK("https://media.licdn.com/dms/image/v2/D4E10AQH633PN-rOCLQ/image-shrink_1280/B4EZpYvLemHgAQ-/0/1762425355288?e=2147483647&amp;v=beta&amp;t=kzoClyMWAJDwyHwomnQMUGtKX1HqVwPr6A7NhWEBM6Q","View Creative")</f>
        <v>View Creative</v>
      </c>
      <c r="L705" s="4" t="s">
        <v>2321</v>
      </c>
      <c r="M705" s="4" t="s">
        <v>61</v>
      </c>
      <c r="N705" s="4" t="s">
        <v>4965</v>
      </c>
      <c r="O705" s="4" t="s">
        <v>89</v>
      </c>
      <c r="P705" s="4" t="s">
        <v>5095</v>
      </c>
    </row>
    <row r="706">
      <c r="A706" s="4" t="s">
        <v>40</v>
      </c>
      <c r="B706" s="4" t="s">
        <v>40</v>
      </c>
      <c r="C706" s="4">
        <v>704.0</v>
      </c>
      <c r="D706" s="5" t="str">
        <f>HYPERLINK("https://www.linkedin.com/ad-library/detail/895396594","Open Ad")</f>
        <v>Open Ad</v>
      </c>
      <c r="E706" s="4" t="s">
        <v>78</v>
      </c>
      <c r="F706" s="4" t="s">
        <v>3503</v>
      </c>
      <c r="G706" s="4" t="s">
        <v>3504</v>
      </c>
      <c r="H706" s="4" t="s">
        <v>49</v>
      </c>
      <c r="I706" s="4" t="s">
        <v>429</v>
      </c>
      <c r="J706" s="4" t="s">
        <v>78</v>
      </c>
      <c r="K706" s="5" t="str">
        <f>HYPERLINK("https://media.licdn.com/dms/image/v2/D4E10AQF34k0kTb1iJw/image-shrink_1280/B4EZpYvLZ_IoAM-/0/1762425354604?e=2147483647&amp;v=beta&amp;t=GyE-Ww3IJbj4nT8uUb6JnCbk69J-0yG7ZB9zoQLAW-s","View Creative")</f>
        <v>View Creative</v>
      </c>
      <c r="L706" s="4" t="s">
        <v>2321</v>
      </c>
      <c r="M706" s="4" t="s">
        <v>61</v>
      </c>
      <c r="N706" s="4" t="s">
        <v>4965</v>
      </c>
      <c r="O706" s="4" t="s">
        <v>89</v>
      </c>
      <c r="P706" s="4" t="s">
        <v>5096</v>
      </c>
    </row>
    <row r="707">
      <c r="A707" s="4" t="s">
        <v>40</v>
      </c>
      <c r="B707" s="4" t="s">
        <v>40</v>
      </c>
      <c r="C707" s="4">
        <v>705.0</v>
      </c>
      <c r="D707" s="5" t="str">
        <f>HYPERLINK("https://www.linkedin.com/ad-library/detail/895426094","Open Ad")</f>
        <v>Open Ad</v>
      </c>
      <c r="E707" s="4" t="s">
        <v>78</v>
      </c>
      <c r="F707" s="4" t="s">
        <v>3427</v>
      </c>
      <c r="G707" s="4" t="s">
        <v>3429</v>
      </c>
      <c r="H707" s="4" t="s">
        <v>49</v>
      </c>
      <c r="I707" s="4" t="s">
        <v>873</v>
      </c>
      <c r="J707" s="4" t="s">
        <v>78</v>
      </c>
      <c r="K707" s="5" t="str">
        <f>HYPERLINK("https://media.licdn.com/dms/image/v2/D4E10AQF42So7iwhnaQ/image-shrink_1280/B4EZpYvUozHMAQ-/0/1762425392384?e=2147483647&amp;v=beta&amp;t=wEGxWbv7abK2CRhyMqoq0Jl-DYkhPyJWOOgkFvbmqr4","View Creative")</f>
        <v>View Creative</v>
      </c>
      <c r="L707" s="4" t="s">
        <v>2321</v>
      </c>
      <c r="M707" s="4" t="s">
        <v>61</v>
      </c>
      <c r="N707" s="4" t="s">
        <v>4965</v>
      </c>
      <c r="O707" s="4" t="s">
        <v>89</v>
      </c>
      <c r="P707" s="4" t="s">
        <v>5098</v>
      </c>
    </row>
    <row r="708">
      <c r="A708" s="4" t="s">
        <v>40</v>
      </c>
      <c r="B708" s="4" t="s">
        <v>40</v>
      </c>
      <c r="C708" s="4">
        <v>706.0</v>
      </c>
      <c r="D708" s="5" t="str">
        <f>HYPERLINK("https://www.linkedin.com/ad-library/detail/895435634","Open Ad")</f>
        <v>Open Ad</v>
      </c>
      <c r="E708" s="4" t="s">
        <v>78</v>
      </c>
      <c r="F708" s="4" t="s">
        <v>3427</v>
      </c>
      <c r="G708" s="4" t="s">
        <v>3429</v>
      </c>
      <c r="H708" s="4" t="s">
        <v>49</v>
      </c>
      <c r="I708" s="4" t="s">
        <v>873</v>
      </c>
      <c r="J708" s="4" t="s">
        <v>78</v>
      </c>
      <c r="K708" s="5" t="str">
        <f>HYPERLINK("https://media.licdn.com/dms/image/v2/D4E10AQGeqptPoki1Qw/image-shrink_1280/B4EZpYvLm9HgAU-/0/1762425355430?e=2147483647&amp;v=beta&amp;t=ibWzmGxQRDwYnhj2jjMbHEIlyLxt7kVgUqL13rthWMk","View Creative")</f>
        <v>View Creative</v>
      </c>
      <c r="L708" s="4" t="s">
        <v>2321</v>
      </c>
      <c r="M708" s="4" t="s">
        <v>61</v>
      </c>
      <c r="N708" s="4" t="s">
        <v>4965</v>
      </c>
      <c r="O708" s="4" t="s">
        <v>89</v>
      </c>
      <c r="P708" s="4" t="s">
        <v>5099</v>
      </c>
    </row>
    <row r="709">
      <c r="A709" s="4" t="s">
        <v>40</v>
      </c>
      <c r="B709" s="4" t="s">
        <v>40</v>
      </c>
      <c r="C709" s="4">
        <v>707.0</v>
      </c>
      <c r="D709" s="5" t="str">
        <f>HYPERLINK("https://www.linkedin.com/ad-library/detail/895426084","Open Ad")</f>
        <v>Open Ad</v>
      </c>
      <c r="E709" s="4" t="s">
        <v>78</v>
      </c>
      <c r="F709" s="4" t="s">
        <v>3427</v>
      </c>
      <c r="G709" s="4" t="s">
        <v>3429</v>
      </c>
      <c r="H709" s="4" t="s">
        <v>49</v>
      </c>
      <c r="I709" s="4" t="s">
        <v>873</v>
      </c>
      <c r="J709" s="4" t="s">
        <v>78</v>
      </c>
      <c r="K709" s="5" t="str">
        <f>HYPERLINK("https://media.licdn.com/dms/image/v2/D4E10AQG2EkJtjX-OLw/image-shrink_1280/B4EZpYvUmvIIAQ-/0/1762425392234?e=2147483647&amp;v=beta&amp;t=qgn5n8soHhbqjeWpBp1j11uY7KE6-Nnuwqrv11jWDCk","View Creative")</f>
        <v>View Creative</v>
      </c>
      <c r="L709" s="4" t="s">
        <v>2321</v>
      </c>
      <c r="M709" s="4" t="s">
        <v>61</v>
      </c>
      <c r="N709" s="4" t="s">
        <v>4965</v>
      </c>
      <c r="O709" s="4" t="s">
        <v>89</v>
      </c>
      <c r="P709" s="4" t="s">
        <v>5101</v>
      </c>
    </row>
    <row r="710">
      <c r="A710" s="4" t="s">
        <v>40</v>
      </c>
      <c r="B710" s="4" t="s">
        <v>40</v>
      </c>
      <c r="C710" s="4">
        <v>708.0</v>
      </c>
      <c r="D710" s="5" t="str">
        <f>HYPERLINK("https://www.linkedin.com/ad-library/detail/895268734","Open Ad")</f>
        <v>Open Ad</v>
      </c>
      <c r="E710" s="4" t="s">
        <v>78</v>
      </c>
      <c r="F710" s="4" t="s">
        <v>3503</v>
      </c>
      <c r="G710" s="4" t="s">
        <v>3504</v>
      </c>
      <c r="H710" s="4" t="s">
        <v>49</v>
      </c>
      <c r="I710" s="4" t="s">
        <v>429</v>
      </c>
      <c r="J710" s="4" t="s">
        <v>78</v>
      </c>
      <c r="K710" s="5" t="str">
        <f>HYPERLINK("https://media.licdn.com/dms/image/v2/D4E10AQHI5m2O3_uiYg/image-shrink_1280/B4EZpYvQGdKoAY-/0/1762425374214?e=2147483647&amp;v=beta&amp;t=DD-FlLBXPjvETxfTYkBgm6odz_6kfMcNaoPgfFYmFiU","View Creative")</f>
        <v>View Creative</v>
      </c>
      <c r="L710" s="4" t="s">
        <v>2321</v>
      </c>
      <c r="M710" s="4" t="s">
        <v>61</v>
      </c>
      <c r="N710" s="4" t="s">
        <v>4965</v>
      </c>
      <c r="O710" s="4" t="s">
        <v>89</v>
      </c>
      <c r="P710" s="4" t="s">
        <v>5103</v>
      </c>
    </row>
    <row r="711">
      <c r="A711" s="4" t="s">
        <v>40</v>
      </c>
      <c r="B711" s="4" t="s">
        <v>40</v>
      </c>
      <c r="C711" s="4">
        <v>709.0</v>
      </c>
      <c r="D711" s="5" t="str">
        <f>HYPERLINK("https://www.linkedin.com/ad-library/detail/895318184","Open Ad")</f>
        <v>Open Ad</v>
      </c>
      <c r="E711" s="4" t="s">
        <v>78</v>
      </c>
      <c r="F711" s="4" t="s">
        <v>3427</v>
      </c>
      <c r="G711" s="4" t="s">
        <v>3429</v>
      </c>
      <c r="H711" s="4" t="s">
        <v>49</v>
      </c>
      <c r="I711" s="4" t="s">
        <v>873</v>
      </c>
      <c r="J711" s="4" t="s">
        <v>78</v>
      </c>
      <c r="K711" s="5" t="str">
        <f>HYPERLINK("https://media.licdn.com/dms/image/v2/D4E10AQHbsaDA5Dfa6g/image-shrink_1280/B4EZpYvQEsHUAM-/0/1762425373503?e=2147483647&amp;v=beta&amp;t=pffMEt9muuyLsWgMu_FWs-xfGh3HbJLbwl42MMrUe94","View Creative")</f>
        <v>View Creative</v>
      </c>
      <c r="L711" s="4" t="s">
        <v>2321</v>
      </c>
      <c r="M711" s="4" t="s">
        <v>61</v>
      </c>
      <c r="N711" s="4" t="s">
        <v>4965</v>
      </c>
      <c r="O711" s="4" t="s">
        <v>89</v>
      </c>
      <c r="P711" s="4" t="s">
        <v>5104</v>
      </c>
    </row>
    <row r="712">
      <c r="A712" s="4" t="s">
        <v>40</v>
      </c>
      <c r="B712" s="4" t="s">
        <v>40</v>
      </c>
      <c r="C712" s="4">
        <v>710.0</v>
      </c>
      <c r="D712" s="5" t="str">
        <f>HYPERLINK("https://www.linkedin.com/ad-library/detail/895426054","Open Ad")</f>
        <v>Open Ad</v>
      </c>
      <c r="E712" s="4" t="s">
        <v>78</v>
      </c>
      <c r="F712" s="4" t="s">
        <v>3503</v>
      </c>
      <c r="G712" s="4" t="s">
        <v>3504</v>
      </c>
      <c r="H712" s="4" t="s">
        <v>49</v>
      </c>
      <c r="I712" s="4" t="s">
        <v>429</v>
      </c>
      <c r="J712" s="4" t="s">
        <v>78</v>
      </c>
      <c r="K712" s="5" t="str">
        <f>HYPERLINK("https://media.licdn.com/dms/image/v2/D4E10AQE7sU-xB02Bzw/image-shrink_1280/B4EZpYvQJDGoAU-/0/1762425374089?e=2147483647&amp;v=beta&amp;t=nwhWfrp3EWEmc9oN_AUyr2JvHDWSE4IQpY6osi6CdQ8","View Creative")</f>
        <v>View Creative</v>
      </c>
      <c r="L712" s="4" t="s">
        <v>2321</v>
      </c>
      <c r="M712" s="4" t="s">
        <v>61</v>
      </c>
      <c r="N712" s="4" t="s">
        <v>4965</v>
      </c>
      <c r="O712" s="4" t="s">
        <v>89</v>
      </c>
      <c r="P712" s="4" t="s">
        <v>5106</v>
      </c>
    </row>
    <row r="713">
      <c r="A713" s="4" t="s">
        <v>40</v>
      </c>
      <c r="B713" s="4" t="s">
        <v>40</v>
      </c>
      <c r="C713" s="4">
        <v>711.0</v>
      </c>
      <c r="D713" s="5" t="str">
        <f>HYPERLINK("https://www.linkedin.com/ad-library/detail/895347204","Open Ad")</f>
        <v>Open Ad</v>
      </c>
      <c r="E713" s="4" t="s">
        <v>78</v>
      </c>
      <c r="F713" s="4" t="s">
        <v>3503</v>
      </c>
      <c r="G713" s="4" t="s">
        <v>3504</v>
      </c>
      <c r="H713" s="4" t="s">
        <v>49</v>
      </c>
      <c r="I713" s="4" t="s">
        <v>429</v>
      </c>
      <c r="J713" s="4" t="s">
        <v>78</v>
      </c>
      <c r="K713" s="5" t="str">
        <f>HYPERLINK("https://media.licdn.com/dms/image/v2/D4E10AQE63fQUAoVS4Q/image-shrink_1280/B4EZpYvLrrIoAM-/0/1762425355531?e=2147483647&amp;v=beta&amp;t=Z6ZPAThjqGALTQVrwB0IaMchz5cqMh_GNFCB_Bp-kb4","View Creative")</f>
        <v>View Creative</v>
      </c>
      <c r="L713" s="4" t="s">
        <v>2321</v>
      </c>
      <c r="M713" s="4" t="s">
        <v>61</v>
      </c>
      <c r="N713" s="4" t="s">
        <v>4965</v>
      </c>
      <c r="O713" s="4" t="s">
        <v>89</v>
      </c>
      <c r="P713" s="4" t="s">
        <v>5107</v>
      </c>
    </row>
    <row r="714">
      <c r="A714" s="4" t="s">
        <v>40</v>
      </c>
      <c r="B714" s="4" t="s">
        <v>40</v>
      </c>
      <c r="C714" s="4">
        <v>712.0</v>
      </c>
      <c r="D714" s="5" t="str">
        <f>HYPERLINK("https://www.linkedin.com/ad-library/detail/895288114","Open Ad")</f>
        <v>Open Ad</v>
      </c>
      <c r="E714" s="4" t="s">
        <v>78</v>
      </c>
      <c r="F714" s="4" t="s">
        <v>3427</v>
      </c>
      <c r="G714" s="4" t="s">
        <v>3429</v>
      </c>
      <c r="H714" s="4" t="s">
        <v>49</v>
      </c>
      <c r="I714" s="4" t="s">
        <v>873</v>
      </c>
      <c r="J714" s="4" t="s">
        <v>78</v>
      </c>
      <c r="K714" s="5" t="str">
        <f>HYPERLINK("https://media.licdn.com/dms/image/v2/D4E10AQGX1dStfUaCBA/image-shrink_1280/B4EZpYvLovGUAM-/0/1762425355478?e=2147483647&amp;v=beta&amp;t=bp02cmI_JwQ-gpfcyVjgXCIarnai7mwX2oFTcAPlb4Y","View Creative")</f>
        <v>View Creative</v>
      </c>
      <c r="L714" s="4" t="s">
        <v>2321</v>
      </c>
      <c r="M714" s="4" t="s">
        <v>61</v>
      </c>
      <c r="N714" s="4" t="s">
        <v>4965</v>
      </c>
      <c r="O714" s="4" t="s">
        <v>89</v>
      </c>
      <c r="P714" s="4" t="s">
        <v>5109</v>
      </c>
    </row>
    <row r="715">
      <c r="A715" s="4" t="s">
        <v>40</v>
      </c>
      <c r="B715" s="4" t="s">
        <v>40</v>
      </c>
      <c r="C715" s="4">
        <v>713.0</v>
      </c>
      <c r="D715" s="5" t="str">
        <f>HYPERLINK("https://www.linkedin.com/ad-library/detail/895406554","Open Ad")</f>
        <v>Open Ad</v>
      </c>
      <c r="E715" s="4" t="s">
        <v>78</v>
      </c>
      <c r="F715" s="4" t="s">
        <v>3427</v>
      </c>
      <c r="G715" s="4" t="s">
        <v>3429</v>
      </c>
      <c r="H715" s="4" t="s">
        <v>49</v>
      </c>
      <c r="I715" s="4" t="s">
        <v>873</v>
      </c>
      <c r="J715" s="4" t="s">
        <v>78</v>
      </c>
      <c r="K715" s="5" t="str">
        <f>HYPERLINK("https://media.licdn.com/dms/image/v2/D4E10AQFUzAxf0mV0VQ/image-shrink_1280/B4EZpYvHCnKYAM-/0/1762425337173?e=2147483647&amp;v=beta&amp;t=KRptCgZAkLR7v40k0gi_iQ3UJkKY5a1twP8MQpiE6f0","View Creative")</f>
        <v>View Creative</v>
      </c>
      <c r="L715" s="4" t="s">
        <v>2321</v>
      </c>
      <c r="M715" s="4" t="s">
        <v>61</v>
      </c>
      <c r="N715" s="4" t="s">
        <v>4965</v>
      </c>
      <c r="O715" s="4" t="s">
        <v>89</v>
      </c>
      <c r="P715" s="4" t="s">
        <v>5111</v>
      </c>
    </row>
    <row r="716">
      <c r="A716" s="4" t="s">
        <v>40</v>
      </c>
      <c r="B716" s="4" t="s">
        <v>40</v>
      </c>
      <c r="C716" s="4">
        <v>714.0</v>
      </c>
      <c r="D716" s="5" t="str">
        <f>HYPERLINK("https://www.linkedin.com/ad-library/detail/895426014","Open Ad")</f>
        <v>Open Ad</v>
      </c>
      <c r="E716" s="4" t="s">
        <v>78</v>
      </c>
      <c r="F716" s="4" t="s">
        <v>3427</v>
      </c>
      <c r="G716" s="4" t="s">
        <v>3429</v>
      </c>
      <c r="H716" s="4" t="s">
        <v>49</v>
      </c>
      <c r="I716" s="4" t="s">
        <v>873</v>
      </c>
      <c r="J716" s="4" t="s">
        <v>78</v>
      </c>
      <c r="K716" s="5" t="str">
        <f>HYPERLINK("https://media.licdn.com/dms/image/v2/D4E10AQETZMHbQ99utw/image-shrink_1280/B4EZpYvG98GYAM-/0/1762425336959?e=2147483647&amp;v=beta&amp;t=v3SybVtQDBvkUb9Q5F01NXLQ81uZ0VwHtgYK2Ql6PKw","View Creative")</f>
        <v>View Creative</v>
      </c>
      <c r="L716" s="4" t="s">
        <v>2321</v>
      </c>
      <c r="M716" s="4" t="s">
        <v>61</v>
      </c>
      <c r="N716" s="4" t="s">
        <v>4965</v>
      </c>
      <c r="O716" s="4" t="s">
        <v>89</v>
      </c>
      <c r="P716" s="4" t="s">
        <v>5112</v>
      </c>
    </row>
    <row r="717">
      <c r="A717" s="4" t="s">
        <v>40</v>
      </c>
      <c r="B717" s="4" t="s">
        <v>40</v>
      </c>
      <c r="C717" s="4">
        <v>715.0</v>
      </c>
      <c r="D717" s="5" t="str">
        <f>HYPERLINK("https://www.linkedin.com/ad-library/detail/895259084","Open Ad")</f>
        <v>Open Ad</v>
      </c>
      <c r="E717" s="4" t="s">
        <v>78</v>
      </c>
      <c r="F717" s="4" t="s">
        <v>3427</v>
      </c>
      <c r="G717" s="4" t="s">
        <v>3429</v>
      </c>
      <c r="H717" s="4" t="s">
        <v>49</v>
      </c>
      <c r="I717" s="4" t="s">
        <v>873</v>
      </c>
      <c r="J717" s="4" t="s">
        <v>78</v>
      </c>
      <c r="K717" s="5" t="str">
        <f>HYPERLINK("https://media.licdn.com/dms/image/v2/D4E10AQFwzfAkKtfHHQ/image-shrink_1280/B4EZpYvLi.KsAM-/0/1762425355576?e=2147483647&amp;v=beta&amp;t=0TahecEKboAKx4pNjGdR_bZ0QUft1hnw_5I223I76p8","View Creative")</f>
        <v>View Creative</v>
      </c>
      <c r="L717" s="4" t="s">
        <v>2321</v>
      </c>
      <c r="M717" s="4" t="s">
        <v>61</v>
      </c>
      <c r="N717" s="4" t="s">
        <v>4965</v>
      </c>
      <c r="O717" s="4" t="s">
        <v>89</v>
      </c>
      <c r="P717" s="4" t="s">
        <v>5114</v>
      </c>
    </row>
    <row r="718">
      <c r="A718" s="4" t="s">
        <v>40</v>
      </c>
      <c r="B718" s="4" t="s">
        <v>40</v>
      </c>
      <c r="C718" s="4">
        <v>716.0</v>
      </c>
      <c r="D718" s="5" t="str">
        <f>HYPERLINK("https://www.linkedin.com/ad-library/detail/268376664","Open Ad")</f>
        <v>Open Ad</v>
      </c>
      <c r="E718" s="4" t="s">
        <v>78</v>
      </c>
      <c r="F718" s="4" t="s">
        <v>3427</v>
      </c>
      <c r="G718" s="4" t="s">
        <v>3429</v>
      </c>
      <c r="H718" s="4" t="s">
        <v>49</v>
      </c>
      <c r="I718" s="4" t="s">
        <v>873</v>
      </c>
      <c r="J718" s="4" t="s">
        <v>78</v>
      </c>
      <c r="K718" s="5" t="str">
        <f>HYPERLINK("https://media.licdn.com/dms/image/v2/D4E10AQFEOB_JaMZ5jw/image-shrink_1280/B4EZpYvHBgGYAM-/0/1762425337001?e=2147483647&amp;v=beta&amp;t=Q3ZCeSCppjk3x_P_foiTJsh7CthFn6KWXR9vkQA5y0E","View Creative")</f>
        <v>View Creative</v>
      </c>
      <c r="L718" s="4" t="s">
        <v>2321</v>
      </c>
      <c r="M718" s="4" t="s">
        <v>61</v>
      </c>
      <c r="N718" s="4" t="s">
        <v>4965</v>
      </c>
      <c r="O718" s="4" t="s">
        <v>89</v>
      </c>
      <c r="P718" s="4" t="s">
        <v>5116</v>
      </c>
    </row>
    <row r="719">
      <c r="A719" s="4" t="s">
        <v>40</v>
      </c>
      <c r="B719" s="4" t="s">
        <v>40</v>
      </c>
      <c r="C719" s="4">
        <v>717.0</v>
      </c>
      <c r="D719" s="5" t="str">
        <f>HYPERLINK("https://www.linkedin.com/ad-library/detail/895406614","Open Ad")</f>
        <v>Open Ad</v>
      </c>
      <c r="E719" s="4" t="s">
        <v>78</v>
      </c>
      <c r="F719" s="4" t="s">
        <v>3503</v>
      </c>
      <c r="G719" s="4" t="s">
        <v>3504</v>
      </c>
      <c r="H719" s="4" t="s">
        <v>49</v>
      </c>
      <c r="I719" s="4" t="s">
        <v>429</v>
      </c>
      <c r="J719" s="4" t="s">
        <v>78</v>
      </c>
      <c r="K719" s="5" t="str">
        <f>HYPERLINK("https://media.licdn.com/dms/image/v2/D4E10AQFPCb0j7v3cSg/image-shrink_1280/B4EZpYvUovKsAQ-/0/1762425392284?e=2147483647&amp;v=beta&amp;t=OAeqpwUdIO4UtfhSSkrnyFHiy8HBSR39oOeIQSgJPnc","View Creative")</f>
        <v>View Creative</v>
      </c>
      <c r="L719" s="4" t="s">
        <v>2321</v>
      </c>
      <c r="M719" s="4" t="s">
        <v>61</v>
      </c>
      <c r="N719" s="4" t="s">
        <v>4965</v>
      </c>
      <c r="O719" s="4" t="s">
        <v>89</v>
      </c>
      <c r="P719" s="4" t="s">
        <v>5117</v>
      </c>
    </row>
    <row r="720">
      <c r="A720" s="4" t="s">
        <v>40</v>
      </c>
      <c r="B720" s="4" t="s">
        <v>40</v>
      </c>
      <c r="C720" s="4">
        <v>718.0</v>
      </c>
      <c r="D720" s="5" t="str">
        <f>HYPERLINK("https://www.linkedin.com/ad-library/detail/895298524","Open Ad")</f>
        <v>Open Ad</v>
      </c>
      <c r="E720" s="4" t="s">
        <v>78</v>
      </c>
      <c r="F720" s="4" t="s">
        <v>3427</v>
      </c>
      <c r="G720" s="4" t="s">
        <v>3429</v>
      </c>
      <c r="H720" s="4" t="s">
        <v>49</v>
      </c>
      <c r="I720" s="4" t="s">
        <v>873</v>
      </c>
      <c r="J720" s="4" t="s">
        <v>78</v>
      </c>
      <c r="K720" s="5" t="str">
        <f>HYPERLINK("https://media.licdn.com/dms/image/v2/D4E10AQHcOT-X3cwv0g/image-shrink_1280/B4EZpYvQHcKcAM-/0/1762425374045?e=2147483647&amp;v=beta&amp;t=9H0U_7hEfy5p5FW_tvbciW4P_VN1KJc7dMLyifVjGQI","View Creative")</f>
        <v>View Creative</v>
      </c>
      <c r="L720" s="4" t="s">
        <v>2321</v>
      </c>
      <c r="M720" s="4" t="s">
        <v>61</v>
      </c>
      <c r="N720" s="4" t="s">
        <v>4965</v>
      </c>
      <c r="O720" s="4" t="s">
        <v>89</v>
      </c>
      <c r="P720" s="4" t="s">
        <v>5120</v>
      </c>
    </row>
    <row r="721">
      <c r="A721" s="4" t="s">
        <v>40</v>
      </c>
      <c r="B721" s="4" t="s">
        <v>40</v>
      </c>
      <c r="C721" s="4">
        <v>719.0</v>
      </c>
      <c r="D721" s="5" t="str">
        <f>HYPERLINK("https://www.linkedin.com/ad-library/detail/895239344","Open Ad")</f>
        <v>Open Ad</v>
      </c>
      <c r="E721" s="4" t="s">
        <v>78</v>
      </c>
      <c r="F721" s="4" t="s">
        <v>3427</v>
      </c>
      <c r="G721" s="4" t="s">
        <v>3429</v>
      </c>
      <c r="H721" s="4" t="s">
        <v>49</v>
      </c>
      <c r="I721" s="4" t="s">
        <v>873</v>
      </c>
      <c r="J721" s="4" t="s">
        <v>78</v>
      </c>
      <c r="K721" s="5" t="str">
        <f>HYPERLINK("https://media.licdn.com/dms/image/v2/D4E10AQHhRC2qraf0TA/image-shrink_1280/B4EZpYvLn5HgAM-/0/1762425355346?e=2147483647&amp;v=beta&amp;t=EXo_SbfCDHLcqFrA8L8l0iyecjMJ_2lIROp-WdSBPCU","View Creative")</f>
        <v>View Creative</v>
      </c>
      <c r="L721" s="4" t="s">
        <v>2321</v>
      </c>
      <c r="M721" s="4" t="s">
        <v>61</v>
      </c>
      <c r="N721" s="4" t="s">
        <v>4965</v>
      </c>
      <c r="O721" s="4" t="s">
        <v>89</v>
      </c>
      <c r="P721" s="4" t="s">
        <v>5121</v>
      </c>
    </row>
    <row r="722">
      <c r="A722" s="4" t="s">
        <v>40</v>
      </c>
      <c r="B722" s="4" t="s">
        <v>40</v>
      </c>
      <c r="C722" s="4">
        <v>720.0</v>
      </c>
      <c r="D722" s="5" t="str">
        <f>HYPERLINK("https://www.linkedin.com/ad-library/detail/895328164","Open Ad")</f>
        <v>Open Ad</v>
      </c>
      <c r="E722" s="4" t="s">
        <v>78</v>
      </c>
      <c r="F722" s="4" t="s">
        <v>3427</v>
      </c>
      <c r="G722" s="4" t="s">
        <v>3429</v>
      </c>
      <c r="H722" s="4" t="s">
        <v>49</v>
      </c>
      <c r="I722" s="4" t="s">
        <v>873</v>
      </c>
      <c r="J722" s="4" t="s">
        <v>78</v>
      </c>
      <c r="K722" s="5" t="str">
        <f>HYPERLINK("https://media.licdn.com/dms/image/v2/D4E10AQHhWLf74qIo3Q/image-shrink_1280/B4EZpYvQH2KoAM-/0/1762425374348?e=2147483647&amp;v=beta&amp;t=EjqOT8We4Pvlprj7Y1PXERv0cbdrgYTRK45Psd1cKFc","View Creative")</f>
        <v>View Creative</v>
      </c>
      <c r="L722" s="4" t="s">
        <v>2321</v>
      </c>
      <c r="M722" s="4" t="s">
        <v>61</v>
      </c>
      <c r="N722" s="4" t="s">
        <v>4965</v>
      </c>
      <c r="O722" s="4" t="s">
        <v>89</v>
      </c>
      <c r="P722" s="4" t="s">
        <v>5123</v>
      </c>
    </row>
    <row r="723">
      <c r="A723" s="4" t="s">
        <v>40</v>
      </c>
      <c r="B723" s="4" t="s">
        <v>40</v>
      </c>
      <c r="C723" s="4">
        <v>721.0</v>
      </c>
      <c r="D723" s="5" t="str">
        <f>HYPERLINK("https://www.linkedin.com/ad-library/detail/895416444","Open Ad")</f>
        <v>Open Ad</v>
      </c>
      <c r="E723" s="4" t="s">
        <v>78</v>
      </c>
      <c r="F723" s="4" t="s">
        <v>3427</v>
      </c>
      <c r="G723" s="4" t="s">
        <v>3429</v>
      </c>
      <c r="H723" s="4" t="s">
        <v>49</v>
      </c>
      <c r="I723" s="4" t="s">
        <v>873</v>
      </c>
      <c r="J723" s="4" t="s">
        <v>78</v>
      </c>
      <c r="K723" s="5" t="str">
        <f>HYPERLINK("https://media.licdn.com/dms/image/v2/D4E10AQGyV-UmpofPXA/image-shrink_1280/B4EZpYvCYkHMAM-/0/1762425317685?e=2147483647&amp;v=beta&amp;t=5GsEa6sfTydKE1gEsW7L4RVVQSOSughT23EjwptJ2uk","View Creative")</f>
        <v>View Creative</v>
      </c>
      <c r="L723" s="4" t="s">
        <v>2321</v>
      </c>
      <c r="M723" s="4" t="s">
        <v>61</v>
      </c>
      <c r="N723" s="4" t="s">
        <v>4965</v>
      </c>
      <c r="O723" s="4" t="s">
        <v>89</v>
      </c>
      <c r="P723" s="4" t="s">
        <v>5124</v>
      </c>
    </row>
    <row r="724">
      <c r="A724" s="4" t="s">
        <v>40</v>
      </c>
      <c r="B724" s="4" t="s">
        <v>40</v>
      </c>
      <c r="C724" s="4">
        <v>722.0</v>
      </c>
      <c r="D724" s="5" t="str">
        <f>HYPERLINK("https://www.linkedin.com/ad-library/detail/895357324","Open Ad")</f>
        <v>Open Ad</v>
      </c>
      <c r="E724" s="4" t="s">
        <v>78</v>
      </c>
      <c r="F724" s="4" t="s">
        <v>3427</v>
      </c>
      <c r="G724" s="4" t="s">
        <v>3429</v>
      </c>
      <c r="H724" s="4" t="s">
        <v>49</v>
      </c>
      <c r="I724" s="4" t="s">
        <v>873</v>
      </c>
      <c r="J724" s="4" t="s">
        <v>78</v>
      </c>
      <c r="K724" s="5" t="str">
        <f>HYPERLINK("https://media.licdn.com/dms/image/v2/D4E10AQGLOcD5V7jePQ/image-shrink_1280/B4EZpYvCHDHEAM-/0/1762425317039?e=2147483647&amp;v=beta&amp;t=W-h_pQrY5E9HR8RUm_Kxn3NktY59pc8ll0KQ9H9DDtc","View Creative")</f>
        <v>View Creative</v>
      </c>
      <c r="L724" s="4" t="s">
        <v>2321</v>
      </c>
      <c r="M724" s="4" t="s">
        <v>61</v>
      </c>
      <c r="N724" s="4" t="s">
        <v>4965</v>
      </c>
      <c r="O724" s="4" t="s">
        <v>89</v>
      </c>
      <c r="P724" s="4" t="s">
        <v>5126</v>
      </c>
    </row>
    <row r="725">
      <c r="A725" s="4" t="s">
        <v>40</v>
      </c>
      <c r="B725" s="4" t="s">
        <v>40</v>
      </c>
      <c r="C725" s="4">
        <v>723.0</v>
      </c>
      <c r="D725" s="5" t="str">
        <f>HYPERLINK("https://www.linkedin.com/ad-library/detail/895357314","Open Ad")</f>
        <v>Open Ad</v>
      </c>
      <c r="E725" s="4" t="s">
        <v>78</v>
      </c>
      <c r="F725" s="4" t="s">
        <v>3503</v>
      </c>
      <c r="G725" s="4" t="s">
        <v>3504</v>
      </c>
      <c r="H725" s="4" t="s">
        <v>49</v>
      </c>
      <c r="I725" s="4" t="s">
        <v>429</v>
      </c>
      <c r="J725" s="4" t="s">
        <v>78</v>
      </c>
      <c r="K725" s="5" t="str">
        <f>HYPERLINK("https://media.licdn.com/dms/image/v2/D4E10AQE00NFGspNBvw/image-shrink_1280/B4EZpYu5TtKcAQ-/0/1762425280957?e=2147483647&amp;v=beta&amp;t=kG7bfSY78hCipu2SMQbE8i1i38Ud5mt1EZeLR3YrAQQ","View Creative")</f>
        <v>View Creative</v>
      </c>
      <c r="L725" s="4" t="s">
        <v>2321</v>
      </c>
      <c r="M725" s="4" t="s">
        <v>61</v>
      </c>
      <c r="N725" s="4" t="s">
        <v>5005</v>
      </c>
      <c r="O725" s="4" t="s">
        <v>89</v>
      </c>
      <c r="P725" s="4" t="s">
        <v>5128</v>
      </c>
    </row>
    <row r="726">
      <c r="A726" s="4" t="s">
        <v>40</v>
      </c>
      <c r="B726" s="4" t="s">
        <v>40</v>
      </c>
      <c r="C726" s="4">
        <v>724.0</v>
      </c>
      <c r="D726" s="5" t="str">
        <f>HYPERLINK("https://www.linkedin.com/ad-library/detail/895298484","Open Ad")</f>
        <v>Open Ad</v>
      </c>
      <c r="E726" s="4" t="s">
        <v>78</v>
      </c>
      <c r="F726" s="4" t="s">
        <v>3427</v>
      </c>
      <c r="G726" s="4" t="s">
        <v>3429</v>
      </c>
      <c r="H726" s="4" t="s">
        <v>49</v>
      </c>
      <c r="I726" s="4" t="s">
        <v>873</v>
      </c>
      <c r="J726" s="4" t="s">
        <v>78</v>
      </c>
      <c r="K726" s="5" t="str">
        <f>HYPERLINK("https://media.licdn.com/dms/image/v2/D4E10AQGjX92ZufMn6g/image-shrink_1280/B4EZpYvG7iGoAQ-/0/1762425336273?e=2147483647&amp;v=beta&amp;t=DxiYEpz6Qo_EYEXug276N5OUYECmro8gRuj3Lt43xEk","View Creative")</f>
        <v>View Creative</v>
      </c>
      <c r="L726" s="4" t="s">
        <v>2321</v>
      </c>
      <c r="M726" s="4" t="s">
        <v>61</v>
      </c>
      <c r="N726" s="4" t="s">
        <v>4965</v>
      </c>
      <c r="O726" s="4" t="s">
        <v>89</v>
      </c>
      <c r="P726" s="4" t="s">
        <v>5129</v>
      </c>
    </row>
    <row r="727">
      <c r="A727" s="4" t="s">
        <v>40</v>
      </c>
      <c r="B727" s="4" t="s">
        <v>40</v>
      </c>
      <c r="C727" s="4">
        <v>725.0</v>
      </c>
      <c r="D727" s="5" t="str">
        <f>HYPERLINK("https://www.linkedin.com/ad-library/detail/895249294","Open Ad")</f>
        <v>Open Ad</v>
      </c>
      <c r="E727" s="4" t="s">
        <v>78</v>
      </c>
      <c r="F727" s="4" t="s">
        <v>3427</v>
      </c>
      <c r="G727" s="4" t="s">
        <v>3429</v>
      </c>
      <c r="H727" s="4" t="s">
        <v>49</v>
      </c>
      <c r="I727" s="4" t="s">
        <v>873</v>
      </c>
      <c r="J727" s="4" t="s">
        <v>78</v>
      </c>
      <c r="K727" s="5" t="str">
        <f>HYPERLINK("https://media.licdn.com/dms/image/v2/D4E10AQFq7cGk5DCWoQ/image-shrink_1280/B4EZpYvHADJ0AM-/0/1762425336523?e=2147483647&amp;v=beta&amp;t=tmp0SOg3Dknb4ABXHN3fh8-84GbEqXgADl3VMgdG020","View Creative")</f>
        <v>View Creative</v>
      </c>
      <c r="L727" s="4" t="s">
        <v>2321</v>
      </c>
      <c r="M727" s="4" t="s">
        <v>61</v>
      </c>
      <c r="N727" s="4" t="s">
        <v>5131</v>
      </c>
      <c r="O727" s="4" t="s">
        <v>89</v>
      </c>
      <c r="P727" s="4" t="s">
        <v>5132</v>
      </c>
    </row>
    <row r="728">
      <c r="A728" s="4" t="s">
        <v>40</v>
      </c>
      <c r="B728" s="4" t="s">
        <v>40</v>
      </c>
      <c r="C728" s="4">
        <v>726.0</v>
      </c>
      <c r="D728" s="5" t="str">
        <f>HYPERLINK("https://www.linkedin.com/ad-library/detail/895445374","Open Ad")</f>
        <v>Open Ad</v>
      </c>
      <c r="E728" s="4" t="s">
        <v>78</v>
      </c>
      <c r="F728" s="4" t="s">
        <v>3427</v>
      </c>
      <c r="G728" s="4" t="s">
        <v>3429</v>
      </c>
      <c r="H728" s="4" t="s">
        <v>49</v>
      </c>
      <c r="I728" s="4" t="s">
        <v>873</v>
      </c>
      <c r="J728" s="4" t="s">
        <v>78</v>
      </c>
      <c r="K728" s="5" t="str">
        <f>HYPERLINK("https://media.licdn.com/dms/image/v2/D4E10AQGDwFt8xE4RxA/image-shrink_1280/B4EZpYvCePGcAM-/0/1762425317932?e=2147483647&amp;v=beta&amp;t=mn7drfReIJ905FR62SM9uE5gZ7k5nITyxlUpGUgjoSk","View Creative")</f>
        <v>View Creative</v>
      </c>
      <c r="L728" s="4" t="s">
        <v>2321</v>
      </c>
      <c r="M728" s="4" t="s">
        <v>61</v>
      </c>
      <c r="N728" s="4" t="s">
        <v>4965</v>
      </c>
      <c r="O728" s="4" t="s">
        <v>89</v>
      </c>
      <c r="P728" s="4" t="s">
        <v>5133</v>
      </c>
    </row>
    <row r="729">
      <c r="A729" s="4" t="s">
        <v>40</v>
      </c>
      <c r="B729" s="4" t="s">
        <v>40</v>
      </c>
      <c r="C729" s="4">
        <v>727.0</v>
      </c>
      <c r="D729" s="5" t="str">
        <f>HYPERLINK("https://www.linkedin.com/ad-library/detail/268376624","Open Ad")</f>
        <v>Open Ad</v>
      </c>
      <c r="E729" s="4" t="s">
        <v>78</v>
      </c>
      <c r="F729" s="4" t="s">
        <v>3427</v>
      </c>
      <c r="G729" s="4" t="s">
        <v>3429</v>
      </c>
      <c r="H729" s="4" t="s">
        <v>49</v>
      </c>
      <c r="I729" s="4" t="s">
        <v>873</v>
      </c>
      <c r="J729" s="4" t="s">
        <v>78</v>
      </c>
      <c r="K729" s="5" t="str">
        <f>HYPERLINK("https://media.licdn.com/dms/image/v2/D4E10AQF-cCscuL6atg/image-shrink_1280/B4EZpYu9xXKsAM-/0/1762425298725?e=2147483647&amp;v=beta&amp;t=cndsBfUSsS2kIHjwpmZPc7O3FPgDcxWKNB5eZeH0erk","View Creative")</f>
        <v>View Creative</v>
      </c>
      <c r="L729" s="4" t="s">
        <v>2321</v>
      </c>
      <c r="M729" s="4" t="s">
        <v>61</v>
      </c>
      <c r="N729" s="4" t="s">
        <v>4965</v>
      </c>
      <c r="O729" s="4" t="s">
        <v>89</v>
      </c>
      <c r="P729" s="4" t="s">
        <v>5135</v>
      </c>
    </row>
    <row r="730">
      <c r="A730" s="4" t="s">
        <v>40</v>
      </c>
      <c r="B730" s="4" t="s">
        <v>40</v>
      </c>
      <c r="C730" s="4">
        <v>728.0</v>
      </c>
      <c r="D730" s="5" t="str">
        <f>HYPERLINK("https://www.linkedin.com/ad-library/detail/895445394","Open Ad")</f>
        <v>Open Ad</v>
      </c>
      <c r="E730" s="4" t="s">
        <v>78</v>
      </c>
      <c r="F730" s="4" t="s">
        <v>3503</v>
      </c>
      <c r="G730" s="4" t="s">
        <v>3504</v>
      </c>
      <c r="H730" s="4" t="s">
        <v>49</v>
      </c>
      <c r="I730" s="4" t="s">
        <v>429</v>
      </c>
      <c r="J730" s="4" t="s">
        <v>78</v>
      </c>
      <c r="K730" s="5" t="str">
        <f>HYPERLINK("https://media.licdn.com/dms/image/v2/D4E10AQHs7Rn5NWmupQ/image-shrink_1280/B4EZpYvG9TJ0AM-/0/1762425336857?e=2147483647&amp;v=beta&amp;t=UsQ5OscCWgSJPUp5FlvdEEBxq_5siLXFFEGnk4_wKkA","View Creative")</f>
        <v>View Creative</v>
      </c>
      <c r="L730" s="4" t="s">
        <v>2321</v>
      </c>
      <c r="M730" s="4" t="s">
        <v>61</v>
      </c>
      <c r="N730" s="4" t="s">
        <v>4965</v>
      </c>
      <c r="O730" s="4" t="s">
        <v>89</v>
      </c>
      <c r="P730" s="4" t="s">
        <v>5137</v>
      </c>
    </row>
    <row r="731">
      <c r="A731" s="4" t="s">
        <v>40</v>
      </c>
      <c r="B731" s="4" t="s">
        <v>40</v>
      </c>
      <c r="C731" s="4">
        <v>729.0</v>
      </c>
      <c r="D731" s="5" t="str">
        <f>HYPERLINK("https://www.linkedin.com/ad-library/detail/895377354","Open Ad")</f>
        <v>Open Ad</v>
      </c>
      <c r="E731" s="4" t="s">
        <v>78</v>
      </c>
      <c r="F731" s="4" t="s">
        <v>3427</v>
      </c>
      <c r="G731" s="4" t="s">
        <v>3429</v>
      </c>
      <c r="H731" s="4" t="s">
        <v>49</v>
      </c>
      <c r="I731" s="4" t="s">
        <v>873</v>
      </c>
      <c r="J731" s="4" t="s">
        <v>78</v>
      </c>
      <c r="K731" s="5" t="str">
        <f>HYPERLINK("https://media.licdn.com/dms/image/v2/D4E10AQHUhHF24q_cyQ/image-shrink_1280/B4EZpYvCVZIwAM-/0/1762425318526?e=2147483647&amp;v=beta&amp;t=9SiDvLA49bdEhfyC1Dugd1agZr18_c8TTJIgw7GPesw","View Creative")</f>
        <v>View Creative</v>
      </c>
      <c r="L731" s="4" t="s">
        <v>2321</v>
      </c>
      <c r="M731" s="4" t="s">
        <v>61</v>
      </c>
      <c r="N731" s="4" t="s">
        <v>4965</v>
      </c>
      <c r="O731" s="4" t="s">
        <v>89</v>
      </c>
      <c r="P731" s="4" t="s">
        <v>5138</v>
      </c>
    </row>
    <row r="732">
      <c r="A732" s="4" t="s">
        <v>40</v>
      </c>
      <c r="B732" s="4" t="s">
        <v>40</v>
      </c>
      <c r="C732" s="4">
        <v>730.0</v>
      </c>
      <c r="D732" s="5" t="str">
        <f>HYPERLINK("https://www.linkedin.com/ad-library/detail/895396564","Open Ad")</f>
        <v>Open Ad</v>
      </c>
      <c r="E732" s="4" t="s">
        <v>78</v>
      </c>
      <c r="F732" s="4" t="s">
        <v>3503</v>
      </c>
      <c r="G732" s="4" t="s">
        <v>3504</v>
      </c>
      <c r="H732" s="4" t="s">
        <v>49</v>
      </c>
      <c r="I732" s="4" t="s">
        <v>429</v>
      </c>
      <c r="J732" s="4" t="s">
        <v>78</v>
      </c>
      <c r="K732" s="5" t="str">
        <f>HYPERLINK("https://media.licdn.com/dms/image/v2/D4E10AQG44neqTZ3fPQ/image-shrink_1280/B4EZpYvCbKKcAM-/0/1762425318269?e=2147483647&amp;v=beta&amp;t=SWNRcZqNPyps0AtrqbKB0oDB3XaRKip9srWZnr-Hv5E","View Creative")</f>
        <v>View Creative</v>
      </c>
      <c r="L732" s="4" t="s">
        <v>2321</v>
      </c>
      <c r="M732" s="4" t="s">
        <v>61</v>
      </c>
      <c r="N732" s="4" t="s">
        <v>4965</v>
      </c>
      <c r="O732" s="4" t="s">
        <v>89</v>
      </c>
      <c r="P732" s="4" t="s">
        <v>5140</v>
      </c>
    </row>
    <row r="733">
      <c r="A733" s="4" t="s">
        <v>40</v>
      </c>
      <c r="B733" s="4" t="s">
        <v>40</v>
      </c>
      <c r="C733" s="4">
        <v>731.0</v>
      </c>
      <c r="D733" s="5" t="str">
        <f>HYPERLINK("https://www.linkedin.com/ad-library/detail/895435614","Open Ad")</f>
        <v>Open Ad</v>
      </c>
      <c r="E733" s="4" t="s">
        <v>78</v>
      </c>
      <c r="F733" s="4" t="s">
        <v>3503</v>
      </c>
      <c r="G733" s="4" t="s">
        <v>3504</v>
      </c>
      <c r="H733" s="4" t="s">
        <v>49</v>
      </c>
      <c r="I733" s="4" t="s">
        <v>429</v>
      </c>
      <c r="J733" s="4" t="s">
        <v>78</v>
      </c>
      <c r="K733" s="5" t="str">
        <f>HYPERLINK("https://media.licdn.com/dms/image/v2/D4E10AQGfEB56aLI4cA/image-shrink_1280/B4EZpYu939IIAQ-/0/1762425299588?e=2147483647&amp;v=beta&amp;t=FXW2vzV_8ZhyzEcjSK1O_PtFIUI3hm3coujPlXi00EU","View Creative")</f>
        <v>View Creative</v>
      </c>
      <c r="L733" s="4" t="s">
        <v>2321</v>
      </c>
      <c r="M733" s="4" t="s">
        <v>61</v>
      </c>
      <c r="N733" s="4" t="s">
        <v>4965</v>
      </c>
      <c r="O733" s="4" t="s">
        <v>89</v>
      </c>
      <c r="P733" s="4" t="s">
        <v>5141</v>
      </c>
    </row>
    <row r="734">
      <c r="A734" s="4" t="s">
        <v>40</v>
      </c>
      <c r="B734" s="4" t="s">
        <v>40</v>
      </c>
      <c r="C734" s="4">
        <v>732.0</v>
      </c>
      <c r="D734" s="5" t="str">
        <f>HYPERLINK("https://www.linkedin.com/ad-library/detail/895377344","Open Ad")</f>
        <v>Open Ad</v>
      </c>
      <c r="E734" s="4" t="s">
        <v>78</v>
      </c>
      <c r="F734" s="4" t="s">
        <v>3503</v>
      </c>
      <c r="G734" s="4" t="s">
        <v>3504</v>
      </c>
      <c r="H734" s="4" t="s">
        <v>49</v>
      </c>
      <c r="I734" s="4" t="s">
        <v>429</v>
      </c>
      <c r="J734" s="4" t="s">
        <v>78</v>
      </c>
      <c r="K734" s="5" t="str">
        <f>HYPERLINK("https://media.licdn.com/dms/image/v2/D4E10AQEe8-ZjJtn_kA/image-shrink_1280/B4EZpYvCWvIQAM-/0/1762425317510?e=2147483647&amp;v=beta&amp;t=JifbgYfwSpzR2AV1bDKHAEtwUm7yXkKxkDBNqoqE-LE","View Creative")</f>
        <v>View Creative</v>
      </c>
      <c r="L734" s="4" t="s">
        <v>2321</v>
      </c>
      <c r="M734" s="4" t="s">
        <v>61</v>
      </c>
      <c r="N734" s="4" t="s">
        <v>4965</v>
      </c>
      <c r="O734" s="4" t="s">
        <v>89</v>
      </c>
      <c r="P734" s="4" t="s">
        <v>5144</v>
      </c>
    </row>
    <row r="735">
      <c r="A735" s="4" t="s">
        <v>40</v>
      </c>
      <c r="B735" s="4" t="s">
        <v>40</v>
      </c>
      <c r="C735" s="4">
        <v>733.0</v>
      </c>
      <c r="D735" s="5" t="str">
        <f>HYPERLINK("https://www.linkedin.com/ad-library/detail/895239324","Open Ad")</f>
        <v>Open Ad</v>
      </c>
      <c r="E735" s="4" t="s">
        <v>78</v>
      </c>
      <c r="F735" s="4" t="s">
        <v>3503</v>
      </c>
      <c r="G735" s="4" t="s">
        <v>3504</v>
      </c>
      <c r="H735" s="4" t="s">
        <v>49</v>
      </c>
      <c r="I735" s="4" t="s">
        <v>429</v>
      </c>
      <c r="J735" s="4" t="s">
        <v>78</v>
      </c>
      <c r="K735" s="5" t="str">
        <f>HYPERLINK("https://media.licdn.com/dms/image/v2/D4E10AQFgSdUfnQ8Krg/image-shrink_1280/B4EZpYvHAxKoAU-/0/1762425336499?e=2147483647&amp;v=beta&amp;t=ZmUdnwmteadxne-E21Aw1X_6_TmdEP-UuzVsCPvwXz8","View Creative")</f>
        <v>View Creative</v>
      </c>
      <c r="L735" s="4" t="s">
        <v>2321</v>
      </c>
      <c r="M735" s="4" t="s">
        <v>61</v>
      </c>
      <c r="N735" s="4" t="s">
        <v>4965</v>
      </c>
      <c r="O735" s="4" t="s">
        <v>89</v>
      </c>
      <c r="P735" s="4" t="s">
        <v>5145</v>
      </c>
    </row>
    <row r="736">
      <c r="A736" s="4" t="s">
        <v>40</v>
      </c>
      <c r="B736" s="4" t="s">
        <v>40</v>
      </c>
      <c r="C736" s="4">
        <v>734.0</v>
      </c>
      <c r="D736" s="5" t="str">
        <f>HYPERLINK("https://www.linkedin.com/ad-library/detail/895406534","Open Ad")</f>
        <v>Open Ad</v>
      </c>
      <c r="E736" s="4" t="s">
        <v>78</v>
      </c>
      <c r="F736" s="4" t="s">
        <v>3427</v>
      </c>
      <c r="G736" s="4" t="s">
        <v>3429</v>
      </c>
      <c r="H736" s="4" t="s">
        <v>49</v>
      </c>
      <c r="I736" s="4" t="s">
        <v>873</v>
      </c>
      <c r="J736" s="4" t="s">
        <v>78</v>
      </c>
      <c r="K736" s="5" t="str">
        <f>HYPERLINK("https://media.licdn.com/dms/image/v2/D4E10AQGGZ_3kW_4fqQ/image-shrink_1280/B4EZpYvCZUGYAM-/0/1762425318116?e=2147483647&amp;v=beta&amp;t=bdOOqi2sSVqlDGoRQkKRk1Qbtp6WYw5jAPIIBW4j9ME","View Creative")</f>
        <v>View Creative</v>
      </c>
      <c r="L736" s="4" t="s">
        <v>2321</v>
      </c>
      <c r="M736" s="4" t="s">
        <v>61</v>
      </c>
      <c r="N736" s="4" t="s">
        <v>4965</v>
      </c>
      <c r="O736" s="4" t="s">
        <v>89</v>
      </c>
      <c r="P736" s="4" t="s">
        <v>5147</v>
      </c>
    </row>
    <row r="737">
      <c r="A737" s="4" t="s">
        <v>40</v>
      </c>
      <c r="B737" s="4" t="s">
        <v>40</v>
      </c>
      <c r="C737" s="4">
        <v>735.0</v>
      </c>
      <c r="D737" s="5" t="str">
        <f>HYPERLINK("https://www.linkedin.com/ad-library/detail/895426004","Open Ad")</f>
        <v>Open Ad</v>
      </c>
      <c r="E737" s="4" t="s">
        <v>78</v>
      </c>
      <c r="F737" s="4" t="s">
        <v>3503</v>
      </c>
      <c r="G737" s="4" t="s">
        <v>3504</v>
      </c>
      <c r="H737" s="4" t="s">
        <v>49</v>
      </c>
      <c r="I737" s="4" t="s">
        <v>429</v>
      </c>
      <c r="J737" s="4" t="s">
        <v>78</v>
      </c>
      <c r="K737" s="5" t="str">
        <f>HYPERLINK("https://media.licdn.com/dms/image/v2/D4E10AQHhWtPiL9x6Ug/image-shrink_1280/B4EZpYvGsfKgAM-/0/1762425335309?e=2147483647&amp;v=beta&amp;t=leqiiNTnoUyUNKJ2YN53dd3zjZ-BlOjwBnWcU_XE_H4","View Creative")</f>
        <v>View Creative</v>
      </c>
      <c r="L737" s="4" t="s">
        <v>2321</v>
      </c>
      <c r="M737" s="4" t="s">
        <v>61</v>
      </c>
      <c r="N737" s="4" t="s">
        <v>4965</v>
      </c>
      <c r="O737" s="4" t="s">
        <v>89</v>
      </c>
      <c r="P737" s="4" t="s">
        <v>5148</v>
      </c>
    </row>
    <row r="738">
      <c r="A738" s="4" t="s">
        <v>40</v>
      </c>
      <c r="B738" s="4" t="s">
        <v>40</v>
      </c>
      <c r="C738" s="4">
        <v>736.0</v>
      </c>
      <c r="D738" s="5" t="str">
        <f>HYPERLINK("https://www.linkedin.com/ad-library/detail/895367744","Open Ad")</f>
        <v>Open Ad</v>
      </c>
      <c r="E738" s="4" t="s">
        <v>78</v>
      </c>
      <c r="F738" s="4" t="s">
        <v>3503</v>
      </c>
      <c r="G738" s="4" t="s">
        <v>3504</v>
      </c>
      <c r="H738" s="4" t="s">
        <v>49</v>
      </c>
      <c r="I738" s="4" t="s">
        <v>429</v>
      </c>
      <c r="J738" s="4" t="s">
        <v>78</v>
      </c>
      <c r="K738" s="5" t="str">
        <f>HYPERLINK("https://media.licdn.com/dms/image/v2/D4E10AQH-wvfKOfEphg/image-shrink_1280/B4EZpYu9weIUAQ-/0/1762425298541?e=2147483647&amp;v=beta&amp;t=V1UNpaJtYWdSalKl-TT38c4ew13wv-0rTzFQ5rNEPik","View Creative")</f>
        <v>View Creative</v>
      </c>
      <c r="L738" s="4" t="s">
        <v>2321</v>
      </c>
      <c r="M738" s="4" t="s">
        <v>61</v>
      </c>
      <c r="N738" s="4" t="s">
        <v>4965</v>
      </c>
      <c r="O738" s="4" t="s">
        <v>89</v>
      </c>
      <c r="P738" s="4" t="s">
        <v>5150</v>
      </c>
    </row>
    <row r="739">
      <c r="A739" s="4" t="s">
        <v>40</v>
      </c>
      <c r="B739" s="4" t="s">
        <v>40</v>
      </c>
      <c r="C739" s="4">
        <v>737.0</v>
      </c>
      <c r="D739" s="5" t="str">
        <f>HYPERLINK("https://www.linkedin.com/ad-library/detail/895347174","Open Ad")</f>
        <v>Open Ad</v>
      </c>
      <c r="E739" s="4" t="s">
        <v>78</v>
      </c>
      <c r="F739" s="4" t="s">
        <v>3503</v>
      </c>
      <c r="G739" s="4" t="s">
        <v>3504</v>
      </c>
      <c r="H739" s="4" t="s">
        <v>49</v>
      </c>
      <c r="I739" s="4" t="s">
        <v>429</v>
      </c>
      <c r="J739" s="4" t="s">
        <v>78</v>
      </c>
      <c r="K739" s="5" t="str">
        <f>HYPERLINK("https://media.licdn.com/dms/image/v2/D4E10AQGTNQ7UoahDuA/image-shrink_1280/B4EZpYvCYEKoAU-/0/1762425317453?e=2147483647&amp;v=beta&amp;t=G9hqwKD2qXPDsWqOhYFnNZ_Nh75c2HNSngdt1vn1n3g","View Creative")</f>
        <v>View Creative</v>
      </c>
      <c r="L739" s="4" t="s">
        <v>2321</v>
      </c>
      <c r="M739" s="4" t="s">
        <v>61</v>
      </c>
      <c r="N739" s="4" t="s">
        <v>4965</v>
      </c>
      <c r="O739" s="4" t="s">
        <v>89</v>
      </c>
      <c r="P739" s="4" t="s">
        <v>5152</v>
      </c>
    </row>
    <row r="740">
      <c r="A740" s="4" t="s">
        <v>40</v>
      </c>
      <c r="B740" s="4" t="s">
        <v>40</v>
      </c>
      <c r="C740" s="4">
        <v>738.0</v>
      </c>
      <c r="D740" s="5" t="str">
        <f>HYPERLINK("https://www.linkedin.com/ad-library/detail/895288094","Open Ad")</f>
        <v>Open Ad</v>
      </c>
      <c r="E740" s="4" t="s">
        <v>78</v>
      </c>
      <c r="F740" s="4" t="s">
        <v>3503</v>
      </c>
      <c r="G740" s="4" t="s">
        <v>3504</v>
      </c>
      <c r="H740" s="4" t="s">
        <v>49</v>
      </c>
      <c r="I740" s="4" t="s">
        <v>429</v>
      </c>
      <c r="J740" s="4" t="s">
        <v>78</v>
      </c>
      <c r="K740" s="5" t="str">
        <f>HYPERLINK("https://media.licdn.com/dms/image/v2/D4E10AQEAM-MGFt5XNw/image-shrink_1280/B4EZpYu94.HcAM-/0/1762425299660?e=2147483647&amp;v=beta&amp;t=G1LMfvbC3dfkrdE627_u-zLBITrt50Su21BEzk6W4Nw","View Creative")</f>
        <v>View Creative</v>
      </c>
      <c r="L740" s="4" t="s">
        <v>2321</v>
      </c>
      <c r="M740" s="4" t="s">
        <v>61</v>
      </c>
      <c r="N740" s="4" t="s">
        <v>4965</v>
      </c>
      <c r="O740" s="4" t="s">
        <v>89</v>
      </c>
      <c r="P740" s="4" t="s">
        <v>5153</v>
      </c>
    </row>
    <row r="741">
      <c r="A741" s="4" t="s">
        <v>40</v>
      </c>
      <c r="B741" s="4" t="s">
        <v>40</v>
      </c>
      <c r="C741" s="4">
        <v>739.0</v>
      </c>
      <c r="D741" s="5" t="str">
        <f>HYPERLINK("https://www.linkedin.com/ad-library/detail/895278574","Open Ad")</f>
        <v>Open Ad</v>
      </c>
      <c r="E741" s="4" t="s">
        <v>78</v>
      </c>
      <c r="F741" s="4" t="s">
        <v>3427</v>
      </c>
      <c r="G741" s="4" t="s">
        <v>3429</v>
      </c>
      <c r="H741" s="4" t="s">
        <v>49</v>
      </c>
      <c r="I741" s="4" t="s">
        <v>873</v>
      </c>
      <c r="J741" s="4" t="s">
        <v>78</v>
      </c>
      <c r="K741" s="5" t="str">
        <f>HYPERLINK("https://media.licdn.com/dms/image/v2/D4E10AQF34VsurewRww/image-shrink_1280/B4EZpYu93yHUAM-/0/1762425299017?e=2147483647&amp;v=beta&amp;t=M8ILzc_V2B8hDw7wCJosGAE7OKb03t0nntZMnQfB2Q0","View Creative")</f>
        <v>View Creative</v>
      </c>
      <c r="L741" s="4" t="s">
        <v>2321</v>
      </c>
      <c r="M741" s="4" t="s">
        <v>61</v>
      </c>
      <c r="N741" s="4" t="s">
        <v>4965</v>
      </c>
      <c r="O741" s="4" t="s">
        <v>89</v>
      </c>
      <c r="P741" s="4" t="s">
        <v>5155</v>
      </c>
    </row>
    <row r="742">
      <c r="A742" s="4" t="s">
        <v>40</v>
      </c>
      <c r="B742" s="4" t="s">
        <v>40</v>
      </c>
      <c r="C742" s="4">
        <v>740.0</v>
      </c>
      <c r="D742" s="5" t="str">
        <f>HYPERLINK("https://www.linkedin.com/ad-library/detail/895328154","Open Ad")</f>
        <v>Open Ad</v>
      </c>
      <c r="E742" s="4" t="s">
        <v>78</v>
      </c>
      <c r="F742" s="4" t="s">
        <v>3427</v>
      </c>
      <c r="G742" s="4" t="s">
        <v>3429</v>
      </c>
      <c r="H742" s="4" t="s">
        <v>49</v>
      </c>
      <c r="I742" s="4" t="s">
        <v>873</v>
      </c>
      <c r="J742" s="4" t="s">
        <v>78</v>
      </c>
      <c r="K742" s="5" t="str">
        <f>HYPERLINK("https://media.licdn.com/dms/image/v2/D4E10AQEJW0WFD_8qHQ/image-shrink_1280/B4EZpYu90dKsAM-/0/1762425299337?e=2147483647&amp;v=beta&amp;t=k7jDTkToCtoCx4RHr8pIESdbdrdGLcAn7DnccD1w7ns","View Creative")</f>
        <v>View Creative</v>
      </c>
      <c r="L742" s="4" t="s">
        <v>2321</v>
      </c>
      <c r="M742" s="4" t="s">
        <v>61</v>
      </c>
      <c r="N742" s="4" t="s">
        <v>4965</v>
      </c>
      <c r="O742" s="4" t="s">
        <v>89</v>
      </c>
      <c r="P742" s="4" t="s">
        <v>5156</v>
      </c>
    </row>
    <row r="743">
      <c r="A743" s="4" t="s">
        <v>40</v>
      </c>
      <c r="B743" s="4" t="s">
        <v>40</v>
      </c>
      <c r="C743" s="4">
        <v>741.0</v>
      </c>
      <c r="D743" s="5" t="str">
        <f>HYPERLINK("https://www.linkedin.com/ad-library/detail/895387124","Open Ad")</f>
        <v>Open Ad</v>
      </c>
      <c r="E743" s="4" t="s">
        <v>78</v>
      </c>
      <c r="F743" s="4" t="s">
        <v>3427</v>
      </c>
      <c r="G743" s="4" t="s">
        <v>3429</v>
      </c>
      <c r="H743" s="4" t="s">
        <v>49</v>
      </c>
      <c r="I743" s="4" t="s">
        <v>873</v>
      </c>
      <c r="J743" s="4" t="s">
        <v>78</v>
      </c>
      <c r="K743" s="5" t="str">
        <f>HYPERLINK("https://media.licdn.com/dms/image/v2/D4E10AQGRiAjWnJ5rXw/image-shrink_1280/B4EZpYvCYvIwAM-/0/1762425317977?e=2147483647&amp;v=beta&amp;t=M5lt5_5dCuWd6yp6iruPjiowWCRCsEtaCZTjYfBjdhE","View Creative")</f>
        <v>View Creative</v>
      </c>
      <c r="L743" s="4" t="s">
        <v>2321</v>
      </c>
      <c r="M743" s="4" t="s">
        <v>61</v>
      </c>
      <c r="N743" s="4" t="s">
        <v>4965</v>
      </c>
      <c r="O743" s="4" t="s">
        <v>89</v>
      </c>
      <c r="P743" s="4" t="s">
        <v>5158</v>
      </c>
    </row>
    <row r="744">
      <c r="A744" s="4" t="s">
        <v>40</v>
      </c>
      <c r="B744" s="4" t="s">
        <v>40</v>
      </c>
      <c r="C744" s="4">
        <v>742.0</v>
      </c>
      <c r="D744" s="5" t="str">
        <f>HYPERLINK("https://www.linkedin.com/ad-library/detail/895308084","Open Ad")</f>
        <v>Open Ad</v>
      </c>
      <c r="E744" s="4" t="s">
        <v>78</v>
      </c>
      <c r="F744" s="4" t="s">
        <v>3427</v>
      </c>
      <c r="G744" s="4" t="s">
        <v>3429</v>
      </c>
      <c r="H744" s="4" t="s">
        <v>49</v>
      </c>
      <c r="I744" s="4" t="s">
        <v>873</v>
      </c>
      <c r="J744" s="4" t="s">
        <v>78</v>
      </c>
      <c r="K744" s="5" t="str">
        <f>HYPERLINK("https://media.licdn.com/dms/image/v2/D4E10AQF40sMA93MeKQ/image-shrink_1280/B4EZpYu919J0AM-/0/1762425299421?e=2147483647&amp;v=beta&amp;t=FwnmRToGbVZ7ZL6-5hp2wkUga_425FhxfOgqgNlcYVs","View Creative")</f>
        <v>View Creative</v>
      </c>
      <c r="L744" s="4" t="s">
        <v>2321</v>
      </c>
      <c r="M744" s="4" t="s">
        <v>61</v>
      </c>
      <c r="N744" s="4" t="s">
        <v>4965</v>
      </c>
      <c r="O744" s="4" t="s">
        <v>89</v>
      </c>
      <c r="P744" s="4" t="s">
        <v>5160</v>
      </c>
    </row>
    <row r="745">
      <c r="A745" s="4" t="s">
        <v>40</v>
      </c>
      <c r="B745" s="4" t="s">
        <v>40</v>
      </c>
      <c r="C745" s="4">
        <v>743.0</v>
      </c>
      <c r="D745" s="5" t="str">
        <f>HYPERLINK("https://www.linkedin.com/ad-library/detail/895347164","Open Ad")</f>
        <v>Open Ad</v>
      </c>
      <c r="E745" s="4" t="s">
        <v>78</v>
      </c>
      <c r="F745" s="4" t="s">
        <v>3427</v>
      </c>
      <c r="G745" s="4" t="s">
        <v>3429</v>
      </c>
      <c r="H745" s="4" t="s">
        <v>49</v>
      </c>
      <c r="I745" s="4" t="s">
        <v>873</v>
      </c>
      <c r="J745" s="4" t="s">
        <v>78</v>
      </c>
      <c r="K745" s="5" t="str">
        <f>HYPERLINK("https://media.licdn.com/dms/image/v2/D4E10AQHzTEF_DTNZ4Q/image-shrink_1280/B4EZpYu9wQKsAM-/0/1762425299029?e=2147483647&amp;v=beta&amp;t=atWr1xKpcnBi6MbYvkLhluPbUWulEl8a2fVxpysGwDg","View Creative")</f>
        <v>View Creative</v>
      </c>
      <c r="L745" s="4" t="s">
        <v>2321</v>
      </c>
      <c r="M745" s="4" t="s">
        <v>61</v>
      </c>
      <c r="N745" s="4" t="s">
        <v>4965</v>
      </c>
      <c r="O745" s="4" t="s">
        <v>89</v>
      </c>
      <c r="P745" s="4" t="s">
        <v>5161</v>
      </c>
    </row>
    <row r="746">
      <c r="A746" s="4" t="s">
        <v>40</v>
      </c>
      <c r="B746" s="4" t="s">
        <v>40</v>
      </c>
      <c r="C746" s="4">
        <v>744.0</v>
      </c>
      <c r="D746" s="5" t="str">
        <f>HYPERLINK("https://www.linkedin.com/ad-library/detail/895308074","Open Ad")</f>
        <v>Open Ad</v>
      </c>
      <c r="E746" s="4" t="s">
        <v>78</v>
      </c>
      <c r="F746" s="4" t="s">
        <v>3427</v>
      </c>
      <c r="G746" s="4" t="s">
        <v>3429</v>
      </c>
      <c r="H746" s="4" t="s">
        <v>49</v>
      </c>
      <c r="I746" s="4" t="s">
        <v>873</v>
      </c>
      <c r="J746" s="4" t="s">
        <v>78</v>
      </c>
      <c r="K746" s="5" t="str">
        <f>HYPERLINK("https://media.licdn.com/dms/image/v2/D4E10AQHltvYTvR2G2w/image-shrink_1280/B4EZpYu90zHEAM-/0/1762425298970?e=2147483647&amp;v=beta&amp;t=5sJOD9I3orZI5KQG5OeDS643Eohxg21XEQ5CqqiutAw","View Creative")</f>
        <v>View Creative</v>
      </c>
      <c r="L746" s="4" t="s">
        <v>2321</v>
      </c>
      <c r="M746" s="4" t="s">
        <v>61</v>
      </c>
      <c r="N746" s="4" t="s">
        <v>4965</v>
      </c>
      <c r="O746" s="4" t="s">
        <v>89</v>
      </c>
      <c r="P746" s="4" t="s">
        <v>5163</v>
      </c>
    </row>
    <row r="747">
      <c r="A747" s="4" t="s">
        <v>40</v>
      </c>
      <c r="B747" s="4" t="s">
        <v>40</v>
      </c>
      <c r="C747" s="4">
        <v>745.0</v>
      </c>
      <c r="D747" s="5" t="str">
        <f>HYPERLINK("https://www.linkedin.com/ad-library/detail/895357304","Open Ad")</f>
        <v>Open Ad</v>
      </c>
      <c r="E747" s="4" t="s">
        <v>78</v>
      </c>
      <c r="F747" s="4" t="s">
        <v>3427</v>
      </c>
      <c r="G747" s="4" t="s">
        <v>3429</v>
      </c>
      <c r="H747" s="4" t="s">
        <v>49</v>
      </c>
      <c r="I747" s="4" t="s">
        <v>873</v>
      </c>
      <c r="J747" s="4" t="s">
        <v>78</v>
      </c>
      <c r="K747" s="5" t="str">
        <f>HYPERLINK("https://media.licdn.com/dms/image/v2/D4E10AQEnpfZGEmjXmQ/image-shrink_1280/B4EZpYu00mHcAM-/0/1762425262493?e=2147483647&amp;v=beta&amp;t=UYU64Htuj2oOvTY84KsTO4fF_y4o9mjatm4Rvl0S1w4","View Creative")</f>
        <v>View Creative</v>
      </c>
      <c r="L747" s="4" t="s">
        <v>2321</v>
      </c>
      <c r="M747" s="4" t="s">
        <v>61</v>
      </c>
      <c r="N747" s="4" t="s">
        <v>4965</v>
      </c>
      <c r="O747" s="4" t="s">
        <v>89</v>
      </c>
      <c r="P747" s="4" t="s">
        <v>5165</v>
      </c>
    </row>
    <row r="748">
      <c r="A748" s="4" t="s">
        <v>40</v>
      </c>
      <c r="B748" s="4" t="s">
        <v>40</v>
      </c>
      <c r="C748" s="4">
        <v>746.0</v>
      </c>
      <c r="D748" s="5" t="str">
        <f>HYPERLINK("https://www.linkedin.com/ad-library/detail/895445354","Open Ad")</f>
        <v>Open Ad</v>
      </c>
      <c r="E748" s="4" t="s">
        <v>78</v>
      </c>
      <c r="F748" s="4" t="s">
        <v>3503</v>
      </c>
      <c r="G748" s="4" t="s">
        <v>3504</v>
      </c>
      <c r="H748" s="4" t="s">
        <v>49</v>
      </c>
      <c r="I748" s="4" t="s">
        <v>429</v>
      </c>
      <c r="J748" s="4" t="s">
        <v>78</v>
      </c>
      <c r="K748" s="5" t="str">
        <f>HYPERLINK("https://media.licdn.com/dms/image/v2/D4E10AQHqVOMK7gUf_A/image-shrink_1280/B4EZpYu5FgIUAM-/0/1762425279561?e=2147483647&amp;v=beta&amp;t=Dr3czns12FHB3EBxCLKz9Sl9jw__9EBEypu4js5vKAk","View Creative")</f>
        <v>View Creative</v>
      </c>
      <c r="L748" s="4" t="s">
        <v>2321</v>
      </c>
      <c r="M748" s="4" t="s">
        <v>61</v>
      </c>
      <c r="N748" s="4" t="s">
        <v>4965</v>
      </c>
      <c r="O748" s="4" t="s">
        <v>89</v>
      </c>
      <c r="P748" s="4" t="s">
        <v>5166</v>
      </c>
    </row>
    <row r="749">
      <c r="A749" s="4" t="s">
        <v>40</v>
      </c>
      <c r="B749" s="4" t="s">
        <v>40</v>
      </c>
      <c r="C749" s="4">
        <v>747.0</v>
      </c>
      <c r="D749" s="5" t="str">
        <f>HYPERLINK("https://www.linkedin.com/ad-library/detail/895337644","Open Ad")</f>
        <v>Open Ad</v>
      </c>
      <c r="E749" s="4" t="s">
        <v>78</v>
      </c>
      <c r="F749" s="4" t="s">
        <v>3427</v>
      </c>
      <c r="G749" s="4" t="s">
        <v>3429</v>
      </c>
      <c r="H749" s="4" t="s">
        <v>49</v>
      </c>
      <c r="I749" s="4" t="s">
        <v>873</v>
      </c>
      <c r="J749" s="4" t="s">
        <v>78</v>
      </c>
      <c r="K749" s="5" t="str">
        <f>HYPERLINK("https://media.licdn.com/dms/image/v2/D4E10AQFY5t4hO8ipqA/image-shrink_1280/B4EZpYu03FKkAM-/0/1762425262272?e=2147483647&amp;v=beta&amp;t=XzLxficfjSfLigj_1Ba2AY0Yr-QLQonYuCbaicVBK0w","View Creative")</f>
        <v>View Creative</v>
      </c>
      <c r="L749" s="4" t="s">
        <v>2321</v>
      </c>
      <c r="M749" s="4" t="s">
        <v>61</v>
      </c>
      <c r="N749" s="4" t="s">
        <v>4965</v>
      </c>
      <c r="O749" s="4" t="s">
        <v>89</v>
      </c>
      <c r="P749" s="4" t="s">
        <v>5168</v>
      </c>
    </row>
    <row r="750">
      <c r="A750" s="4" t="s">
        <v>40</v>
      </c>
      <c r="B750" s="4" t="s">
        <v>40</v>
      </c>
      <c r="C750" s="4">
        <v>748.0</v>
      </c>
      <c r="D750" s="5" t="str">
        <f>HYPERLINK("https://www.linkedin.com/ad-library/detail/895367724","Open Ad")</f>
        <v>Open Ad</v>
      </c>
      <c r="E750" s="4" t="s">
        <v>78</v>
      </c>
      <c r="F750" s="4" t="s">
        <v>3503</v>
      </c>
      <c r="G750" s="4" t="s">
        <v>3504</v>
      </c>
      <c r="H750" s="4" t="s">
        <v>49</v>
      </c>
      <c r="I750" s="4" t="s">
        <v>429</v>
      </c>
      <c r="J750" s="4" t="s">
        <v>78</v>
      </c>
      <c r="K750" s="5" t="str">
        <f>HYPERLINK("https://media.licdn.com/dms/image/v2/D4E10AQEaH0Nq9t2cuw/image-shrink_1280/B4EZpYu0zfGcAQ-/0/1762425261832?e=2147483647&amp;v=beta&amp;t=AgnXJbH3PNS_OrfXlypdMEkFcF01y0lO9gcW38qn3-I","View Creative")</f>
        <v>View Creative</v>
      </c>
      <c r="L750" s="4" t="s">
        <v>2321</v>
      </c>
      <c r="M750" s="4" t="s">
        <v>61</v>
      </c>
      <c r="N750" s="4" t="s">
        <v>4965</v>
      </c>
      <c r="O750" s="4" t="s">
        <v>89</v>
      </c>
      <c r="P750" s="4" t="s">
        <v>5169</v>
      </c>
    </row>
    <row r="751">
      <c r="A751" s="4" t="s">
        <v>40</v>
      </c>
      <c r="B751" s="4" t="s">
        <v>40</v>
      </c>
      <c r="C751" s="4">
        <v>749.0</v>
      </c>
      <c r="D751" s="5" t="str">
        <f>HYPERLINK("https://www.linkedin.com/ad-library/detail/895337634","Open Ad")</f>
        <v>Open Ad</v>
      </c>
      <c r="E751" s="4" t="s">
        <v>78</v>
      </c>
      <c r="F751" s="4" t="s">
        <v>3503</v>
      </c>
      <c r="G751" s="4" t="s">
        <v>3504</v>
      </c>
      <c r="H751" s="4" t="s">
        <v>49</v>
      </c>
      <c r="I751" s="4" t="s">
        <v>429</v>
      </c>
      <c r="J751" s="4" t="s">
        <v>78</v>
      </c>
      <c r="K751" s="5" t="str">
        <f>HYPERLINK("https://media.licdn.com/dms/image/v2/D4E10AQEXisWBH1o8ng/image-shrink_1280/B4EZpYuwK5GcAg-/0/1762425243488?e=2147483647&amp;v=beta&amp;t=EoAL4GufrDttRNp9GCw2Q4VgbK8vs6QOCe8cQ16DXUc","View Creative")</f>
        <v>View Creative</v>
      </c>
      <c r="L751" s="4" t="s">
        <v>2321</v>
      </c>
      <c r="M751" s="4" t="s">
        <v>61</v>
      </c>
      <c r="N751" s="4" t="s">
        <v>4965</v>
      </c>
      <c r="O751" s="4" t="s">
        <v>89</v>
      </c>
      <c r="P751" s="4" t="s">
        <v>5171</v>
      </c>
    </row>
    <row r="752">
      <c r="A752" s="4" t="s">
        <v>40</v>
      </c>
      <c r="B752" s="4" t="s">
        <v>40</v>
      </c>
      <c r="C752" s="4">
        <v>750.0</v>
      </c>
      <c r="D752" s="5" t="str">
        <f>HYPERLINK("https://www.linkedin.com/ad-library/detail/895377334","Open Ad")</f>
        <v>Open Ad</v>
      </c>
      <c r="E752" s="4" t="s">
        <v>78</v>
      </c>
      <c r="F752" s="4" t="s">
        <v>3427</v>
      </c>
      <c r="G752" s="4" t="s">
        <v>3429</v>
      </c>
      <c r="H752" s="4" t="s">
        <v>49</v>
      </c>
      <c r="I752" s="4" t="s">
        <v>873</v>
      </c>
      <c r="J752" s="4" t="s">
        <v>78</v>
      </c>
      <c r="K752" s="5" t="str">
        <f>HYPERLINK("https://media.licdn.com/dms/image/v2/D4E10AQE9CzxEJ5VkCA/image-shrink_1280/B4EZpYu5WBIoAM-/0/1762425280436?e=2147483647&amp;v=beta&amp;t=jULlhAtQ2-aKc_79jtvv9eFa1HG5r9Eqc2nYOxJhU7Y","View Creative")</f>
        <v>View Creative</v>
      </c>
      <c r="L752" s="4" t="s">
        <v>2321</v>
      </c>
      <c r="M752" s="4" t="s">
        <v>61</v>
      </c>
      <c r="N752" s="4" t="s">
        <v>4965</v>
      </c>
      <c r="O752" s="4" t="s">
        <v>89</v>
      </c>
      <c r="P752" s="4" t="s">
        <v>5172</v>
      </c>
    </row>
    <row r="753">
      <c r="A753" s="4" t="s">
        <v>40</v>
      </c>
      <c r="B753" s="4" t="s">
        <v>40</v>
      </c>
      <c r="C753" s="4">
        <v>751.0</v>
      </c>
      <c r="D753" s="5" t="str">
        <f>HYPERLINK("https://www.linkedin.com/ad-library/detail/895445364","Open Ad")</f>
        <v>Open Ad</v>
      </c>
      <c r="E753" s="4" t="s">
        <v>78</v>
      </c>
      <c r="F753" s="4" t="s">
        <v>3427</v>
      </c>
      <c r="G753" s="4" t="s">
        <v>3429</v>
      </c>
      <c r="H753" s="4" t="s">
        <v>49</v>
      </c>
      <c r="I753" s="4" t="s">
        <v>873</v>
      </c>
      <c r="J753" s="4" t="s">
        <v>78</v>
      </c>
      <c r="K753" s="5" t="str">
        <f>HYPERLINK("https://media.licdn.com/dms/image/v2/D4E10AQH5X7s0sR5tMg/image-shrink_1280/B4EZpYu5T.JgAI-/0/1762425280345?e=2147483647&amp;v=beta&amp;t=MffacK2ruE-QRZ0oO3gk3853UD5-2Y_o01k6Kqth0zc","View Creative")</f>
        <v>View Creative</v>
      </c>
      <c r="L753" s="4" t="s">
        <v>2321</v>
      </c>
      <c r="M753" s="4" t="s">
        <v>61</v>
      </c>
      <c r="N753" s="4" t="s">
        <v>4965</v>
      </c>
      <c r="O753" s="4" t="s">
        <v>89</v>
      </c>
      <c r="P753" s="4" t="s">
        <v>5174</v>
      </c>
    </row>
    <row r="754">
      <c r="A754" s="4" t="s">
        <v>40</v>
      </c>
      <c r="B754" s="4" t="s">
        <v>40</v>
      </c>
      <c r="C754" s="4">
        <v>752.0</v>
      </c>
      <c r="D754" s="5" t="str">
        <f>HYPERLINK("https://www.linkedin.com/ad-library/detail/895377324","Open Ad")</f>
        <v>Open Ad</v>
      </c>
      <c r="E754" s="4" t="s">
        <v>78</v>
      </c>
      <c r="F754" s="4" t="s">
        <v>3427</v>
      </c>
      <c r="G754" s="4" t="s">
        <v>3429</v>
      </c>
      <c r="H754" s="4" t="s">
        <v>49</v>
      </c>
      <c r="I754" s="4" t="s">
        <v>873</v>
      </c>
      <c r="J754" s="4" t="s">
        <v>78</v>
      </c>
      <c r="K754" s="5" t="str">
        <f>HYPERLINK("https://media.licdn.com/dms/image/v2/D4E10AQEKsN1s7nq0wg/image-shrink_1280/B4EZpYu028KYAM-/0/1762425262622?e=2147483647&amp;v=beta&amp;t=MnnbpFh0uaBR9vlnBlfWkLDpClMLDNklxHw1J8wp3TI","View Creative")</f>
        <v>View Creative</v>
      </c>
      <c r="L754" s="4" t="s">
        <v>2321</v>
      </c>
      <c r="M754" s="4" t="s">
        <v>61</v>
      </c>
      <c r="N754" s="4" t="s">
        <v>4965</v>
      </c>
      <c r="O754" s="4" t="s">
        <v>89</v>
      </c>
      <c r="P754" s="4" t="s">
        <v>5176</v>
      </c>
    </row>
    <row r="755">
      <c r="A755" s="4" t="s">
        <v>40</v>
      </c>
      <c r="B755" s="4" t="s">
        <v>40</v>
      </c>
      <c r="C755" s="4">
        <v>753.0</v>
      </c>
      <c r="D755" s="5" t="str">
        <f>HYPERLINK("https://www.linkedin.com/ad-library/detail/895239314","Open Ad")</f>
        <v>Open Ad</v>
      </c>
      <c r="E755" s="4" t="s">
        <v>78</v>
      </c>
      <c r="F755" s="4" t="s">
        <v>3427</v>
      </c>
      <c r="G755" s="4" t="s">
        <v>3429</v>
      </c>
      <c r="H755" s="4" t="s">
        <v>49</v>
      </c>
      <c r="I755" s="4" t="s">
        <v>873</v>
      </c>
      <c r="J755" s="4" t="s">
        <v>78</v>
      </c>
      <c r="K755" s="5" t="str">
        <f>HYPERLINK("https://media.licdn.com/dms/image/v2/D4E10AQGpNCv7txChEg/image-shrink_1280/B4EZpYuwHfKYAQ-/0/1762425242674?e=2147483647&amp;v=beta&amp;t=y8ivt6LNB6q19FXJjp90mudyIdV6P-gzp_BsduqCgRk","View Creative")</f>
        <v>View Creative</v>
      </c>
      <c r="L755" s="4" t="s">
        <v>2321</v>
      </c>
      <c r="M755" s="4" t="s">
        <v>61</v>
      </c>
      <c r="N755" s="4" t="s">
        <v>4965</v>
      </c>
      <c r="O755" s="4" t="s">
        <v>89</v>
      </c>
      <c r="P755" s="4" t="s">
        <v>5178</v>
      </c>
    </row>
    <row r="756">
      <c r="A756" s="4" t="s">
        <v>40</v>
      </c>
      <c r="B756" s="4" t="s">
        <v>40</v>
      </c>
      <c r="C756" s="4">
        <v>754.0</v>
      </c>
      <c r="D756" s="5" t="str">
        <f>HYPERLINK("https://www.linkedin.com/ad-library/detail/895268724","Open Ad")</f>
        <v>Open Ad</v>
      </c>
      <c r="E756" s="4" t="s">
        <v>78</v>
      </c>
      <c r="F756" s="4" t="s">
        <v>3427</v>
      </c>
      <c r="G756" s="4" t="s">
        <v>3429</v>
      </c>
      <c r="H756" s="4" t="s">
        <v>49</v>
      </c>
      <c r="I756" s="4" t="s">
        <v>873</v>
      </c>
      <c r="J756" s="4" t="s">
        <v>78</v>
      </c>
      <c r="K756" s="5" t="str">
        <f>HYPERLINK("https://media.licdn.com/dms/image/v2/D4E10AQGHEojsaYzvkQ/image-shrink_1280/B4EZpYu5UMHUAM-/0/1762425280488?e=2147483647&amp;v=beta&amp;t=-DeRbDKmKBg1KMKw9Zw3y15A1LPdNFLulrSOybV7fZA","View Creative")</f>
        <v>View Creative</v>
      </c>
      <c r="L756" s="4" t="s">
        <v>2321</v>
      </c>
      <c r="M756" s="4" t="s">
        <v>61</v>
      </c>
      <c r="N756" s="4" t="s">
        <v>4965</v>
      </c>
      <c r="O756" s="4" t="s">
        <v>89</v>
      </c>
      <c r="P756" s="4" t="s">
        <v>5180</v>
      </c>
    </row>
    <row r="757">
      <c r="A757" s="4" t="s">
        <v>40</v>
      </c>
      <c r="B757" s="4" t="s">
        <v>40</v>
      </c>
      <c r="C757" s="4">
        <v>755.0</v>
      </c>
      <c r="D757" s="5" t="str">
        <f>HYPERLINK("https://www.linkedin.com/ad-library/detail/895268714","Open Ad")</f>
        <v>Open Ad</v>
      </c>
      <c r="E757" s="4" t="s">
        <v>78</v>
      </c>
      <c r="F757" s="4" t="s">
        <v>3503</v>
      </c>
      <c r="G757" s="4" t="s">
        <v>3504</v>
      </c>
      <c r="H757" s="4" t="s">
        <v>49</v>
      </c>
      <c r="I757" s="4" t="s">
        <v>429</v>
      </c>
      <c r="J757" s="4" t="s">
        <v>78</v>
      </c>
      <c r="K757" s="5" t="str">
        <f>HYPERLINK("https://media.licdn.com/dms/image/v2/D4E10AQF3ZhEC3ph9tg/image-shrink_1280/B4EZpYu00NKkAM-/0/1762425262038?e=2147483647&amp;v=beta&amp;t=WVn95uIzx4i_TyD3xfI55BmdluKSihLC0ryq5kqFYuU","View Creative")</f>
        <v>View Creative</v>
      </c>
      <c r="L757" s="4" t="s">
        <v>2321</v>
      </c>
      <c r="M757" s="4" t="s">
        <v>61</v>
      </c>
      <c r="N757" s="4" t="s">
        <v>4965</v>
      </c>
      <c r="O757" s="4" t="s">
        <v>89</v>
      </c>
      <c r="P757" s="4" t="s">
        <v>5181</v>
      </c>
    </row>
    <row r="758">
      <c r="A758" s="4" t="s">
        <v>40</v>
      </c>
      <c r="B758" s="4" t="s">
        <v>40</v>
      </c>
      <c r="C758" s="4">
        <v>756.0</v>
      </c>
      <c r="D758" s="5" t="str">
        <f>HYPERLINK("https://www.linkedin.com/ad-library/detail/895387074","Open Ad")</f>
        <v>Open Ad</v>
      </c>
      <c r="E758" s="4" t="s">
        <v>78</v>
      </c>
      <c r="F758" s="4" t="s">
        <v>3427</v>
      </c>
      <c r="G758" s="4" t="s">
        <v>3429</v>
      </c>
      <c r="H758" s="4" t="s">
        <v>49</v>
      </c>
      <c r="I758" s="4" t="s">
        <v>873</v>
      </c>
      <c r="J758" s="4" t="s">
        <v>78</v>
      </c>
      <c r="K758" s="5" t="str">
        <f>HYPERLINK("https://media.licdn.com/dms/image/v2/D4E10AQFOH-stGCuv0g/image-shrink_1280/B4EZpYuwMyKcAM-/0/1762425243776?e=2147483647&amp;v=beta&amp;t=oWv-I68RC3PgtDLlN6QFRoKHMwEwxCBNpR4l7cZfhZg","View Creative")</f>
        <v>View Creative</v>
      </c>
      <c r="L758" s="4" t="s">
        <v>2321</v>
      </c>
      <c r="M758" s="4" t="s">
        <v>61</v>
      </c>
      <c r="N758" s="4" t="s">
        <v>5183</v>
      </c>
      <c r="O758" s="4" t="s">
        <v>89</v>
      </c>
      <c r="P758" s="4" t="s">
        <v>5184</v>
      </c>
    </row>
    <row r="759">
      <c r="A759" s="4" t="s">
        <v>40</v>
      </c>
      <c r="B759" s="4" t="s">
        <v>40</v>
      </c>
      <c r="C759" s="4">
        <v>757.0</v>
      </c>
      <c r="D759" s="5" t="str">
        <f>HYPERLINK("https://www.linkedin.com/ad-library/detail/895259074","Open Ad")</f>
        <v>Open Ad</v>
      </c>
      <c r="E759" s="4" t="s">
        <v>78</v>
      </c>
      <c r="F759" s="4" t="s">
        <v>3427</v>
      </c>
      <c r="G759" s="4" t="s">
        <v>3429</v>
      </c>
      <c r="H759" s="4" t="s">
        <v>49</v>
      </c>
      <c r="I759" s="4" t="s">
        <v>873</v>
      </c>
      <c r="J759" s="4" t="s">
        <v>78</v>
      </c>
      <c r="K759" s="5" t="str">
        <f>HYPERLINK("https://media.licdn.com/dms/image/v2/D4E10AQHKIYBcM2iH2Q/image-shrink_1280/B4EZpYu5SwKMAM-/0/1762425280814?e=2147483647&amp;v=beta&amp;t=Fg447eBSXuX8Iox6hKJ6TacY4qewqNW3_j00dfl-nQg","View Creative")</f>
        <v>View Creative</v>
      </c>
      <c r="L759" s="4" t="s">
        <v>2321</v>
      </c>
      <c r="M759" s="4" t="s">
        <v>61</v>
      </c>
      <c r="N759" s="4" t="s">
        <v>4965</v>
      </c>
      <c r="O759" s="4" t="s">
        <v>89</v>
      </c>
      <c r="P759" s="4" t="s">
        <v>5186</v>
      </c>
    </row>
    <row r="760">
      <c r="A760" s="4" t="s">
        <v>40</v>
      </c>
      <c r="B760" s="4" t="s">
        <v>40</v>
      </c>
      <c r="C760" s="4">
        <v>758.0</v>
      </c>
      <c r="D760" s="5" t="str">
        <f>HYPERLINK("https://www.linkedin.com/ad-library/detail/895288054","Open Ad")</f>
        <v>Open Ad</v>
      </c>
      <c r="E760" s="4" t="s">
        <v>78</v>
      </c>
      <c r="F760" s="4" t="s">
        <v>3427</v>
      </c>
      <c r="G760" s="4" t="s">
        <v>3429</v>
      </c>
      <c r="H760" s="4" t="s">
        <v>49</v>
      </c>
      <c r="I760" s="4" t="s">
        <v>873</v>
      </c>
      <c r="J760" s="4" t="s">
        <v>78</v>
      </c>
      <c r="K760" s="5" t="str">
        <f>HYPERLINK("https://media.licdn.com/dms/image/v2/D4E10AQHUBbcvUvRjAA/image-shrink_1280/B4EZpYuwKyKsAM-/0/1762425243061?e=2147483647&amp;v=beta&amp;t=yp-to_SwqD--4hDCpSqfkjufLSb9ZazNrSmbD7kPbsI","View Creative")</f>
        <v>View Creative</v>
      </c>
      <c r="L760" s="4" t="s">
        <v>2321</v>
      </c>
      <c r="M760" s="4" t="s">
        <v>61</v>
      </c>
      <c r="N760" s="4" t="s">
        <v>4965</v>
      </c>
      <c r="O760" s="4" t="s">
        <v>89</v>
      </c>
      <c r="P760" s="4" t="s">
        <v>5187</v>
      </c>
    </row>
    <row r="761">
      <c r="A761" s="4" t="s">
        <v>40</v>
      </c>
      <c r="B761" s="4" t="s">
        <v>40</v>
      </c>
      <c r="C761" s="4">
        <v>759.0</v>
      </c>
      <c r="D761" s="5" t="str">
        <f>HYPERLINK("https://www.linkedin.com/ad-library/detail/895288074","Open Ad")</f>
        <v>Open Ad</v>
      </c>
      <c r="E761" s="4" t="s">
        <v>78</v>
      </c>
      <c r="F761" s="4" t="s">
        <v>3427</v>
      </c>
      <c r="G761" s="4" t="s">
        <v>3429</v>
      </c>
      <c r="H761" s="4" t="s">
        <v>49</v>
      </c>
      <c r="I761" s="4" t="s">
        <v>873</v>
      </c>
      <c r="J761" s="4" t="s">
        <v>78</v>
      </c>
      <c r="K761" s="5" t="str">
        <f>HYPERLINK("https://media.licdn.com/dms/image/v2/D4E10AQE-zfQ9R_4Nyg/image-shrink_1280/B4EZpYu03TJgAQ-/0/1762425262124?e=2147483647&amp;v=beta&amp;t=L-fKKW_gWBgBCSsmPNADpfzRN2R-zEzozPz4_irYtzY","View Creative")</f>
        <v>View Creative</v>
      </c>
      <c r="L761" s="4" t="s">
        <v>2321</v>
      </c>
      <c r="M761" s="4" t="s">
        <v>61</v>
      </c>
      <c r="N761" s="4" t="s">
        <v>4965</v>
      </c>
      <c r="O761" s="4" t="s">
        <v>89</v>
      </c>
      <c r="P761" s="4" t="s">
        <v>5189</v>
      </c>
    </row>
    <row r="762">
      <c r="A762" s="4" t="s">
        <v>40</v>
      </c>
      <c r="B762" s="4" t="s">
        <v>40</v>
      </c>
      <c r="C762" s="4">
        <v>760.0</v>
      </c>
      <c r="D762" s="5" t="str">
        <f>HYPERLINK("https://www.linkedin.com/ad-library/detail/895367734","Open Ad")</f>
        <v>Open Ad</v>
      </c>
      <c r="E762" s="4" t="s">
        <v>78</v>
      </c>
      <c r="F762" s="4" t="s">
        <v>3427</v>
      </c>
      <c r="G762" s="4" t="s">
        <v>3429</v>
      </c>
      <c r="H762" s="4" t="s">
        <v>49</v>
      </c>
      <c r="I762" s="4" t="s">
        <v>873</v>
      </c>
      <c r="J762" s="4" t="s">
        <v>78</v>
      </c>
      <c r="K762" s="5" t="str">
        <f>HYPERLINK("https://media.licdn.com/dms/image/v2/D4E10AQFVvqditrhF9g/image-shrink_1280/B4EZpYu02IIIAU-/0/1762425262485?e=2147483647&amp;v=beta&amp;t=WP6pfusNsIQA571kaZ-atZ3BbL2f5eQxhsZfqMd9cjI","View Creative")</f>
        <v>View Creative</v>
      </c>
      <c r="L762" s="4" t="s">
        <v>2321</v>
      </c>
      <c r="M762" s="4" t="s">
        <v>61</v>
      </c>
      <c r="N762" s="4" t="s">
        <v>4965</v>
      </c>
      <c r="O762" s="4" t="s">
        <v>89</v>
      </c>
      <c r="P762" s="4" t="s">
        <v>5191</v>
      </c>
    </row>
    <row r="763">
      <c r="A763" s="4" t="s">
        <v>40</v>
      </c>
      <c r="B763" s="4" t="s">
        <v>40</v>
      </c>
      <c r="C763" s="4">
        <v>761.0</v>
      </c>
      <c r="D763" s="5" t="str">
        <f>HYPERLINK("https://www.linkedin.com/ad-library/detail/895288064","Open Ad")</f>
        <v>Open Ad</v>
      </c>
      <c r="E763" s="4" t="s">
        <v>78</v>
      </c>
      <c r="F763" s="4" t="s">
        <v>3427</v>
      </c>
      <c r="G763" s="4" t="s">
        <v>3429</v>
      </c>
      <c r="H763" s="4" t="s">
        <v>49</v>
      </c>
      <c r="I763" s="4" t="s">
        <v>873</v>
      </c>
      <c r="J763" s="4" t="s">
        <v>78</v>
      </c>
      <c r="K763" s="5" t="str">
        <f>HYPERLINK("https://media.licdn.com/dms/image/v2/D4E10AQEkSo99jJjpWw/image-shrink_1280/B4EZpYuwPmKMAQ-/0/1762425243239?e=2147483647&amp;v=beta&amp;t=Sm8XJf01L4jGL2h7m5tsu-7X6Zdyb3Q7dpWObyWHJ9c","View Creative")</f>
        <v>View Creative</v>
      </c>
      <c r="L763" s="4" t="s">
        <v>2321</v>
      </c>
      <c r="M763" s="4" t="s">
        <v>61</v>
      </c>
      <c r="N763" s="4" t="s">
        <v>4965</v>
      </c>
      <c r="O763" s="4" t="s">
        <v>89</v>
      </c>
      <c r="P763" s="4" t="s">
        <v>5192</v>
      </c>
    </row>
    <row r="764">
      <c r="A764" s="4" t="s">
        <v>40</v>
      </c>
      <c r="B764" s="4" t="s">
        <v>40</v>
      </c>
      <c r="C764" s="4">
        <v>762.0</v>
      </c>
      <c r="D764" s="5" t="str">
        <f>HYPERLINK("https://www.linkedin.com/ad-library/detail/895425994","Open Ad")</f>
        <v>Open Ad</v>
      </c>
      <c r="E764" s="4" t="s">
        <v>78</v>
      </c>
      <c r="F764" s="4" t="s">
        <v>3503</v>
      </c>
      <c r="G764" s="4" t="s">
        <v>3504</v>
      </c>
      <c r="H764" s="4" t="s">
        <v>49</v>
      </c>
      <c r="I764" s="4" t="s">
        <v>429</v>
      </c>
      <c r="J764" s="4" t="s">
        <v>78</v>
      </c>
      <c r="K764" s="5" t="str">
        <f>HYPERLINK("https://media.licdn.com/dms/image/v2/D4E10AQHTT3_Ydn-xPw/image-shrink_1280/B4EZpYu5QeHgAM-/0/1762425280155?e=2147483647&amp;v=beta&amp;t=iuJcTmTJ7gGJi3VVi9vT56aJLuAE1y1vR6AlOb6d0dA","View Creative")</f>
        <v>View Creative</v>
      </c>
      <c r="L764" s="4" t="s">
        <v>2321</v>
      </c>
      <c r="M764" s="4" t="s">
        <v>61</v>
      </c>
      <c r="N764" s="4" t="s">
        <v>4965</v>
      </c>
      <c r="O764" s="4" t="s">
        <v>89</v>
      </c>
      <c r="P764" s="4" t="s">
        <v>5194</v>
      </c>
    </row>
    <row r="765">
      <c r="A765" s="4" t="s">
        <v>40</v>
      </c>
      <c r="B765" s="4" t="s">
        <v>40</v>
      </c>
      <c r="C765" s="4">
        <v>763.0</v>
      </c>
      <c r="D765" s="5" t="str">
        <f>HYPERLINK("https://www.linkedin.com/ad-library/detail/895288084","Open Ad")</f>
        <v>Open Ad</v>
      </c>
      <c r="E765" s="4" t="s">
        <v>78</v>
      </c>
      <c r="F765" s="4" t="s">
        <v>3427</v>
      </c>
      <c r="G765" s="4" t="s">
        <v>3429</v>
      </c>
      <c r="H765" s="4" t="s">
        <v>49</v>
      </c>
      <c r="I765" s="4" t="s">
        <v>873</v>
      </c>
      <c r="J765" s="4" t="s">
        <v>78</v>
      </c>
      <c r="K765" s="5" t="str">
        <f>HYPERLINK("https://media.licdn.com/dms/image/v2/D4E10AQFCrHX5r8IE6w/image-shrink_1280/B4EZpYu5TmHgAM-/0/1762425280917?e=2147483647&amp;v=beta&amp;t=L_VNrk72A1k1KS_z2ukdUDuMsgaHagtrBXJSzAe-ZBQ","View Creative")</f>
        <v>View Creative</v>
      </c>
      <c r="L765" s="4" t="s">
        <v>2321</v>
      </c>
      <c r="M765" s="4" t="s">
        <v>61</v>
      </c>
      <c r="N765" s="4" t="s">
        <v>4965</v>
      </c>
      <c r="O765" s="4" t="s">
        <v>89</v>
      </c>
      <c r="P765" s="4" t="s">
        <v>5196</v>
      </c>
    </row>
    <row r="766">
      <c r="A766" s="4" t="s">
        <v>40</v>
      </c>
      <c r="B766" s="4" t="s">
        <v>40</v>
      </c>
      <c r="C766" s="4">
        <v>764.0</v>
      </c>
      <c r="D766" s="5" t="str">
        <f>HYPERLINK("https://www.linkedin.com/ad-library/detail/895278564","Open Ad")</f>
        <v>Open Ad</v>
      </c>
      <c r="E766" s="4" t="s">
        <v>78</v>
      </c>
      <c r="F766" s="4" t="s">
        <v>3427</v>
      </c>
      <c r="G766" s="4" t="s">
        <v>3429</v>
      </c>
      <c r="H766" s="4" t="s">
        <v>49</v>
      </c>
      <c r="I766" s="4" t="s">
        <v>873</v>
      </c>
      <c r="J766" s="4" t="s">
        <v>78</v>
      </c>
      <c r="K766" s="5" t="str">
        <f>HYPERLINK("https://media.licdn.com/dms/image/v2/D4E10AQEf-R8zKP1Aqw/image-shrink_1280/B4EZpYuwNGGYAM-/0/1762425243183?e=2147483647&amp;v=beta&amp;t=pk6CLdTaneNWf3Pq0VwMYj2CjZwjDYaFHI8Wg8KVlMQ","View Creative")</f>
        <v>View Creative</v>
      </c>
      <c r="L766" s="4" t="s">
        <v>2321</v>
      </c>
      <c r="M766" s="4" t="s">
        <v>61</v>
      </c>
      <c r="N766" s="4" t="s">
        <v>4965</v>
      </c>
      <c r="O766" s="4" t="s">
        <v>89</v>
      </c>
      <c r="P766" s="4" t="s">
        <v>5197</v>
      </c>
    </row>
    <row r="767">
      <c r="A767" s="4" t="s">
        <v>40</v>
      </c>
      <c r="B767" s="4" t="s">
        <v>40</v>
      </c>
      <c r="C767" s="4">
        <v>765.0</v>
      </c>
      <c r="D767" s="5" t="str">
        <f>HYPERLINK("https://www.linkedin.com/ad-library/detail/895308064","Open Ad")</f>
        <v>Open Ad</v>
      </c>
      <c r="E767" s="4" t="s">
        <v>78</v>
      </c>
      <c r="F767" s="4" t="s">
        <v>3427</v>
      </c>
      <c r="G767" s="4" t="s">
        <v>3429</v>
      </c>
      <c r="H767" s="4" t="s">
        <v>49</v>
      </c>
      <c r="I767" s="4" t="s">
        <v>873</v>
      </c>
      <c r="J767" s="4" t="s">
        <v>78</v>
      </c>
      <c r="K767" s="5" t="str">
        <f>HYPERLINK("https://media.licdn.com/dms/image/v2/D4E10AQGf3iXR4CkA1A/image-shrink_1280/B4EZpYu5SlKsAM-/0/1762425280316?e=2147483647&amp;v=beta&amp;t=E_9U0vBH4cLMZ7pSAe0pBjA4J_ET5Ct9yo0gT4U25hM","View Creative")</f>
        <v>View Creative</v>
      </c>
      <c r="L767" s="4" t="s">
        <v>2321</v>
      </c>
      <c r="M767" s="4" t="s">
        <v>61</v>
      </c>
      <c r="N767" s="4" t="s">
        <v>4965</v>
      </c>
      <c r="O767" s="4" t="s">
        <v>89</v>
      </c>
      <c r="P767" s="4" t="s">
        <v>5199</v>
      </c>
    </row>
    <row r="768">
      <c r="A768" s="4" t="s">
        <v>40</v>
      </c>
      <c r="B768" s="4" t="s">
        <v>40</v>
      </c>
      <c r="C768" s="4">
        <v>766.0</v>
      </c>
      <c r="D768" s="5" t="str">
        <f>HYPERLINK("https://www.linkedin.com/ad-library/detail/895387104","Open Ad")</f>
        <v>Open Ad</v>
      </c>
      <c r="E768" s="4" t="s">
        <v>78</v>
      </c>
      <c r="F768" s="4" t="s">
        <v>3427</v>
      </c>
      <c r="G768" s="4" t="s">
        <v>3429</v>
      </c>
      <c r="H768" s="4" t="s">
        <v>49</v>
      </c>
      <c r="I768" s="4" t="s">
        <v>873</v>
      </c>
      <c r="J768" s="4" t="s">
        <v>78</v>
      </c>
      <c r="K768" s="5" t="str">
        <f>HYPERLINK("https://media.licdn.com/dms/image/v2/D4E10AQFdx7OjFKnMQQ/image-shrink_1280/B4EZpYu02KKMAM-/0/1762425262177?e=2147483647&amp;v=beta&amp;t=HRFW28NUQg7VhngUqstwiWWP1oS2eaW9bFRSA6O93lM","View Creative")</f>
        <v>View Creative</v>
      </c>
      <c r="L768" s="4" t="s">
        <v>2321</v>
      </c>
      <c r="M768" s="4" t="s">
        <v>61</v>
      </c>
      <c r="N768" s="4" t="s">
        <v>4965</v>
      </c>
      <c r="O768" s="4" t="s">
        <v>89</v>
      </c>
      <c r="P768" s="4" t="s">
        <v>5201</v>
      </c>
    </row>
    <row r="769">
      <c r="A769" s="4" t="s">
        <v>40</v>
      </c>
      <c r="B769" s="4" t="s">
        <v>40</v>
      </c>
      <c r="C769" s="4">
        <v>767.0</v>
      </c>
      <c r="D769" s="5" t="str">
        <f>HYPERLINK("https://www.linkedin.com/ad-library/detail/895308054","Open Ad")</f>
        <v>Open Ad</v>
      </c>
      <c r="E769" s="4" t="s">
        <v>78</v>
      </c>
      <c r="F769" s="4" t="s">
        <v>3503</v>
      </c>
      <c r="G769" s="4" t="s">
        <v>3504</v>
      </c>
      <c r="H769" s="4" t="s">
        <v>49</v>
      </c>
      <c r="I769" s="4" t="s">
        <v>429</v>
      </c>
      <c r="J769" s="4" t="s">
        <v>78</v>
      </c>
      <c r="K769" s="5" t="str">
        <f>HYPERLINK("https://media.licdn.com/dms/image/v2/D4E10AQFr9fuF9Pmsiw/image-shrink_1280/B4EZpYu0z3HcAM-/0/1762425262121?e=2147483647&amp;v=beta&amp;t=lx2a8d4Ysdfx8fXiAeG2jRIE4cT4UmG76Ns4GcM3ZuY","View Creative")</f>
        <v>View Creative</v>
      </c>
      <c r="L769" s="4" t="s">
        <v>2321</v>
      </c>
      <c r="M769" s="4" t="s">
        <v>61</v>
      </c>
      <c r="N769" s="4" t="s">
        <v>4965</v>
      </c>
      <c r="O769" s="4" t="s">
        <v>89</v>
      </c>
      <c r="P769" s="4" t="s">
        <v>5202</v>
      </c>
    </row>
    <row r="770">
      <c r="A770" s="4" t="s">
        <v>40</v>
      </c>
      <c r="B770" s="4" t="s">
        <v>40</v>
      </c>
      <c r="C770" s="4">
        <v>768.0</v>
      </c>
      <c r="D770" s="5" t="str">
        <f>HYPERLINK("https://www.linkedin.com/ad-library/detail/895406514","Open Ad")</f>
        <v>Open Ad</v>
      </c>
      <c r="E770" s="4" t="s">
        <v>78</v>
      </c>
      <c r="F770" s="4" t="s">
        <v>3503</v>
      </c>
      <c r="G770" s="4" t="s">
        <v>3504</v>
      </c>
      <c r="H770" s="4" t="s">
        <v>49</v>
      </c>
      <c r="I770" s="4" t="s">
        <v>429</v>
      </c>
      <c r="J770" s="4" t="s">
        <v>78</v>
      </c>
      <c r="K770" s="5" t="str">
        <f>HYPERLINK("https://media.licdn.com/dms/image/v2/D4E10AQElviOkJPGq5w/image-shrink_1280/B4EZpYuwLxIQAU-/0/1762425243534?e=2147483647&amp;v=beta&amp;t=vkXr0dPfB98x_vx4mgGD_35q7nkWHGMrNRFGwK-BsQM","View Creative")</f>
        <v>View Creative</v>
      </c>
      <c r="L770" s="4" t="s">
        <v>2321</v>
      </c>
      <c r="M770" s="4" t="s">
        <v>61</v>
      </c>
      <c r="N770" s="4" t="s">
        <v>4965</v>
      </c>
      <c r="O770" s="4" t="s">
        <v>89</v>
      </c>
      <c r="P770" s="4" t="s">
        <v>5204</v>
      </c>
    </row>
    <row r="771">
      <c r="A771" s="4" t="s">
        <v>40</v>
      </c>
      <c r="B771" s="4" t="s">
        <v>40</v>
      </c>
      <c r="C771" s="4">
        <v>769.0</v>
      </c>
      <c r="D771" s="5" t="str">
        <f>HYPERLINK("https://www.linkedin.com/ad-library/detail/894640234","Open Ad")</f>
        <v>Open Ad</v>
      </c>
      <c r="E771" s="4" t="s">
        <v>78</v>
      </c>
      <c r="F771" s="4" t="s">
        <v>2864</v>
      </c>
      <c r="G771" s="4" t="s">
        <v>2865</v>
      </c>
      <c r="H771" s="4" t="s">
        <v>49</v>
      </c>
      <c r="I771" s="4" t="s">
        <v>2866</v>
      </c>
      <c r="J771" s="4" t="s">
        <v>78</v>
      </c>
      <c r="K771" s="5" t="str">
        <f>HYPERLINK("https://media.licdn.com/dms/image/v2/D4E10AQFrvZlk7xzYGA/image-shrink_1280/B4EZpJH38cGUAM-/0/1762163393376/Analyzeseo_v3png?e=2147483647&amp;v=beta&amp;t=CATIMuw66HtFFmiECmnv7JsWS6ghLh6qWFZVFsLoJFQ","View Creative")</f>
        <v>View Creative</v>
      </c>
      <c r="L771" s="4" t="s">
        <v>2321</v>
      </c>
      <c r="M771" s="4" t="s">
        <v>61</v>
      </c>
      <c r="N771" s="4" t="s">
        <v>5206</v>
      </c>
      <c r="O771" s="4" t="s">
        <v>89</v>
      </c>
      <c r="P771" s="4" t="s">
        <v>5207</v>
      </c>
    </row>
    <row r="772">
      <c r="A772" s="4" t="s">
        <v>40</v>
      </c>
      <c r="B772" s="4" t="s">
        <v>40</v>
      </c>
      <c r="C772" s="4">
        <v>770.0</v>
      </c>
      <c r="D772" s="5" t="str">
        <f>HYPERLINK("https://www.linkedin.com/ad-library/detail/894581604","Open Ad")</f>
        <v>Open Ad</v>
      </c>
      <c r="E772" s="4" t="s">
        <v>78</v>
      </c>
      <c r="F772" s="4" t="s">
        <v>2864</v>
      </c>
      <c r="G772" s="4" t="s">
        <v>2865</v>
      </c>
      <c r="H772" s="4" t="s">
        <v>49</v>
      </c>
      <c r="I772" s="4" t="s">
        <v>2866</v>
      </c>
      <c r="J772" s="4" t="s">
        <v>78</v>
      </c>
      <c r="K772" s="5" t="str">
        <f>HYPERLINK("https://media.licdn.com/dms/image/v2/D4E10AQGlzxaKaJymrw/image-shrink_1280/B4EZpJHOAnHoAM-/0/1762163221695/Analyzeseo_v2png?e=2147483647&amp;v=beta&amp;t=vin2EBRhZuEmnxFdYMIh39L_t5ptC9mjT8COKKz3Jac","View Creative")</f>
        <v>View Creative</v>
      </c>
      <c r="L772" s="4" t="s">
        <v>2321</v>
      </c>
      <c r="M772" s="4" t="s">
        <v>61</v>
      </c>
      <c r="N772" s="4" t="s">
        <v>5206</v>
      </c>
      <c r="O772" s="4" t="s">
        <v>89</v>
      </c>
      <c r="P772" s="4" t="s">
        <v>5208</v>
      </c>
    </row>
    <row r="773">
      <c r="A773" s="4" t="s">
        <v>40</v>
      </c>
      <c r="B773" s="4" t="s">
        <v>40</v>
      </c>
      <c r="C773" s="4">
        <v>771.0</v>
      </c>
      <c r="D773" s="5" t="str">
        <f>HYPERLINK("https://www.linkedin.com/ad-library/detail/894489354","Open Ad")</f>
        <v>Open Ad</v>
      </c>
      <c r="E773" s="4" t="s">
        <v>78</v>
      </c>
      <c r="F773" s="4" t="s">
        <v>2864</v>
      </c>
      <c r="G773" s="4" t="s">
        <v>2865</v>
      </c>
      <c r="H773" s="4" t="s">
        <v>49</v>
      </c>
      <c r="I773" s="4" t="s">
        <v>2866</v>
      </c>
      <c r="J773" s="4" t="s">
        <v>78</v>
      </c>
      <c r="K773" s="5" t="str">
        <f>HYPERLINK("https://media.licdn.com/dms/image/v2/D4E10AQG3mhPj4Jq23A/image-shrink_1280/B4EZpJFlyfHMAM-/0/1762162795167/analyzeseov1png?e=2147483647&amp;v=beta&amp;t=PMyvpJXJb7kPV-WN8Hin_f-lkjdHOg6FfkPXWnbLzqM","View Creative")</f>
        <v>View Creative</v>
      </c>
      <c r="L773" s="4" t="s">
        <v>2321</v>
      </c>
      <c r="M773" s="4" t="s">
        <v>61</v>
      </c>
      <c r="N773" s="4" t="s">
        <v>5206</v>
      </c>
      <c r="O773" s="4" t="s">
        <v>89</v>
      </c>
      <c r="P773" s="4" t="s">
        <v>5210</v>
      </c>
    </row>
    <row r="774">
      <c r="A774" s="4" t="s">
        <v>40</v>
      </c>
      <c r="B774" s="4" t="s">
        <v>40</v>
      </c>
      <c r="C774" s="4">
        <v>772.0</v>
      </c>
      <c r="D774" s="5" t="str">
        <f>HYPERLINK("https://www.linkedin.com/ad-library/detail/894797534","Open Ad")</f>
        <v>Open Ad</v>
      </c>
      <c r="E774" s="4" t="s">
        <v>78</v>
      </c>
      <c r="F774" s="4" t="s">
        <v>5212</v>
      </c>
      <c r="G774" s="4" t="s">
        <v>5213</v>
      </c>
      <c r="H774" s="4" t="s">
        <v>49</v>
      </c>
      <c r="I774" s="4" t="s">
        <v>1858</v>
      </c>
      <c r="J774" s="4" t="s">
        <v>78</v>
      </c>
      <c r="K774" s="5" t="str">
        <f>HYPERLINK("https://media.licdn.com/dms/image/v2/D4E10AQHdDp1jnCARxA/image_627_1200/B56ZpP_k0dHQAY-/0/1762278657549/1-91-1-Post-Sales-02png?e=2147483647&amp;v=beta&amp;t=dB21Y3kFcOe7zDImDPll7pzPi09FK2IZQUm7F3oQ0GE","View Creative")</f>
        <v>View Creative</v>
      </c>
      <c r="L774" s="4" t="s">
        <v>60</v>
      </c>
      <c r="M774" s="4" t="s">
        <v>61</v>
      </c>
      <c r="N774" s="4" t="s">
        <v>5214</v>
      </c>
      <c r="O774" s="4" t="s">
        <v>89</v>
      </c>
      <c r="P774" s="4" t="s">
        <v>5215</v>
      </c>
    </row>
    <row r="775">
      <c r="A775" s="4" t="s">
        <v>40</v>
      </c>
      <c r="B775" s="4" t="s">
        <v>40</v>
      </c>
      <c r="C775" s="4">
        <v>773.0</v>
      </c>
      <c r="D775" s="5" t="str">
        <f>HYPERLINK("https://www.linkedin.com/ad-library/detail/268439284","Open Ad")</f>
        <v>Open Ad</v>
      </c>
      <c r="E775" s="4" t="s">
        <v>78</v>
      </c>
      <c r="F775" s="4" t="s">
        <v>2864</v>
      </c>
      <c r="G775" s="4" t="s">
        <v>2865</v>
      </c>
      <c r="H775" s="4" t="s">
        <v>49</v>
      </c>
      <c r="I775" s="4" t="s">
        <v>2866</v>
      </c>
      <c r="J775" s="4" t="s">
        <v>78</v>
      </c>
      <c r="K775" s="5" t="str">
        <f>HYPERLINK("https://media.licdn.com/dms/image/v2/D4E10AQHXoZWBoQjhiw/image-shrink_1280/B4EZpJH39BHcAM-/0/1762163393322/Takethelead_v3png?e=2147483647&amp;v=beta&amp;t=JM9iYudONjL9Tdbo2Q7hPdjCJTO_z20FFmZ-mLizVDQ","View Creative")</f>
        <v>View Creative</v>
      </c>
      <c r="L775" s="4" t="s">
        <v>2321</v>
      </c>
      <c r="M775" s="4" t="s">
        <v>61</v>
      </c>
      <c r="N775" s="4" t="s">
        <v>5206</v>
      </c>
      <c r="O775" s="4" t="s">
        <v>89</v>
      </c>
      <c r="P775" s="4" t="s">
        <v>5217</v>
      </c>
    </row>
    <row r="776">
      <c r="A776" s="4" t="s">
        <v>40</v>
      </c>
      <c r="B776" s="4" t="s">
        <v>40</v>
      </c>
      <c r="C776" s="4">
        <v>774.0</v>
      </c>
      <c r="D776" s="5" t="str">
        <f>HYPERLINK("https://www.linkedin.com/ad-library/detail/895003014","Open Ad")</f>
        <v>Open Ad</v>
      </c>
      <c r="E776" s="4" t="s">
        <v>78</v>
      </c>
      <c r="F776" s="4" t="s">
        <v>2055</v>
      </c>
      <c r="G776" s="4" t="s">
        <v>5218</v>
      </c>
      <c r="H776" s="4" t="s">
        <v>49</v>
      </c>
      <c r="I776" s="4" t="s">
        <v>1858</v>
      </c>
      <c r="J776" s="4" t="s">
        <v>78</v>
      </c>
      <c r="K776" s="5" t="str">
        <f>HYPERLINK("https://media.licdn.com/dms/image/v2/D4E10AQFA6TwJ23nXPg/image_627_1200/B56ZpP5zf7JkAY-/0/1762277144820/1-91-1-Post-Sales-01png?e=2147483647&amp;v=beta&amp;t=J9wWjdACJNHfb2Cx5Oxo3U3oMXzUy5VcDV6wzr7EIq8","View Creative")</f>
        <v>View Creative</v>
      </c>
      <c r="L776" s="4" t="s">
        <v>106</v>
      </c>
      <c r="M776" s="4" t="s">
        <v>61</v>
      </c>
      <c r="O776" s="4" t="s">
        <v>89</v>
      </c>
      <c r="P776" s="4" t="s">
        <v>5219</v>
      </c>
    </row>
    <row r="777">
      <c r="A777" s="4" t="s">
        <v>40</v>
      </c>
      <c r="B777" s="4" t="s">
        <v>40</v>
      </c>
      <c r="C777" s="4">
        <v>775.0</v>
      </c>
      <c r="D777" s="5" t="str">
        <f>HYPERLINK("https://www.linkedin.com/ad-library/detail/894632114","Open Ad")</f>
        <v>Open Ad</v>
      </c>
      <c r="E777" s="4" t="s">
        <v>3048</v>
      </c>
      <c r="F777" s="4" t="s">
        <v>54</v>
      </c>
      <c r="G777" s="4" t="s">
        <v>3055</v>
      </c>
      <c r="H777" s="4" t="s">
        <v>49</v>
      </c>
      <c r="I777" s="4" t="s">
        <v>873</v>
      </c>
      <c r="J777" s="4" t="s">
        <v>3048</v>
      </c>
      <c r="K777" s="5" t="str">
        <f>HYPERLINK("https://media.licdn.com/dms/image/v2/D4E10AQHpvJ6OPms_Hw/image-shrink_1080_1080/B4EZpJtI6oKsAk-/0/1762173161854?e=1789466400&amp;v=beta&amp;t=aKal4OJqktbqvBclHaoSDBYRlVwEhK2eB2--0brCsvY","View Creative")</f>
        <v>View Creative</v>
      </c>
      <c r="L777" s="4" t="s">
        <v>60</v>
      </c>
      <c r="M777" s="4" t="s">
        <v>61</v>
      </c>
      <c r="N777" s="4" t="s">
        <v>5206</v>
      </c>
      <c r="O777" s="4" t="s">
        <v>89</v>
      </c>
      <c r="P777" s="4" t="s">
        <v>5221</v>
      </c>
    </row>
    <row r="778">
      <c r="A778" s="4" t="s">
        <v>40</v>
      </c>
      <c r="B778" s="4" t="s">
        <v>40</v>
      </c>
      <c r="C778" s="4">
        <v>776.0</v>
      </c>
      <c r="D778" s="5" t="str">
        <f>HYPERLINK("https://www.linkedin.com/ad-library/detail/869404294","Open Ad")</f>
        <v>Open Ad</v>
      </c>
      <c r="E778" s="4" t="s">
        <v>78</v>
      </c>
      <c r="F778" s="4" t="s">
        <v>5222</v>
      </c>
      <c r="G778" s="4" t="s">
        <v>5223</v>
      </c>
      <c r="H778" s="4" t="s">
        <v>49</v>
      </c>
      <c r="I778" s="4" t="s">
        <v>873</v>
      </c>
      <c r="J778" s="4" t="s">
        <v>78</v>
      </c>
      <c r="K778" s="5" t="str">
        <f>HYPERLINK("https://media.licdn.com/dms/image/v2/D4E10AQFgs6nO0LLY6Q/image-shrink_1280/B4EZoB261iIoAM-/0/1760967766345/Version3_Brand-ledAd-21png?e=2147483647&amp;v=beta&amp;t=cQDBPixWbACocF2yMYvAxClWZkMZcAhGP2onr1IlrsA","View Creative")</f>
        <v>View Creative</v>
      </c>
      <c r="L778" s="4" t="s">
        <v>60</v>
      </c>
      <c r="M778" s="4" t="s">
        <v>61</v>
      </c>
      <c r="N778" s="4" t="s">
        <v>5224</v>
      </c>
      <c r="O778" s="4" t="s">
        <v>89</v>
      </c>
      <c r="P778" s="4" t="s">
        <v>5225</v>
      </c>
    </row>
    <row r="779">
      <c r="A779" s="4" t="s">
        <v>40</v>
      </c>
      <c r="B779" s="4" t="s">
        <v>40</v>
      </c>
      <c r="C779" s="4">
        <v>777.0</v>
      </c>
      <c r="D779" s="5" t="str">
        <f>HYPERLINK("https://www.linkedin.com/ad-library/detail/894630414","Open Ad")</f>
        <v>Open Ad</v>
      </c>
      <c r="E779" s="4" t="s">
        <v>78</v>
      </c>
      <c r="F779" s="4" t="s">
        <v>2864</v>
      </c>
      <c r="G779" s="4" t="s">
        <v>2865</v>
      </c>
      <c r="H779" s="4" t="s">
        <v>49</v>
      </c>
      <c r="I779" s="4" t="s">
        <v>2866</v>
      </c>
      <c r="J779" s="4" t="s">
        <v>78</v>
      </c>
      <c r="K779" s="5" t="str">
        <f>HYPERLINK("https://media.licdn.com/dms/image/v2/D4E10AQFiderjHNEmfA/image-shrink_1280/B4EZpJFlyjKMAU-/0/1762162795050/everytoolv1png?e=2147483647&amp;v=beta&amp;t=bKwBE2ciiGznP3B9BVejtsHNaVeRohDadTESyyUQ1fI","View Creative")</f>
        <v>View Creative</v>
      </c>
      <c r="L779" s="4" t="s">
        <v>2321</v>
      </c>
      <c r="M779" s="4" t="s">
        <v>61</v>
      </c>
      <c r="N779" s="4" t="s">
        <v>5206</v>
      </c>
      <c r="O779" s="4" t="s">
        <v>89</v>
      </c>
      <c r="P779" s="4" t="s">
        <v>5227</v>
      </c>
    </row>
    <row r="780">
      <c r="A780" s="4" t="s">
        <v>40</v>
      </c>
      <c r="B780" s="4" t="s">
        <v>40</v>
      </c>
      <c r="C780" s="4">
        <v>778.0</v>
      </c>
      <c r="D780" s="5" t="str">
        <f>HYPERLINK("https://www.linkedin.com/ad-library/detail/894600784","Open Ad")</f>
        <v>Open Ad</v>
      </c>
      <c r="E780" s="4" t="s">
        <v>78</v>
      </c>
      <c r="F780" s="4" t="s">
        <v>2864</v>
      </c>
      <c r="G780" s="4" t="s">
        <v>2865</v>
      </c>
      <c r="H780" s="4" t="s">
        <v>49</v>
      </c>
      <c r="I780" s="4" t="s">
        <v>2866</v>
      </c>
      <c r="J780" s="4" t="s">
        <v>78</v>
      </c>
      <c r="K780" s="5" t="str">
        <f>HYPERLINK("https://media.licdn.com/dms/image/v2/D4E10AQEpN2cvLR7V9Q/image-shrink_1280/B4EZpJH38UKoAQ-/0/1762163393251/Everytool_v3png?e=2147483647&amp;v=beta&amp;t=xjVpTyZnU-i3AmlCzJwTQvgQWJYT4myITqseHmwrxtA","View Creative")</f>
        <v>View Creative</v>
      </c>
      <c r="L780" s="4" t="s">
        <v>2321</v>
      </c>
      <c r="M780" s="4" t="s">
        <v>61</v>
      </c>
      <c r="N780" s="4" t="s">
        <v>5206</v>
      </c>
      <c r="O780" s="4" t="s">
        <v>89</v>
      </c>
      <c r="P780" s="4" t="s">
        <v>5229</v>
      </c>
    </row>
    <row r="781">
      <c r="A781" s="4" t="s">
        <v>40</v>
      </c>
      <c r="B781" s="4" t="s">
        <v>40</v>
      </c>
      <c r="C781" s="4">
        <v>779.0</v>
      </c>
      <c r="D781" s="5" t="str">
        <f>HYPERLINK("https://www.linkedin.com/ad-library/detail/894566664","Open Ad")</f>
        <v>Open Ad</v>
      </c>
      <c r="E781" s="4" t="s">
        <v>78</v>
      </c>
      <c r="F781" s="4" t="s">
        <v>2864</v>
      </c>
      <c r="G781" s="4" t="s">
        <v>2865</v>
      </c>
      <c r="H781" s="4" t="s">
        <v>49</v>
      </c>
      <c r="I781" s="4" t="s">
        <v>2866</v>
      </c>
      <c r="J781" s="4" t="s">
        <v>78</v>
      </c>
      <c r="K781" s="5" t="str">
        <f>HYPERLINK("https://media.licdn.com/dms/image/v2/D4E10AQHf_FRjLX3CAQ/image-shrink_1280/B4EZpJHAD6HoAQ-/0/1762163164323/Takethelead_v2png?e=2147483647&amp;v=beta&amp;t=Z3CgwL5lSTxmqeaexRhij4U5_rP-B_3FFguxPwHmMyc","View Creative")</f>
        <v>View Creative</v>
      </c>
      <c r="L781" s="4" t="s">
        <v>2321</v>
      </c>
      <c r="M781" s="4" t="s">
        <v>61</v>
      </c>
      <c r="N781" s="4" t="s">
        <v>5206</v>
      </c>
      <c r="O781" s="4" t="s">
        <v>89</v>
      </c>
      <c r="P781" s="4" t="s">
        <v>5230</v>
      </c>
    </row>
    <row r="782">
      <c r="A782" s="4" t="s">
        <v>40</v>
      </c>
      <c r="B782" s="4" t="s">
        <v>40</v>
      </c>
      <c r="C782" s="4">
        <v>780.0</v>
      </c>
      <c r="D782" s="5" t="str">
        <f>HYPERLINK("https://www.linkedin.com/ad-library/detail/894679904","Open Ad")</f>
        <v>Open Ad</v>
      </c>
      <c r="E782" s="4" t="s">
        <v>78</v>
      </c>
      <c r="F782" s="4" t="s">
        <v>2864</v>
      </c>
      <c r="G782" s="4" t="s">
        <v>2865</v>
      </c>
      <c r="H782" s="4" t="s">
        <v>49</v>
      </c>
      <c r="I782" s="4" t="s">
        <v>2866</v>
      </c>
      <c r="J782" s="4" t="s">
        <v>78</v>
      </c>
      <c r="K782" s="5" t="str">
        <f>HYPERLINK("https://media.licdn.com/dms/image/v2/D4E10AQHshE6tfg3xGg/image-shrink_1280/B4EZpJH38cKcAM-/0/1762163393342/Cutmanual_v3png?e=2147483647&amp;v=beta&amp;t=Bgq0SMe9nN-tsnJQu7S09qN_EmYvMaxDrk1_hh3DwX8","View Creative")</f>
        <v>View Creative</v>
      </c>
      <c r="L782" s="4" t="s">
        <v>2321</v>
      </c>
      <c r="M782" s="4" t="s">
        <v>61</v>
      </c>
      <c r="N782" s="4" t="s">
        <v>5206</v>
      </c>
      <c r="O782" s="4" t="s">
        <v>89</v>
      </c>
      <c r="P782" s="4" t="s">
        <v>5232</v>
      </c>
    </row>
    <row r="783">
      <c r="A783" s="4" t="s">
        <v>40</v>
      </c>
      <c r="B783" s="4" t="s">
        <v>40</v>
      </c>
      <c r="C783" s="4">
        <v>781.0</v>
      </c>
      <c r="D783" s="5" t="str">
        <f>HYPERLINK("https://www.linkedin.com/ad-library/detail/894866024","Open Ad")</f>
        <v>Open Ad</v>
      </c>
      <c r="E783" s="4" t="s">
        <v>78</v>
      </c>
      <c r="F783" s="4" t="s">
        <v>2768</v>
      </c>
      <c r="G783" s="4" t="s">
        <v>5233</v>
      </c>
      <c r="H783" s="4" t="s">
        <v>49</v>
      </c>
      <c r="I783" s="4" t="s">
        <v>1858</v>
      </c>
      <c r="J783" s="4" t="s">
        <v>78</v>
      </c>
      <c r="K783" s="5" t="str">
        <f>HYPERLINK("https://media.licdn.com/dms/image/v2/D4E10AQFU7cuUBRpraw/image-shrink_1280/B4EZpQDV3pKkAM-/0/1762279652224/9-16-Post-Sales-03png?e=2147483647&amp;v=beta&amp;t=BA7-mHvG8ovTGsi733kB3UrMGkjdzKbm32ouW3fscA4","View Creative")</f>
        <v>View Creative</v>
      </c>
      <c r="L783" s="4" t="s">
        <v>106</v>
      </c>
      <c r="M783" s="4" t="s">
        <v>61</v>
      </c>
      <c r="O783" s="4" t="s">
        <v>89</v>
      </c>
      <c r="P783" s="4" t="s">
        <v>5234</v>
      </c>
    </row>
    <row r="784">
      <c r="A784" s="4" t="s">
        <v>40</v>
      </c>
      <c r="B784" s="4" t="s">
        <v>40</v>
      </c>
      <c r="C784" s="4">
        <v>782.0</v>
      </c>
      <c r="D784" s="5" t="str">
        <f>HYPERLINK("https://www.linkedin.com/ad-library/detail/894885464","Open Ad")</f>
        <v>Open Ad</v>
      </c>
      <c r="E784" s="4" t="s">
        <v>78</v>
      </c>
      <c r="F784" s="4" t="s">
        <v>2055</v>
      </c>
      <c r="G784" s="4" t="s">
        <v>5218</v>
      </c>
      <c r="H784" s="4" t="s">
        <v>49</v>
      </c>
      <c r="I784" s="4" t="s">
        <v>1858</v>
      </c>
      <c r="J784" s="4" t="s">
        <v>78</v>
      </c>
      <c r="K784" s="5" t="str">
        <f>HYPERLINK("https://media.licdn.com/dms/image/v2/D4E10AQFKaJbm79OliA/image-shrink_1280/B4EZpP4ZWfKkAM-/0/1762276780735/9-16-Post-Sales-01png?e=2147483647&amp;v=beta&amp;t=8BCtzEENQ59nynFJcsHyot1zGqR-6LMiwONT_jYiXBc","View Creative")</f>
        <v>View Creative</v>
      </c>
      <c r="L784" s="4" t="s">
        <v>106</v>
      </c>
      <c r="M784" s="4" t="s">
        <v>61</v>
      </c>
      <c r="O784" s="4" t="s">
        <v>89</v>
      </c>
      <c r="P784" s="4" t="s">
        <v>5236</v>
      </c>
    </row>
    <row r="785">
      <c r="A785" s="4" t="s">
        <v>40</v>
      </c>
      <c r="B785" s="4" t="s">
        <v>40</v>
      </c>
      <c r="C785" s="4">
        <v>783.0</v>
      </c>
      <c r="D785" s="5" t="str">
        <f>HYPERLINK("https://www.linkedin.com/ad-library/detail/894905754","Open Ad")</f>
        <v>Open Ad</v>
      </c>
      <c r="E785" s="4" t="s">
        <v>78</v>
      </c>
      <c r="F785" s="4" t="s">
        <v>2768</v>
      </c>
      <c r="G785" s="4" t="s">
        <v>5233</v>
      </c>
      <c r="H785" s="4" t="s">
        <v>49</v>
      </c>
      <c r="I785" s="4" t="s">
        <v>1858</v>
      </c>
      <c r="J785" s="4" t="s">
        <v>78</v>
      </c>
      <c r="K785" s="5" t="str">
        <f>HYPERLINK("https://media.licdn.com/dms/image/v2/D4E10AQHvLX6SoJzA9A/image-shrink_1280/B4EZpQDvDNJ0AM-/0/1762279751129/LinkedIn-Post-Sales-03png?e=2147483647&amp;v=beta&amp;t=4OyciUI45CstGSXE1Y4ucwjML-UrMjnGNiAqiLZsD2s","View Creative")</f>
        <v>View Creative</v>
      </c>
      <c r="L785" s="4" t="s">
        <v>106</v>
      </c>
      <c r="M785" s="4" t="s">
        <v>61</v>
      </c>
      <c r="O785" s="4" t="s">
        <v>89</v>
      </c>
      <c r="P785" s="4" t="s">
        <v>5238</v>
      </c>
    </row>
    <row r="786">
      <c r="A786" s="4" t="s">
        <v>40</v>
      </c>
      <c r="B786" s="4" t="s">
        <v>40</v>
      </c>
      <c r="C786" s="4">
        <v>784.0</v>
      </c>
      <c r="D786" s="5" t="str">
        <f>HYPERLINK("https://www.linkedin.com/ad-library/detail/894538654","Open Ad")</f>
        <v>Open Ad</v>
      </c>
      <c r="E786" s="4" t="s">
        <v>78</v>
      </c>
      <c r="F786" s="4" t="s">
        <v>2864</v>
      </c>
      <c r="G786" s="4" t="s">
        <v>2865</v>
      </c>
      <c r="H786" s="4" t="s">
        <v>49</v>
      </c>
      <c r="I786" s="4" t="s">
        <v>2866</v>
      </c>
      <c r="J786" s="4" t="s">
        <v>78</v>
      </c>
      <c r="K786" s="5" t="str">
        <f>HYPERLINK("https://media.licdn.com/dms/image/v2/D4E10AQHZEwCNmnv2kw/image-shrink_1280/B4EZpJFlypKMAM-/0/1762162795213/cutmanualv1png?e=2147483647&amp;v=beta&amp;t=k4bB-sfflKPBJfNxb0h-Jr8NUOB5s3mJQs8cRTUx_v8","View Creative")</f>
        <v>View Creative</v>
      </c>
      <c r="L786" s="4" t="s">
        <v>2321</v>
      </c>
      <c r="M786" s="4" t="s">
        <v>61</v>
      </c>
      <c r="N786" s="4" t="s">
        <v>5206</v>
      </c>
      <c r="O786" s="4" t="s">
        <v>89</v>
      </c>
      <c r="P786" s="4" t="s">
        <v>5239</v>
      </c>
    </row>
    <row r="787">
      <c r="A787" s="4" t="s">
        <v>40</v>
      </c>
      <c r="B787" s="4" t="s">
        <v>40</v>
      </c>
      <c r="C787" s="4">
        <v>785.0</v>
      </c>
      <c r="D787" s="5" t="str">
        <f>HYPERLINK("https://www.linkedin.com/ad-library/detail/869334744","Open Ad")</f>
        <v>Open Ad</v>
      </c>
      <c r="E787" s="4" t="s">
        <v>78</v>
      </c>
      <c r="F787" s="4" t="s">
        <v>5222</v>
      </c>
      <c r="G787" s="4" t="s">
        <v>5223</v>
      </c>
      <c r="H787" s="4" t="s">
        <v>49</v>
      </c>
      <c r="I787" s="4" t="s">
        <v>873</v>
      </c>
      <c r="J787" s="4" t="s">
        <v>78</v>
      </c>
      <c r="K787" s="5" t="str">
        <f>HYPERLINK("https://media.licdn.com/dms/image/v2/D4E10AQFG_7zCVpBVkw/image-shrink_1280/B4EZoB3CJVJ0AM-/0/1760967796232/Version3_Brand-ledAd-31png?e=2147483647&amp;v=beta&amp;t=RCCp1_8TY1Hi4FjWxizTikd6ctBT8xRU2dMB8GmVzwY","View Creative")</f>
        <v>View Creative</v>
      </c>
      <c r="L787" s="4" t="s">
        <v>60</v>
      </c>
      <c r="M787" s="4" t="s">
        <v>61</v>
      </c>
      <c r="N787" s="4" t="s">
        <v>5224</v>
      </c>
      <c r="O787" s="4" t="s">
        <v>89</v>
      </c>
      <c r="P787" s="4" t="s">
        <v>5241</v>
      </c>
    </row>
    <row r="788">
      <c r="A788" s="4" t="s">
        <v>40</v>
      </c>
      <c r="B788" s="4" t="s">
        <v>40</v>
      </c>
      <c r="C788" s="4">
        <v>786.0</v>
      </c>
      <c r="D788" s="5" t="str">
        <f>HYPERLINK("https://www.linkedin.com/ad-library/detail/894826844","Open Ad")</f>
        <v>Open Ad</v>
      </c>
      <c r="E788" s="4" t="s">
        <v>78</v>
      </c>
      <c r="F788" s="4" t="s">
        <v>5212</v>
      </c>
      <c r="G788" s="4" t="s">
        <v>5213</v>
      </c>
      <c r="H788" s="4" t="s">
        <v>49</v>
      </c>
      <c r="I788" s="4" t="s">
        <v>1858</v>
      </c>
      <c r="J788" s="4" t="s">
        <v>78</v>
      </c>
      <c r="K788" s="5" t="str">
        <f>HYPERLINK("https://media.licdn.com/dms/image/v2/D4E10AQFFie9naT181w/image-shrink_1280/B4EZpP_LTUIwAM-/0/1762278558056/9-16-Post-Sales-02png?e=2147483647&amp;v=beta&amp;t=xunLWqYcTzyySWwFYQDj7KBuDqfwhSSWHG1te0oGtxs","View Creative")</f>
        <v>View Creative</v>
      </c>
      <c r="L788" s="4" t="s">
        <v>60</v>
      </c>
      <c r="M788" s="4" t="s">
        <v>61</v>
      </c>
      <c r="N788" s="4" t="s">
        <v>5214</v>
      </c>
      <c r="O788" s="4" t="s">
        <v>89</v>
      </c>
      <c r="P788" s="4" t="s">
        <v>5242</v>
      </c>
    </row>
    <row r="789">
      <c r="A789" s="4" t="s">
        <v>40</v>
      </c>
      <c r="B789" s="4" t="s">
        <v>40</v>
      </c>
      <c r="C789" s="4">
        <v>787.0</v>
      </c>
      <c r="D789" s="5" t="str">
        <f>HYPERLINK("https://www.linkedin.com/ad-library/detail/894865704","Open Ad")</f>
        <v>Open Ad</v>
      </c>
      <c r="E789" s="4" t="s">
        <v>78</v>
      </c>
      <c r="F789" s="4" t="s">
        <v>2055</v>
      </c>
      <c r="G789" s="4" t="s">
        <v>5218</v>
      </c>
      <c r="H789" s="4" t="s">
        <v>49</v>
      </c>
      <c r="I789" s="4" t="s">
        <v>1858</v>
      </c>
      <c r="J789" s="4" t="s">
        <v>78</v>
      </c>
      <c r="K789" s="5" t="str">
        <f>HYPERLINK("https://media.licdn.com/dms/image/v2/D4E10AQFLHFMBdz60yw/image-shrink_1280/B4EZpP4dMZKkAQ-/0/1762276794611/LinkedIn-Post-Sales-011png?e=2147483647&amp;v=beta&amp;t=DNw6OZ_MNqsOa9KFBIwWMW3n9ZZuvRzU7dpx7RSZ5bU","View Creative")</f>
        <v>View Creative</v>
      </c>
      <c r="L789" s="4" t="s">
        <v>106</v>
      </c>
      <c r="M789" s="4" t="s">
        <v>61</v>
      </c>
      <c r="O789" s="4" t="s">
        <v>89</v>
      </c>
      <c r="P789" s="4" t="s">
        <v>5244</v>
      </c>
    </row>
    <row r="790">
      <c r="A790" s="4" t="s">
        <v>40</v>
      </c>
      <c r="B790" s="4" t="s">
        <v>40</v>
      </c>
      <c r="C790" s="4">
        <v>788.0</v>
      </c>
      <c r="D790" s="5" t="str">
        <f>HYPERLINK("https://www.linkedin.com/ad-library/detail/894499344","Open Ad")</f>
        <v>Open Ad</v>
      </c>
      <c r="E790" s="4" t="s">
        <v>78</v>
      </c>
      <c r="F790" s="4" t="s">
        <v>2864</v>
      </c>
      <c r="G790" s="4" t="s">
        <v>2865</v>
      </c>
      <c r="H790" s="4" t="s">
        <v>49</v>
      </c>
      <c r="I790" s="4" t="s">
        <v>2866</v>
      </c>
      <c r="J790" s="4" t="s">
        <v>78</v>
      </c>
      <c r="K790" s="5" t="str">
        <f>HYPERLINK("https://media.licdn.com/dms/image/v2/D4E10AQHmc1R2KRyshA/image-shrink_1280/B4EZpJFlykHoAM-/0/1762162794752/taketheleadv1png?e=2147483647&amp;v=beta&amp;t=u30hfMraoLz4YGWlucxL_3ImcktQp1PuQMxe5mp03-8","View Creative")</f>
        <v>View Creative</v>
      </c>
      <c r="L790" s="4" t="s">
        <v>2321</v>
      </c>
      <c r="M790" s="4" t="s">
        <v>61</v>
      </c>
      <c r="N790" s="4" t="s">
        <v>5206</v>
      </c>
      <c r="O790" s="4" t="s">
        <v>89</v>
      </c>
      <c r="P790" s="4" t="s">
        <v>5246</v>
      </c>
    </row>
    <row r="791">
      <c r="A791" s="4" t="s">
        <v>40</v>
      </c>
      <c r="B791" s="4" t="s">
        <v>40</v>
      </c>
      <c r="C791" s="4">
        <v>789.0</v>
      </c>
      <c r="D791" s="5" t="str">
        <f>HYPERLINK("https://www.linkedin.com/ad-library/detail/894549244","Open Ad")</f>
        <v>Open Ad</v>
      </c>
      <c r="E791" s="4" t="s">
        <v>78</v>
      </c>
      <c r="F791" s="4" t="s">
        <v>2864</v>
      </c>
      <c r="G791" s="4" t="s">
        <v>2865</v>
      </c>
      <c r="H791" s="4" t="s">
        <v>49</v>
      </c>
      <c r="I791" s="4" t="s">
        <v>2866</v>
      </c>
      <c r="J791" s="4" t="s">
        <v>78</v>
      </c>
      <c r="K791" s="5" t="str">
        <f>HYPERLINK("https://media.licdn.com/dms/image/v2/D4E10AQGNmJRJ2AaL9Q/image-shrink_1280/B4EZpJHOAlHEAM-/0/1762163221668/Cutmanual_v2png?e=2147483647&amp;v=beta&amp;t=87pX_7WdH1CEMUq0dRJqOLWJH_BHpsYtrJK-SbFSvIA","View Creative")</f>
        <v>View Creative</v>
      </c>
      <c r="L791" s="4" t="s">
        <v>2321</v>
      </c>
      <c r="M791" s="4" t="s">
        <v>61</v>
      </c>
      <c r="N791" s="4" t="s">
        <v>5206</v>
      </c>
      <c r="O791" s="4" t="s">
        <v>89</v>
      </c>
      <c r="P791" s="4" t="s">
        <v>5247</v>
      </c>
    </row>
    <row r="792">
      <c r="A792" s="4" t="s">
        <v>40</v>
      </c>
      <c r="B792" s="4" t="s">
        <v>40</v>
      </c>
      <c r="C792" s="4">
        <v>790.0</v>
      </c>
      <c r="D792" s="5" t="str">
        <f>HYPERLINK("https://www.linkedin.com/ad-library/detail/894479754","Open Ad")</f>
        <v>Open Ad</v>
      </c>
      <c r="E792" s="4" t="s">
        <v>78</v>
      </c>
      <c r="F792" s="4" t="s">
        <v>2864</v>
      </c>
      <c r="G792" s="4" t="s">
        <v>2865</v>
      </c>
      <c r="H792" s="4" t="s">
        <v>49</v>
      </c>
      <c r="I792" s="4" t="s">
        <v>2866</v>
      </c>
      <c r="J792" s="4" t="s">
        <v>78</v>
      </c>
      <c r="K792" s="5" t="str">
        <f>HYPERLINK("https://media.licdn.com/dms/image/v2/D4E10AQFALTRYA2PG2g/image-shrink_1280/B4EZpJHOAqIQAM-/0/1762163221643/Everytool_v2png?e=2147483647&amp;v=beta&amp;t=OdIyyNqQeBQAfaHOYFSuH72yURT95HgluqQnSEps6CM","View Creative")</f>
        <v>View Creative</v>
      </c>
      <c r="L792" s="4" t="s">
        <v>2321</v>
      </c>
      <c r="M792" s="4" t="s">
        <v>61</v>
      </c>
      <c r="N792" s="4" t="s">
        <v>5206</v>
      </c>
      <c r="O792" s="4" t="s">
        <v>89</v>
      </c>
      <c r="P792" s="4" t="s">
        <v>5249</v>
      </c>
    </row>
    <row r="793">
      <c r="A793" s="4" t="s">
        <v>40</v>
      </c>
      <c r="B793" s="4" t="s">
        <v>40</v>
      </c>
      <c r="C793" s="4">
        <v>791.0</v>
      </c>
      <c r="D793" s="5" t="str">
        <f>HYPERLINK("https://www.linkedin.com/ad-library/detail/869293924","Open Ad")</f>
        <v>Open Ad</v>
      </c>
      <c r="E793" s="4" t="s">
        <v>78</v>
      </c>
      <c r="F793" s="4" t="s">
        <v>5222</v>
      </c>
      <c r="G793" s="4" t="s">
        <v>5223</v>
      </c>
      <c r="H793" s="4" t="s">
        <v>49</v>
      </c>
      <c r="I793" s="4" t="s">
        <v>873</v>
      </c>
      <c r="J793" s="4" t="s">
        <v>78</v>
      </c>
      <c r="K793" s="5" t="str">
        <f>HYPERLINK("https://media.licdn.com/dms/image/v2/D4E10AQEaQpdiKCLsGQ/image-shrink_1280/B4EZoB3FAAHgAM-/0/1760967807974/Version3_Brand-ledAd-41png?e=2147483647&amp;v=beta&amp;t=JE04umyGLJiXk8IlnqmMKD0O7BBTQa4IT1GLswmP5NE","View Creative")</f>
        <v>View Creative</v>
      </c>
      <c r="L793" s="4" t="s">
        <v>60</v>
      </c>
      <c r="M793" s="4" t="s">
        <v>61</v>
      </c>
      <c r="N793" s="4" t="s">
        <v>5224</v>
      </c>
      <c r="O793" s="4" t="s">
        <v>89</v>
      </c>
      <c r="P793" s="4" t="s">
        <v>5250</v>
      </c>
    </row>
    <row r="794">
      <c r="A794" s="4" t="s">
        <v>40</v>
      </c>
      <c r="B794" s="4" t="s">
        <v>40</v>
      </c>
      <c r="C794" s="4">
        <v>792.0</v>
      </c>
      <c r="D794" s="5" t="str">
        <f>HYPERLINK("https://www.linkedin.com/ad-library/detail/268340844","Open Ad")</f>
        <v>Open Ad</v>
      </c>
      <c r="E794" s="4" t="s">
        <v>3048</v>
      </c>
      <c r="F794" s="4" t="s">
        <v>54</v>
      </c>
      <c r="G794" s="4" t="s">
        <v>3049</v>
      </c>
      <c r="H794" s="4" t="s">
        <v>49</v>
      </c>
      <c r="I794" s="4" t="s">
        <v>957</v>
      </c>
      <c r="J794" s="4" t="s">
        <v>3048</v>
      </c>
      <c r="K794" s="5" t="str">
        <f>HYPERLINK("https://media.licdn.com/dms/image/v2/D4E10AQETIP0ki9XErA/image-shrink_627_1200/B4EZpJsv2lIUAY-/0/1762173059264?e=1789466400&amp;v=beta&amp;t=Ed5NmSiwHq2Gy_HZH1U8jOls6zj5nqDGh6jkuZbV19I","View Creative")</f>
        <v>View Creative</v>
      </c>
      <c r="L794" s="4" t="s">
        <v>60</v>
      </c>
      <c r="M794" s="4" t="s">
        <v>61</v>
      </c>
      <c r="N794" s="4" t="s">
        <v>5206</v>
      </c>
      <c r="O794" s="4" t="s">
        <v>89</v>
      </c>
      <c r="P794" s="4" t="s">
        <v>5252</v>
      </c>
    </row>
    <row r="795">
      <c r="A795" s="4" t="s">
        <v>40</v>
      </c>
      <c r="B795" s="4" t="s">
        <v>40</v>
      </c>
      <c r="C795" s="4">
        <v>793.0</v>
      </c>
      <c r="D795" s="5" t="str">
        <f>HYPERLINK("https://www.linkedin.com/ad-library/detail/869304534","Open Ad")</f>
        <v>Open Ad</v>
      </c>
      <c r="E795" s="4" t="s">
        <v>78</v>
      </c>
      <c r="F795" s="4" t="s">
        <v>5253</v>
      </c>
      <c r="G795" s="4" t="s">
        <v>5254</v>
      </c>
      <c r="H795" s="4" t="s">
        <v>49</v>
      </c>
      <c r="I795" s="4" t="s">
        <v>957</v>
      </c>
      <c r="J795" s="4" t="s">
        <v>78</v>
      </c>
      <c r="K795" s="5" t="str">
        <f>HYPERLINK("https://media.licdn.com/dms/image/v2/D4E10AQGstCmrFyfrqw/image-shrink_1280/B4EZoB2PQaKYAM-/0/1760967587701/Version1-Persona_SEOManager1png?e=2147483647&amp;v=beta&amp;t=qcquK_sdL_w18V7hC8b5CWqzFrtL-QNtRFN1qaIdclY","View Creative")</f>
        <v>View Creative</v>
      </c>
      <c r="L795" s="4" t="s">
        <v>60</v>
      </c>
      <c r="M795" s="4" t="s">
        <v>61</v>
      </c>
      <c r="N795" s="4" t="s">
        <v>5224</v>
      </c>
      <c r="O795" s="4" t="s">
        <v>89</v>
      </c>
      <c r="P795" s="4" t="s">
        <v>5256</v>
      </c>
    </row>
    <row r="796">
      <c r="A796" s="4" t="s">
        <v>40</v>
      </c>
      <c r="B796" s="4" t="s">
        <v>40</v>
      </c>
      <c r="C796" s="4">
        <v>794.0</v>
      </c>
      <c r="D796" s="5" t="str">
        <f>HYPERLINK("https://www.linkedin.com/ad-library/detail/855635094","Open Ad")</f>
        <v>Open Ad</v>
      </c>
      <c r="E796" s="4" t="s">
        <v>78</v>
      </c>
      <c r="F796" s="4" t="s">
        <v>5257</v>
      </c>
      <c r="G796" s="4" t="s">
        <v>5258</v>
      </c>
      <c r="H796" s="4" t="s">
        <v>49</v>
      </c>
      <c r="I796" s="4" t="s">
        <v>5259</v>
      </c>
      <c r="J796" s="4" t="s">
        <v>78</v>
      </c>
      <c r="K796" s="5" t="str">
        <f>HYPERLINK("https://media.licdn.com/dms/image/v2/D4E10AQEHgpTcxaWixw/image-shrink_1280/B4EZnSuXHmIoAM-/0/1760176993415?e=2147483647&amp;v=beta&amp;t=1iIxzcUKTGkqN2ROR1ryTeLQTKzPKHw8sMlms0npIOI","View Creative")</f>
        <v>View Creative</v>
      </c>
      <c r="L796" s="4" t="s">
        <v>60</v>
      </c>
      <c r="M796" s="4" t="s">
        <v>61</v>
      </c>
      <c r="N796" s="4" t="s">
        <v>5260</v>
      </c>
      <c r="O796" s="4" t="s">
        <v>89</v>
      </c>
      <c r="P796" s="4" t="s">
        <v>5261</v>
      </c>
    </row>
    <row r="797">
      <c r="A797" s="4" t="s">
        <v>40</v>
      </c>
      <c r="B797" s="4" t="s">
        <v>40</v>
      </c>
      <c r="C797" s="4">
        <v>795.0</v>
      </c>
      <c r="D797" s="5" t="str">
        <f>HYPERLINK("https://www.linkedin.com/ad-library/detail/855635084","Open Ad")</f>
        <v>Open Ad</v>
      </c>
      <c r="E797" s="4" t="s">
        <v>78</v>
      </c>
      <c r="F797" s="4" t="s">
        <v>5257</v>
      </c>
      <c r="G797" s="4" t="s">
        <v>5263</v>
      </c>
      <c r="H797" s="4" t="s">
        <v>49</v>
      </c>
      <c r="I797" s="4" t="s">
        <v>198</v>
      </c>
      <c r="J797" s="4" t="s">
        <v>78</v>
      </c>
      <c r="K797" s="5" t="str">
        <f>HYPERLINK("https://media.licdn.com/dms/image/v2/D4E10AQG3botUGdCY3w/image-shrink_1280/B4EZnSuWw2IUAQ-/0/1760176992610?e=2147483647&amp;v=beta&amp;t=xdXo6p1BX3qyJc6dfUhwN6I88US4zPL8_10ABUz3pKY","View Creative")</f>
        <v>View Creative</v>
      </c>
      <c r="L797" s="4" t="s">
        <v>60</v>
      </c>
      <c r="M797" s="4" t="s">
        <v>61</v>
      </c>
      <c r="N797" s="4" t="s">
        <v>5260</v>
      </c>
      <c r="O797" s="4" t="s">
        <v>89</v>
      </c>
      <c r="P797" s="4" t="s">
        <v>5264</v>
      </c>
    </row>
    <row r="798">
      <c r="A798" s="4" t="s">
        <v>40</v>
      </c>
      <c r="B798" s="4" t="s">
        <v>40</v>
      </c>
      <c r="C798" s="4">
        <v>796.0</v>
      </c>
      <c r="D798" s="5" t="str">
        <f>HYPERLINK("https://www.linkedin.com/ad-library/detail/855545804","Open Ad")</f>
        <v>Open Ad</v>
      </c>
      <c r="E798" s="4" t="s">
        <v>78</v>
      </c>
      <c r="F798" s="4" t="s">
        <v>5257</v>
      </c>
      <c r="G798" s="4" t="s">
        <v>5263</v>
      </c>
      <c r="H798" s="4" t="s">
        <v>49</v>
      </c>
      <c r="I798" s="4" t="s">
        <v>198</v>
      </c>
      <c r="J798" s="4" t="s">
        <v>78</v>
      </c>
      <c r="K798" s="5" t="str">
        <f>HYPERLINK("https://media.licdn.com/dms/image/v2/D4E10AQHkKSroNsdXyA/image-shrink_1280/B4EZnSuR0GK0AM-/0/1760176971701?e=2147483647&amp;v=beta&amp;t=5HSxldzZdPLNBTbv5dPLn2fPpDB7eay7F51uMarR29c","View Creative")</f>
        <v>View Creative</v>
      </c>
      <c r="L798" s="4" t="s">
        <v>60</v>
      </c>
      <c r="M798" s="4" t="s">
        <v>61</v>
      </c>
      <c r="N798" s="4" t="s">
        <v>5260</v>
      </c>
      <c r="O798" s="4" t="s">
        <v>89</v>
      </c>
      <c r="P798" s="4" t="s">
        <v>5266</v>
      </c>
    </row>
    <row r="799">
      <c r="A799" s="4" t="s">
        <v>40</v>
      </c>
      <c r="B799" s="4" t="s">
        <v>40</v>
      </c>
      <c r="C799" s="4">
        <v>797.0</v>
      </c>
      <c r="D799" s="5" t="str">
        <f>HYPERLINK("https://www.linkedin.com/ad-library/detail/855466074","Open Ad")</f>
        <v>Open Ad</v>
      </c>
      <c r="E799" s="4" t="s">
        <v>78</v>
      </c>
      <c r="F799" s="4" t="s">
        <v>5257</v>
      </c>
      <c r="G799" s="4" t="s">
        <v>5263</v>
      </c>
      <c r="H799" s="4" t="s">
        <v>49</v>
      </c>
      <c r="I799" s="4" t="s">
        <v>198</v>
      </c>
      <c r="J799" s="4" t="s">
        <v>78</v>
      </c>
      <c r="K799" s="5" t="str">
        <f>HYPERLINK("https://media.licdn.com/dms/image/v2/D4E10AQHRNIyOiBbt7w/image-shrink_1280/B4EZnSuMQTK0AM-/0/1760176950348?e=2147483647&amp;v=beta&amp;t=VKGnn6kBU5HHIkRrQgUYnXqYNSE2X9CJfTzS5bbRUPE","View Creative")</f>
        <v>View Creative</v>
      </c>
      <c r="L799" s="4" t="s">
        <v>60</v>
      </c>
      <c r="M799" s="4" t="s">
        <v>61</v>
      </c>
      <c r="N799" s="4" t="s">
        <v>5260</v>
      </c>
      <c r="O799" s="4" t="s">
        <v>89</v>
      </c>
      <c r="P799" s="4" t="s">
        <v>5267</v>
      </c>
    </row>
    <row r="800">
      <c r="A800" s="4" t="s">
        <v>40</v>
      </c>
      <c r="B800" s="4" t="s">
        <v>40</v>
      </c>
      <c r="C800" s="4">
        <v>798.0</v>
      </c>
      <c r="D800" s="5" t="str">
        <f>HYPERLINK("https://www.linkedin.com/ad-library/detail/855515394","Open Ad")</f>
        <v>Open Ad</v>
      </c>
      <c r="E800" s="4" t="s">
        <v>78</v>
      </c>
      <c r="F800" s="4" t="s">
        <v>5257</v>
      </c>
      <c r="G800" s="4" t="s">
        <v>5258</v>
      </c>
      <c r="H800" s="4" t="s">
        <v>49</v>
      </c>
      <c r="I800" s="4" t="s">
        <v>5259</v>
      </c>
      <c r="J800" s="4" t="s">
        <v>78</v>
      </c>
      <c r="K800" s="5" t="str">
        <f>HYPERLINK("https://media.licdn.com/dms/image/v2/D4E10AQG9JDN754FyFQ/image-shrink_1280/B4EZnSuR3VIQAM-/0/1760176972008?e=2147483647&amp;v=beta&amp;t=9boTqTvYsecQeUxjW8b5eqEx1C2rHdjShuf57H3Yw3c","View Creative")</f>
        <v>View Creative</v>
      </c>
      <c r="L800" s="4" t="s">
        <v>60</v>
      </c>
      <c r="M800" s="4" t="s">
        <v>61</v>
      </c>
      <c r="N800" s="4" t="s">
        <v>5269</v>
      </c>
      <c r="O800" s="4" t="s">
        <v>89</v>
      </c>
      <c r="P800" s="4" t="s">
        <v>5270</v>
      </c>
    </row>
    <row r="801">
      <c r="A801" s="4" t="s">
        <v>40</v>
      </c>
      <c r="B801" s="4" t="s">
        <v>40</v>
      </c>
      <c r="C801" s="4">
        <v>799.0</v>
      </c>
      <c r="D801" s="5" t="str">
        <f>HYPERLINK("https://www.linkedin.com/ad-library/detail/855515384","Open Ad")</f>
        <v>Open Ad</v>
      </c>
      <c r="E801" s="4" t="s">
        <v>78</v>
      </c>
      <c r="F801" s="4" t="s">
        <v>5257</v>
      </c>
      <c r="G801" s="4" t="s">
        <v>5258</v>
      </c>
      <c r="H801" s="4" t="s">
        <v>49</v>
      </c>
      <c r="I801" s="4" t="s">
        <v>5259</v>
      </c>
      <c r="J801" s="4" t="s">
        <v>78</v>
      </c>
      <c r="K801" s="5" t="str">
        <f>HYPERLINK("https://media.licdn.com/dms/image/v2/D4E10AQHQFl7bcg-S1A/image-shrink_1280/B4EZnSuRiWHIAM-/0/1760176970655?e=2147483647&amp;v=beta&amp;t=JCJJCjTlUEntIjYjydymECEBzixpZ-nJehW7kuvMM00","View Creative")</f>
        <v>View Creative</v>
      </c>
      <c r="L801" s="4" t="s">
        <v>60</v>
      </c>
      <c r="M801" s="4" t="s">
        <v>61</v>
      </c>
      <c r="N801" s="4" t="s">
        <v>5260</v>
      </c>
      <c r="O801" s="4" t="s">
        <v>89</v>
      </c>
      <c r="P801" s="4" t="s">
        <v>5272</v>
      </c>
    </row>
    <row r="802">
      <c r="A802" s="4" t="s">
        <v>40</v>
      </c>
      <c r="B802" s="4" t="s">
        <v>40</v>
      </c>
      <c r="C802" s="4">
        <v>800.0</v>
      </c>
      <c r="D802" s="5" t="str">
        <f>HYPERLINK("https://www.linkedin.com/ad-library/detail/869364304","Open Ad")</f>
        <v>Open Ad</v>
      </c>
      <c r="E802" s="4" t="s">
        <v>78</v>
      </c>
      <c r="F802" s="4" t="s">
        <v>5273</v>
      </c>
      <c r="G802" s="4" t="s">
        <v>5274</v>
      </c>
      <c r="H802" s="4" t="s">
        <v>49</v>
      </c>
      <c r="I802" s="4" t="s">
        <v>5275</v>
      </c>
      <c r="J802" s="4" t="s">
        <v>78</v>
      </c>
      <c r="K802" s="5" t="str">
        <f>HYPERLINK("https://media.licdn.com/dms/image/v2/D4E10AQFmSmLzvFSsxA/image-shrink_1280/B4EZoB2nc5KkAQ-/0/1760967686628/Version2-Persona_MarketingLead1png?e=2147483647&amp;v=beta&amp;t=CxtNPZU8wKDo8VX7FXfoR6t0s7efpKPWXAw-oCXl-4E","View Creative")</f>
        <v>View Creative</v>
      </c>
      <c r="L802" s="4" t="s">
        <v>60</v>
      </c>
      <c r="M802" s="4" t="s">
        <v>61</v>
      </c>
      <c r="N802" s="4" t="s">
        <v>5224</v>
      </c>
      <c r="O802" s="4" t="s">
        <v>89</v>
      </c>
      <c r="P802" s="4" t="s">
        <v>5276</v>
      </c>
    </row>
    <row r="803">
      <c r="A803" s="4" t="s">
        <v>40</v>
      </c>
      <c r="B803" s="4" t="s">
        <v>40</v>
      </c>
      <c r="C803" s="4">
        <v>801.0</v>
      </c>
      <c r="D803" s="5" t="str">
        <f>HYPERLINK("https://www.linkedin.com/ad-library/detail/855673364","Open Ad")</f>
        <v>Open Ad</v>
      </c>
      <c r="E803" s="4" t="s">
        <v>78</v>
      </c>
      <c r="F803" s="4" t="s">
        <v>5257</v>
      </c>
      <c r="G803" s="4" t="s">
        <v>5263</v>
      </c>
      <c r="H803" s="4" t="s">
        <v>49</v>
      </c>
      <c r="I803" s="4" t="s">
        <v>198</v>
      </c>
      <c r="J803" s="4" t="s">
        <v>78</v>
      </c>
      <c r="K803" s="5" t="str">
        <f>HYPERLINK("https://media.licdn.com/dms/image/v2/D4E10AQFB5XY8FBw9hQ/image-shrink_1280/B4EZnSuRpYIQAM-/0/1760176971354?e=2147483647&amp;v=beta&amp;t=_dbm0UuEtImSSuxsgTmQGIxNvWRB15CfHPk4J03s9jY","View Creative")</f>
        <v>View Creative</v>
      </c>
      <c r="L803" s="4" t="s">
        <v>60</v>
      </c>
      <c r="M803" s="4" t="s">
        <v>61</v>
      </c>
      <c r="N803" s="4" t="s">
        <v>5260</v>
      </c>
      <c r="O803" s="4" t="s">
        <v>89</v>
      </c>
      <c r="P803" s="4" t="s">
        <v>5278</v>
      </c>
    </row>
    <row r="804">
      <c r="A804" s="4" t="s">
        <v>40</v>
      </c>
      <c r="B804" s="4" t="s">
        <v>40</v>
      </c>
      <c r="C804" s="4">
        <v>802.0</v>
      </c>
      <c r="D804" s="5" t="str">
        <f>HYPERLINK("https://www.linkedin.com/ad-library/detail/855515374","Open Ad")</f>
        <v>Open Ad</v>
      </c>
      <c r="E804" s="4" t="s">
        <v>78</v>
      </c>
      <c r="F804" s="4" t="s">
        <v>5257</v>
      </c>
      <c r="G804" s="4" t="s">
        <v>5258</v>
      </c>
      <c r="H804" s="4" t="s">
        <v>49</v>
      </c>
      <c r="I804" s="4" t="s">
        <v>5259</v>
      </c>
      <c r="J804" s="4" t="s">
        <v>78</v>
      </c>
      <c r="K804" s="5" t="str">
        <f>HYPERLINK("https://media.licdn.com/dms/image/v2/D4E10AQGy8H11xBJa_w/image-shrink_1280/B4EZnSuLurIMAM-/0/1760176947433?e=2147483647&amp;v=beta&amp;t=uw-jKGACcQDyvE3Zg4mobmWaQ0TwRDbC1WhWssjHECM","View Creative")</f>
        <v>View Creative</v>
      </c>
      <c r="L804" s="4" t="s">
        <v>60</v>
      </c>
      <c r="M804" s="4" t="s">
        <v>61</v>
      </c>
      <c r="N804" s="4" t="s">
        <v>5260</v>
      </c>
      <c r="O804" s="4" t="s">
        <v>89</v>
      </c>
      <c r="P804" s="4" t="s">
        <v>5279</v>
      </c>
    </row>
    <row r="805">
      <c r="A805" s="4" t="s">
        <v>40</v>
      </c>
      <c r="B805" s="4" t="s">
        <v>40</v>
      </c>
      <c r="C805" s="4">
        <v>803.0</v>
      </c>
      <c r="D805" s="5" t="str">
        <f>HYPERLINK("https://www.linkedin.com/ad-library/detail/855604784","Open Ad")</f>
        <v>Open Ad</v>
      </c>
      <c r="E805" s="4" t="s">
        <v>78</v>
      </c>
      <c r="F805" s="4" t="s">
        <v>5257</v>
      </c>
      <c r="G805" s="4" t="s">
        <v>5258</v>
      </c>
      <c r="H805" s="4" t="s">
        <v>49</v>
      </c>
      <c r="I805" s="4" t="s">
        <v>5259</v>
      </c>
      <c r="J805" s="4" t="s">
        <v>78</v>
      </c>
      <c r="K805" s="5" t="str">
        <f>HYPERLINK("https://media.licdn.com/dms/image/v2/D4E10AQFH7WynemVjGA/image-shrink_1280/B4EZnSuLh_IQAM-/0/1760176946283?e=2147483647&amp;v=beta&amp;t=6_4Njcba9tqG5PlicG74c2V3vnbWQeERmKUb4OimT4s","View Creative")</f>
        <v>View Creative</v>
      </c>
      <c r="L805" s="4" t="s">
        <v>60</v>
      </c>
      <c r="M805" s="4" t="s">
        <v>61</v>
      </c>
      <c r="N805" s="4" t="s">
        <v>5260</v>
      </c>
      <c r="O805" s="4" t="s">
        <v>89</v>
      </c>
      <c r="P805" s="4" t="s">
        <v>5281</v>
      </c>
    </row>
    <row r="806">
      <c r="A806" s="4" t="s">
        <v>40</v>
      </c>
      <c r="B806" s="4" t="s">
        <v>40</v>
      </c>
      <c r="C806" s="4">
        <v>804.0</v>
      </c>
      <c r="D806" s="5" t="str">
        <f>HYPERLINK("https://www.linkedin.com/ad-library/detail/855495934","Open Ad")</f>
        <v>Open Ad</v>
      </c>
      <c r="E806" s="4" t="s">
        <v>78</v>
      </c>
      <c r="F806" s="4" t="s">
        <v>5257</v>
      </c>
      <c r="G806" s="4" t="s">
        <v>5263</v>
      </c>
      <c r="H806" s="4" t="s">
        <v>49</v>
      </c>
      <c r="I806" s="4" t="s">
        <v>198</v>
      </c>
      <c r="J806" s="4" t="s">
        <v>78</v>
      </c>
      <c r="K806" s="5" t="str">
        <f>HYPERLINK("https://media.licdn.com/dms/image/v2/D4E10AQETHF7xSSYX8w/image-shrink_1280/B4EZnSuRhYHgAM-/0/1760176971103?e=2147483647&amp;v=beta&amp;t=FkAEHqYxBZV_StRnXvb2zwLQsRgBxZZH8N93AQr-3NU","View Creative")</f>
        <v>View Creative</v>
      </c>
      <c r="L806" s="4" t="s">
        <v>60</v>
      </c>
      <c r="M806" s="4" t="s">
        <v>61</v>
      </c>
      <c r="N806" s="4" t="s">
        <v>5283</v>
      </c>
      <c r="O806" s="4" t="s">
        <v>89</v>
      </c>
      <c r="P806" s="4" t="s">
        <v>5284</v>
      </c>
    </row>
    <row r="807">
      <c r="A807" s="4" t="s">
        <v>40</v>
      </c>
      <c r="B807" s="4" t="s">
        <v>40</v>
      </c>
      <c r="C807" s="4">
        <v>805.0</v>
      </c>
      <c r="D807" s="5" t="str">
        <f>HYPERLINK("https://www.linkedin.com/ad-library/detail/862799454","Open Ad")</f>
        <v>Open Ad</v>
      </c>
      <c r="E807" s="4" t="s">
        <v>121</v>
      </c>
      <c r="F807" s="4" t="s">
        <v>54</v>
      </c>
      <c r="G807" s="4" t="s">
        <v>5285</v>
      </c>
      <c r="H807" s="4" t="s">
        <v>49</v>
      </c>
      <c r="I807" s="4" t="s">
        <v>5286</v>
      </c>
      <c r="J807" s="4" t="s">
        <v>121</v>
      </c>
      <c r="K807" s="5" t="str">
        <f>HYPERLINK("https://dms.licdn.com/playlist/vid/v2/D4D10AQHCl7oLxW7e6w/mp4-640p-30fp-crf28/B4DZnykS3dIcBM-/0/1760711231236?e=2147483647&amp;v=beta&amp;t=1y6POtFAEXPqKtGGU3ynrDSO5n-J9gOj-eQuiLo3xKQ","View Creative")</f>
        <v>View Creative</v>
      </c>
      <c r="L807" s="4" t="s">
        <v>60</v>
      </c>
      <c r="M807" s="4" t="s">
        <v>61</v>
      </c>
      <c r="N807" s="4" t="s">
        <v>5288</v>
      </c>
      <c r="O807" s="4" t="s">
        <v>89</v>
      </c>
      <c r="P807" s="4" t="s">
        <v>5289</v>
      </c>
    </row>
    <row r="808">
      <c r="A808" s="4" t="s">
        <v>40</v>
      </c>
      <c r="B808" s="4" t="s">
        <v>40</v>
      </c>
      <c r="C808" s="4">
        <v>806.0</v>
      </c>
      <c r="D808" s="5" t="str">
        <f>HYPERLINK("https://www.linkedin.com/ad-library/detail/855476024","Open Ad")</f>
        <v>Open Ad</v>
      </c>
      <c r="E808" s="4" t="s">
        <v>78</v>
      </c>
      <c r="F808" s="4" t="s">
        <v>5257</v>
      </c>
      <c r="G808" s="4" t="s">
        <v>5263</v>
      </c>
      <c r="H808" s="4" t="s">
        <v>49</v>
      </c>
      <c r="I808" s="4" t="s">
        <v>198</v>
      </c>
      <c r="J808" s="4" t="s">
        <v>78</v>
      </c>
      <c r="K808" s="5" t="str">
        <f>HYPERLINK("https://media.licdn.com/dms/image/v2/D4E10AQGtNC852w9tww/image-shrink_1280/B4EZnSuLdyIwAM-/0/1760176947217?e=2147483647&amp;v=beta&amp;t=BQdc6fnt5CU8h8XnydpUAQAbP5bDjo6yYuHUdpNQQ9Q","View Creative")</f>
        <v>View Creative</v>
      </c>
      <c r="L808" s="4" t="s">
        <v>60</v>
      </c>
      <c r="M808" s="4" t="s">
        <v>61</v>
      </c>
      <c r="N808" s="4" t="s">
        <v>5260</v>
      </c>
      <c r="O808" s="4" t="s">
        <v>89</v>
      </c>
      <c r="P808" s="4" t="s">
        <v>5290</v>
      </c>
    </row>
    <row r="809">
      <c r="A809" s="4" t="s">
        <v>40</v>
      </c>
      <c r="B809" s="4" t="s">
        <v>40</v>
      </c>
      <c r="C809" s="4">
        <v>807.0</v>
      </c>
      <c r="D809" s="5" t="str">
        <f>HYPERLINK("https://www.linkedin.com/ad-library/detail/855445834","Open Ad")</f>
        <v>Open Ad</v>
      </c>
      <c r="E809" s="4" t="s">
        <v>78</v>
      </c>
      <c r="F809" s="4" t="s">
        <v>5257</v>
      </c>
      <c r="G809" s="4" t="s">
        <v>5263</v>
      </c>
      <c r="H809" s="4" t="s">
        <v>49</v>
      </c>
      <c r="I809" s="4" t="s">
        <v>198</v>
      </c>
      <c r="J809" s="4" t="s">
        <v>78</v>
      </c>
      <c r="K809" s="5" t="str">
        <f>HYPERLINK("https://media.licdn.com/dms/image/v2/D4E10AQFSJsE208rxVA/image-shrink_1280/B4EZnSuLf2KYAM-/0/1760176946249?e=2147483647&amp;v=beta&amp;t=Bs0lHDELs4phY26X019oiCLX4FrtE13AiWIsx63f22U","View Creative")</f>
        <v>View Creative</v>
      </c>
      <c r="L809" s="4" t="s">
        <v>60</v>
      </c>
      <c r="M809" s="4" t="s">
        <v>61</v>
      </c>
      <c r="N809" s="4" t="s">
        <v>5260</v>
      </c>
      <c r="O809" s="4" t="s">
        <v>89</v>
      </c>
      <c r="P809" s="4" t="s">
        <v>5292</v>
      </c>
    </row>
    <row r="810">
      <c r="A810" s="4" t="s">
        <v>40</v>
      </c>
      <c r="B810" s="4" t="s">
        <v>40</v>
      </c>
      <c r="C810" s="4">
        <v>808.0</v>
      </c>
      <c r="D810" s="5" t="str">
        <f>HYPERLINK("https://www.linkedin.com/ad-library/detail/862939914","Open Ad")</f>
        <v>Open Ad</v>
      </c>
      <c r="E810" s="4" t="s">
        <v>121</v>
      </c>
      <c r="F810" s="4" t="s">
        <v>54</v>
      </c>
      <c r="G810" s="4" t="s">
        <v>5293</v>
      </c>
      <c r="H810" s="4" t="s">
        <v>49</v>
      </c>
      <c r="I810" s="4" t="s">
        <v>198</v>
      </c>
      <c r="J810" s="4" t="s">
        <v>121</v>
      </c>
      <c r="K810" s="5" t="str">
        <f>HYPERLINK("https://dms.licdn.com/playlist/vid/v2/D4D10AQEwPkB3qrpmOg/mp4-720p-30fp-crf28/B4DZniFJZ7JcBs-/0/1760434629613?e=2147483647&amp;v=beta&amp;t=lxcp20ldCEfKUH4VpIXHA4JLwVzz9gA6DweouZpf4BM","View Creative")</f>
        <v>View Creative</v>
      </c>
      <c r="L810" s="4" t="s">
        <v>60</v>
      </c>
      <c r="M810" s="4" t="s">
        <v>61</v>
      </c>
      <c r="N810" s="4" t="s">
        <v>5288</v>
      </c>
      <c r="O810" s="4" t="s">
        <v>89</v>
      </c>
      <c r="P810" s="4" t="s">
        <v>5294</v>
      </c>
    </row>
    <row r="811">
      <c r="A811" s="4" t="s">
        <v>40</v>
      </c>
      <c r="B811" s="4" t="s">
        <v>40</v>
      </c>
      <c r="C811" s="4">
        <v>809.0</v>
      </c>
      <c r="D811" s="5" t="str">
        <f>HYPERLINK("https://www.linkedin.com/ad-library/detail/855476014","Open Ad")</f>
        <v>Open Ad</v>
      </c>
      <c r="E811" s="4" t="s">
        <v>78</v>
      </c>
      <c r="F811" s="4" t="s">
        <v>5257</v>
      </c>
      <c r="G811" s="4" t="s">
        <v>5258</v>
      </c>
      <c r="H811" s="4" t="s">
        <v>49</v>
      </c>
      <c r="I811" s="4" t="s">
        <v>5259</v>
      </c>
      <c r="J811" s="4" t="s">
        <v>78</v>
      </c>
      <c r="K811" s="5" t="str">
        <f>HYPERLINK("https://media.licdn.com/dms/image/v2/D4E10AQF5zzSieOqXYA/image-shrink_1280/B4EZnSuLnbKwAM-/0/1760176946676?e=2147483647&amp;v=beta&amp;t=sZye4axh1ugBiHzPocyBrKKc1DVxDuy-8hza4iyvq7E","View Creative")</f>
        <v>View Creative</v>
      </c>
      <c r="L811" s="4" t="s">
        <v>60</v>
      </c>
      <c r="M811" s="4" t="s">
        <v>61</v>
      </c>
      <c r="N811" s="4" t="s">
        <v>5260</v>
      </c>
      <c r="O811" s="4" t="s">
        <v>89</v>
      </c>
      <c r="P811" s="4" t="s">
        <v>5296</v>
      </c>
    </row>
    <row r="812">
      <c r="A812" s="4" t="s">
        <v>40</v>
      </c>
      <c r="B812" s="4" t="s">
        <v>40</v>
      </c>
      <c r="C812" s="4">
        <v>810.0</v>
      </c>
      <c r="D812" s="5" t="str">
        <f>HYPERLINK("https://www.linkedin.com/ad-library/detail/855644324","Open Ad")</f>
        <v>Open Ad</v>
      </c>
      <c r="E812" s="4" t="s">
        <v>78</v>
      </c>
      <c r="F812" s="4" t="s">
        <v>5257</v>
      </c>
      <c r="G812" s="4" t="s">
        <v>5258</v>
      </c>
      <c r="H812" s="4" t="s">
        <v>49</v>
      </c>
      <c r="I812" s="4" t="s">
        <v>5259</v>
      </c>
      <c r="J812" s="4" t="s">
        <v>78</v>
      </c>
      <c r="K812" s="5" t="str">
        <f>HYPERLINK("https://media.licdn.com/dms/image/v2/D4E10AQFVz9fjD3yl2A/image-shrink_1280/B4EZnSuR2PHMAQ-/0/1760176972005?e=2147483647&amp;v=beta&amp;t=1XgB74Y_b8GNPQcNcFOTuw1ySOjuTBmu1jsMvBYHcoE","View Creative")</f>
        <v>View Creative</v>
      </c>
      <c r="L812" s="4" t="s">
        <v>60</v>
      </c>
      <c r="M812" s="4" t="s">
        <v>61</v>
      </c>
      <c r="N812" s="4" t="s">
        <v>5260</v>
      </c>
      <c r="O812" s="4" t="s">
        <v>89</v>
      </c>
      <c r="P812" s="4" t="s">
        <v>5298</v>
      </c>
    </row>
    <row r="813">
      <c r="A813" s="4" t="s">
        <v>40</v>
      </c>
      <c r="B813" s="4" t="s">
        <v>40</v>
      </c>
      <c r="C813" s="4">
        <v>811.0</v>
      </c>
      <c r="D813" s="5" t="str">
        <f>HYPERLINK("https://www.linkedin.com/ad-library/detail/855575504","Open Ad")</f>
        <v>Open Ad</v>
      </c>
      <c r="E813" s="4" t="s">
        <v>78</v>
      </c>
      <c r="F813" s="4" t="s">
        <v>5257</v>
      </c>
      <c r="G813" s="4" t="s">
        <v>5258</v>
      </c>
      <c r="H813" s="4" t="s">
        <v>49</v>
      </c>
      <c r="I813" s="4" t="s">
        <v>5259</v>
      </c>
      <c r="J813" s="4" t="s">
        <v>78</v>
      </c>
      <c r="K813" s="5" t="str">
        <f>HYPERLINK("https://media.licdn.com/dms/image/v2/D4E10AQGZEGMUzoYP7w/image-shrink_1280/B4EZnSuRlbKwAM-/0/1760176972187?e=2147483647&amp;v=beta&amp;t=bCvjrtMO8hvlXQ1WvEaBwCeBHEckELPi9JyRTuG7RBg","View Creative")</f>
        <v>View Creative</v>
      </c>
      <c r="L813" s="4" t="s">
        <v>60</v>
      </c>
      <c r="M813" s="4" t="s">
        <v>61</v>
      </c>
      <c r="N813" s="4" t="s">
        <v>5269</v>
      </c>
      <c r="O813" s="4" t="s">
        <v>89</v>
      </c>
      <c r="P813" s="4" t="s">
        <v>5299</v>
      </c>
    </row>
    <row r="814">
      <c r="A814" s="4" t="s">
        <v>40</v>
      </c>
      <c r="B814" s="4" t="s">
        <v>40</v>
      </c>
      <c r="C814" s="4">
        <v>812.0</v>
      </c>
      <c r="D814" s="5" t="str">
        <f>HYPERLINK("https://www.linkedin.com/ad-library/detail/855644314","Open Ad")</f>
        <v>Open Ad</v>
      </c>
      <c r="E814" s="4" t="s">
        <v>78</v>
      </c>
      <c r="F814" s="4" t="s">
        <v>5257</v>
      </c>
      <c r="G814" s="4" t="s">
        <v>5263</v>
      </c>
      <c r="H814" s="4" t="s">
        <v>49</v>
      </c>
      <c r="I814" s="4" t="s">
        <v>198</v>
      </c>
      <c r="J814" s="4" t="s">
        <v>78</v>
      </c>
      <c r="K814" s="5" t="str">
        <f>HYPERLINK("https://media.licdn.com/dms/image/v2/D4E10AQG7Ie4QVIcs4w/image-shrink_1280/B4EZnSuRmxGcAM-/0/1760176970878?e=2147483647&amp;v=beta&amp;t=3mg8bq7OYCdh3QMM8k_rLKcw1pQGRzagIa5OiEK84JI","View Creative")</f>
        <v>View Creative</v>
      </c>
      <c r="L814" s="4" t="s">
        <v>60</v>
      </c>
      <c r="M814" s="4" t="s">
        <v>61</v>
      </c>
      <c r="N814" s="4" t="s">
        <v>5260</v>
      </c>
      <c r="O814" s="4" t="s">
        <v>89</v>
      </c>
      <c r="P814" s="4" t="s">
        <v>5301</v>
      </c>
    </row>
    <row r="815">
      <c r="A815" s="4" t="s">
        <v>40</v>
      </c>
      <c r="B815" s="4" t="s">
        <v>40</v>
      </c>
      <c r="C815" s="4">
        <v>813.0</v>
      </c>
      <c r="D815" s="5" t="str">
        <f>HYPERLINK("https://www.linkedin.com/ad-library/detail/855555414","Open Ad")</f>
        <v>Open Ad</v>
      </c>
      <c r="E815" s="4" t="s">
        <v>78</v>
      </c>
      <c r="F815" s="4" t="s">
        <v>5257</v>
      </c>
      <c r="G815" s="4" t="s">
        <v>5258</v>
      </c>
      <c r="H815" s="4" t="s">
        <v>49</v>
      </c>
      <c r="I815" s="4" t="s">
        <v>5259</v>
      </c>
      <c r="J815" s="4" t="s">
        <v>78</v>
      </c>
      <c r="K815" s="5" t="str">
        <f>HYPERLINK("https://media.licdn.com/dms/image/v2/D4E10AQFWnD0dcIh8nQ/image-shrink_1280/B4EZnSuLWQGUAM-/0/1760176945626?e=2147483647&amp;v=beta&amp;t=Mg5jChebHz-JlrTJAH548B_U6wfwsZ_Ubtqwl1Wx9wU","View Creative")</f>
        <v>View Creative</v>
      </c>
      <c r="L815" s="4" t="s">
        <v>60</v>
      </c>
      <c r="M815" s="4" t="s">
        <v>61</v>
      </c>
      <c r="N815" s="4" t="s">
        <v>5260</v>
      </c>
      <c r="O815" s="4" t="s">
        <v>89</v>
      </c>
      <c r="P815" s="4" t="s">
        <v>5303</v>
      </c>
    </row>
    <row r="816">
      <c r="A816" s="4" t="s">
        <v>40</v>
      </c>
      <c r="B816" s="4" t="s">
        <v>40</v>
      </c>
      <c r="C816" s="4">
        <v>814.0</v>
      </c>
      <c r="D816" s="5" t="str">
        <f>HYPERLINK("https://www.linkedin.com/ad-library/detail/855663664","Open Ad")</f>
        <v>Open Ad</v>
      </c>
      <c r="E816" s="4" t="s">
        <v>78</v>
      </c>
      <c r="F816" s="4" t="s">
        <v>5257</v>
      </c>
      <c r="G816" s="4" t="s">
        <v>5263</v>
      </c>
      <c r="H816" s="4" t="s">
        <v>49</v>
      </c>
      <c r="I816" s="4" t="s">
        <v>198</v>
      </c>
      <c r="J816" s="4" t="s">
        <v>78</v>
      </c>
      <c r="K816" s="5" t="str">
        <f>HYPERLINK("https://media.licdn.com/dms/image/v2/D4E10AQExWEtp2fhwtg/image-shrink_1280/B4EZnSuRwkGYAM-/0/1760176971397?e=2147483647&amp;v=beta&amp;t=GQHSi8xpYre4WK45ZCco7RlDcThKWCqPbVt4Oyo95j8","View Creative")</f>
        <v>View Creative</v>
      </c>
      <c r="L816" s="4" t="s">
        <v>60</v>
      </c>
      <c r="M816" s="4" t="s">
        <v>61</v>
      </c>
      <c r="N816" s="4" t="s">
        <v>5304</v>
      </c>
      <c r="O816" s="4" t="s">
        <v>89</v>
      </c>
      <c r="P816" s="4" t="s">
        <v>5305</v>
      </c>
    </row>
    <row r="817">
      <c r="A817" s="4" t="s">
        <v>40</v>
      </c>
      <c r="B817" s="4" t="s">
        <v>40</v>
      </c>
      <c r="C817" s="4">
        <v>815.0</v>
      </c>
      <c r="D817" s="5" t="str">
        <f>HYPERLINK("https://www.linkedin.com/ad-library/detail/855625014","Open Ad")</f>
        <v>Open Ad</v>
      </c>
      <c r="E817" s="4" t="s">
        <v>78</v>
      </c>
      <c r="F817" s="4" t="s">
        <v>5257</v>
      </c>
      <c r="G817" s="4" t="s">
        <v>5258</v>
      </c>
      <c r="H817" s="4" t="s">
        <v>49</v>
      </c>
      <c r="I817" s="4" t="s">
        <v>5259</v>
      </c>
      <c r="J817" s="4" t="s">
        <v>78</v>
      </c>
      <c r="K817" s="5" t="str">
        <f>HYPERLINK("https://media.licdn.com/dms/image/v2/D4E10AQH7yLXHy3Ga8g/image-shrink_1280/B4EZnSuRuGK0AM-/0/1760176971250?e=2147483647&amp;v=beta&amp;t=Mn0x5cOKvJjiuPAq9-QJtQCfsZ60oROHxQkHjS6K010","View Creative")</f>
        <v>View Creative</v>
      </c>
      <c r="L817" s="4" t="s">
        <v>60</v>
      </c>
      <c r="M817" s="4" t="s">
        <v>61</v>
      </c>
      <c r="N817" s="4" t="s">
        <v>5260</v>
      </c>
      <c r="O817" s="4" t="s">
        <v>89</v>
      </c>
      <c r="P817" s="4" t="s">
        <v>5307</v>
      </c>
    </row>
    <row r="818">
      <c r="A818" s="4" t="s">
        <v>40</v>
      </c>
      <c r="B818" s="4" t="s">
        <v>40</v>
      </c>
      <c r="C818" s="4">
        <v>816.0</v>
      </c>
      <c r="D818" s="5" t="str">
        <f>HYPERLINK("https://www.linkedin.com/ad-library/detail/855663654","Open Ad")</f>
        <v>Open Ad</v>
      </c>
      <c r="E818" s="4" t="s">
        <v>78</v>
      </c>
      <c r="F818" s="4" t="s">
        <v>5257</v>
      </c>
      <c r="G818" s="4" t="s">
        <v>5263</v>
      </c>
      <c r="H818" s="4" t="s">
        <v>49</v>
      </c>
      <c r="I818" s="4" t="s">
        <v>198</v>
      </c>
      <c r="J818" s="4" t="s">
        <v>78</v>
      </c>
      <c r="K818" s="5" t="str">
        <f>HYPERLINK("https://media.licdn.com/dms/image/v2/D4E10AQH4Y-r3DPfPdA/image-shrink_1280/B4EZnSuLZsK0AM-/0/1760176946915?e=2147483647&amp;v=beta&amp;t=Q3N6U6U8u6DNRL2Yvx9t8IIvHs3kgiIVKaubWQd4Ml4","View Creative")</f>
        <v>View Creative</v>
      </c>
      <c r="L818" s="4" t="s">
        <v>60</v>
      </c>
      <c r="M818" s="4" t="s">
        <v>61</v>
      </c>
      <c r="N818" s="4" t="s">
        <v>5304</v>
      </c>
      <c r="O818" s="4" t="s">
        <v>89</v>
      </c>
      <c r="P818" s="4" t="s">
        <v>5308</v>
      </c>
    </row>
    <row r="819">
      <c r="A819" s="4" t="s">
        <v>40</v>
      </c>
      <c r="B819" s="4" t="s">
        <v>40</v>
      </c>
      <c r="C819" s="4">
        <v>817.0</v>
      </c>
      <c r="D819" s="5" t="str">
        <f>HYPERLINK("https://www.linkedin.com/ad-library/detail/855635074","Open Ad")</f>
        <v>Open Ad</v>
      </c>
      <c r="E819" s="4" t="s">
        <v>78</v>
      </c>
      <c r="F819" s="4" t="s">
        <v>5257</v>
      </c>
      <c r="G819" s="4" t="s">
        <v>5258</v>
      </c>
      <c r="H819" s="4" t="s">
        <v>49</v>
      </c>
      <c r="I819" s="4" t="s">
        <v>5259</v>
      </c>
      <c r="J819" s="4" t="s">
        <v>78</v>
      </c>
      <c r="K819" s="5" t="str">
        <f>HYPERLINK("https://media.licdn.com/dms/image/v2/D4E10AQHN_4f_4ldzzA/image-shrink_1280/B4EZnSuGS3KYAM-/0/1760176925219?e=2147483647&amp;v=beta&amp;t=QnoBgZTP9Huoc6KFCoHrjPPxu5luMxHJTEU2UV5I8W8","View Creative")</f>
        <v>View Creative</v>
      </c>
      <c r="L819" s="4" t="s">
        <v>60</v>
      </c>
      <c r="M819" s="4" t="s">
        <v>61</v>
      </c>
      <c r="N819" s="4" t="s">
        <v>5260</v>
      </c>
      <c r="O819" s="4" t="s">
        <v>89</v>
      </c>
      <c r="P819" s="4" t="s">
        <v>5310</v>
      </c>
    </row>
    <row r="820">
      <c r="A820" s="4" t="s">
        <v>40</v>
      </c>
      <c r="B820" s="4" t="s">
        <v>40</v>
      </c>
      <c r="C820" s="4">
        <v>818.0</v>
      </c>
      <c r="D820" s="5" t="str">
        <f>HYPERLINK("https://www.linkedin.com/ad-library/detail/855644304","Open Ad")</f>
        <v>Open Ad</v>
      </c>
      <c r="E820" s="4" t="s">
        <v>78</v>
      </c>
      <c r="F820" s="4" t="s">
        <v>5257</v>
      </c>
      <c r="G820" s="4" t="s">
        <v>5258</v>
      </c>
      <c r="H820" s="4" t="s">
        <v>49</v>
      </c>
      <c r="I820" s="4" t="s">
        <v>5259</v>
      </c>
      <c r="J820" s="4" t="s">
        <v>78</v>
      </c>
      <c r="K820" s="5" t="str">
        <f>HYPERLINK("https://media.licdn.com/dms/image/v2/D4E10AQEWrmdn1dWcGA/image-shrink_1280/B4EZnSuGTZHgAM-/0/1760176924538?e=2147483647&amp;v=beta&amp;t=Gs8pj2jQ-okW9CbBRNtsy2mO-HkHfpI_5_qdL0Xiay8","View Creative")</f>
        <v>View Creative</v>
      </c>
      <c r="L820" s="4" t="s">
        <v>60</v>
      </c>
      <c r="M820" s="4" t="s">
        <v>61</v>
      </c>
      <c r="N820" s="4" t="s">
        <v>5260</v>
      </c>
      <c r="O820" s="4" t="s">
        <v>89</v>
      </c>
      <c r="P820" s="4" t="s">
        <v>5312</v>
      </c>
    </row>
    <row r="821">
      <c r="A821" s="4" t="s">
        <v>40</v>
      </c>
      <c r="B821" s="4" t="s">
        <v>40</v>
      </c>
      <c r="C821" s="4">
        <v>819.0</v>
      </c>
      <c r="D821" s="5" t="str">
        <f>HYPERLINK("https://www.linkedin.com/ad-library/detail/855575494","Open Ad")</f>
        <v>Open Ad</v>
      </c>
      <c r="E821" s="4" t="s">
        <v>78</v>
      </c>
      <c r="F821" s="4" t="s">
        <v>5257</v>
      </c>
      <c r="G821" s="4" t="s">
        <v>5263</v>
      </c>
      <c r="H821" s="4" t="s">
        <v>49</v>
      </c>
      <c r="I821" s="4" t="s">
        <v>198</v>
      </c>
      <c r="J821" s="4" t="s">
        <v>78</v>
      </c>
      <c r="K821" s="5" t="str">
        <f>HYPERLINK("https://media.licdn.com/dms/image/v2/D4E10AQEIvJLHK3lGjg/image-shrink_1280/B4EZnSuAsxIMAM-/0/1760176901953?e=2147483647&amp;v=beta&amp;t=7TOpMVX6l69pzITXM6gUYIlnuF9-xHNQ0qZxmjwNqpM","View Creative")</f>
        <v>View Creative</v>
      </c>
      <c r="L821" s="4" t="s">
        <v>60</v>
      </c>
      <c r="M821" s="4" t="s">
        <v>61</v>
      </c>
      <c r="N821" s="4" t="s">
        <v>5260</v>
      </c>
      <c r="O821" s="4" t="s">
        <v>89</v>
      </c>
      <c r="P821" s="4" t="s">
        <v>5313</v>
      </c>
    </row>
    <row r="822">
      <c r="A822" s="4" t="s">
        <v>40</v>
      </c>
      <c r="B822" s="4" t="s">
        <v>40</v>
      </c>
      <c r="C822" s="4">
        <v>820.0</v>
      </c>
      <c r="D822" s="5" t="str">
        <f>HYPERLINK("https://www.linkedin.com/ad-library/detail/855555394","Open Ad")</f>
        <v>Open Ad</v>
      </c>
      <c r="E822" s="4" t="s">
        <v>78</v>
      </c>
      <c r="F822" s="4" t="s">
        <v>5257</v>
      </c>
      <c r="G822" s="4" t="s">
        <v>5263</v>
      </c>
      <c r="H822" s="4" t="s">
        <v>49</v>
      </c>
      <c r="I822" s="4" t="s">
        <v>198</v>
      </c>
      <c r="J822" s="4" t="s">
        <v>78</v>
      </c>
      <c r="K822" s="5" t="str">
        <f>HYPERLINK("https://media.licdn.com/dms/image/v2/D4E10AQG46GnOssXyAw/image-shrink_1280/B4EZnSuGUEHEAM-/0/1760176924779?e=2147483647&amp;v=beta&amp;t=8kXC5SFJphdcyqi71YVK1C_E_eGTFBsG9iP7yOM3QPg","View Creative")</f>
        <v>View Creative</v>
      </c>
      <c r="L822" s="4" t="s">
        <v>60</v>
      </c>
      <c r="M822" s="4" t="s">
        <v>61</v>
      </c>
      <c r="N822" s="4" t="s">
        <v>5260</v>
      </c>
      <c r="O822" s="4" t="s">
        <v>89</v>
      </c>
      <c r="P822" s="4" t="s">
        <v>5315</v>
      </c>
    </row>
    <row r="823">
      <c r="A823" s="4" t="s">
        <v>40</v>
      </c>
      <c r="B823" s="4" t="s">
        <v>40</v>
      </c>
      <c r="C823" s="4">
        <v>821.0</v>
      </c>
      <c r="D823" s="5" t="str">
        <f>HYPERLINK("https://www.linkedin.com/ad-library/detail/855585204","Open Ad")</f>
        <v>Open Ad</v>
      </c>
      <c r="E823" s="4" t="s">
        <v>78</v>
      </c>
      <c r="F823" s="4" t="s">
        <v>5257</v>
      </c>
      <c r="G823" s="4" t="s">
        <v>5258</v>
      </c>
      <c r="H823" s="4" t="s">
        <v>49</v>
      </c>
      <c r="I823" s="4" t="s">
        <v>5259</v>
      </c>
      <c r="J823" s="4" t="s">
        <v>78</v>
      </c>
      <c r="K823" s="5" t="str">
        <f>HYPERLINK("https://media.licdn.com/dms/image/v2/D4E10AQEs5CK8-pXBsQ/image-shrink_1280/B4EZnSuAlcHEAQ-/0/1760176902888?e=2147483647&amp;v=beta&amp;t=l2IBQhsavFujr8opk97-WfUfanj7ROjSZyakNBEGHI8","View Creative")</f>
        <v>View Creative</v>
      </c>
      <c r="L823" s="4" t="s">
        <v>60</v>
      </c>
      <c r="M823" s="4" t="s">
        <v>61</v>
      </c>
      <c r="N823" s="4" t="s">
        <v>5260</v>
      </c>
      <c r="O823" s="4" t="s">
        <v>89</v>
      </c>
      <c r="P823" s="4" t="s">
        <v>5317</v>
      </c>
    </row>
    <row r="824">
      <c r="A824" s="4" t="s">
        <v>40</v>
      </c>
      <c r="B824" s="4" t="s">
        <v>40</v>
      </c>
      <c r="C824" s="4">
        <v>822.0</v>
      </c>
      <c r="D824" s="5" t="str">
        <f>HYPERLINK("https://www.linkedin.com/ad-library/detail/855555384","Open Ad")</f>
        <v>Open Ad</v>
      </c>
      <c r="E824" s="4" t="s">
        <v>78</v>
      </c>
      <c r="F824" s="4" t="s">
        <v>5257</v>
      </c>
      <c r="G824" s="4" t="s">
        <v>5258</v>
      </c>
      <c r="H824" s="4" t="s">
        <v>49</v>
      </c>
      <c r="I824" s="4" t="s">
        <v>5259</v>
      </c>
      <c r="J824" s="4" t="s">
        <v>78</v>
      </c>
      <c r="K824" s="5" t="str">
        <f>HYPERLINK("https://media.licdn.com/dms/image/v2/D4E10AQEh7Ev-pYuCQw/image-shrink_1280/B4EZnSt7bqIMAM-/0/1760176880779?e=2147483647&amp;v=beta&amp;t=gtuAjTnM1MTHV0GfWRD6X216uNt_VEmN5-OdDtXisgA","View Creative")</f>
        <v>View Creative</v>
      </c>
      <c r="L824" s="4" t="s">
        <v>60</v>
      </c>
      <c r="M824" s="4" t="s">
        <v>61</v>
      </c>
      <c r="N824" s="4" t="s">
        <v>5260</v>
      </c>
      <c r="O824" s="4" t="s">
        <v>89</v>
      </c>
      <c r="P824" s="4" t="s">
        <v>5318</v>
      </c>
    </row>
    <row r="825">
      <c r="A825" s="4" t="s">
        <v>40</v>
      </c>
      <c r="B825" s="4" t="s">
        <v>40</v>
      </c>
      <c r="C825" s="4">
        <v>823.0</v>
      </c>
      <c r="D825" s="5" t="str">
        <f>HYPERLINK("https://www.linkedin.com/ad-library/detail/855505934","Open Ad")</f>
        <v>Open Ad</v>
      </c>
      <c r="E825" s="4" t="s">
        <v>78</v>
      </c>
      <c r="F825" s="4" t="s">
        <v>5257</v>
      </c>
      <c r="G825" s="4" t="s">
        <v>5263</v>
      </c>
      <c r="H825" s="4" t="s">
        <v>49</v>
      </c>
      <c r="I825" s="4" t="s">
        <v>198</v>
      </c>
      <c r="J825" s="4" t="s">
        <v>78</v>
      </c>
      <c r="K825" s="5" t="str">
        <f>HYPERLINK("https://media.licdn.com/dms/image/v2/D4E10AQFQr1KVTxnaHQ/image-shrink_1280/B4EZnSuLGkKgAM-/0/1760176944312?e=2147483647&amp;v=beta&amp;t=R9LQqgwS_r7rLedAJrDyLU016xnhh78zBBywmQYGhhQ","View Creative")</f>
        <v>View Creative</v>
      </c>
      <c r="L825" s="4" t="s">
        <v>60</v>
      </c>
      <c r="M825" s="4" t="s">
        <v>61</v>
      </c>
      <c r="N825" s="4" t="s">
        <v>5260</v>
      </c>
      <c r="O825" s="4" t="s">
        <v>89</v>
      </c>
      <c r="P825" s="4" t="s">
        <v>5320</v>
      </c>
    </row>
    <row r="826">
      <c r="A826" s="4" t="s">
        <v>40</v>
      </c>
      <c r="B826" s="4" t="s">
        <v>40</v>
      </c>
      <c r="C826" s="4">
        <v>824.0</v>
      </c>
      <c r="D826" s="5" t="str">
        <f>HYPERLINK("https://www.linkedin.com/ad-library/detail/855615294","Open Ad")</f>
        <v>Open Ad</v>
      </c>
      <c r="E826" s="4" t="s">
        <v>78</v>
      </c>
      <c r="F826" s="4" t="s">
        <v>5257</v>
      </c>
      <c r="G826" s="4" t="s">
        <v>5263</v>
      </c>
      <c r="H826" s="4" t="s">
        <v>49</v>
      </c>
      <c r="I826" s="4" t="s">
        <v>198</v>
      </c>
      <c r="J826" s="4" t="s">
        <v>78</v>
      </c>
      <c r="K826" s="5" t="str">
        <f>HYPERLINK("https://media.licdn.com/dms/image/v2/D4E10AQG4Dd-_wCtwww/image-shrink_1280/B4EZnSuAusKwAM-/0/1760176901695?e=2147483647&amp;v=beta&amp;t=Xb8W3URYvusc-mGWlumBUTeMNxYD-tmib7mvDyK2OJ4","View Creative")</f>
        <v>View Creative</v>
      </c>
      <c r="L826" s="4" t="s">
        <v>60</v>
      </c>
      <c r="M826" s="4" t="s">
        <v>61</v>
      </c>
      <c r="N826" s="4" t="s">
        <v>5260</v>
      </c>
      <c r="O826" s="4" t="s">
        <v>89</v>
      </c>
      <c r="P826" s="4" t="s">
        <v>5321</v>
      </c>
    </row>
    <row r="827">
      <c r="A827" s="4" t="s">
        <v>40</v>
      </c>
      <c r="B827" s="4" t="s">
        <v>40</v>
      </c>
      <c r="C827" s="4">
        <v>825.0</v>
      </c>
      <c r="D827" s="5" t="str">
        <f>HYPERLINK("https://www.linkedin.com/ad-library/detail/855525424","Open Ad")</f>
        <v>Open Ad</v>
      </c>
      <c r="E827" s="4" t="s">
        <v>78</v>
      </c>
      <c r="F827" s="4" t="s">
        <v>5257</v>
      </c>
      <c r="G827" s="4" t="s">
        <v>5263</v>
      </c>
      <c r="H827" s="4" t="s">
        <v>49</v>
      </c>
      <c r="I827" s="4" t="s">
        <v>198</v>
      </c>
      <c r="J827" s="4" t="s">
        <v>78</v>
      </c>
      <c r="K827" s="5" t="str">
        <f>HYPERLINK("https://media.licdn.com/dms/image/v2/D4E10AQEbYkDX_wQoWg/image-shrink_1280/B4EZnSt7eDKgAM-/0/1760176881927?e=2147483647&amp;v=beta&amp;t=sVsKhhh5-1rxHlgN00qpM3Ewf4XDHuP_tUuwYqGxdiI","View Creative")</f>
        <v>View Creative</v>
      </c>
      <c r="L827" s="4" t="s">
        <v>60</v>
      </c>
      <c r="M827" s="4" t="s">
        <v>61</v>
      </c>
      <c r="N827" s="4" t="s">
        <v>5260</v>
      </c>
      <c r="O827" s="4" t="s">
        <v>89</v>
      </c>
      <c r="P827" s="4" t="s">
        <v>5323</v>
      </c>
    </row>
    <row r="828">
      <c r="A828" s="4" t="s">
        <v>40</v>
      </c>
      <c r="B828" s="4" t="s">
        <v>40</v>
      </c>
      <c r="C828" s="4">
        <v>826.0</v>
      </c>
      <c r="D828" s="5" t="str">
        <f>HYPERLINK("https://www.linkedin.com/ad-library/detail/855565154","Open Ad")</f>
        <v>Open Ad</v>
      </c>
      <c r="E828" s="4" t="s">
        <v>78</v>
      </c>
      <c r="F828" s="4" t="s">
        <v>5257</v>
      </c>
      <c r="G828" s="4" t="s">
        <v>5263</v>
      </c>
      <c r="H828" s="4" t="s">
        <v>49</v>
      </c>
      <c r="I828" s="4" t="s">
        <v>198</v>
      </c>
      <c r="J828" s="4" t="s">
        <v>78</v>
      </c>
      <c r="K828" s="5" t="str">
        <f>HYPERLINK("https://media.licdn.com/dms/image/v2/D4E10AQGiW1tWXY1elQ/image-shrink_1280/B4EZnSuAlpKgAM-/0/1760176902540?e=2147483647&amp;v=beta&amp;t=FeKIECx4BhsmG5Lw0lxm7oncd_V04wmWftcJ6dK-VOE","View Creative")</f>
        <v>View Creative</v>
      </c>
      <c r="L828" s="4" t="s">
        <v>60</v>
      </c>
      <c r="M828" s="4" t="s">
        <v>61</v>
      </c>
      <c r="N828" s="4" t="s">
        <v>5304</v>
      </c>
      <c r="O828" s="4" t="s">
        <v>89</v>
      </c>
      <c r="P828" s="4" t="s">
        <v>5324</v>
      </c>
    </row>
    <row r="829">
      <c r="A829" s="4" t="s">
        <v>40</v>
      </c>
      <c r="B829" s="4" t="s">
        <v>40</v>
      </c>
      <c r="C829" s="4">
        <v>827.0</v>
      </c>
      <c r="D829" s="5" t="str">
        <f>HYPERLINK("https://www.linkedin.com/ad-library/detail/855515364","Open Ad")</f>
        <v>Open Ad</v>
      </c>
      <c r="E829" s="4" t="s">
        <v>78</v>
      </c>
      <c r="F829" s="4" t="s">
        <v>5257</v>
      </c>
      <c r="G829" s="4" t="s">
        <v>5258</v>
      </c>
      <c r="H829" s="4" t="s">
        <v>49</v>
      </c>
      <c r="I829" s="4" t="s">
        <v>5259</v>
      </c>
      <c r="J829" s="4" t="s">
        <v>78</v>
      </c>
      <c r="K829" s="5" t="str">
        <f>HYPERLINK("https://media.licdn.com/dms/image/v2/D4E10AQHwmBeO-roKBw/image-shrink_1280/B4EZnSuLSxGcAQ-/0/1760176945030?e=2147483647&amp;v=beta&amp;t=FNDCQAYHim-Lfqg4BwaZSwTZz6aU9tWbdBliE3pnWRs","View Creative")</f>
        <v>View Creative</v>
      </c>
      <c r="L829" s="4" t="s">
        <v>60</v>
      </c>
      <c r="M829" s="4" t="s">
        <v>61</v>
      </c>
      <c r="N829" s="4" t="s">
        <v>5283</v>
      </c>
      <c r="O829" s="4" t="s">
        <v>89</v>
      </c>
      <c r="P829" s="4" t="s">
        <v>5326</v>
      </c>
    </row>
    <row r="830">
      <c r="A830" s="4" t="s">
        <v>40</v>
      </c>
      <c r="B830" s="4" t="s">
        <v>40</v>
      </c>
      <c r="C830" s="4">
        <v>828.0</v>
      </c>
      <c r="D830" s="5" t="str">
        <f>HYPERLINK("https://www.linkedin.com/ad-library/detail/855644294","Open Ad")</f>
        <v>Open Ad</v>
      </c>
      <c r="E830" s="4" t="s">
        <v>78</v>
      </c>
      <c r="F830" s="4" t="s">
        <v>5257</v>
      </c>
      <c r="G830" s="4" t="s">
        <v>5258</v>
      </c>
      <c r="H830" s="4" t="s">
        <v>49</v>
      </c>
      <c r="I830" s="4" t="s">
        <v>5259</v>
      </c>
      <c r="J830" s="4" t="s">
        <v>78</v>
      </c>
      <c r="K830" s="5" t="str">
        <f>HYPERLINK("https://media.licdn.com/dms/image/v2/D4E10AQGir6oRoJ8abQ/image-shrink_1280/B4EZnSuAuLKUAM-/0/1760176902036?e=2147483647&amp;v=beta&amp;t=qt1OLB3pOqBXs8iMRMFZc6GYastCsIdxq22JCzSMuUw","View Creative")</f>
        <v>View Creative</v>
      </c>
      <c r="L830" s="4" t="s">
        <v>60</v>
      </c>
      <c r="M830" s="4" t="s">
        <v>61</v>
      </c>
      <c r="N830" s="4" t="s">
        <v>5260</v>
      </c>
      <c r="O830" s="4" t="s">
        <v>89</v>
      </c>
      <c r="P830" s="4" t="s">
        <v>5328</v>
      </c>
    </row>
    <row r="831">
      <c r="A831" s="4" t="s">
        <v>40</v>
      </c>
      <c r="B831" s="4" t="s">
        <v>40</v>
      </c>
      <c r="C831" s="4">
        <v>829.0</v>
      </c>
      <c r="D831" s="5" t="str">
        <f>HYPERLINK("https://www.linkedin.com/ad-library/detail/855505904","Open Ad")</f>
        <v>Open Ad</v>
      </c>
      <c r="E831" s="4" t="s">
        <v>78</v>
      </c>
      <c r="F831" s="4" t="s">
        <v>5257</v>
      </c>
      <c r="G831" s="4" t="s">
        <v>5263</v>
      </c>
      <c r="H831" s="4" t="s">
        <v>49</v>
      </c>
      <c r="I831" s="4" t="s">
        <v>198</v>
      </c>
      <c r="J831" s="4" t="s">
        <v>78</v>
      </c>
      <c r="K831" s="5" t="str">
        <f>HYPERLINK("https://media.licdn.com/dms/image/v2/D4E10AQGetbwUKrW7ig/image-shrink_1280/B4EZnSuAwSIoAQ-/0/1760176901818?e=2147483647&amp;v=beta&amp;t=zTtfIQuARN_BSZ6fdXn-3l7wMFNNMaUoDdfluF5mZXM","View Creative")</f>
        <v>View Creative</v>
      </c>
      <c r="L831" s="4" t="s">
        <v>60</v>
      </c>
      <c r="M831" s="4" t="s">
        <v>61</v>
      </c>
      <c r="N831" s="4" t="s">
        <v>5260</v>
      </c>
      <c r="O831" s="4" t="s">
        <v>89</v>
      </c>
      <c r="P831" s="4" t="s">
        <v>5329</v>
      </c>
    </row>
    <row r="832">
      <c r="A832" s="4" t="s">
        <v>40</v>
      </c>
      <c r="B832" s="4" t="s">
        <v>40</v>
      </c>
      <c r="C832" s="4">
        <v>830.0</v>
      </c>
      <c r="D832" s="5" t="str">
        <f>HYPERLINK("https://www.linkedin.com/ad-library/detail/855595014","Open Ad")</f>
        <v>Open Ad</v>
      </c>
      <c r="E832" s="4" t="s">
        <v>78</v>
      </c>
      <c r="F832" s="4" t="s">
        <v>5257</v>
      </c>
      <c r="G832" s="4" t="s">
        <v>5263</v>
      </c>
      <c r="H832" s="4" t="s">
        <v>49</v>
      </c>
      <c r="I832" s="4" t="s">
        <v>198</v>
      </c>
      <c r="J832" s="4" t="s">
        <v>78</v>
      </c>
      <c r="K832" s="5" t="str">
        <f>HYPERLINK("https://media.licdn.com/dms/image/v2/D4E10AQEYb2pg10QRyA/image-shrink_1280/B4EZnSuGTeJgAM-/0/1760176924762?e=2147483647&amp;v=beta&amp;t=4Z1a02u9YTot_EQD6PBGip2LP6X1XWrEF67ekEB1RA0","View Creative")</f>
        <v>View Creative</v>
      </c>
      <c r="L832" s="4" t="s">
        <v>60</v>
      </c>
      <c r="M832" s="4" t="s">
        <v>61</v>
      </c>
      <c r="N832" s="4" t="s">
        <v>5260</v>
      </c>
      <c r="O832" s="4" t="s">
        <v>89</v>
      </c>
      <c r="P832" s="4" t="s">
        <v>5331</v>
      </c>
    </row>
    <row r="833">
      <c r="A833" s="4" t="s">
        <v>40</v>
      </c>
      <c r="B833" s="4" t="s">
        <v>40</v>
      </c>
      <c r="C833" s="4">
        <v>831.0</v>
      </c>
      <c r="D833" s="5" t="str">
        <f>HYPERLINK("https://www.linkedin.com/ad-library/detail/855545794","Open Ad")</f>
        <v>Open Ad</v>
      </c>
      <c r="E833" s="4" t="s">
        <v>78</v>
      </c>
      <c r="F833" s="4" t="s">
        <v>5257</v>
      </c>
      <c r="G833" s="4" t="s">
        <v>5258</v>
      </c>
      <c r="H833" s="4" t="s">
        <v>49</v>
      </c>
      <c r="I833" s="4" t="s">
        <v>5259</v>
      </c>
      <c r="J833" s="4" t="s">
        <v>78</v>
      </c>
      <c r="K833" s="5" t="str">
        <f>HYPERLINK("https://media.licdn.com/dms/image/v2/D4E10AQGeGNkUrW23ZQ/image-shrink_1280/B4EZnSuAusGUAM-/0/1760176901886?e=2147483647&amp;v=beta&amp;t=_3XXBkr8lhlVTenXqewrW6RH9HXPrGpX-BpbB8zcOQQ","View Creative")</f>
        <v>View Creative</v>
      </c>
      <c r="L833" s="4" t="s">
        <v>60</v>
      </c>
      <c r="M833" s="4" t="s">
        <v>61</v>
      </c>
      <c r="N833" s="4" t="s">
        <v>5260</v>
      </c>
      <c r="O833" s="4" t="s">
        <v>89</v>
      </c>
      <c r="P833" s="4" t="s">
        <v>5333</v>
      </c>
    </row>
    <row r="834">
      <c r="A834" s="4" t="s">
        <v>40</v>
      </c>
      <c r="B834" s="4" t="s">
        <v>40</v>
      </c>
      <c r="C834" s="4">
        <v>832.0</v>
      </c>
      <c r="D834" s="5" t="str">
        <f>HYPERLINK("https://www.linkedin.com/ad-library/detail/855505924","Open Ad")</f>
        <v>Open Ad</v>
      </c>
      <c r="E834" s="4" t="s">
        <v>78</v>
      </c>
      <c r="F834" s="4" t="s">
        <v>5257</v>
      </c>
      <c r="G834" s="4" t="s">
        <v>5258</v>
      </c>
      <c r="H834" s="4" t="s">
        <v>49</v>
      </c>
      <c r="I834" s="4" t="s">
        <v>5259</v>
      </c>
      <c r="J834" s="4" t="s">
        <v>78</v>
      </c>
      <c r="K834" s="5" t="str">
        <f>HYPERLINK("https://media.licdn.com/dms/image/v2/D4E10AQHc4axWumGwhQ/image-shrink_1280/B4EZnSuA17IwAM-/0/1760176902273?e=2147483647&amp;v=beta&amp;t=zk6JcqHbyphJxem9K6jNpkrnGPV-vj98qAvG1ffpXJs","View Creative")</f>
        <v>View Creative</v>
      </c>
      <c r="L834" s="4" t="s">
        <v>60</v>
      </c>
      <c r="M834" s="4" t="s">
        <v>61</v>
      </c>
      <c r="N834" s="4" t="s">
        <v>5260</v>
      </c>
      <c r="O834" s="4" t="s">
        <v>89</v>
      </c>
      <c r="P834" s="4" t="s">
        <v>5334</v>
      </c>
    </row>
    <row r="835">
      <c r="A835" s="4" t="s">
        <v>40</v>
      </c>
      <c r="B835" s="4" t="s">
        <v>40</v>
      </c>
      <c r="C835" s="4">
        <v>833.0</v>
      </c>
      <c r="D835" s="5" t="str">
        <f>HYPERLINK("https://www.linkedin.com/ad-library/detail/855505914","Open Ad")</f>
        <v>Open Ad</v>
      </c>
      <c r="E835" s="4" t="s">
        <v>78</v>
      </c>
      <c r="F835" s="4" t="s">
        <v>5257</v>
      </c>
      <c r="G835" s="4" t="s">
        <v>5258</v>
      </c>
      <c r="H835" s="4" t="s">
        <v>49</v>
      </c>
      <c r="I835" s="4" t="s">
        <v>5259</v>
      </c>
      <c r="J835" s="4" t="s">
        <v>78</v>
      </c>
      <c r="K835" s="5" t="str">
        <f>HYPERLINK("https://media.licdn.com/dms/image/v2/D4E10AQEnI_UkngH1Jw/image-shrink_1280/B4EZnSuAybIUAM-/0/1760176901965?e=2147483647&amp;v=beta&amp;t=sWPV4RwkngUnPM6eFcAEKkLpKt2uQaMheQNO0CMZPEE","View Creative")</f>
        <v>View Creative</v>
      </c>
      <c r="L835" s="4" t="s">
        <v>60</v>
      </c>
      <c r="M835" s="4" t="s">
        <v>61</v>
      </c>
      <c r="N835" s="4" t="s">
        <v>5260</v>
      </c>
      <c r="O835" s="4" t="s">
        <v>89</v>
      </c>
      <c r="P835" s="4" t="s">
        <v>5336</v>
      </c>
    </row>
    <row r="836">
      <c r="A836" s="4" t="s">
        <v>40</v>
      </c>
      <c r="B836" s="4" t="s">
        <v>40</v>
      </c>
      <c r="C836" s="4">
        <v>834.0</v>
      </c>
      <c r="D836" s="5" t="str">
        <f>HYPERLINK("https://www.linkedin.com/ad-library/detail/855456114","Open Ad")</f>
        <v>Open Ad</v>
      </c>
      <c r="E836" s="4" t="s">
        <v>78</v>
      </c>
      <c r="F836" s="4" t="s">
        <v>5257</v>
      </c>
      <c r="G836" s="4" t="s">
        <v>5263</v>
      </c>
      <c r="H836" s="4" t="s">
        <v>49</v>
      </c>
      <c r="I836" s="4" t="s">
        <v>198</v>
      </c>
      <c r="J836" s="4" t="s">
        <v>78</v>
      </c>
      <c r="K836" s="5" t="str">
        <f>HYPERLINK("https://media.licdn.com/dms/image/v2/D4E10AQFh6ferFW7zyg/image-shrink_1280/B4EZnSuGTMIQAM-/0/1760176924916?e=2147483647&amp;v=beta&amp;t=4XSb0T_pclk8OxuTDT5ToGR1rC78kLRqSSe3QnBoAAc","View Creative")</f>
        <v>View Creative</v>
      </c>
      <c r="L836" s="4" t="s">
        <v>60</v>
      </c>
      <c r="M836" s="4" t="s">
        <v>61</v>
      </c>
      <c r="N836" s="4" t="s">
        <v>5260</v>
      </c>
      <c r="O836" s="4" t="s">
        <v>89</v>
      </c>
      <c r="P836" s="4" t="s">
        <v>5337</v>
      </c>
    </row>
    <row r="837">
      <c r="A837" s="4" t="s">
        <v>40</v>
      </c>
      <c r="B837" s="4" t="s">
        <v>40</v>
      </c>
      <c r="C837" s="4">
        <v>835.0</v>
      </c>
      <c r="D837" s="5" t="str">
        <f>HYPERLINK("https://www.linkedin.com/ad-library/detail/855663644","Open Ad")</f>
        <v>Open Ad</v>
      </c>
      <c r="E837" s="4" t="s">
        <v>78</v>
      </c>
      <c r="F837" s="4" t="s">
        <v>5257</v>
      </c>
      <c r="G837" s="4" t="s">
        <v>5258</v>
      </c>
      <c r="H837" s="4" t="s">
        <v>49</v>
      </c>
      <c r="I837" s="4" t="s">
        <v>5259</v>
      </c>
      <c r="J837" s="4" t="s">
        <v>78</v>
      </c>
      <c r="K837" s="5" t="str">
        <f>HYPERLINK("https://media.licdn.com/dms/image/v2/D4E10AQFdI1Ig0KYgBw/image-shrink_1280/B4EZnSuGTVIMAM-/0/1760176924956?e=2147483647&amp;v=beta&amp;t=xwrvbhDFBR_MjZzvhASMAEsAlgmuaSI8CEo2XODC5b0","View Creative")</f>
        <v>View Creative</v>
      </c>
      <c r="L837" s="4" t="s">
        <v>60</v>
      </c>
      <c r="M837" s="4" t="s">
        <v>61</v>
      </c>
      <c r="N837" s="4" t="s">
        <v>5260</v>
      </c>
      <c r="O837" s="4" t="s">
        <v>89</v>
      </c>
      <c r="P837" s="4" t="s">
        <v>5339</v>
      </c>
    </row>
    <row r="838">
      <c r="A838" s="4" t="s">
        <v>40</v>
      </c>
      <c r="B838" s="4" t="s">
        <v>40</v>
      </c>
      <c r="C838" s="4">
        <v>836.0</v>
      </c>
      <c r="D838" s="5" t="str">
        <f>HYPERLINK("https://www.linkedin.com/ad-library/detail/855515354","Open Ad")</f>
        <v>Open Ad</v>
      </c>
      <c r="E838" s="4" t="s">
        <v>78</v>
      </c>
      <c r="F838" s="4" t="s">
        <v>5257</v>
      </c>
      <c r="G838" s="4" t="s">
        <v>5258</v>
      </c>
      <c r="H838" s="4" t="s">
        <v>49</v>
      </c>
      <c r="I838" s="4" t="s">
        <v>5259</v>
      </c>
      <c r="J838" s="4" t="s">
        <v>78</v>
      </c>
      <c r="K838" s="5" t="str">
        <f>HYPERLINK("https://media.licdn.com/dms/image/v2/D4E10AQH7LotEFUzCRQ/image-shrink_1280/B4EZnSuGUvIQAM-/0/1760176924636?e=2147483647&amp;v=beta&amp;t=EK4CeOlgL6p2TZ7nvEDaE9BHgineKvZL2lev96ObUog","View Creative")</f>
        <v>View Creative</v>
      </c>
      <c r="L838" s="4" t="s">
        <v>60</v>
      </c>
      <c r="M838" s="4" t="s">
        <v>61</v>
      </c>
      <c r="N838" s="4" t="s">
        <v>5260</v>
      </c>
      <c r="O838" s="4" t="s">
        <v>89</v>
      </c>
      <c r="P838" s="4" t="s">
        <v>5341</v>
      </c>
    </row>
    <row r="839">
      <c r="A839" s="4" t="s">
        <v>40</v>
      </c>
      <c r="B839" s="4" t="s">
        <v>40</v>
      </c>
      <c r="C839" s="4">
        <v>837.0</v>
      </c>
      <c r="D839" s="5" t="str">
        <f>HYPERLINK("https://www.linkedin.com/ad-library/detail/855625004","Open Ad")</f>
        <v>Open Ad</v>
      </c>
      <c r="E839" s="4" t="s">
        <v>78</v>
      </c>
      <c r="F839" s="4" t="s">
        <v>5257</v>
      </c>
      <c r="G839" s="4" t="s">
        <v>5263</v>
      </c>
      <c r="H839" s="4" t="s">
        <v>49</v>
      </c>
      <c r="I839" s="4" t="s">
        <v>198</v>
      </c>
      <c r="J839" s="4" t="s">
        <v>78</v>
      </c>
      <c r="K839" s="5" t="str">
        <f>HYPERLINK("https://media.licdn.com/dms/image/v2/D4E10AQG6ho7Mu03VxQ/image-shrink_1280/B4EZnSuGTIHIAQ-/0/1760176924802?e=2147483647&amp;v=beta&amp;t=_cQNlrNiq6iCr0kdI_NlPH5kcrCsxAg6rLFFPrEYOwk","View Creative")</f>
        <v>View Creative</v>
      </c>
      <c r="L839" s="4" t="s">
        <v>60</v>
      </c>
      <c r="M839" s="4" t="s">
        <v>61</v>
      </c>
      <c r="N839" s="4" t="s">
        <v>5260</v>
      </c>
      <c r="O839" s="4" t="s">
        <v>89</v>
      </c>
      <c r="P839" s="4" t="s">
        <v>5342</v>
      </c>
    </row>
    <row r="840">
      <c r="A840" s="4" t="s">
        <v>40</v>
      </c>
      <c r="B840" s="4" t="s">
        <v>40</v>
      </c>
      <c r="C840" s="4">
        <v>838.0</v>
      </c>
      <c r="D840" s="5" t="str">
        <f>HYPERLINK("https://www.linkedin.com/ad-library/detail/855663634","Open Ad")</f>
        <v>Open Ad</v>
      </c>
      <c r="E840" s="4" t="s">
        <v>78</v>
      </c>
      <c r="F840" s="4" t="s">
        <v>5257</v>
      </c>
      <c r="G840" s="4" t="s">
        <v>5263</v>
      </c>
      <c r="H840" s="4" t="s">
        <v>49</v>
      </c>
      <c r="I840" s="4" t="s">
        <v>198</v>
      </c>
      <c r="J840" s="4" t="s">
        <v>78</v>
      </c>
      <c r="K840" s="5" t="str">
        <f>HYPERLINK("https://media.licdn.com/dms/image/v2/D4E10AQEsSayZTYtuMg/image-shrink_1280/B4EZnSuGTJHEAU-/0/1760176924607?e=2147483647&amp;v=beta&amp;t=Bqka_FUQQ4T7UU24u3wkJOL3Vdb0FdFxQO4RnyAREHI","View Creative")</f>
        <v>View Creative</v>
      </c>
      <c r="L840" s="4" t="s">
        <v>60</v>
      </c>
      <c r="M840" s="4" t="s">
        <v>61</v>
      </c>
      <c r="N840" s="4" t="s">
        <v>5260</v>
      </c>
      <c r="O840" s="4" t="s">
        <v>89</v>
      </c>
      <c r="P840" s="4" t="s">
        <v>5344</v>
      </c>
    </row>
    <row r="841">
      <c r="A841" s="4" t="s">
        <v>40</v>
      </c>
      <c r="B841" s="4" t="s">
        <v>40</v>
      </c>
      <c r="C841" s="4">
        <v>839.0</v>
      </c>
      <c r="D841" s="5" t="str">
        <f>HYPERLINK("https://www.linkedin.com/ad-library/detail/855624994","Open Ad")</f>
        <v>Open Ad</v>
      </c>
      <c r="E841" s="4" t="s">
        <v>78</v>
      </c>
      <c r="F841" s="4" t="s">
        <v>5257</v>
      </c>
      <c r="G841" s="4" t="s">
        <v>5263</v>
      </c>
      <c r="H841" s="4" t="s">
        <v>49</v>
      </c>
      <c r="I841" s="4" t="s">
        <v>198</v>
      </c>
      <c r="J841" s="4" t="s">
        <v>78</v>
      </c>
      <c r="K841" s="5" t="str">
        <f>HYPERLINK("https://media.licdn.com/dms/image/v2/D4E10AQFcfrWwXfgF2w/image-shrink_1280/B4EZnSuAxXIUAM-/0/1760176901899?e=2147483647&amp;v=beta&amp;t=ErgAYz2ymicvLVx-XJExGb9rDn56irgKspzllpoVQkk","View Creative")</f>
        <v>View Creative</v>
      </c>
      <c r="L841" s="4" t="s">
        <v>60</v>
      </c>
      <c r="M841" s="4" t="s">
        <v>61</v>
      </c>
      <c r="N841" s="4" t="s">
        <v>5260</v>
      </c>
      <c r="O841" s="4" t="s">
        <v>89</v>
      </c>
      <c r="P841" s="4" t="s">
        <v>5346</v>
      </c>
    </row>
    <row r="842">
      <c r="A842" s="4" t="s">
        <v>40</v>
      </c>
      <c r="B842" s="4" t="s">
        <v>40</v>
      </c>
      <c r="C842" s="4">
        <v>840.0</v>
      </c>
      <c r="D842" s="5" t="str">
        <f>HYPERLINK("https://www.linkedin.com/ad-library/detail/855555404","Open Ad")</f>
        <v>Open Ad</v>
      </c>
      <c r="E842" s="4" t="s">
        <v>78</v>
      </c>
      <c r="F842" s="4" t="s">
        <v>5257</v>
      </c>
      <c r="G842" s="4" t="s">
        <v>5258</v>
      </c>
      <c r="H842" s="4" t="s">
        <v>49</v>
      </c>
      <c r="I842" s="4" t="s">
        <v>5259</v>
      </c>
      <c r="J842" s="4" t="s">
        <v>78</v>
      </c>
      <c r="K842" s="5" t="str">
        <f>HYPERLINK("https://media.licdn.com/dms/image/v2/D4E10AQGrJPTML-gUXw/image-shrink_1280/B4EZnSuGaQJ0AM-/0/1760176925051?e=2147483647&amp;v=beta&amp;t=xl4BIR5_hAL1DAdf6LKWmIYGoF1yZY-xgTg_Y7WpgWo","View Creative")</f>
        <v>View Creative</v>
      </c>
      <c r="L842" s="4" t="s">
        <v>60</v>
      </c>
      <c r="M842" s="4" t="s">
        <v>61</v>
      </c>
      <c r="N842" s="4" t="s">
        <v>5260</v>
      </c>
      <c r="O842" s="4" t="s">
        <v>89</v>
      </c>
      <c r="P842" s="4" t="s">
        <v>5347</v>
      </c>
    </row>
    <row r="843">
      <c r="A843" s="4" t="s">
        <v>40</v>
      </c>
      <c r="B843" s="4" t="s">
        <v>40</v>
      </c>
      <c r="C843" s="4">
        <v>841.0</v>
      </c>
      <c r="D843" s="5" t="str">
        <f>HYPERLINK("https://www.linkedin.com/ad-library/detail/776960434","Open Ad")</f>
        <v>Open Ad</v>
      </c>
      <c r="E843" s="4" t="s">
        <v>3048</v>
      </c>
      <c r="F843" s="4" t="s">
        <v>54</v>
      </c>
      <c r="G843" s="4" t="s">
        <v>5348</v>
      </c>
      <c r="H843" s="4" t="s">
        <v>49</v>
      </c>
      <c r="I843" s="4" t="s">
        <v>1077</v>
      </c>
      <c r="J843" s="4" t="s">
        <v>3048</v>
      </c>
      <c r="K843" s="5" t="str">
        <f t="shared" ref="K843:K844" si="5">HYPERLINK("https://media.licdn.com/dms/image/v2/D4E10AQEMvfwYpzHKSw/image-shrink_1080_1080/B4EZh6xK1lHEAs-/0/1754406368699?e=1789466400&amp;v=beta&amp;t=uu8QPWHx-8VyYnxhBUOPR5zAlUGt4sbOeQJ4-UGp8h8","View Creative")</f>
        <v>View Creative</v>
      </c>
      <c r="L843" s="4" t="s">
        <v>106</v>
      </c>
      <c r="M843" s="4" t="s">
        <v>61</v>
      </c>
      <c r="O843" s="4" t="s">
        <v>89</v>
      </c>
      <c r="P843" s="4" t="s">
        <v>5350</v>
      </c>
    </row>
    <row r="844">
      <c r="A844" s="4" t="s">
        <v>40</v>
      </c>
      <c r="B844" s="4" t="s">
        <v>40</v>
      </c>
      <c r="C844" s="4">
        <v>842.0</v>
      </c>
      <c r="D844" s="5" t="str">
        <f>HYPERLINK("https://www.linkedin.com/ad-library/detail/776930874","Open Ad")</f>
        <v>Open Ad</v>
      </c>
      <c r="E844" s="4" t="s">
        <v>3048</v>
      </c>
      <c r="F844" s="4" t="s">
        <v>54</v>
      </c>
      <c r="G844" s="4" t="s">
        <v>5348</v>
      </c>
      <c r="H844" s="4" t="s">
        <v>49</v>
      </c>
      <c r="I844" s="4" t="s">
        <v>1077</v>
      </c>
      <c r="J844" s="4" t="s">
        <v>3048</v>
      </c>
      <c r="K844" s="5" t="str">
        <f t="shared" si="5"/>
        <v>View Creative</v>
      </c>
      <c r="L844" s="4" t="s">
        <v>106</v>
      </c>
      <c r="M844" s="4" t="s">
        <v>61</v>
      </c>
      <c r="O844" s="4" t="s">
        <v>89</v>
      </c>
      <c r="P844" s="4" t="s">
        <v>5351</v>
      </c>
    </row>
    <row r="845">
      <c r="A845" s="4" t="s">
        <v>40</v>
      </c>
      <c r="B845" s="4" t="s">
        <v>40</v>
      </c>
      <c r="C845" s="4">
        <v>843.0</v>
      </c>
      <c r="D845" s="5" t="str">
        <f>HYPERLINK("https://www.linkedin.com/ad-library/detail/776879344","Open Ad")</f>
        <v>Open Ad</v>
      </c>
      <c r="E845" s="4" t="s">
        <v>3048</v>
      </c>
      <c r="F845" s="4" t="s">
        <v>54</v>
      </c>
      <c r="G845" s="4" t="s">
        <v>5352</v>
      </c>
      <c r="H845" s="4" t="s">
        <v>49</v>
      </c>
      <c r="I845" s="4" t="s">
        <v>1077</v>
      </c>
      <c r="J845" s="4" t="s">
        <v>3048</v>
      </c>
      <c r="K845" s="5" t="str">
        <f>HYPERLINK("https://media.licdn.com/dms/image/v2/D4E10AQFBx4u-hDBS0Q/image-shrink_1080_1080/B4EZh66TusGYAo-/0/1754408764182?e=1789466400&amp;v=beta&amp;t=clPNPcGdUMkd1BNPA0C-WbQi3AK9P-Ce8XzXuJG2fZs","View Creative")</f>
        <v>View Creative</v>
      </c>
      <c r="L845" s="4" t="s">
        <v>106</v>
      </c>
      <c r="M845" s="4" t="s">
        <v>61</v>
      </c>
      <c r="O845" s="4" t="s">
        <v>89</v>
      </c>
      <c r="P845" s="4" t="s">
        <v>5354</v>
      </c>
    </row>
    <row r="846">
      <c r="A846" s="4" t="s">
        <v>40</v>
      </c>
      <c r="B846" s="4" t="s">
        <v>40</v>
      </c>
      <c r="C846" s="4">
        <v>844.0</v>
      </c>
      <c r="D846" s="5" t="str">
        <f>HYPERLINK("https://www.linkedin.com/ad-library/detail/776808664","Open Ad")</f>
        <v>Open Ad</v>
      </c>
      <c r="E846" s="4" t="s">
        <v>3048</v>
      </c>
      <c r="F846" s="4" t="s">
        <v>54</v>
      </c>
      <c r="G846" s="4" t="s">
        <v>5356</v>
      </c>
      <c r="H846" s="4" t="s">
        <v>49</v>
      </c>
      <c r="I846" s="4" t="s">
        <v>5259</v>
      </c>
      <c r="J846" s="4" t="s">
        <v>3048</v>
      </c>
      <c r="K846" s="5" t="str">
        <f>HYPERLINK("https://media.licdn.com/dms/image/v2/D4E10AQH5gEL4u93U3g/image-shrink_1280/B4EZk4BIlVKoAE-/0/1757581445574?e=1789466400&amp;v=beta&amp;t=XfUzx9hxk-E2T0wE2_Qs2qgidqJrqwDR_d87GVAhkZg","View Creative")</f>
        <v>View Creative</v>
      </c>
      <c r="L846" s="4" t="s">
        <v>60</v>
      </c>
      <c r="M846" s="4" t="s">
        <v>61</v>
      </c>
      <c r="N846" s="4" t="s">
        <v>5357</v>
      </c>
      <c r="O846" s="4" t="s">
        <v>89</v>
      </c>
      <c r="P846" s="4" t="s">
        <v>5358</v>
      </c>
    </row>
    <row r="847">
      <c r="A847" s="4" t="s">
        <v>40</v>
      </c>
      <c r="B847" s="4" t="s">
        <v>40</v>
      </c>
      <c r="C847" s="4">
        <v>845.0</v>
      </c>
      <c r="D847" s="5" t="str">
        <f>HYPERLINK("https://www.linkedin.com/ad-library/detail/855525414","Open Ad")</f>
        <v>Open Ad</v>
      </c>
      <c r="E847" s="4" t="s">
        <v>78</v>
      </c>
      <c r="F847" s="4" t="s">
        <v>5257</v>
      </c>
      <c r="G847" s="4" t="s">
        <v>5263</v>
      </c>
      <c r="H847" s="4" t="s">
        <v>49</v>
      </c>
      <c r="I847" s="4" t="s">
        <v>198</v>
      </c>
      <c r="J847" s="4" t="s">
        <v>78</v>
      </c>
      <c r="K847" s="5" t="str">
        <f>HYPERLINK("https://media.licdn.com/dms/image/v2/D4E10AQEpd5Tm67Su0w/image-shrink_1280/B4EZnSt7a9GoAM-/0/1760176880151?e=2147483647&amp;v=beta&amp;t=JWMkPlUWS1ASQZ_MoINmoDu93oLdjGcb4D66OlAsXJo","View Creative")</f>
        <v>View Creative</v>
      </c>
      <c r="L847" s="4" t="s">
        <v>60</v>
      </c>
      <c r="M847" s="4" t="s">
        <v>61</v>
      </c>
      <c r="N847" s="4" t="s">
        <v>5260</v>
      </c>
      <c r="O847" s="4" t="s">
        <v>89</v>
      </c>
      <c r="P847" s="4" t="s">
        <v>5360</v>
      </c>
    </row>
    <row r="848">
      <c r="A848" s="4" t="s">
        <v>40</v>
      </c>
      <c r="B848" s="4" t="s">
        <v>40</v>
      </c>
      <c r="C848" s="4">
        <v>846.0</v>
      </c>
      <c r="D848" s="5" t="str">
        <f>HYPERLINK("https://www.linkedin.com/ad-library/detail/855245974","Open Ad")</f>
        <v>Open Ad</v>
      </c>
      <c r="E848" s="4" t="s">
        <v>78</v>
      </c>
      <c r="F848" s="4" t="s">
        <v>5361</v>
      </c>
      <c r="G848" s="4" t="s">
        <v>5362</v>
      </c>
      <c r="H848" s="4" t="s">
        <v>49</v>
      </c>
      <c r="I848" s="4" t="s">
        <v>5363</v>
      </c>
      <c r="J848" s="4" t="s">
        <v>78</v>
      </c>
      <c r="K848" s="5" t="str">
        <f>HYPERLINK("https://media.licdn.com/dms/image/sync/v2/D5627AQHuNdiQphQyLQ/articleshare-proxy-image-offsite-ads_627_1200/B4DZnNH2BqGgAA-/0/1760083009773?e=2147483647&amp;v=beta&amp;t=k39UaUJu4L6x7kB7LyiqULdJ93YcXN8f1fnhPUWHT2s","View Creative")</f>
        <v>View Creative</v>
      </c>
      <c r="L848" s="4" t="s">
        <v>60</v>
      </c>
      <c r="M848" s="4" t="s">
        <v>61</v>
      </c>
      <c r="N848" s="4" t="s">
        <v>5364</v>
      </c>
      <c r="O848" s="4" t="s">
        <v>89</v>
      </c>
      <c r="P848" s="4" t="s">
        <v>5365</v>
      </c>
    </row>
    <row r="849">
      <c r="A849" s="4" t="s">
        <v>40</v>
      </c>
      <c r="B849" s="4" t="s">
        <v>40</v>
      </c>
      <c r="C849" s="4">
        <v>847.0</v>
      </c>
      <c r="D849" s="5" t="str">
        <f>HYPERLINK("https://www.linkedin.com/ad-library/detail/840018184","Open Ad")</f>
        <v>Open Ad</v>
      </c>
      <c r="E849" s="4" t="s">
        <v>78</v>
      </c>
      <c r="F849" s="4" t="s">
        <v>54</v>
      </c>
      <c r="G849" s="4" t="s">
        <v>5367</v>
      </c>
      <c r="H849" s="4" t="s">
        <v>49</v>
      </c>
      <c r="I849" s="4" t="s">
        <v>688</v>
      </c>
      <c r="J849" s="4" t="s">
        <v>78</v>
      </c>
      <c r="K849" s="5" t="str">
        <f>HYPERLINK("https://media.licdn.com/dms/image/v2/D4D10AQEqCoiyRGOSkQ/image-shrink_1280/B4DZm_RMPCJEAM-/0/1759850579777?e=2147483647&amp;v=beta&amp;t=Mownrgzpl_F7KF0Nmk4MvKzYYAxaDHlPiPi5j114Tcw","View Creative")</f>
        <v>View Creative</v>
      </c>
      <c r="L849" s="4" t="s">
        <v>60</v>
      </c>
      <c r="M849" s="4" t="s">
        <v>61</v>
      </c>
      <c r="N849" s="4" t="s">
        <v>5368</v>
      </c>
      <c r="O849" s="4" t="s">
        <v>89</v>
      </c>
      <c r="P849" s="4" t="s">
        <v>5369</v>
      </c>
    </row>
    <row r="850">
      <c r="A850" s="4" t="s">
        <v>40</v>
      </c>
      <c r="B850" s="4" t="s">
        <v>40</v>
      </c>
      <c r="C850" s="4">
        <v>848.0</v>
      </c>
      <c r="D850" s="5" t="str">
        <f>HYPERLINK("https://www.linkedin.com/ad-library/detail/855653564","Open Ad")</f>
        <v>Open Ad</v>
      </c>
      <c r="E850" s="4" t="s">
        <v>78</v>
      </c>
      <c r="F850" s="4" t="s">
        <v>5257</v>
      </c>
      <c r="G850" s="4" t="s">
        <v>5263</v>
      </c>
      <c r="H850" s="4" t="s">
        <v>49</v>
      </c>
      <c r="I850" s="4" t="s">
        <v>198</v>
      </c>
      <c r="J850" s="4" t="s">
        <v>78</v>
      </c>
      <c r="K850" s="5" t="str">
        <f>HYPERLINK("https://media.licdn.com/dms/image/v2/D4E10AQHbQfHZjJUxvQ/image-shrink_1280/B4EZnSt7eWHoAQ-/0/1760176880290?e=2147483647&amp;v=beta&amp;t=jKTgwDAzpg1LVRMAMgF_OgkjXSkLS_otx0n6plIlp9o","View Creative")</f>
        <v>View Creative</v>
      </c>
      <c r="L850" s="4" t="s">
        <v>60</v>
      </c>
      <c r="M850" s="4" t="s">
        <v>61</v>
      </c>
      <c r="N850" s="4" t="s">
        <v>5260</v>
      </c>
      <c r="O850" s="4" t="s">
        <v>89</v>
      </c>
      <c r="P850" s="4" t="s">
        <v>5371</v>
      </c>
    </row>
    <row r="851">
      <c r="A851" s="4" t="s">
        <v>40</v>
      </c>
      <c r="B851" s="4" t="s">
        <v>40</v>
      </c>
      <c r="C851" s="4">
        <v>849.0</v>
      </c>
      <c r="D851" s="5" t="str">
        <f>HYPERLINK("https://www.linkedin.com/ad-library/detail/855375464","Open Ad")</f>
        <v>Open Ad</v>
      </c>
      <c r="E851" s="4" t="s">
        <v>121</v>
      </c>
      <c r="F851" s="4" t="s">
        <v>54</v>
      </c>
      <c r="G851" s="4" t="s">
        <v>5372</v>
      </c>
      <c r="H851" s="4" t="s">
        <v>49</v>
      </c>
      <c r="I851" s="4" t="s">
        <v>5373</v>
      </c>
      <c r="J851" s="4" t="s">
        <v>121</v>
      </c>
      <c r="K851" s="5" t="str">
        <f>HYPERLINK("https://dms.licdn.com/playlist/vid/v2/D4E05AQH9Lb9Zb7kekw/mp4-640p-30fp-crf28/B4EZnC9GQ7KUBg-/0/1759912459971?e=2147483647&amp;v=beta&amp;t=c4egqqRfs0hhIYqhYVMvcapyvgzo_I7IlEkf_T6VTzE","View Creative")</f>
        <v>View Creative</v>
      </c>
      <c r="L851" s="4" t="s">
        <v>60</v>
      </c>
      <c r="M851" s="4" t="s">
        <v>61</v>
      </c>
      <c r="N851" s="4" t="s">
        <v>5364</v>
      </c>
      <c r="O851" s="4" t="s">
        <v>89</v>
      </c>
      <c r="P851" s="4" t="s">
        <v>5374</v>
      </c>
    </row>
    <row r="852">
      <c r="A852" s="4" t="s">
        <v>40</v>
      </c>
      <c r="B852" s="4" t="s">
        <v>40</v>
      </c>
      <c r="C852" s="4">
        <v>850.0</v>
      </c>
      <c r="D852" s="5" t="str">
        <f>HYPERLINK("https://www.linkedin.com/ad-library/detail/776879374","Open Ad")</f>
        <v>Open Ad</v>
      </c>
      <c r="E852" s="4" t="s">
        <v>3048</v>
      </c>
      <c r="F852" s="4" t="s">
        <v>54</v>
      </c>
      <c r="G852" s="4" t="s">
        <v>5352</v>
      </c>
      <c r="H852" s="4" t="s">
        <v>49</v>
      </c>
      <c r="I852" s="4" t="s">
        <v>1077</v>
      </c>
      <c r="J852" s="4" t="s">
        <v>3048</v>
      </c>
      <c r="K852" s="5" t="str">
        <f>HYPERLINK("https://media.licdn.com/dms/image/v2/D4E10AQFBx4u-hDBS0Q/image-shrink_1080_1080/B4EZh66TusGYAo-/0/1754408764182?e=1789466400&amp;v=beta&amp;t=clPNPcGdUMkd1BNPA0C-WbQi3AK9P-Ce8XzXuJG2fZs","View Creative")</f>
        <v>View Creative</v>
      </c>
      <c r="L852" s="4" t="s">
        <v>106</v>
      </c>
      <c r="M852" s="4" t="s">
        <v>61</v>
      </c>
      <c r="O852" s="4" t="s">
        <v>89</v>
      </c>
      <c r="P852" s="4" t="s">
        <v>5376</v>
      </c>
    </row>
    <row r="853">
      <c r="A853" s="4" t="s">
        <v>40</v>
      </c>
      <c r="B853" s="4" t="s">
        <v>40</v>
      </c>
      <c r="C853" s="4">
        <v>851.0</v>
      </c>
      <c r="D853" s="5" t="str">
        <f>HYPERLINK("https://www.linkedin.com/ad-library/detail/855653554","Open Ad")</f>
        <v>Open Ad</v>
      </c>
      <c r="E853" s="4" t="s">
        <v>78</v>
      </c>
      <c r="F853" s="4" t="s">
        <v>5257</v>
      </c>
      <c r="G853" s="4" t="s">
        <v>5258</v>
      </c>
      <c r="H853" s="4" t="s">
        <v>49</v>
      </c>
      <c r="I853" s="4" t="s">
        <v>5259</v>
      </c>
      <c r="J853" s="4" t="s">
        <v>78</v>
      </c>
      <c r="K853" s="5" t="str">
        <f>HYPERLINK("https://media.licdn.com/dms/image/v2/D4E10AQHKFmDdszq9rg/image-shrink_1280/B4EZnSt7b_KkAM-/0/1760176879999?e=2147483647&amp;v=beta&amp;t=-J5GGKKnjktRIiVECOjKeg--CpbiI0jujM-K3PcHePg","View Creative")</f>
        <v>View Creative</v>
      </c>
      <c r="L853" s="4" t="s">
        <v>60</v>
      </c>
      <c r="M853" s="4" t="s">
        <v>61</v>
      </c>
      <c r="N853" s="4" t="s">
        <v>5260</v>
      </c>
      <c r="O853" s="4" t="s">
        <v>89</v>
      </c>
      <c r="P853" s="4" t="s">
        <v>5378</v>
      </c>
    </row>
    <row r="854">
      <c r="A854" s="4" t="s">
        <v>40</v>
      </c>
      <c r="B854" s="4" t="s">
        <v>40</v>
      </c>
      <c r="C854" s="4">
        <v>852.0</v>
      </c>
      <c r="D854" s="5" t="str">
        <f>HYPERLINK("https://www.linkedin.com/ad-library/detail/776898584","Open Ad")</f>
        <v>Open Ad</v>
      </c>
      <c r="E854" s="4" t="s">
        <v>3048</v>
      </c>
      <c r="F854" s="4" t="s">
        <v>54</v>
      </c>
      <c r="G854" s="4" t="s">
        <v>5379</v>
      </c>
      <c r="H854" s="4" t="s">
        <v>49</v>
      </c>
      <c r="I854" s="4" t="s">
        <v>56</v>
      </c>
      <c r="J854" s="4" t="s">
        <v>3048</v>
      </c>
      <c r="K854" s="5" t="str">
        <f>HYPERLINK("https://media.licdn.com/dms/image/v2/D4E10AQHFFMiUzmjyaA/image-shrink_1280/B4EZkUZbXcIkAM-/0/1756983834207?e=1789466400&amp;v=beta&amp;t=7dSIPfAx8UEmCpxJLQ9ODmAUTDpJ5KQUP1NCRuEp3RA","View Creative")</f>
        <v>View Creative</v>
      </c>
      <c r="L854" s="4" t="s">
        <v>60</v>
      </c>
      <c r="M854" s="4" t="s">
        <v>61</v>
      </c>
      <c r="N854" s="4" t="s">
        <v>5357</v>
      </c>
      <c r="O854" s="4" t="s">
        <v>89</v>
      </c>
      <c r="P854" s="4" t="s">
        <v>5380</v>
      </c>
    </row>
    <row r="855">
      <c r="A855" s="4" t="s">
        <v>40</v>
      </c>
      <c r="B855" s="4" t="s">
        <v>40</v>
      </c>
      <c r="C855" s="4">
        <v>853.0</v>
      </c>
      <c r="D855" s="5" t="str">
        <f>HYPERLINK("https://www.linkedin.com/ad-library/detail/776759704","Open Ad")</f>
        <v>Open Ad</v>
      </c>
      <c r="E855" s="4" t="s">
        <v>3048</v>
      </c>
      <c r="F855" s="4" t="s">
        <v>54</v>
      </c>
      <c r="G855" s="4" t="s">
        <v>5356</v>
      </c>
      <c r="H855" s="4" t="s">
        <v>49</v>
      </c>
      <c r="I855" s="4" t="s">
        <v>5259</v>
      </c>
      <c r="J855" s="4" t="s">
        <v>3048</v>
      </c>
      <c r="K855" s="5" t="str">
        <f>HYPERLINK("https://media.licdn.com/dms/image/v2/D4E10AQH5gEL4u93U3g/image-shrink_1280/B4EZk4BIlVKoAE-/0/1757581445574?e=1789466400&amp;v=beta&amp;t=XfUzx9hxk-E2T0wE2_Qs2qgidqJrqwDR_d87GVAhkZg","View Creative")</f>
        <v>View Creative</v>
      </c>
      <c r="L855" s="4" t="s">
        <v>60</v>
      </c>
      <c r="M855" s="4" t="s">
        <v>61</v>
      </c>
      <c r="N855" s="4" t="s">
        <v>5382</v>
      </c>
      <c r="O855" s="4" t="s">
        <v>89</v>
      </c>
      <c r="P855" s="4" t="s">
        <v>5383</v>
      </c>
    </row>
    <row r="856">
      <c r="A856" s="4" t="s">
        <v>40</v>
      </c>
      <c r="B856" s="4" t="s">
        <v>40</v>
      </c>
      <c r="C856" s="4">
        <v>854.0</v>
      </c>
      <c r="D856" s="5" t="str">
        <f>HYPERLINK("https://www.linkedin.com/ad-library/detail/776949984","Open Ad")</f>
        <v>Open Ad</v>
      </c>
      <c r="E856" s="4" t="s">
        <v>3048</v>
      </c>
      <c r="F856" s="4" t="s">
        <v>54</v>
      </c>
      <c r="G856" s="4" t="s">
        <v>5379</v>
      </c>
      <c r="H856" s="4" t="s">
        <v>49</v>
      </c>
      <c r="I856" s="4" t="s">
        <v>56</v>
      </c>
      <c r="J856" s="4" t="s">
        <v>3048</v>
      </c>
      <c r="K856" s="5" t="str">
        <f>HYPERLINK("https://media.licdn.com/dms/image/v2/D4E10AQHnf2L5oGFDIg/image-shrink_1280/B4EZkUZbWZIMAU-/0/1756983834139?e=1789466400&amp;v=beta&amp;t=v4rJixLkFG7_FdOivipb2xpZfbzq3w8bKA91vxOAukA","View Creative")</f>
        <v>View Creative</v>
      </c>
      <c r="L856" s="4" t="s">
        <v>60</v>
      </c>
      <c r="M856" s="4" t="s">
        <v>61</v>
      </c>
      <c r="N856" s="4" t="s">
        <v>5384</v>
      </c>
      <c r="O856" s="4" t="s">
        <v>89</v>
      </c>
      <c r="P856" s="4" t="s">
        <v>5385</v>
      </c>
    </row>
    <row r="857">
      <c r="A857" s="4" t="s">
        <v>40</v>
      </c>
      <c r="B857" s="4" t="s">
        <v>40</v>
      </c>
      <c r="C857" s="4">
        <v>855.0</v>
      </c>
      <c r="D857" s="5" t="str">
        <f>HYPERLINK("https://www.linkedin.com/ad-library/detail/855679994","Open Ad")</f>
        <v>Open Ad</v>
      </c>
      <c r="E857" s="4" t="s">
        <v>78</v>
      </c>
      <c r="F857" s="4" t="s">
        <v>5257</v>
      </c>
      <c r="G857" s="4" t="s">
        <v>5258</v>
      </c>
      <c r="H857" s="4" t="s">
        <v>49</v>
      </c>
      <c r="I857" s="4" t="s">
        <v>5259</v>
      </c>
      <c r="J857" s="4" t="s">
        <v>78</v>
      </c>
      <c r="K857" s="5" t="str">
        <f>HYPERLINK("https://media.licdn.com/dms/image/v2/D4E10AQGofGTBvW4cjw/image-shrink_1280/B4EZnSt7aVGcAM-/0/1760176879936?e=2147483647&amp;v=beta&amp;t=yIJermynx_PXMIcx3OvLL_0Pq3WwR9AMjmjhCHZ3gR0","View Creative")</f>
        <v>View Creative</v>
      </c>
      <c r="L857" s="4" t="s">
        <v>60</v>
      </c>
      <c r="M857" s="4" t="s">
        <v>61</v>
      </c>
      <c r="N857" s="4" t="s">
        <v>5260</v>
      </c>
      <c r="O857" s="4" t="s">
        <v>89</v>
      </c>
      <c r="P857" s="4" t="s">
        <v>5387</v>
      </c>
    </row>
    <row r="858">
      <c r="A858" s="4" t="s">
        <v>40</v>
      </c>
      <c r="B858" s="4" t="s">
        <v>40</v>
      </c>
      <c r="C858" s="4">
        <v>856.0</v>
      </c>
      <c r="D858" s="5" t="str">
        <f>HYPERLINK("https://www.linkedin.com/ad-library/detail/855595004","Open Ad")</f>
        <v>Open Ad</v>
      </c>
      <c r="E858" s="4" t="s">
        <v>78</v>
      </c>
      <c r="F858" s="4" t="s">
        <v>5257</v>
      </c>
      <c r="G858" s="4" t="s">
        <v>5263</v>
      </c>
      <c r="H858" s="4" t="s">
        <v>49</v>
      </c>
      <c r="I858" s="4" t="s">
        <v>198</v>
      </c>
      <c r="J858" s="4" t="s">
        <v>78</v>
      </c>
      <c r="K858" s="5" t="str">
        <f>HYPERLINK("https://media.licdn.com/dms/image/v2/D4E10AQGLYb9sTjBF6Q/image-shrink_1280/B4EZnSt7ifIIAM-/0/1760176880527?e=2147483647&amp;v=beta&amp;t=JwzE_nO2dczf6mCxge3Cu1u9pVK11DCUMd3rul8uSaw","View Creative")</f>
        <v>View Creative</v>
      </c>
      <c r="L858" s="4" t="s">
        <v>60</v>
      </c>
      <c r="M858" s="4" t="s">
        <v>61</v>
      </c>
      <c r="N858" s="4" t="s">
        <v>5260</v>
      </c>
      <c r="O858" s="4" t="s">
        <v>89</v>
      </c>
      <c r="P858" s="4" t="s">
        <v>5389</v>
      </c>
    </row>
    <row r="859">
      <c r="A859" s="4" t="s">
        <v>40</v>
      </c>
      <c r="B859" s="4" t="s">
        <v>40</v>
      </c>
      <c r="C859" s="4">
        <v>857.0</v>
      </c>
      <c r="D859" s="5" t="str">
        <f>HYPERLINK("https://www.linkedin.com/ad-library/detail/855594994","Open Ad")</f>
        <v>Open Ad</v>
      </c>
      <c r="E859" s="4" t="s">
        <v>78</v>
      </c>
      <c r="F859" s="4" t="s">
        <v>5257</v>
      </c>
      <c r="G859" s="4" t="s">
        <v>5258</v>
      </c>
      <c r="H859" s="4" t="s">
        <v>49</v>
      </c>
      <c r="I859" s="4" t="s">
        <v>5259</v>
      </c>
      <c r="J859" s="4" t="s">
        <v>78</v>
      </c>
      <c r="K859" s="5" t="str">
        <f>HYPERLINK("https://media.licdn.com/dms/image/v2/D4E10AQE8wVAwqvfqmw/image-shrink_1280/B4EZnSt7bMIUAM-/0/1760176879977?e=2147483647&amp;v=beta&amp;t=bKcY5GQEGdQ2gX5n8RfeTWP6pza8bhIOodaduY-LWBY","View Creative")</f>
        <v>View Creative</v>
      </c>
      <c r="L859" s="4" t="s">
        <v>60</v>
      </c>
      <c r="M859" s="4" t="s">
        <v>61</v>
      </c>
      <c r="N859" s="4" t="s">
        <v>5260</v>
      </c>
      <c r="O859" s="4" t="s">
        <v>89</v>
      </c>
      <c r="P859" s="4" t="s">
        <v>5390</v>
      </c>
    </row>
    <row r="860">
      <c r="A860" s="4" t="s">
        <v>40</v>
      </c>
      <c r="B860" s="4" t="s">
        <v>40</v>
      </c>
      <c r="C860" s="4">
        <v>858.0</v>
      </c>
      <c r="D860" s="5" t="str">
        <f>HYPERLINK("https://www.linkedin.com/ad-library/detail/855624984","Open Ad")</f>
        <v>Open Ad</v>
      </c>
      <c r="E860" s="4" t="s">
        <v>78</v>
      </c>
      <c r="F860" s="4" t="s">
        <v>5257</v>
      </c>
      <c r="G860" s="4" t="s">
        <v>5258</v>
      </c>
      <c r="H860" s="4" t="s">
        <v>49</v>
      </c>
      <c r="I860" s="4" t="s">
        <v>5259</v>
      </c>
      <c r="J860" s="4" t="s">
        <v>78</v>
      </c>
      <c r="K860" s="5" t="str">
        <f>HYPERLINK("https://media.licdn.com/dms/image/v2/D4E10AQGWQxkrGjF_SQ/image-shrink_1280/B4EZnSt7dhIIAM-/0/1760176880474?e=2147483647&amp;v=beta&amp;t=3Yb9hd56wpKYo6tZ0KME2SpRIhytyPTGFle1tDK2DSw","View Creative")</f>
        <v>View Creative</v>
      </c>
      <c r="L860" s="4" t="s">
        <v>60</v>
      </c>
      <c r="M860" s="4" t="s">
        <v>61</v>
      </c>
      <c r="N860" s="4" t="s">
        <v>5260</v>
      </c>
      <c r="O860" s="4" t="s">
        <v>89</v>
      </c>
      <c r="P860" s="4" t="s">
        <v>5392</v>
      </c>
    </row>
    <row r="861">
      <c r="A861" s="4" t="s">
        <v>40</v>
      </c>
      <c r="B861" s="4" t="s">
        <v>40</v>
      </c>
      <c r="C861" s="4">
        <v>859.0</v>
      </c>
      <c r="D861" s="5" t="str">
        <f>HYPERLINK("https://www.linkedin.com/ad-library/detail/855530714","Open Ad")</f>
        <v>Open Ad</v>
      </c>
      <c r="E861" s="4" t="s">
        <v>78</v>
      </c>
      <c r="F861" s="4" t="s">
        <v>54</v>
      </c>
      <c r="G861" s="4" t="s">
        <v>5393</v>
      </c>
      <c r="H861" s="4" t="s">
        <v>49</v>
      </c>
      <c r="I861" s="4" t="s">
        <v>198</v>
      </c>
      <c r="J861" s="4" t="s">
        <v>78</v>
      </c>
      <c r="K861" s="5" t="str">
        <f>HYPERLINK("https://media.licdn.com/dms/image/v2/D4E10AQF3R4e36cSEgA/image-shrink_1280/B4EZnOmMogKgAM-/0/1760107744589?e=2147483647&amp;v=beta&amp;t=lGPkLui-XGCd8uoNv3Oy49BwOQaDFmiCIvGztAcandw","View Creative")</f>
        <v>View Creative</v>
      </c>
      <c r="L861" s="4" t="s">
        <v>60</v>
      </c>
      <c r="M861" s="4" t="s">
        <v>61</v>
      </c>
      <c r="N861" s="4" t="s">
        <v>5364</v>
      </c>
      <c r="O861" s="4" t="s">
        <v>89</v>
      </c>
      <c r="P861" s="4" t="s">
        <v>5395</v>
      </c>
    </row>
    <row r="862">
      <c r="A862" s="4" t="s">
        <v>40</v>
      </c>
      <c r="B862" s="4" t="s">
        <v>40</v>
      </c>
      <c r="C862" s="4">
        <v>860.0</v>
      </c>
      <c r="D862" s="5" t="str">
        <f>HYPERLINK("https://www.linkedin.com/ad-library/detail/776779274","Open Ad")</f>
        <v>Open Ad</v>
      </c>
      <c r="E862" s="4" t="s">
        <v>3048</v>
      </c>
      <c r="F862" s="4" t="s">
        <v>54</v>
      </c>
      <c r="G862" s="4" t="s">
        <v>5396</v>
      </c>
      <c r="H862" s="4" t="s">
        <v>49</v>
      </c>
      <c r="I862" s="4" t="s">
        <v>198</v>
      </c>
      <c r="J862" s="4" t="s">
        <v>3048</v>
      </c>
      <c r="K862" s="5" t="str">
        <f>HYPERLINK("https://media.licdn.com/dms/image/v2/D4E10AQH5gEL4u93U3g/image-shrink_1280/B4EZk4BIlVKoAE-/0/1757581445574?e=1789466400&amp;v=beta&amp;t=XfUzx9hxk-E2T0wE2_Qs2qgidqJrqwDR_d87GVAhkZg","View Creative")</f>
        <v>View Creative</v>
      </c>
      <c r="L862" s="4" t="s">
        <v>60</v>
      </c>
      <c r="M862" s="4" t="s">
        <v>61</v>
      </c>
      <c r="N862" s="4" t="s">
        <v>5357</v>
      </c>
      <c r="O862" s="4" t="s">
        <v>89</v>
      </c>
      <c r="P862" s="4" t="s">
        <v>5397</v>
      </c>
    </row>
    <row r="863">
      <c r="A863" s="4" t="s">
        <v>40</v>
      </c>
      <c r="B863" s="4" t="s">
        <v>40</v>
      </c>
      <c r="C863" s="4">
        <v>861.0</v>
      </c>
      <c r="D863" s="5" t="str">
        <f>HYPERLINK("https://www.linkedin.com/ad-library/detail/855680004","Open Ad")</f>
        <v>Open Ad</v>
      </c>
      <c r="E863" s="4" t="s">
        <v>78</v>
      </c>
      <c r="F863" s="4" t="s">
        <v>5257</v>
      </c>
      <c r="G863" s="4" t="s">
        <v>5263</v>
      </c>
      <c r="H863" s="4" t="s">
        <v>49</v>
      </c>
      <c r="I863" s="4" t="s">
        <v>198</v>
      </c>
      <c r="J863" s="4" t="s">
        <v>78</v>
      </c>
      <c r="K863" s="5" t="str">
        <f>HYPERLINK("https://media.licdn.com/dms/image/v2/D4E10AQEjO7AxKgAKoQ/image-shrink_1280/B4EZnSt7egIoAM-/0/1760176880280?e=2147483647&amp;v=beta&amp;t=WLCXXoyBM_sEILX-yhiO9dHfGanhCHbKRSvPXStaXuk","View Creative")</f>
        <v>View Creative</v>
      </c>
      <c r="L863" s="4" t="s">
        <v>60</v>
      </c>
      <c r="M863" s="4" t="s">
        <v>61</v>
      </c>
      <c r="N863" s="4" t="s">
        <v>5260</v>
      </c>
      <c r="O863" s="4" t="s">
        <v>89</v>
      </c>
      <c r="P863" s="4" t="s">
        <v>5399</v>
      </c>
    </row>
    <row r="864">
      <c r="A864" s="4" t="s">
        <v>40</v>
      </c>
      <c r="B864" s="4" t="s">
        <v>40</v>
      </c>
      <c r="C864" s="4">
        <v>862.0</v>
      </c>
      <c r="D864" s="5" t="str">
        <f>HYPERLINK("https://www.linkedin.com/ad-library/detail/855495894","Open Ad")</f>
        <v>Open Ad</v>
      </c>
      <c r="E864" s="4" t="s">
        <v>78</v>
      </c>
      <c r="F864" s="4" t="s">
        <v>4817</v>
      </c>
      <c r="G864" s="4" t="s">
        <v>4818</v>
      </c>
      <c r="H864" s="4" t="s">
        <v>49</v>
      </c>
      <c r="I864" s="4" t="s">
        <v>198</v>
      </c>
      <c r="J864" s="4" t="s">
        <v>78</v>
      </c>
      <c r="K864" s="5" t="str">
        <f>HYPERLINK("https://media.licdn.com/dms/image/v2/D4E10AQG1kCKPklwrSg/image-shrink_1280/B4EZk4Cu1mGUAM-/0/1757581865596/NativeLeadGenLinkedInAssets1_1png?e=2147483647&amp;v=beta&amp;t=aH8vdb5b_rcCVHm8xHCUM1a-TW_EZuv36iffeHzlWmA","View Creative")</f>
        <v>View Creative</v>
      </c>
      <c r="L864" s="4" t="s">
        <v>60</v>
      </c>
      <c r="M864" s="4" t="s">
        <v>61</v>
      </c>
      <c r="N864" s="4" t="s">
        <v>5260</v>
      </c>
      <c r="O864" s="4" t="s">
        <v>89</v>
      </c>
      <c r="P864" s="4" t="s">
        <v>5400</v>
      </c>
    </row>
    <row r="865">
      <c r="A865" s="4" t="s">
        <v>40</v>
      </c>
      <c r="B865" s="4" t="s">
        <v>40</v>
      </c>
      <c r="C865" s="4">
        <v>863.0</v>
      </c>
      <c r="D865" s="5" t="str">
        <f>HYPERLINK("https://www.linkedin.com/ad-library/detail/776960514","Open Ad")</f>
        <v>Open Ad</v>
      </c>
      <c r="E865" s="4" t="s">
        <v>3048</v>
      </c>
      <c r="F865" s="4" t="s">
        <v>54</v>
      </c>
      <c r="G865" s="4" t="s">
        <v>5348</v>
      </c>
      <c r="H865" s="4" t="s">
        <v>49</v>
      </c>
      <c r="I865" s="4" t="s">
        <v>1077</v>
      </c>
      <c r="J865" s="4" t="s">
        <v>3048</v>
      </c>
      <c r="K865" s="5" t="str">
        <f>HYPERLINK("https://media.licdn.com/dms/image/v2/D4E10AQEMvfwYpzHKSw/image-shrink_1080_1080/B4EZh6xK1lHEAs-/0/1754406368699?e=1789466400&amp;v=beta&amp;t=uu8QPWHx-8VyYnxhBUOPR5zAlUGt4sbOeQJ4-UGp8h8","View Creative")</f>
        <v>View Creative</v>
      </c>
      <c r="L865" s="4" t="s">
        <v>106</v>
      </c>
      <c r="M865" s="4" t="s">
        <v>61</v>
      </c>
      <c r="O865" s="4" t="s">
        <v>89</v>
      </c>
      <c r="P865" s="4" t="s">
        <v>5402</v>
      </c>
    </row>
    <row r="866">
      <c r="A866" s="4" t="s">
        <v>40</v>
      </c>
      <c r="B866" s="4" t="s">
        <v>40</v>
      </c>
      <c r="C866" s="4">
        <v>864.0</v>
      </c>
      <c r="D866" s="5" t="str">
        <f>HYPERLINK("https://www.linkedin.com/ad-library/detail/776799434","Open Ad")</f>
        <v>Open Ad</v>
      </c>
      <c r="E866" s="4" t="s">
        <v>3048</v>
      </c>
      <c r="F866" s="4" t="s">
        <v>54</v>
      </c>
      <c r="G866" s="4" t="s">
        <v>5352</v>
      </c>
      <c r="H866" s="4" t="s">
        <v>49</v>
      </c>
      <c r="I866" s="4" t="s">
        <v>1077</v>
      </c>
      <c r="J866" s="4" t="s">
        <v>3048</v>
      </c>
      <c r="K866" s="5" t="str">
        <f>HYPERLINK("https://media.licdn.com/dms/image/v2/D4E10AQFBx4u-hDBS0Q/image-shrink_1080_1080/B4EZh66TusGYAo-/0/1754408764182?e=1789466400&amp;v=beta&amp;t=clPNPcGdUMkd1BNPA0C-WbQi3AK9P-Ce8XzXuJG2fZs","View Creative")</f>
        <v>View Creative</v>
      </c>
      <c r="L866" s="4" t="s">
        <v>106</v>
      </c>
      <c r="M866" s="4" t="s">
        <v>61</v>
      </c>
      <c r="O866" s="4" t="s">
        <v>89</v>
      </c>
      <c r="P866" s="4" t="s">
        <v>5404</v>
      </c>
    </row>
    <row r="867">
      <c r="A867" s="4" t="s">
        <v>40</v>
      </c>
      <c r="B867" s="4" t="s">
        <v>40</v>
      </c>
      <c r="C867" s="4">
        <v>865.0</v>
      </c>
      <c r="D867" s="5" t="str">
        <f>HYPERLINK("https://www.linkedin.com/ad-library/detail/776898574","Open Ad")</f>
        <v>Open Ad</v>
      </c>
      <c r="E867" s="4" t="s">
        <v>3048</v>
      </c>
      <c r="F867" s="4" t="s">
        <v>54</v>
      </c>
      <c r="G867" s="4" t="s">
        <v>5379</v>
      </c>
      <c r="H867" s="4" t="s">
        <v>49</v>
      </c>
      <c r="I867" s="4" t="s">
        <v>56</v>
      </c>
      <c r="J867" s="4" t="s">
        <v>3048</v>
      </c>
      <c r="K867" s="5" t="str">
        <f>HYPERLINK("https://media.licdn.com/dms/image/v2/D4E10AQHnf2L5oGFDIg/image-shrink_1280/B4EZkUZbWZIMAU-/0/1756983834139?e=1789466400&amp;v=beta&amp;t=v4rJixLkFG7_FdOivipb2xpZfbzq3w8bKA91vxOAukA","View Creative")</f>
        <v>View Creative</v>
      </c>
      <c r="L867" s="4" t="s">
        <v>60</v>
      </c>
      <c r="M867" s="4" t="s">
        <v>61</v>
      </c>
      <c r="N867" s="4" t="s">
        <v>5384</v>
      </c>
      <c r="O867" s="4" t="s">
        <v>89</v>
      </c>
      <c r="P867" s="4" t="s">
        <v>5405</v>
      </c>
    </row>
    <row r="868">
      <c r="A868" s="4" t="s">
        <v>40</v>
      </c>
      <c r="B868" s="4" t="s">
        <v>40</v>
      </c>
      <c r="C868" s="4">
        <v>866.0</v>
      </c>
      <c r="D868" s="5" t="str">
        <f>HYPERLINK("https://www.linkedin.com/ad-library/detail/776489394","Open Ad")</f>
        <v>Open Ad</v>
      </c>
      <c r="E868" s="4" t="s">
        <v>78</v>
      </c>
      <c r="F868" s="4" t="s">
        <v>5407</v>
      </c>
      <c r="G868" s="4" t="s">
        <v>5408</v>
      </c>
      <c r="H868" s="4" t="s">
        <v>49</v>
      </c>
      <c r="I868" s="4" t="s">
        <v>5409</v>
      </c>
      <c r="J868" s="4" t="s">
        <v>78</v>
      </c>
      <c r="K868" s="5" t="str">
        <f>HYPERLINK("https://media.licdn.com/dms/image/v2/D4E10AQH6Y8-5WOmD7A/image-shrink_1280/B4EZl8LV1yGYAM-/0/1758724972814?e=2147483647&amp;v=beta&amp;t=jnhhu98dEkuQkXSvc6eQMocd8G3YnrHggjLjfOREj8Q","View Creative")</f>
        <v>View Creative</v>
      </c>
      <c r="L868" s="4" t="s">
        <v>2321</v>
      </c>
      <c r="M868" s="4" t="s">
        <v>61</v>
      </c>
      <c r="N868" s="4" t="s">
        <v>5410</v>
      </c>
      <c r="O868" s="4" t="s">
        <v>89</v>
      </c>
      <c r="P868" s="4" t="s">
        <v>5411</v>
      </c>
    </row>
    <row r="869">
      <c r="A869" s="4" t="s">
        <v>40</v>
      </c>
      <c r="B869" s="4" t="s">
        <v>40</v>
      </c>
      <c r="C869" s="4">
        <v>867.0</v>
      </c>
      <c r="D869" s="5" t="str">
        <f>HYPERLINK("https://www.linkedin.com/ad-library/detail/776608984","Open Ad")</f>
        <v>Open Ad</v>
      </c>
      <c r="E869" s="4" t="s">
        <v>78</v>
      </c>
      <c r="F869" s="4" t="s">
        <v>5412</v>
      </c>
      <c r="G869" s="4" t="s">
        <v>5413</v>
      </c>
      <c r="H869" s="4" t="s">
        <v>49</v>
      </c>
      <c r="I869" s="4" t="s">
        <v>166</v>
      </c>
      <c r="J869" s="4" t="s">
        <v>78</v>
      </c>
      <c r="K869" s="5" t="str">
        <f>HYPERLINK("https://media.licdn.com/dms/image/v2/D4E10AQEYuPtixYYQpQ/image-shrink_1280/B4EZl8LZTLGoAQ-/0/1758724987108?e=2147483647&amp;v=beta&amp;t=Xkl9E4r0RQEpD93kIrk59Yh_TeK8hFCNROj1U8bPzlg","View Creative")</f>
        <v>View Creative</v>
      </c>
      <c r="L869" s="4" t="s">
        <v>60</v>
      </c>
      <c r="M869" s="4" t="s">
        <v>61</v>
      </c>
      <c r="N869" s="4" t="s">
        <v>5410</v>
      </c>
      <c r="O869" s="4" t="s">
        <v>89</v>
      </c>
      <c r="P869" s="4" t="s">
        <v>5415</v>
      </c>
    </row>
    <row r="870">
      <c r="A870" s="4" t="s">
        <v>40</v>
      </c>
      <c r="B870" s="4" t="s">
        <v>40</v>
      </c>
      <c r="C870" s="4">
        <v>868.0</v>
      </c>
      <c r="D870" s="5" t="str">
        <f>HYPERLINK("https://www.linkedin.com/ad-library/detail/776849544","Open Ad")</f>
        <v>Open Ad</v>
      </c>
      <c r="E870" s="4" t="s">
        <v>3048</v>
      </c>
      <c r="F870" s="4" t="s">
        <v>54</v>
      </c>
      <c r="G870" s="4" t="s">
        <v>5396</v>
      </c>
      <c r="H870" s="4" t="s">
        <v>49</v>
      </c>
      <c r="I870" s="4" t="s">
        <v>198</v>
      </c>
      <c r="J870" s="4" t="s">
        <v>3048</v>
      </c>
      <c r="K870" s="5" t="str">
        <f>HYPERLINK("https://media.licdn.com/dms/image/v2/D4E10AQH5gEL4u93U3g/image-shrink_1280/B4EZk4BIlVKoAE-/0/1757581445574?e=1789466400&amp;v=beta&amp;t=XfUzx9hxk-E2T0wE2_Qs2qgidqJrqwDR_d87GVAhkZg","View Creative")</f>
        <v>View Creative</v>
      </c>
      <c r="L870" s="4" t="s">
        <v>60</v>
      </c>
      <c r="M870" s="4" t="s">
        <v>61</v>
      </c>
      <c r="N870" s="4" t="s">
        <v>5382</v>
      </c>
      <c r="O870" s="4" t="s">
        <v>89</v>
      </c>
      <c r="P870" s="4" t="s">
        <v>5416</v>
      </c>
    </row>
    <row r="871">
      <c r="A871" s="4" t="s">
        <v>40</v>
      </c>
      <c r="B871" s="4" t="s">
        <v>40</v>
      </c>
      <c r="C871" s="4">
        <v>869.0</v>
      </c>
      <c r="D871" s="5" t="str">
        <f>HYPERLINK("https://www.linkedin.com/ad-library/detail/776569124","Open Ad")</f>
        <v>Open Ad</v>
      </c>
      <c r="E871" s="4" t="s">
        <v>78</v>
      </c>
      <c r="F871" s="4" t="s">
        <v>5412</v>
      </c>
      <c r="G871" s="4" t="s">
        <v>5413</v>
      </c>
      <c r="H871" s="4" t="s">
        <v>49</v>
      </c>
      <c r="I871" s="4" t="s">
        <v>166</v>
      </c>
      <c r="J871" s="4" t="s">
        <v>78</v>
      </c>
      <c r="K871" s="5" t="str">
        <f>HYPERLINK("https://media.licdn.com/dms/image/v2/D4E10AQHzXqRwm_1yeg/image-shrink_1280/B4EZl8LVxRGoAQ-/0/1758724972842?e=2147483647&amp;v=beta&amp;t=e5Hr00tF7j0_jJSv016BllMmRfBMPD6mawIO29bys_Q","View Creative")</f>
        <v>View Creative</v>
      </c>
      <c r="L871" s="4" t="s">
        <v>60</v>
      </c>
      <c r="M871" s="4" t="s">
        <v>61</v>
      </c>
      <c r="N871" s="4" t="s">
        <v>5418</v>
      </c>
      <c r="O871" s="4" t="s">
        <v>89</v>
      </c>
      <c r="P871" s="4" t="s">
        <v>5419</v>
      </c>
    </row>
    <row r="872">
      <c r="A872" s="4" t="s">
        <v>40</v>
      </c>
      <c r="B872" s="4" t="s">
        <v>40</v>
      </c>
      <c r="C872" s="4">
        <v>870.0</v>
      </c>
      <c r="D872" s="5" t="str">
        <f>HYPERLINK("https://www.linkedin.com/ad-library/detail/776569114","Open Ad")</f>
        <v>Open Ad</v>
      </c>
      <c r="E872" s="4" t="s">
        <v>78</v>
      </c>
      <c r="F872" s="4" t="s">
        <v>5420</v>
      </c>
      <c r="G872" s="4" t="s">
        <v>5421</v>
      </c>
      <c r="H872" s="4" t="s">
        <v>49</v>
      </c>
      <c r="I872" s="4" t="s">
        <v>5422</v>
      </c>
      <c r="J872" s="4" t="s">
        <v>78</v>
      </c>
      <c r="K872" s="5" t="str">
        <f>HYPERLINK("https://media.licdn.com/dms/image/v2/D4E10AQHzVVuzGSMf1A/image-shrink_1280/B4EZl8LNNaIMAM-/0/1758724938275?e=2147483647&amp;v=beta&amp;t=fASpUzLbC41QBxHQ1jZWWqUb_jEOfBgDd72-htlxTlo","View Creative")</f>
        <v>View Creative</v>
      </c>
      <c r="L872" s="4" t="s">
        <v>2321</v>
      </c>
      <c r="M872" s="4" t="s">
        <v>61</v>
      </c>
      <c r="N872" s="4" t="s">
        <v>5410</v>
      </c>
      <c r="O872" s="4" t="s">
        <v>89</v>
      </c>
      <c r="P872" s="4" t="s">
        <v>5423</v>
      </c>
    </row>
    <row r="873">
      <c r="A873" s="4" t="s">
        <v>40</v>
      </c>
      <c r="B873" s="4" t="s">
        <v>40</v>
      </c>
      <c r="C873" s="4">
        <v>871.0</v>
      </c>
      <c r="D873" s="5" t="str">
        <f>HYPERLINK("https://www.linkedin.com/ad-library/detail/776509354","Open Ad")</f>
        <v>Open Ad</v>
      </c>
      <c r="E873" s="4" t="s">
        <v>78</v>
      </c>
      <c r="F873" s="4" t="s">
        <v>5412</v>
      </c>
      <c r="G873" s="4" t="s">
        <v>5413</v>
      </c>
      <c r="H873" s="4" t="s">
        <v>49</v>
      </c>
      <c r="I873" s="4" t="s">
        <v>166</v>
      </c>
      <c r="J873" s="4" t="s">
        <v>78</v>
      </c>
      <c r="K873" s="5" t="str">
        <f>HYPERLINK("https://media.licdn.com/dms/image/v2/D4E10AQETEI6BUbe72w/image-shrink_1280/B4EZl8LQjsKgAM-/0/1758724951385?e=2147483647&amp;v=beta&amp;t=upPnVg_WcSgSZZ0OdCYghbCfmxOndkGa3rwRmE-e2UY","View Creative")</f>
        <v>View Creative</v>
      </c>
      <c r="L873" s="4" t="s">
        <v>60</v>
      </c>
      <c r="M873" s="4" t="s">
        <v>61</v>
      </c>
      <c r="N873" s="4" t="s">
        <v>5418</v>
      </c>
      <c r="O873" s="4" t="s">
        <v>89</v>
      </c>
      <c r="P873" s="4" t="s">
        <v>5425</v>
      </c>
    </row>
    <row r="874">
      <c r="A874" s="4" t="s">
        <v>40</v>
      </c>
      <c r="B874" s="4" t="s">
        <v>40</v>
      </c>
      <c r="C874" s="4">
        <v>872.0</v>
      </c>
      <c r="D874" s="5" t="str">
        <f>HYPERLINK("https://www.linkedin.com/ad-library/detail/776887924","Open Ad")</f>
        <v>Open Ad</v>
      </c>
      <c r="E874" s="4" t="s">
        <v>3048</v>
      </c>
      <c r="F874" s="4" t="s">
        <v>54</v>
      </c>
      <c r="G874" s="4" t="s">
        <v>5379</v>
      </c>
      <c r="H874" s="4" t="s">
        <v>49</v>
      </c>
      <c r="I874" s="4" t="s">
        <v>56</v>
      </c>
      <c r="J874" s="4" t="s">
        <v>3048</v>
      </c>
      <c r="K874" s="5" t="str">
        <f>HYPERLINK("https://media.licdn.com/dms/image/v2/D4E10AQHFFMiUzmjyaA/image-shrink_1280/B4EZkUZbXcIkAM-/0/1756983834207?e=1789466400&amp;v=beta&amp;t=7dSIPfAx8UEmCpxJLQ9ODmAUTDpJ5KQUP1NCRuEp3RA","View Creative")</f>
        <v>View Creative</v>
      </c>
      <c r="L874" s="4" t="s">
        <v>60</v>
      </c>
      <c r="M874" s="4" t="s">
        <v>61</v>
      </c>
      <c r="N874" s="4" t="s">
        <v>5382</v>
      </c>
      <c r="O874" s="4" t="s">
        <v>89</v>
      </c>
      <c r="P874" s="4" t="s">
        <v>5426</v>
      </c>
    </row>
    <row r="875">
      <c r="A875" s="4" t="s">
        <v>40</v>
      </c>
      <c r="B875" s="4" t="s">
        <v>40</v>
      </c>
      <c r="C875" s="4">
        <v>873.0</v>
      </c>
      <c r="D875" s="5" t="str">
        <f>HYPERLINK("https://www.linkedin.com/ad-library/detail/776489454","Open Ad")</f>
        <v>Open Ad</v>
      </c>
      <c r="E875" s="4" t="s">
        <v>78</v>
      </c>
      <c r="F875" s="4" t="s">
        <v>5407</v>
      </c>
      <c r="G875" s="4" t="s">
        <v>5408</v>
      </c>
      <c r="H875" s="4" t="s">
        <v>49</v>
      </c>
      <c r="I875" s="4" t="s">
        <v>5409</v>
      </c>
      <c r="J875" s="4" t="s">
        <v>78</v>
      </c>
      <c r="K875" s="5" t="str">
        <f>HYPERLINK("https://media.licdn.com/dms/image/v2/D4E10AQGhd1kKKiqsRA/image-shrink_1280/B4EZl8MCj3HoAQ-/0/1758725155872?e=2147483647&amp;v=beta&amp;t=TvVMsFAWIKXAV1tCAvvUI-Ze7cLiW0su7Se09IWP5IA","View Creative")</f>
        <v>View Creative</v>
      </c>
      <c r="L875" s="4" t="s">
        <v>2321</v>
      </c>
      <c r="M875" s="4" t="s">
        <v>61</v>
      </c>
      <c r="N875" s="4" t="s">
        <v>5410</v>
      </c>
      <c r="O875" s="4" t="s">
        <v>89</v>
      </c>
      <c r="P875" s="4" t="s">
        <v>5428</v>
      </c>
    </row>
    <row r="876">
      <c r="A876" s="4" t="s">
        <v>40</v>
      </c>
      <c r="B876" s="4" t="s">
        <v>40</v>
      </c>
      <c r="C876" s="4">
        <v>874.0</v>
      </c>
      <c r="D876" s="5" t="str">
        <f>HYPERLINK("https://www.linkedin.com/ad-library/detail/776638434","Open Ad")</f>
        <v>Open Ad</v>
      </c>
      <c r="E876" s="4" t="s">
        <v>78</v>
      </c>
      <c r="F876" s="4" t="s">
        <v>5407</v>
      </c>
      <c r="G876" s="4" t="s">
        <v>5408</v>
      </c>
      <c r="H876" s="4" t="s">
        <v>49</v>
      </c>
      <c r="I876" s="4" t="s">
        <v>5409</v>
      </c>
      <c r="J876" s="4" t="s">
        <v>78</v>
      </c>
      <c r="K876" s="5" t="str">
        <f>HYPERLINK("https://media.licdn.com/dms/image/v2/D4E10AQFOLJuPR5eOYg/image-shrink_1280/B4EZl8LVyWKkAM-/0/1758724972757?e=2147483647&amp;v=beta&amp;t=aktRL1q4kbdNsOCFraIx2022wxaHPzyUn6F3rNrR26A","View Creative")</f>
        <v>View Creative</v>
      </c>
      <c r="L876" s="4" t="s">
        <v>2321</v>
      </c>
      <c r="M876" s="4" t="s">
        <v>61</v>
      </c>
      <c r="N876" s="4" t="s">
        <v>5410</v>
      </c>
      <c r="O876" s="4" t="s">
        <v>89</v>
      </c>
      <c r="P876" s="4" t="s">
        <v>5429</v>
      </c>
    </row>
    <row r="877">
      <c r="A877" s="4" t="s">
        <v>40</v>
      </c>
      <c r="B877" s="4" t="s">
        <v>40</v>
      </c>
      <c r="C877" s="4">
        <v>875.0</v>
      </c>
      <c r="D877" s="5" t="str">
        <f>HYPERLINK("https://www.linkedin.com/ad-library/detail/776619364","Open Ad")</f>
        <v>Open Ad</v>
      </c>
      <c r="E877" s="4" t="s">
        <v>78</v>
      </c>
      <c r="F877" s="4" t="s">
        <v>5420</v>
      </c>
      <c r="G877" s="4" t="s">
        <v>5421</v>
      </c>
      <c r="H877" s="4" t="s">
        <v>49</v>
      </c>
      <c r="I877" s="4" t="s">
        <v>5422</v>
      </c>
      <c r="J877" s="4" t="s">
        <v>78</v>
      </c>
      <c r="K877" s="5" t="str">
        <f>HYPERLINK("https://media.licdn.com/dms/image/v2/D4E10AQE_NnLitE8IxQ/image-shrink_1280/B4EZl8MChBGYAM-/0/1758725155977?e=2147483647&amp;v=beta&amp;t=XwwoNALRdq8ZC56m7r0TDclmkhjP_PER2maD20sl0XM","View Creative")</f>
        <v>View Creative</v>
      </c>
      <c r="L877" s="4" t="s">
        <v>2321</v>
      </c>
      <c r="M877" s="4" t="s">
        <v>61</v>
      </c>
      <c r="N877" s="4" t="s">
        <v>5418</v>
      </c>
      <c r="O877" s="4" t="s">
        <v>89</v>
      </c>
      <c r="P877" s="4" t="s">
        <v>5431</v>
      </c>
    </row>
    <row r="878">
      <c r="A878" s="4" t="s">
        <v>40</v>
      </c>
      <c r="B878" s="4" t="s">
        <v>40</v>
      </c>
      <c r="C878" s="4">
        <v>876.0</v>
      </c>
      <c r="D878" s="5" t="str">
        <f>HYPERLINK("https://www.linkedin.com/ad-library/detail/776678314","Open Ad")</f>
        <v>Open Ad</v>
      </c>
      <c r="E878" s="4" t="s">
        <v>78</v>
      </c>
      <c r="F878" s="4" t="s">
        <v>5412</v>
      </c>
      <c r="G878" s="4" t="s">
        <v>5413</v>
      </c>
      <c r="H878" s="4" t="s">
        <v>49</v>
      </c>
      <c r="I878" s="4" t="s">
        <v>166</v>
      </c>
      <c r="J878" s="4" t="s">
        <v>78</v>
      </c>
      <c r="K878" s="5" t="str">
        <f>HYPERLINK("https://media.licdn.com/dms/image/v2/D4E10AQGDy6rgwk2D2Q/image-shrink_1280/B4EZl8LV2fGcAQ-/0/1758724973164?e=2147483647&amp;v=beta&amp;t=Kr2bdkgoytINcWnDgxW5fNW1-ej8oMvYQV46eviRuPI","View Creative")</f>
        <v>View Creative</v>
      </c>
      <c r="L878" s="4" t="s">
        <v>60</v>
      </c>
      <c r="M878" s="4" t="s">
        <v>61</v>
      </c>
      <c r="N878" s="4" t="s">
        <v>5410</v>
      </c>
      <c r="O878" s="4" t="s">
        <v>89</v>
      </c>
      <c r="P878" s="4" t="s">
        <v>5433</v>
      </c>
    </row>
    <row r="879">
      <c r="A879" s="4" t="s">
        <v>40</v>
      </c>
      <c r="B879" s="4" t="s">
        <v>40</v>
      </c>
      <c r="C879" s="4">
        <v>877.0</v>
      </c>
      <c r="D879" s="5" t="str">
        <f>HYPERLINK("https://www.linkedin.com/ad-library/detail/776788664","Open Ad")</f>
        <v>Open Ad</v>
      </c>
      <c r="E879" s="4" t="s">
        <v>3048</v>
      </c>
      <c r="F879" s="4" t="s">
        <v>54</v>
      </c>
      <c r="G879" s="4" t="s">
        <v>5396</v>
      </c>
      <c r="H879" s="4" t="s">
        <v>49</v>
      </c>
      <c r="I879" s="4" t="s">
        <v>198</v>
      </c>
      <c r="J879" s="4" t="s">
        <v>3048</v>
      </c>
      <c r="K879" s="5" t="str">
        <f>HYPERLINK("https://media.licdn.com/dms/image/v2/D4E10AQH5gEL4u93U3g/image-shrink_1280/B4EZk4BIlVKoAE-/0/1757581445574?e=1789466400&amp;v=beta&amp;t=XfUzx9hxk-E2T0wE2_Qs2qgidqJrqwDR_d87GVAhkZg","View Creative")</f>
        <v>View Creative</v>
      </c>
      <c r="L879" s="4" t="s">
        <v>60</v>
      </c>
      <c r="M879" s="4" t="s">
        <v>61</v>
      </c>
      <c r="N879" s="4" t="s">
        <v>5382</v>
      </c>
      <c r="O879" s="4" t="s">
        <v>89</v>
      </c>
      <c r="P879" s="4" t="s">
        <v>5434</v>
      </c>
    </row>
    <row r="880">
      <c r="A880" s="4" t="s">
        <v>40</v>
      </c>
      <c r="B880" s="4" t="s">
        <v>40</v>
      </c>
      <c r="C880" s="4">
        <v>878.0</v>
      </c>
      <c r="D880" s="5" t="str">
        <f>HYPERLINK("https://www.linkedin.com/ad-library/detail/776619354","Open Ad")</f>
        <v>Open Ad</v>
      </c>
      <c r="E880" s="4" t="s">
        <v>78</v>
      </c>
      <c r="F880" s="4" t="s">
        <v>5412</v>
      </c>
      <c r="G880" s="4" t="s">
        <v>5413</v>
      </c>
      <c r="H880" s="4" t="s">
        <v>49</v>
      </c>
      <c r="I880" s="4" t="s">
        <v>166</v>
      </c>
      <c r="J880" s="4" t="s">
        <v>78</v>
      </c>
      <c r="K880" s="5" t="str">
        <f>HYPERLINK("https://media.licdn.com/dms/image/v2/D4E10AQHprf4fDWY1zQ/image-shrink_1280/B4EZl8MCTVKsAQ-/0/1758725155261?e=2147483647&amp;v=beta&amp;t=7YdDUq2uAzWfteqqy5I02zmVW722J8s27coV8xvxni8","View Creative")</f>
        <v>View Creative</v>
      </c>
      <c r="L880" s="4" t="s">
        <v>60</v>
      </c>
      <c r="M880" s="4" t="s">
        <v>61</v>
      </c>
      <c r="N880" s="4" t="s">
        <v>5410</v>
      </c>
      <c r="O880" s="4" t="s">
        <v>89</v>
      </c>
      <c r="P880" s="4" t="s">
        <v>5436</v>
      </c>
    </row>
    <row r="881">
      <c r="A881" s="4" t="s">
        <v>40</v>
      </c>
      <c r="B881" s="4" t="s">
        <v>40</v>
      </c>
      <c r="C881" s="4">
        <v>879.0</v>
      </c>
      <c r="D881" s="5" t="str">
        <f>HYPERLINK("https://www.linkedin.com/ad-library/detail/776678304","Open Ad")</f>
        <v>Open Ad</v>
      </c>
      <c r="E881" s="4" t="s">
        <v>78</v>
      </c>
      <c r="F881" s="4" t="s">
        <v>5407</v>
      </c>
      <c r="G881" s="4" t="s">
        <v>5408</v>
      </c>
      <c r="H881" s="4" t="s">
        <v>49</v>
      </c>
      <c r="I881" s="4" t="s">
        <v>5409</v>
      </c>
      <c r="J881" s="4" t="s">
        <v>78</v>
      </c>
      <c r="K881" s="5" t="str">
        <f>HYPERLINK("https://media.licdn.com/dms/image/v2/D4E10AQGUyepf2t_uaQ/image-shrink_1280/B4EZl8LNorIIAM-/0/1758724939526?e=2147483647&amp;v=beta&amp;t=DvW2mmO2OC7b_YdKCd8gj36LHp7Dz-nJmlHzSzd6cts","View Creative")</f>
        <v>View Creative</v>
      </c>
      <c r="L881" s="4" t="s">
        <v>2321</v>
      </c>
      <c r="M881" s="4" t="s">
        <v>61</v>
      </c>
      <c r="N881" s="4" t="s">
        <v>5410</v>
      </c>
      <c r="O881" s="4" t="s">
        <v>89</v>
      </c>
      <c r="P881" s="4" t="s">
        <v>5438</v>
      </c>
    </row>
    <row r="882">
      <c r="A882" s="4" t="s">
        <v>40</v>
      </c>
      <c r="B882" s="4" t="s">
        <v>40</v>
      </c>
      <c r="C882" s="4">
        <v>880.0</v>
      </c>
      <c r="D882" s="5" t="str">
        <f>HYPERLINK("https://www.linkedin.com/ad-library/detail/776499094","Open Ad")</f>
        <v>Open Ad</v>
      </c>
      <c r="E882" s="4" t="s">
        <v>78</v>
      </c>
      <c r="F882" s="4" t="s">
        <v>5420</v>
      </c>
      <c r="G882" s="4" t="s">
        <v>5421</v>
      </c>
      <c r="H882" s="4" t="s">
        <v>49</v>
      </c>
      <c r="I882" s="4" t="s">
        <v>5422</v>
      </c>
      <c r="J882" s="4" t="s">
        <v>78</v>
      </c>
      <c r="K882" s="5" t="str">
        <f>HYPERLINK("https://media.licdn.com/dms/image/v2/D4E10AQHT35Q3XE3T_A/image-shrink_1280/B4EZl8LVx4GYAM-/0/1758724972540?e=2147483647&amp;v=beta&amp;t=g_XMeFZELGaYRZhA7OzMa9rSgQFDiAECx2w-AE_efOA","View Creative")</f>
        <v>View Creative</v>
      </c>
      <c r="L882" s="4" t="s">
        <v>2321</v>
      </c>
      <c r="M882" s="4" t="s">
        <v>61</v>
      </c>
      <c r="N882" s="4" t="s">
        <v>5410</v>
      </c>
      <c r="O882" s="4" t="s">
        <v>89</v>
      </c>
      <c r="P882" s="4" t="s">
        <v>5439</v>
      </c>
    </row>
    <row r="883">
      <c r="A883" s="4" t="s">
        <v>40</v>
      </c>
      <c r="B883" s="4" t="s">
        <v>40</v>
      </c>
      <c r="C883" s="4">
        <v>881.0</v>
      </c>
      <c r="D883" s="5" t="str">
        <f>HYPERLINK("https://www.linkedin.com/ad-library/detail/776539574","Open Ad")</f>
        <v>Open Ad</v>
      </c>
      <c r="E883" s="4" t="s">
        <v>78</v>
      </c>
      <c r="F883" s="4" t="s">
        <v>5407</v>
      </c>
      <c r="G883" s="4" t="s">
        <v>5408</v>
      </c>
      <c r="H883" s="4" t="s">
        <v>49</v>
      </c>
      <c r="I883" s="4" t="s">
        <v>5409</v>
      </c>
      <c r="J883" s="4" t="s">
        <v>78</v>
      </c>
      <c r="K883" s="5" t="str">
        <f>HYPERLINK("https://media.licdn.com/dms/image/v2/D4E10AQHanw6vnu-WFw/image-shrink_1280/B4EZl8LVyMIoAM-/0/1758724972748?e=2147483647&amp;v=beta&amp;t=D3ZG4yiMDAP2EBZsyFrp5ttPTC7ZymWY6bBWYtYR9WU","View Creative")</f>
        <v>View Creative</v>
      </c>
      <c r="L883" s="4" t="s">
        <v>2321</v>
      </c>
      <c r="M883" s="4" t="s">
        <v>61</v>
      </c>
      <c r="N883" s="4" t="s">
        <v>5410</v>
      </c>
      <c r="O883" s="4" t="s">
        <v>89</v>
      </c>
      <c r="P883" s="4" t="s">
        <v>5441</v>
      </c>
    </row>
    <row r="884">
      <c r="A884" s="4" t="s">
        <v>40</v>
      </c>
      <c r="B884" s="4" t="s">
        <v>40</v>
      </c>
      <c r="C884" s="4">
        <v>882.0</v>
      </c>
      <c r="D884" s="5" t="str">
        <f>HYPERLINK("https://www.linkedin.com/ad-library/detail/776700284","Open Ad")</f>
        <v>Open Ad</v>
      </c>
      <c r="E884" s="4" t="s">
        <v>78</v>
      </c>
      <c r="F884" s="4" t="s">
        <v>5420</v>
      </c>
      <c r="G884" s="4" t="s">
        <v>5421</v>
      </c>
      <c r="H884" s="4" t="s">
        <v>49</v>
      </c>
      <c r="I884" s="4" t="s">
        <v>5422</v>
      </c>
      <c r="J884" s="4" t="s">
        <v>78</v>
      </c>
      <c r="K884" s="5" t="str">
        <f>HYPERLINK("https://media.licdn.com/dms/image/v2/D4E10AQE6yPfHH7Y7Ww/image-shrink_1280/B4EZl8LV3_KYAQ-/0/1758724973073?e=2147483647&amp;v=beta&amp;t=HlA6kYKlqgJzkoMiojlDYSMj3LCCRRnvLy6Au1BwadU","View Creative")</f>
        <v>View Creative</v>
      </c>
      <c r="L884" s="4" t="s">
        <v>2321</v>
      </c>
      <c r="M884" s="4" t="s">
        <v>61</v>
      </c>
      <c r="N884" s="4" t="s">
        <v>5410</v>
      </c>
      <c r="O884" s="4" t="s">
        <v>89</v>
      </c>
      <c r="P884" s="4" t="s">
        <v>5442</v>
      </c>
    </row>
    <row r="885">
      <c r="A885" s="4" t="s">
        <v>40</v>
      </c>
      <c r="B885" s="4" t="s">
        <v>40</v>
      </c>
      <c r="C885" s="4">
        <v>883.0</v>
      </c>
      <c r="D885" s="5" t="str">
        <f>HYPERLINK("https://www.linkedin.com/ad-library/detail/776499114","Open Ad")</f>
        <v>Open Ad</v>
      </c>
      <c r="E885" s="4" t="s">
        <v>78</v>
      </c>
      <c r="F885" s="4" t="s">
        <v>5420</v>
      </c>
      <c r="G885" s="4" t="s">
        <v>5421</v>
      </c>
      <c r="H885" s="4" t="s">
        <v>49</v>
      </c>
      <c r="I885" s="4" t="s">
        <v>5422</v>
      </c>
      <c r="J885" s="4" t="s">
        <v>78</v>
      </c>
      <c r="K885" s="5" t="str">
        <f>HYPERLINK("https://media.licdn.com/dms/image/v2/D4E10AQHdxwCdAcrlgQ/image-shrink_1280/B4EZl8LV4SKUAM-/0/1758724973117?e=2147483647&amp;v=beta&amp;t=Uiy6vm9u8aND_QFUtn4Ji1WD1huUaEWKGsZQZ8--Alc","View Creative")</f>
        <v>View Creative</v>
      </c>
      <c r="L885" s="4" t="s">
        <v>2321</v>
      </c>
      <c r="M885" s="4" t="s">
        <v>61</v>
      </c>
      <c r="N885" s="4" t="s">
        <v>5410</v>
      </c>
      <c r="O885" s="4" t="s">
        <v>89</v>
      </c>
      <c r="P885" s="4" t="s">
        <v>5444</v>
      </c>
    </row>
    <row r="886">
      <c r="A886" s="4" t="s">
        <v>40</v>
      </c>
      <c r="B886" s="4" t="s">
        <v>40</v>
      </c>
      <c r="C886" s="4">
        <v>884.0</v>
      </c>
      <c r="D886" s="5" t="str">
        <f>HYPERLINK("https://www.linkedin.com/ad-library/detail/776589064","Open Ad")</f>
        <v>Open Ad</v>
      </c>
      <c r="E886" s="4" t="s">
        <v>78</v>
      </c>
      <c r="F886" s="4" t="s">
        <v>5412</v>
      </c>
      <c r="G886" s="4" t="s">
        <v>5413</v>
      </c>
      <c r="H886" s="4" t="s">
        <v>49</v>
      </c>
      <c r="I886" s="4" t="s">
        <v>166</v>
      </c>
      <c r="J886" s="4" t="s">
        <v>78</v>
      </c>
      <c r="K886" s="5" t="str">
        <f>HYPERLINK("https://media.licdn.com/dms/image/v2/D4E10AQE9EW50MWStHA/image-shrink_1280/B4EZl8LNR0KoAM-/0/1758724938004?e=2147483647&amp;v=beta&amp;t=BaRgdm1azoybmdJqiQgMLfUrLoeoqHgYKFPP1_m9gHc","View Creative")</f>
        <v>View Creative</v>
      </c>
      <c r="L886" s="4" t="s">
        <v>60</v>
      </c>
      <c r="M886" s="4" t="s">
        <v>61</v>
      </c>
      <c r="N886" s="4" t="s">
        <v>5410</v>
      </c>
      <c r="O886" s="4" t="s">
        <v>89</v>
      </c>
      <c r="P886" s="4" t="s">
        <v>5446</v>
      </c>
    </row>
    <row r="887">
      <c r="A887" s="4" t="s">
        <v>40</v>
      </c>
      <c r="B887" s="4" t="s">
        <v>40</v>
      </c>
      <c r="C887" s="4">
        <v>885.0</v>
      </c>
      <c r="D887" s="5" t="str">
        <f>HYPERLINK("https://www.linkedin.com/ad-library/detail/776710054","Open Ad")</f>
        <v>Open Ad</v>
      </c>
      <c r="E887" s="4" t="s">
        <v>78</v>
      </c>
      <c r="F887" s="4" t="s">
        <v>54</v>
      </c>
      <c r="G887" s="4" t="s">
        <v>5413</v>
      </c>
      <c r="H887" s="4" t="s">
        <v>49</v>
      </c>
      <c r="I887" s="4" t="s">
        <v>661</v>
      </c>
      <c r="J887" s="4" t="s">
        <v>78</v>
      </c>
      <c r="K887" s="5" t="str">
        <f>HYPERLINK("https://media.licdn.com/dms/image/v2/D4E10AQEwVX-Wj-5gbg/image-shrink_1280/B4EZl8LNaDKcAM-/0/1758724938250?e=2147483647&amp;v=beta&amp;t=zdeXWrKTeDZ9W-yHIC-2zFcqiAirRMqx39HIxs7C4To","View Creative")</f>
        <v>View Creative</v>
      </c>
      <c r="L887" s="4" t="s">
        <v>106</v>
      </c>
      <c r="M887" s="4" t="s">
        <v>61</v>
      </c>
      <c r="O887" s="4" t="s">
        <v>63</v>
      </c>
      <c r="P887" s="4" t="s">
        <v>64</v>
      </c>
    </row>
    <row r="888">
      <c r="A888" s="4" t="s">
        <v>40</v>
      </c>
      <c r="B888" s="4" t="s">
        <v>40</v>
      </c>
      <c r="C888" s="4">
        <v>886.0</v>
      </c>
      <c r="D888" s="5" t="str">
        <f>HYPERLINK("https://www.linkedin.com/ad-library/detail/776838814","Open Ad")</f>
        <v>Open Ad</v>
      </c>
      <c r="E888" s="4" t="s">
        <v>3048</v>
      </c>
      <c r="F888" s="4" t="s">
        <v>54</v>
      </c>
      <c r="G888" s="4" t="s">
        <v>5379</v>
      </c>
      <c r="H888" s="4" t="s">
        <v>49</v>
      </c>
      <c r="I888" s="4" t="s">
        <v>56</v>
      </c>
      <c r="J888" s="4" t="s">
        <v>3048</v>
      </c>
      <c r="K888" s="5" t="str">
        <f>HYPERLINK("https://media.licdn.com/dms/image/v2/D4E10AQHFFMiUzmjyaA/image-shrink_1280/B4EZkUZbXcIkAM-/0/1756983834207?e=1789466400&amp;v=beta&amp;t=7dSIPfAx8UEmCpxJLQ9ODmAUTDpJ5KQUP1NCRuEp3RA","View Creative")</f>
        <v>View Creative</v>
      </c>
      <c r="L888" s="4" t="s">
        <v>60</v>
      </c>
      <c r="M888" s="4" t="s">
        <v>61</v>
      </c>
      <c r="N888" s="4" t="s">
        <v>5382</v>
      </c>
      <c r="O888" s="4" t="s">
        <v>89</v>
      </c>
      <c r="P888" s="4" t="s">
        <v>5448</v>
      </c>
    </row>
    <row r="889">
      <c r="A889" s="4" t="s">
        <v>40</v>
      </c>
      <c r="B889" s="4" t="s">
        <v>40</v>
      </c>
      <c r="C889" s="4">
        <v>887.0</v>
      </c>
      <c r="D889" s="5" t="str">
        <f>HYPERLINK("https://www.linkedin.com/ad-library/detail/776907884","Open Ad")</f>
        <v>Open Ad</v>
      </c>
      <c r="E889" s="4" t="s">
        <v>3048</v>
      </c>
      <c r="F889" s="4" t="s">
        <v>54</v>
      </c>
      <c r="G889" s="4" t="s">
        <v>5356</v>
      </c>
      <c r="H889" s="4" t="s">
        <v>49</v>
      </c>
      <c r="I889" s="4" t="s">
        <v>5259</v>
      </c>
      <c r="J889" s="4" t="s">
        <v>3048</v>
      </c>
      <c r="K889" s="5" t="str">
        <f>HYPERLINK("https://media.licdn.com/dms/image/v2/D4E10AQH5gEL4u93U3g/image-shrink_1280/B4EZk4BIlVKoAE-/0/1757581445574?e=1789466400&amp;v=beta&amp;t=XfUzx9hxk-E2T0wE2_Qs2qgidqJrqwDR_d87GVAhkZg","View Creative")</f>
        <v>View Creative</v>
      </c>
      <c r="L889" s="4" t="s">
        <v>60</v>
      </c>
      <c r="M889" s="4" t="s">
        <v>61</v>
      </c>
      <c r="N889" s="4" t="s">
        <v>5382</v>
      </c>
      <c r="O889" s="4" t="s">
        <v>89</v>
      </c>
      <c r="P889" s="4" t="s">
        <v>5449</v>
      </c>
    </row>
    <row r="890">
      <c r="A890" s="4" t="s">
        <v>40</v>
      </c>
      <c r="B890" s="4" t="s">
        <v>40</v>
      </c>
      <c r="C890" s="4">
        <v>888.0</v>
      </c>
      <c r="D890" s="5" t="str">
        <f>HYPERLINK("https://www.linkedin.com/ad-library/detail/776739374","Open Ad")</f>
        <v>Open Ad</v>
      </c>
      <c r="E890" s="4" t="s">
        <v>78</v>
      </c>
      <c r="F890" s="4" t="s">
        <v>54</v>
      </c>
      <c r="G890" s="4" t="s">
        <v>5379</v>
      </c>
      <c r="H890" s="4" t="s">
        <v>49</v>
      </c>
      <c r="I890" s="4" t="s">
        <v>661</v>
      </c>
      <c r="J890" s="4" t="s">
        <v>78</v>
      </c>
      <c r="K890" s="5" t="str">
        <f>HYPERLINK("https://media.licdn.com/dms/image/v2/D4E10AQHFFMiUzmjyaA/image-shrink_1280/B4EZkUZbXcIkAM-/0/1756983834207?e=1789470000&amp;v=beta&amp;t=s0tnOKQt07FGbdXNRIbQADioMIGhNO82bNBcaGxrugU","View Creative")</f>
        <v>View Creative</v>
      </c>
      <c r="L890" s="4" t="s">
        <v>106</v>
      </c>
      <c r="M890" s="4" t="s">
        <v>61</v>
      </c>
      <c r="O890" s="4" t="s">
        <v>63</v>
      </c>
      <c r="P890" s="4" t="s">
        <v>64</v>
      </c>
    </row>
    <row r="891">
      <c r="A891" s="4" t="s">
        <v>40</v>
      </c>
      <c r="B891" s="4" t="s">
        <v>40</v>
      </c>
      <c r="C891" s="4">
        <v>889.0</v>
      </c>
      <c r="D891" s="5" t="str">
        <f>HYPERLINK("https://www.linkedin.com/ad-library/detail/776680394","Open Ad")</f>
        <v>Open Ad</v>
      </c>
      <c r="E891" s="4" t="s">
        <v>78</v>
      </c>
      <c r="F891" s="4" t="s">
        <v>54</v>
      </c>
      <c r="G891" s="4" t="s">
        <v>5413</v>
      </c>
      <c r="H891" s="4" t="s">
        <v>49</v>
      </c>
      <c r="I891" s="4" t="s">
        <v>661</v>
      </c>
      <c r="J891" s="4" t="s">
        <v>78</v>
      </c>
      <c r="K891" s="5" t="str">
        <f>HYPERLINK("https://media.licdn.com/dms/image/v2/D4E10AQGcPYF7awuNQg/image-shrink_1280/B4EZl8LH9XKkAM-/0/1758724916036?e=2147483647&amp;v=beta&amp;t=5mVFUs5IwV-djOGQ1aJdFr9YgGvM1T2jbsEloho1_d8","View Creative")</f>
        <v>View Creative</v>
      </c>
      <c r="L891" s="4" t="s">
        <v>106</v>
      </c>
      <c r="M891" s="4" t="s">
        <v>61</v>
      </c>
      <c r="O891" s="4" t="s">
        <v>63</v>
      </c>
      <c r="P891" s="4" t="s">
        <v>64</v>
      </c>
    </row>
    <row r="892">
      <c r="A892" s="4" t="s">
        <v>40</v>
      </c>
      <c r="B892" s="4" t="s">
        <v>40</v>
      </c>
      <c r="C892" s="4">
        <v>890.0</v>
      </c>
      <c r="D892" s="5" t="str">
        <f>HYPERLINK("https://www.linkedin.com/ad-library/detail/776599044","Open Ad")</f>
        <v>Open Ad</v>
      </c>
      <c r="E892" s="4" t="s">
        <v>78</v>
      </c>
      <c r="F892" s="4" t="s">
        <v>54</v>
      </c>
      <c r="G892" s="4" t="s">
        <v>5413</v>
      </c>
      <c r="H892" s="4" t="s">
        <v>49</v>
      </c>
      <c r="I892" s="4" t="s">
        <v>661</v>
      </c>
      <c r="J892" s="4" t="s">
        <v>78</v>
      </c>
      <c r="K892" s="5" t="str">
        <f>HYPERLINK("https://media.licdn.com/dms/image/v2/D4E10AQEn1u1KS3EK_Q/image-shrink_1280/B4EZl8LHzzKoAM-/0/1758724915448?e=2147483647&amp;v=beta&amp;t=HqND2Vw1ICKkOh-81x3YhG4bjcWftBUR6at8INN5Sj8","View Creative")</f>
        <v>View Creative</v>
      </c>
      <c r="L892" s="4" t="s">
        <v>106</v>
      </c>
      <c r="M892" s="4" t="s">
        <v>61</v>
      </c>
      <c r="O892" s="4" t="s">
        <v>63</v>
      </c>
      <c r="P892" s="4" t="s">
        <v>64</v>
      </c>
    </row>
    <row r="893">
      <c r="A893" s="4" t="s">
        <v>40</v>
      </c>
      <c r="B893" s="4" t="s">
        <v>40</v>
      </c>
      <c r="C893" s="4">
        <v>891.0</v>
      </c>
      <c r="D893" s="5" t="str">
        <f>HYPERLINK("https://www.linkedin.com/ad-library/detail/776658594","Open Ad")</f>
        <v>Open Ad</v>
      </c>
      <c r="E893" s="4" t="s">
        <v>78</v>
      </c>
      <c r="F893" s="4" t="s">
        <v>54</v>
      </c>
      <c r="G893" s="4" t="s">
        <v>5413</v>
      </c>
      <c r="H893" s="4" t="s">
        <v>49</v>
      </c>
      <c r="I893" s="4" t="s">
        <v>661</v>
      </c>
      <c r="J893" s="4" t="s">
        <v>78</v>
      </c>
      <c r="K893" s="5" t="str">
        <f>HYPERLINK("https://media.licdn.com/dms/image/v2/D4E10AQH9T_iq8nYvnw/image-shrink_1280/B4EZl8LH3XHoAM-/0/1758724915677?e=2147483647&amp;v=beta&amp;t=BvLva-xJreW1-Iv__QpkOSHUpxETmn9oK5YodzArIWE","View Creative")</f>
        <v>View Creative</v>
      </c>
      <c r="L893" s="4" t="s">
        <v>106</v>
      </c>
      <c r="M893" s="4" t="s">
        <v>61</v>
      </c>
      <c r="O893" s="4" t="s">
        <v>63</v>
      </c>
      <c r="P893" s="4" t="s">
        <v>64</v>
      </c>
    </row>
    <row r="894">
      <c r="A894" s="4" t="s">
        <v>40</v>
      </c>
      <c r="B894" s="4" t="s">
        <v>40</v>
      </c>
      <c r="C894" s="4">
        <v>892.0</v>
      </c>
      <c r="D894" s="5" t="str">
        <f>HYPERLINK("https://www.linkedin.com/ad-library/detail/776599034","Open Ad")</f>
        <v>Open Ad</v>
      </c>
      <c r="E894" s="4" t="s">
        <v>78</v>
      </c>
      <c r="F894" s="4" t="s">
        <v>54</v>
      </c>
      <c r="G894" s="4" t="s">
        <v>5413</v>
      </c>
      <c r="H894" s="4" t="s">
        <v>49</v>
      </c>
      <c r="I894" s="4" t="s">
        <v>661</v>
      </c>
      <c r="J894" s="4" t="s">
        <v>78</v>
      </c>
      <c r="K894" s="5" t="str">
        <f>HYPERLINK("https://media.licdn.com/dms/image/v2/D4E10AQHYvgMqVwl9_w/image-shrink_1280/B4EZl8LCYzHEAM-/0/1758724893323?e=2147483647&amp;v=beta&amp;t=3Dx5JKmg9gOZa1jB7aphds8yaxE9MCJGermYEdrIjpk","View Creative")</f>
        <v>View Creative</v>
      </c>
      <c r="L894" s="4" t="s">
        <v>106</v>
      </c>
      <c r="M894" s="4" t="s">
        <v>61</v>
      </c>
      <c r="O894" s="4" t="s">
        <v>63</v>
      </c>
      <c r="P894" s="4" t="s">
        <v>64</v>
      </c>
    </row>
    <row r="895">
      <c r="A895" s="4" t="s">
        <v>40</v>
      </c>
      <c r="B895" s="4" t="s">
        <v>40</v>
      </c>
      <c r="C895" s="4">
        <v>893.0</v>
      </c>
      <c r="D895" s="5" t="str">
        <f>HYPERLINK("https://www.linkedin.com/ad-library/detail/776608954","Open Ad")</f>
        <v>Open Ad</v>
      </c>
      <c r="E895" s="4" t="s">
        <v>78</v>
      </c>
      <c r="F895" s="4" t="s">
        <v>54</v>
      </c>
      <c r="G895" s="4" t="s">
        <v>5408</v>
      </c>
      <c r="H895" s="4" t="s">
        <v>49</v>
      </c>
      <c r="I895" s="4" t="s">
        <v>661</v>
      </c>
      <c r="J895" s="4" t="s">
        <v>78</v>
      </c>
      <c r="K895" s="5" t="str">
        <f>HYPERLINK("https://media.licdn.com/dms/image/v2/D4E10AQFXUwctyi-CvA/image-shrink_1280/B4EZl8LCeOKUAQ-/0/1758724893606?e=2147483647&amp;v=beta&amp;t=S3hVYFN569EUXesF7ODI1qpwTWS_xGj565PhRhJ1RQc","View Creative")</f>
        <v>View Creative</v>
      </c>
      <c r="L895" s="4" t="s">
        <v>106</v>
      </c>
      <c r="M895" s="4" t="s">
        <v>61</v>
      </c>
      <c r="O895" s="4" t="s">
        <v>63</v>
      </c>
      <c r="P895" s="4" t="s">
        <v>64</v>
      </c>
    </row>
    <row r="896">
      <c r="A896" s="4" t="s">
        <v>40</v>
      </c>
      <c r="B896" s="4" t="s">
        <v>40</v>
      </c>
      <c r="C896" s="4">
        <v>894.0</v>
      </c>
      <c r="D896" s="5" t="str">
        <f>HYPERLINK("https://www.linkedin.com/ad-library/detail/776579394","Open Ad")</f>
        <v>Open Ad</v>
      </c>
      <c r="E896" s="4" t="s">
        <v>78</v>
      </c>
      <c r="F896" s="4" t="s">
        <v>54</v>
      </c>
      <c r="G896" s="4" t="s">
        <v>5421</v>
      </c>
      <c r="H896" s="4" t="s">
        <v>49</v>
      </c>
      <c r="I896" s="4" t="s">
        <v>661</v>
      </c>
      <c r="J896" s="4" t="s">
        <v>78</v>
      </c>
      <c r="K896" s="5" t="str">
        <f>HYPERLINK("https://media.licdn.com/dms/image/v2/D4E10AQEMbKB-uS_tpw/image-shrink_1280/B4EZl8LH3HGoAY-/0/1758724916031?e=2147483647&amp;v=beta&amp;t=CGa75Om1lyEQtx6pS7EQAEhT5yQ8LFvHQLvFjOC6Cbo","View Creative")</f>
        <v>View Creative</v>
      </c>
      <c r="L896" s="4" t="s">
        <v>106</v>
      </c>
      <c r="M896" s="4" t="s">
        <v>61</v>
      </c>
      <c r="O896" s="4" t="s">
        <v>63</v>
      </c>
      <c r="P896" s="4" t="s">
        <v>64</v>
      </c>
    </row>
    <row r="897">
      <c r="A897" s="4" t="s">
        <v>40</v>
      </c>
      <c r="B897" s="4" t="s">
        <v>40</v>
      </c>
      <c r="C897" s="4">
        <v>895.0</v>
      </c>
      <c r="D897" s="5" t="str">
        <f>HYPERLINK("https://www.linkedin.com/ad-library/detail/776549704","Open Ad")</f>
        <v>Open Ad</v>
      </c>
      <c r="E897" s="4" t="s">
        <v>78</v>
      </c>
      <c r="F897" s="4" t="s">
        <v>54</v>
      </c>
      <c r="G897" s="4" t="s">
        <v>5421</v>
      </c>
      <c r="H897" s="4" t="s">
        <v>49</v>
      </c>
      <c r="I897" s="4" t="s">
        <v>661</v>
      </c>
      <c r="J897" s="4" t="s">
        <v>78</v>
      </c>
      <c r="K897" s="5" t="str">
        <f>HYPERLINK("https://media.licdn.com/dms/image/v2/D4E10AQHGfrOMR4FZ4Q/image-shrink_1280/B4EZl8LCZMIIAM-/0/1758724893503?e=2147483647&amp;v=beta&amp;t=muNavnG7wEQYebo8OXeqO5vGhfoF974wMNs4R4pLVO4","View Creative")</f>
        <v>View Creative</v>
      </c>
      <c r="L897" s="4" t="s">
        <v>106</v>
      </c>
      <c r="M897" s="4" t="s">
        <v>61</v>
      </c>
      <c r="O897" s="4" t="s">
        <v>63</v>
      </c>
      <c r="P897" s="4" t="s">
        <v>64</v>
      </c>
    </row>
    <row r="898">
      <c r="A898" s="4" t="s">
        <v>40</v>
      </c>
      <c r="B898" s="4" t="s">
        <v>40</v>
      </c>
      <c r="C898" s="4">
        <v>896.0</v>
      </c>
      <c r="D898" s="5" t="str">
        <f>HYPERLINK("https://www.linkedin.com/ad-library/detail/776599064","Open Ad")</f>
        <v>Open Ad</v>
      </c>
      <c r="E898" s="4" t="s">
        <v>78</v>
      </c>
      <c r="F898" s="4" t="s">
        <v>54</v>
      </c>
      <c r="G898" s="4" t="s">
        <v>5421</v>
      </c>
      <c r="H898" s="4" t="s">
        <v>49</v>
      </c>
      <c r="I898" s="4" t="s">
        <v>661</v>
      </c>
      <c r="J898" s="4" t="s">
        <v>78</v>
      </c>
      <c r="K898" s="5" t="str">
        <f>HYPERLINK("https://media.licdn.com/dms/image/v2/D4E10AQF03Qnfb_dLvw/image-shrink_1280/B4EZl8LNOgHgAQ-/0/1758724938046?e=2147483647&amp;v=beta&amp;t=QLyoJGR7rrne-4YjTX0hNJGyDKVCnvyLAHefqNGAgNU","View Creative")</f>
        <v>View Creative</v>
      </c>
      <c r="L898" s="4" t="s">
        <v>106</v>
      </c>
      <c r="M898" s="4" t="s">
        <v>61</v>
      </c>
      <c r="O898" s="4" t="s">
        <v>63</v>
      </c>
      <c r="P898" s="4" t="s">
        <v>64</v>
      </c>
    </row>
    <row r="899">
      <c r="A899" s="4" t="s">
        <v>40</v>
      </c>
      <c r="B899" s="4" t="s">
        <v>40</v>
      </c>
      <c r="C899" s="4">
        <v>897.0</v>
      </c>
      <c r="D899" s="5" t="str">
        <f>HYPERLINK("https://www.linkedin.com/ad-library/detail/776509314","Open Ad")</f>
        <v>Open Ad</v>
      </c>
      <c r="E899" s="4" t="s">
        <v>78</v>
      </c>
      <c r="F899" s="4" t="s">
        <v>54</v>
      </c>
      <c r="G899" s="4" t="s">
        <v>5408</v>
      </c>
      <c r="H899" s="4" t="s">
        <v>49</v>
      </c>
      <c r="I899" s="4" t="s">
        <v>661</v>
      </c>
      <c r="J899" s="4" t="s">
        <v>78</v>
      </c>
      <c r="K899" s="5" t="str">
        <f>HYPERLINK("https://media.licdn.com/dms/image/v2/D4E10AQH5tzSuFim_4A/image-shrink_1280/B4EZl8LHzkKoAQ-/0/1758724915583?e=2147483647&amp;v=beta&amp;t=_Oq5vcmRurGhJxWCGI7HgaRlqnYFqqrqzTJcCtTS5mo","View Creative")</f>
        <v>View Creative</v>
      </c>
      <c r="L899" s="4" t="s">
        <v>106</v>
      </c>
      <c r="M899" s="4" t="s">
        <v>61</v>
      </c>
      <c r="O899" s="4" t="s">
        <v>63</v>
      </c>
      <c r="P899" s="4" t="s">
        <v>64</v>
      </c>
    </row>
    <row r="900">
      <c r="A900" s="4" t="s">
        <v>40</v>
      </c>
      <c r="B900" s="4" t="s">
        <v>40</v>
      </c>
      <c r="C900" s="4">
        <v>898.0</v>
      </c>
      <c r="D900" s="5" t="str">
        <f>HYPERLINK("https://www.linkedin.com/ad-library/detail/776549734","Open Ad")</f>
        <v>Open Ad</v>
      </c>
      <c r="E900" s="4" t="s">
        <v>78</v>
      </c>
      <c r="F900" s="4" t="s">
        <v>54</v>
      </c>
      <c r="G900" s="4" t="s">
        <v>5408</v>
      </c>
      <c r="H900" s="4" t="s">
        <v>49</v>
      </c>
      <c r="I900" s="4" t="s">
        <v>661</v>
      </c>
      <c r="J900" s="4" t="s">
        <v>78</v>
      </c>
      <c r="K900" s="5" t="str">
        <f>HYPERLINK("https://media.licdn.com/dms/image/v2/D4E10AQFpGuzVBdDhBQ/image-shrink_1280/B4EZl8LNL.IIAM-/0/1758724937354?e=2147483647&amp;v=beta&amp;t=LuZFCoyDK1zGDSJ_C-EZrD-q6jlZpBXlSG-4gqJSicQ","View Creative")</f>
        <v>View Creative</v>
      </c>
      <c r="L900" s="4" t="s">
        <v>106</v>
      </c>
      <c r="M900" s="4" t="s">
        <v>61</v>
      </c>
      <c r="O900" s="4" t="s">
        <v>63</v>
      </c>
      <c r="P900" s="4" t="s">
        <v>64</v>
      </c>
    </row>
    <row r="901">
      <c r="A901" s="4" t="s">
        <v>40</v>
      </c>
      <c r="B901" s="4" t="s">
        <v>40</v>
      </c>
      <c r="C901" s="4">
        <v>899.0</v>
      </c>
      <c r="D901" s="5" t="str">
        <f>HYPERLINK("https://www.linkedin.com/ad-library/detail/776509324","Open Ad")</f>
        <v>Open Ad</v>
      </c>
      <c r="E901" s="4" t="s">
        <v>78</v>
      </c>
      <c r="F901" s="4" t="s">
        <v>54</v>
      </c>
      <c r="G901" s="4" t="s">
        <v>5408</v>
      </c>
      <c r="H901" s="4" t="s">
        <v>49</v>
      </c>
      <c r="I901" s="4" t="s">
        <v>661</v>
      </c>
      <c r="J901" s="4" t="s">
        <v>78</v>
      </c>
      <c r="K901" s="5" t="str">
        <f>HYPERLINK("https://media.licdn.com/dms/image/v2/D4E10AQGIVCCD-VKKYw/image-shrink_1280/B4EZl8LIBUGcAQ-/0/1758724916219?e=2147483647&amp;v=beta&amp;t=s48VUKnm1bvittj-4dA37TfRmwUd6T6ffDKA__cTpig","View Creative")</f>
        <v>View Creative</v>
      </c>
      <c r="L901" s="4" t="s">
        <v>106</v>
      </c>
      <c r="M901" s="4" t="s">
        <v>61</v>
      </c>
      <c r="O901" s="4" t="s">
        <v>63</v>
      </c>
      <c r="P901" s="4" t="s">
        <v>64</v>
      </c>
    </row>
    <row r="902">
      <c r="A902" s="4" t="s">
        <v>40</v>
      </c>
      <c r="B902" s="4" t="s">
        <v>40</v>
      </c>
      <c r="C902" s="4">
        <v>900.0</v>
      </c>
      <c r="D902" s="5" t="str">
        <f>HYPERLINK("https://www.linkedin.com/ad-library/detail/776499084","Open Ad")</f>
        <v>Open Ad</v>
      </c>
      <c r="E902" s="4" t="s">
        <v>78</v>
      </c>
      <c r="F902" s="4" t="s">
        <v>54</v>
      </c>
      <c r="G902" s="4" t="s">
        <v>5408</v>
      </c>
      <c r="H902" s="4" t="s">
        <v>49</v>
      </c>
      <c r="I902" s="4" t="s">
        <v>661</v>
      </c>
      <c r="J902" s="4" t="s">
        <v>78</v>
      </c>
      <c r="K902" s="5" t="str">
        <f>HYPERLINK("https://media.licdn.com/dms/image/v2/D4E10AQGLH1WhG6bLkg/image-shrink_1280/B4EZl8LNJzKQAM-/0/1758724937326?e=2147483647&amp;v=beta&amp;t=AgXAcfW8a1v28HWokqP8jYHe_U9ChZMTfNS3_62gjGU","View Creative")</f>
        <v>View Creative</v>
      </c>
      <c r="L902" s="4" t="s">
        <v>106</v>
      </c>
      <c r="M902" s="4" t="s">
        <v>61</v>
      </c>
      <c r="O902" s="4" t="s">
        <v>63</v>
      </c>
      <c r="P902" s="4" t="s">
        <v>64</v>
      </c>
    </row>
    <row r="903">
      <c r="A903" s="4" t="s">
        <v>40</v>
      </c>
      <c r="B903" s="4" t="s">
        <v>40</v>
      </c>
      <c r="C903" s="4">
        <v>901.0</v>
      </c>
      <c r="D903" s="5" t="str">
        <f>HYPERLINK("https://www.linkedin.com/ad-library/detail/776539554","Open Ad")</f>
        <v>Open Ad</v>
      </c>
      <c r="E903" s="4" t="s">
        <v>78</v>
      </c>
      <c r="F903" s="4" t="s">
        <v>54</v>
      </c>
      <c r="G903" s="4" t="s">
        <v>5413</v>
      </c>
      <c r="H903" s="4" t="s">
        <v>49</v>
      </c>
      <c r="I903" s="4" t="s">
        <v>661</v>
      </c>
      <c r="J903" s="4" t="s">
        <v>78</v>
      </c>
      <c r="K903" s="5" t="str">
        <f>HYPERLINK("https://media.licdn.com/dms/image/v2/D4E10AQH-sEWj2ORBVA/image-shrink_1280/B4EZl8LCaSKQAM-/0/1758724893177?e=2147483647&amp;v=beta&amp;t=U50fo-3YlAXqowRxtOUWrGWdm8lgseZoJgmJ_hh4_f0","View Creative")</f>
        <v>View Creative</v>
      </c>
      <c r="L903" s="4" t="s">
        <v>106</v>
      </c>
      <c r="M903" s="4" t="s">
        <v>61</v>
      </c>
      <c r="O903" s="4" t="s">
        <v>63</v>
      </c>
      <c r="P903" s="4" t="s">
        <v>64</v>
      </c>
    </row>
    <row r="904">
      <c r="A904" s="4" t="s">
        <v>40</v>
      </c>
      <c r="B904" s="4" t="s">
        <v>40</v>
      </c>
      <c r="C904" s="4">
        <v>902.0</v>
      </c>
      <c r="D904" s="5" t="str">
        <f>HYPERLINK("https://www.linkedin.com/ad-library/detail/776499064","Open Ad")</f>
        <v>Open Ad</v>
      </c>
      <c r="E904" s="4" t="s">
        <v>78</v>
      </c>
      <c r="F904" s="4" t="s">
        <v>54</v>
      </c>
      <c r="G904" s="4" t="s">
        <v>5421</v>
      </c>
      <c r="H904" s="4" t="s">
        <v>49</v>
      </c>
      <c r="I904" s="4" t="s">
        <v>661</v>
      </c>
      <c r="J904" s="4" t="s">
        <v>78</v>
      </c>
      <c r="K904" s="5" t="str">
        <f>HYPERLINK("https://media.licdn.com/dms/image/v2/D4E10AQHq7KxKqL2JUw/image-shrink_1280/B4EZl8LCcgKoAM-/0/1758724893360?e=2147483647&amp;v=beta&amp;t=EjqSvnjx7nfF-PK_eKBRhiO-TrNKzjCHps2Dj1O5PkE","View Creative")</f>
        <v>View Creative</v>
      </c>
      <c r="L904" s="4" t="s">
        <v>106</v>
      </c>
      <c r="M904" s="4" t="s">
        <v>61</v>
      </c>
      <c r="O904" s="4" t="s">
        <v>63</v>
      </c>
      <c r="P904" s="4" t="s">
        <v>64</v>
      </c>
    </row>
    <row r="905">
      <c r="A905" s="4" t="s">
        <v>40</v>
      </c>
      <c r="B905" s="4" t="s">
        <v>40</v>
      </c>
      <c r="C905" s="4">
        <v>903.0</v>
      </c>
      <c r="D905" s="5" t="str">
        <f>HYPERLINK("https://www.linkedin.com/ad-library/detail/776690294","Open Ad")</f>
        <v>Open Ad</v>
      </c>
      <c r="E905" s="4" t="s">
        <v>78</v>
      </c>
      <c r="F905" s="4" t="s">
        <v>54</v>
      </c>
      <c r="G905" s="4" t="s">
        <v>5421</v>
      </c>
      <c r="H905" s="4" t="s">
        <v>49</v>
      </c>
      <c r="I905" s="4" t="s">
        <v>661</v>
      </c>
      <c r="J905" s="4" t="s">
        <v>78</v>
      </c>
      <c r="K905" s="5" t="str">
        <f>HYPERLINK("https://media.licdn.com/dms/image/v2/D4E10AQGUwiptWtcNWA/image-shrink_1280/B4EZl8LH9qHgAM-/0/1758724916173?e=2147483647&amp;v=beta&amp;t=Mt1M9h1BA9yrF7G2WBdgagM1BP3KnhMzw1wcDGlT4bY","View Creative")</f>
        <v>View Creative</v>
      </c>
      <c r="L905" s="4" t="s">
        <v>106</v>
      </c>
      <c r="M905" s="4" t="s">
        <v>61</v>
      </c>
      <c r="O905" s="4" t="s">
        <v>63</v>
      </c>
      <c r="P905" s="4" t="s">
        <v>64</v>
      </c>
    </row>
    <row r="906">
      <c r="A906" s="4" t="s">
        <v>40</v>
      </c>
      <c r="B906" s="4" t="s">
        <v>40</v>
      </c>
      <c r="C906" s="4">
        <v>904.0</v>
      </c>
      <c r="D906" s="5" t="str">
        <f>HYPERLINK("https://www.linkedin.com/ad-library/detail/776559694","Open Ad")</f>
        <v>Open Ad</v>
      </c>
      <c r="E906" s="4" t="s">
        <v>78</v>
      </c>
      <c r="F906" s="4" t="s">
        <v>54</v>
      </c>
      <c r="G906" s="4" t="s">
        <v>5408</v>
      </c>
      <c r="H906" s="4" t="s">
        <v>49</v>
      </c>
      <c r="I906" s="4" t="s">
        <v>661</v>
      </c>
      <c r="J906" s="4" t="s">
        <v>78</v>
      </c>
      <c r="K906" s="5" t="str">
        <f>HYPERLINK("https://media.licdn.com/dms/image/v2/D4E10AQHz1nKf07feUQ/image-shrink_1280/B4EZl8LHyKKkAM-/0/1758724915390?e=2147483647&amp;v=beta&amp;t=Q8h_N3Hiag-6qhZXtUj5RuU9EIMvr2xhusXEWaFyb3Q","View Creative")</f>
        <v>View Creative</v>
      </c>
      <c r="L906" s="4" t="s">
        <v>106</v>
      </c>
      <c r="M906" s="4" t="s">
        <v>61</v>
      </c>
      <c r="O906" s="4" t="s">
        <v>63</v>
      </c>
      <c r="P906" s="4" t="s">
        <v>64</v>
      </c>
    </row>
    <row r="907">
      <c r="A907" s="4" t="s">
        <v>40</v>
      </c>
      <c r="B907" s="4" t="s">
        <v>40</v>
      </c>
      <c r="C907" s="4">
        <v>905.0</v>
      </c>
      <c r="D907" s="5" t="str">
        <f>HYPERLINK("https://www.linkedin.com/ad-library/detail/776710034","Open Ad")</f>
        <v>Open Ad</v>
      </c>
      <c r="E907" s="4" t="s">
        <v>78</v>
      </c>
      <c r="F907" s="4" t="s">
        <v>54</v>
      </c>
      <c r="G907" s="4" t="s">
        <v>5408</v>
      </c>
      <c r="H907" s="4" t="s">
        <v>49</v>
      </c>
      <c r="I907" s="4" t="s">
        <v>661</v>
      </c>
      <c r="J907" s="4" t="s">
        <v>78</v>
      </c>
      <c r="K907" s="5" t="str">
        <f>HYPERLINK("https://media.licdn.com/dms/image/v2/D4E10AQEJ7gufMKpvPg/image-shrink_1280/B4EZl8LCXoGYAQ-/0/1758724893023?e=2147483647&amp;v=beta&amp;t=BDADwetmuL96kP-gJtj3SGUyuY8g058fkB1JizSM5d4","View Creative")</f>
        <v>View Creative</v>
      </c>
      <c r="L907" s="4" t="s">
        <v>106</v>
      </c>
      <c r="M907" s="4" t="s">
        <v>61</v>
      </c>
      <c r="O907" s="4" t="s">
        <v>63</v>
      </c>
      <c r="P907" s="4" t="s">
        <v>64</v>
      </c>
    </row>
    <row r="908">
      <c r="A908" s="4" t="s">
        <v>40</v>
      </c>
      <c r="B908" s="4" t="s">
        <v>40</v>
      </c>
      <c r="C908" s="4">
        <v>906.0</v>
      </c>
      <c r="D908" s="5" t="str">
        <f>HYPERLINK("https://www.linkedin.com/ad-library/detail/776509294","Open Ad")</f>
        <v>Open Ad</v>
      </c>
      <c r="E908" s="4" t="s">
        <v>78</v>
      </c>
      <c r="F908" s="4" t="s">
        <v>54</v>
      </c>
      <c r="G908" s="4" t="s">
        <v>5413</v>
      </c>
      <c r="H908" s="4" t="s">
        <v>49</v>
      </c>
      <c r="I908" s="4" t="s">
        <v>661</v>
      </c>
      <c r="J908" s="4" t="s">
        <v>78</v>
      </c>
      <c r="K908" s="5" t="str">
        <f>HYPERLINK("https://media.licdn.com/dms/image/v2/D4E10AQGV4NN0cN-wrw/image-shrink_1280/B4EZl8K7XCKYAM-/0/1758724864439?e=2147483647&amp;v=beta&amp;t=SUClliOHnh7UcKDvSJyc3Z4oV9Rx7M33uVbGzqCq3Xs","View Creative")</f>
        <v>View Creative</v>
      </c>
      <c r="L908" s="4" t="s">
        <v>106</v>
      </c>
      <c r="M908" s="4" t="s">
        <v>61</v>
      </c>
      <c r="O908" s="4" t="s">
        <v>63</v>
      </c>
      <c r="P908" s="4" t="s">
        <v>64</v>
      </c>
    </row>
    <row r="909">
      <c r="A909" s="4" t="s">
        <v>40</v>
      </c>
      <c r="B909" s="4" t="s">
        <v>40</v>
      </c>
      <c r="C909" s="4">
        <v>907.0</v>
      </c>
      <c r="D909" s="5" t="str">
        <f>HYPERLINK("https://www.linkedin.com/ad-library/detail/776589054","Open Ad")</f>
        <v>Open Ad</v>
      </c>
      <c r="E909" s="4" t="s">
        <v>78</v>
      </c>
      <c r="F909" s="4" t="s">
        <v>54</v>
      </c>
      <c r="G909" s="4" t="s">
        <v>5421</v>
      </c>
      <c r="H909" s="4" t="s">
        <v>49</v>
      </c>
      <c r="I909" s="4" t="s">
        <v>661</v>
      </c>
      <c r="J909" s="4" t="s">
        <v>78</v>
      </c>
      <c r="K909" s="5" t="str">
        <f>HYPERLINK("https://media.licdn.com/dms/image/v2/D4E10AQF1sSQRSVqvzg/image-shrink_1280/B4EZl8LNHuHcAM-/0/1758724937335?e=2147483647&amp;v=beta&amp;t=PAX14kBuvr6qd4FbMx9RYfeRf2Lgrx-xZHeFJ6foNo4","View Creative")</f>
        <v>View Creative</v>
      </c>
      <c r="L909" s="4" t="s">
        <v>106</v>
      </c>
      <c r="M909" s="4" t="s">
        <v>61</v>
      </c>
      <c r="O909" s="4" t="s">
        <v>63</v>
      </c>
      <c r="P909" s="4" t="s">
        <v>64</v>
      </c>
    </row>
    <row r="910">
      <c r="A910" s="4" t="s">
        <v>40</v>
      </c>
      <c r="B910" s="4" t="s">
        <v>40</v>
      </c>
      <c r="C910" s="4">
        <v>908.0</v>
      </c>
      <c r="D910" s="5" t="str">
        <f>HYPERLINK("https://www.linkedin.com/ad-library/detail/776668504","Open Ad")</f>
        <v>Open Ad</v>
      </c>
      <c r="E910" s="4" t="s">
        <v>78</v>
      </c>
      <c r="F910" s="4" t="s">
        <v>54</v>
      </c>
      <c r="G910" s="4" t="s">
        <v>5421</v>
      </c>
      <c r="H910" s="4" t="s">
        <v>49</v>
      </c>
      <c r="I910" s="4" t="s">
        <v>661</v>
      </c>
      <c r="J910" s="4" t="s">
        <v>78</v>
      </c>
      <c r="K910" s="5" t="str">
        <f>HYPERLINK("https://media.licdn.com/dms/image/v2/D4E10AQGKOEd8I9G9yQ/image-shrink_1280/B4EZl8LCffKsAQ-/0/1758724893732?e=2147483647&amp;v=beta&amp;t=epoD-J_5nWo7epcamkUaaaMDbuMWLF8wat3nN-zBqIM","View Creative")</f>
        <v>View Creative</v>
      </c>
      <c r="L910" s="4" t="s">
        <v>106</v>
      </c>
      <c r="M910" s="4" t="s">
        <v>61</v>
      </c>
      <c r="O910" s="4" t="s">
        <v>63</v>
      </c>
      <c r="P910" s="4" t="s">
        <v>64</v>
      </c>
    </row>
    <row r="911">
      <c r="A911" s="4" t="s">
        <v>40</v>
      </c>
      <c r="B911" s="4" t="s">
        <v>40</v>
      </c>
      <c r="C911" s="4">
        <v>909.0</v>
      </c>
      <c r="D911" s="5" t="str">
        <f>HYPERLINK("https://www.linkedin.com/ad-library/detail/776499054","Open Ad")</f>
        <v>Open Ad</v>
      </c>
      <c r="E911" s="4" t="s">
        <v>78</v>
      </c>
      <c r="F911" s="4" t="s">
        <v>54</v>
      </c>
      <c r="G911" s="4" t="s">
        <v>5408</v>
      </c>
      <c r="H911" s="4" t="s">
        <v>49</v>
      </c>
      <c r="I911" s="4" t="s">
        <v>661</v>
      </c>
      <c r="J911" s="4" t="s">
        <v>78</v>
      </c>
      <c r="K911" s="5" t="str">
        <f>HYPERLINK("https://media.licdn.com/dms/image/v2/D4E10AQGQYXELkijVQA/image-shrink_1280/B4EZl8LCU4HoAM-/0/1758724893026?e=2147483647&amp;v=beta&amp;t=jKptudk24nZ7isNzUkwfsH3wkdc-ISTPfSvLb2_0PVU","View Creative")</f>
        <v>View Creative</v>
      </c>
      <c r="L911" s="4" t="s">
        <v>106</v>
      </c>
      <c r="M911" s="4" t="s">
        <v>61</v>
      </c>
      <c r="O911" s="4" t="s">
        <v>63</v>
      </c>
      <c r="P911" s="4" t="s">
        <v>64</v>
      </c>
    </row>
    <row r="912">
      <c r="A912" s="4" t="s">
        <v>40</v>
      </c>
      <c r="B912" s="4" t="s">
        <v>40</v>
      </c>
      <c r="C912" s="4">
        <v>910.0</v>
      </c>
      <c r="D912" s="5" t="str">
        <f>HYPERLINK("https://www.linkedin.com/ad-library/detail/776628254","Open Ad")</f>
        <v>Open Ad</v>
      </c>
      <c r="E912" s="4" t="s">
        <v>78</v>
      </c>
      <c r="F912" s="4" t="s">
        <v>54</v>
      </c>
      <c r="G912" s="4" t="s">
        <v>5413</v>
      </c>
      <c r="H912" s="4" t="s">
        <v>49</v>
      </c>
      <c r="I912" s="4" t="s">
        <v>661</v>
      </c>
      <c r="J912" s="4" t="s">
        <v>78</v>
      </c>
      <c r="K912" s="5" t="str">
        <f>HYPERLINK("https://media.licdn.com/dms/image/v2/D4E10AQE5rwcqHnPkUw/image-shrink_1280/B4EZl8LCn9KsAM-/0/1758724894275?e=2147483647&amp;v=beta&amp;t=H8Jib82JKHSzt7n3SLNusOv7Emu5MJRG13_pf9sX89E","View Creative")</f>
        <v>View Creative</v>
      </c>
      <c r="L912" s="4" t="s">
        <v>106</v>
      </c>
      <c r="M912" s="4" t="s">
        <v>61</v>
      </c>
      <c r="O912" s="4" t="s">
        <v>63</v>
      </c>
      <c r="P912" s="4" t="s">
        <v>64</v>
      </c>
    </row>
    <row r="913">
      <c r="A913" s="4" t="s">
        <v>40</v>
      </c>
      <c r="B913" s="4" t="s">
        <v>40</v>
      </c>
      <c r="C913" s="4">
        <v>911.0</v>
      </c>
      <c r="D913" s="5" t="str">
        <f>HYPERLINK("https://www.linkedin.com/ad-library/detail/776519424","Open Ad")</f>
        <v>Open Ad</v>
      </c>
      <c r="E913" s="4" t="s">
        <v>78</v>
      </c>
      <c r="F913" s="4" t="s">
        <v>54</v>
      </c>
      <c r="G913" s="4" t="s">
        <v>5421</v>
      </c>
      <c r="H913" s="4" t="s">
        <v>49</v>
      </c>
      <c r="I913" s="4" t="s">
        <v>661</v>
      </c>
      <c r="J913" s="4" t="s">
        <v>78</v>
      </c>
      <c r="K913" s="5" t="str">
        <f>HYPERLINK("https://media.licdn.com/dms/image/v2/D4E10AQGn4GcvYkd5iA/image-shrink_1280/B4EZl8LH2YKcAM-/0/1758724915672?e=2147483647&amp;v=beta&amp;t=ojTJ3A79cI-ncZJhSpNnIjqq7cZCBwR1IV_Igrhk3Hg","View Creative")</f>
        <v>View Creative</v>
      </c>
      <c r="L913" s="4" t="s">
        <v>106</v>
      </c>
      <c r="M913" s="4" t="s">
        <v>61</v>
      </c>
      <c r="O913" s="4" t="s">
        <v>63</v>
      </c>
      <c r="P913" s="4" t="s">
        <v>64</v>
      </c>
    </row>
    <row r="914">
      <c r="A914" s="4" t="s">
        <v>40</v>
      </c>
      <c r="B914" s="4" t="s">
        <v>40</v>
      </c>
      <c r="C914" s="4">
        <v>912.0</v>
      </c>
      <c r="D914" s="5" t="str">
        <f>HYPERLINK("https://www.linkedin.com/ad-library/detail/776499034","Open Ad")</f>
        <v>Open Ad</v>
      </c>
      <c r="E914" s="4" t="s">
        <v>78</v>
      </c>
      <c r="F914" s="4" t="s">
        <v>54</v>
      </c>
      <c r="G914" s="4" t="s">
        <v>5413</v>
      </c>
      <c r="H914" s="4" t="s">
        <v>49</v>
      </c>
      <c r="I914" s="4" t="s">
        <v>661</v>
      </c>
      <c r="J914" s="4" t="s">
        <v>78</v>
      </c>
      <c r="K914" s="5" t="str">
        <f>HYPERLINK("https://media.licdn.com/dms/image/v2/D4E10AQEjSlgwU9AIFQ/image-shrink_1280/B4EZl8K9RQHoAU-/0/1758724872133?e=2147483647&amp;v=beta&amp;t=gPlsxCye3UUtWGWMbZOflzHlp5YAruULTYmuvSJ5V9w","View Creative")</f>
        <v>View Creative</v>
      </c>
      <c r="L914" s="4" t="s">
        <v>106</v>
      </c>
      <c r="M914" s="4" t="s">
        <v>61</v>
      </c>
      <c r="O914" s="4" t="s">
        <v>63</v>
      </c>
      <c r="P914" s="4" t="s">
        <v>64</v>
      </c>
    </row>
    <row r="915">
      <c r="A915" s="4" t="s">
        <v>40</v>
      </c>
      <c r="B915" s="4" t="s">
        <v>40</v>
      </c>
      <c r="C915" s="4">
        <v>913.0</v>
      </c>
      <c r="D915" s="5" t="str">
        <f>HYPERLINK("https://www.linkedin.com/ad-library/detail/771522584","Open Ad")</f>
        <v>Open Ad</v>
      </c>
      <c r="E915" s="4" t="s">
        <v>78</v>
      </c>
      <c r="F915" s="4" t="s">
        <v>54</v>
      </c>
      <c r="G915" s="4" t="s">
        <v>5466</v>
      </c>
      <c r="H915" s="4" t="s">
        <v>49</v>
      </c>
      <c r="I915" s="4" t="s">
        <v>661</v>
      </c>
      <c r="J915" s="4" t="s">
        <v>78</v>
      </c>
      <c r="K915" s="5" t="str">
        <f>HYPERLINK("https://media.licdn.com/dms/image/v2/D4E10AQHTLU4Z9Lci_g/image-shrink_1280/B4EZl2K0eaHIAM-/0/1758624172866?e=2147483647&amp;v=beta&amp;t=KCBBomz0wgql8OvMo4QP5B_-tjkAQalOZZ8NVXnvm64","View Creative")</f>
        <v>View Creative</v>
      </c>
      <c r="L915" s="4" t="s">
        <v>106</v>
      </c>
      <c r="M915" s="4" t="s">
        <v>61</v>
      </c>
      <c r="O915" s="4" t="s">
        <v>63</v>
      </c>
      <c r="P915" s="4" t="s">
        <v>64</v>
      </c>
    </row>
    <row r="916">
      <c r="A916" s="4" t="s">
        <v>40</v>
      </c>
      <c r="B916" s="4" t="s">
        <v>40</v>
      </c>
      <c r="C916" s="4">
        <v>914.0</v>
      </c>
      <c r="D916" s="5" t="str">
        <f>HYPERLINK("https://www.linkedin.com/ad-library/detail/776658584","Open Ad")</f>
        <v>Open Ad</v>
      </c>
      <c r="E916" s="4" t="s">
        <v>78</v>
      </c>
      <c r="F916" s="4" t="s">
        <v>54</v>
      </c>
      <c r="G916" s="4" t="s">
        <v>5421</v>
      </c>
      <c r="H916" s="4" t="s">
        <v>49</v>
      </c>
      <c r="I916" s="4" t="s">
        <v>661</v>
      </c>
      <c r="J916" s="4" t="s">
        <v>78</v>
      </c>
      <c r="K916" s="5" t="str">
        <f>HYPERLINK("https://media.licdn.com/dms/image/v2/D4E10AQGNMSVNGsHNjw/image-shrink_1280/B4EZl8K47pIQAQ-/0/1758724854640?e=2147483647&amp;v=beta&amp;t=jIhlHReh4gQh_SutUCeSM7Qcwbyx-jUZfbXBcomcQmk","View Creative")</f>
        <v>View Creative</v>
      </c>
      <c r="L916" s="4" t="s">
        <v>106</v>
      </c>
      <c r="M916" s="4" t="s">
        <v>61</v>
      </c>
      <c r="O916" s="4" t="s">
        <v>63</v>
      </c>
      <c r="P916" s="4" t="s">
        <v>64</v>
      </c>
    </row>
    <row r="917">
      <c r="A917" s="4" t="s">
        <v>40</v>
      </c>
      <c r="B917" s="4" t="s">
        <v>40</v>
      </c>
      <c r="C917" s="4">
        <v>915.0</v>
      </c>
      <c r="D917" s="5" t="str">
        <f>HYPERLINK("https://www.linkedin.com/ad-library/detail/771542574","Open Ad")</f>
        <v>Open Ad</v>
      </c>
      <c r="E917" s="4" t="s">
        <v>78</v>
      </c>
      <c r="F917" s="4" t="s">
        <v>54</v>
      </c>
      <c r="G917" s="4" t="s">
        <v>5466</v>
      </c>
      <c r="H917" s="4" t="s">
        <v>49</v>
      </c>
      <c r="I917" s="4" t="s">
        <v>661</v>
      </c>
      <c r="J917" s="4" t="s">
        <v>78</v>
      </c>
      <c r="K917" s="5" t="str">
        <f>HYPERLINK("https://media.licdn.com/dms/image/v2/D4E10AQHpZnGeOaVGgQ/image-shrink_1280/B4EZl2K53aKkAM-/0/1758624195519?e=2147483647&amp;v=beta&amp;t=0zU-5EjrMrFCPaHx3I_CBHRuzEclrhgufQHBSpZa9kw","View Creative")</f>
        <v>View Creative</v>
      </c>
      <c r="L917" s="4" t="s">
        <v>106</v>
      </c>
      <c r="M917" s="4" t="s">
        <v>61</v>
      </c>
      <c r="O917" s="4" t="s">
        <v>63</v>
      </c>
      <c r="P917" s="4" t="s">
        <v>64</v>
      </c>
    </row>
    <row r="918">
      <c r="A918" s="4" t="s">
        <v>40</v>
      </c>
      <c r="B918" s="4" t="s">
        <v>40</v>
      </c>
      <c r="C918" s="4">
        <v>916.0</v>
      </c>
      <c r="D918" s="5" t="str">
        <f>HYPERLINK("https://www.linkedin.com/ad-library/detail/771572014","Open Ad")</f>
        <v>Open Ad</v>
      </c>
      <c r="E918" s="4" t="s">
        <v>78</v>
      </c>
      <c r="F918" s="4" t="s">
        <v>54</v>
      </c>
      <c r="G918" s="4" t="s">
        <v>5466</v>
      </c>
      <c r="H918" s="4" t="s">
        <v>49</v>
      </c>
      <c r="I918" s="4" t="s">
        <v>661</v>
      </c>
      <c r="J918" s="4" t="s">
        <v>78</v>
      </c>
      <c r="K918" s="5" t="str">
        <f>HYPERLINK("https://media.licdn.com/dms/image/v2/D4E10AQHmRWNSnJ5uXg/image-shrink_1280/B4EZl2K55pKkAM-/0/1758624195507?e=2147483647&amp;v=beta&amp;t=5Mk9DbBW4DZcPdNkAqIR9UuEh41_81krCvWlJsHVU74","View Creative")</f>
        <v>View Creative</v>
      </c>
      <c r="L918" s="4" t="s">
        <v>106</v>
      </c>
      <c r="M918" s="4" t="s">
        <v>61</v>
      </c>
      <c r="O918" s="4" t="s">
        <v>63</v>
      </c>
      <c r="P918" s="4" t="s">
        <v>64</v>
      </c>
    </row>
    <row r="919">
      <c r="A919" s="4" t="s">
        <v>40</v>
      </c>
      <c r="B919" s="4" t="s">
        <v>40</v>
      </c>
      <c r="C919" s="4">
        <v>917.0</v>
      </c>
      <c r="D919" s="5" t="str">
        <f>HYPERLINK("https://www.linkedin.com/ad-library/detail/771681594","Open Ad")</f>
        <v>Open Ad</v>
      </c>
      <c r="E919" s="4" t="s">
        <v>78</v>
      </c>
      <c r="F919" s="4" t="s">
        <v>54</v>
      </c>
      <c r="G919" s="4" t="s">
        <v>5469</v>
      </c>
      <c r="H919" s="4" t="s">
        <v>49</v>
      </c>
      <c r="I919" s="4" t="s">
        <v>661</v>
      </c>
      <c r="J919" s="4" t="s">
        <v>78</v>
      </c>
      <c r="K919" s="5" t="str">
        <f>HYPERLINK("https://media.licdn.com/dms/image/v2/D4E10AQE2mDwD_vYbPQ/image-shrink_1280/B4EZl2K5wLIwAQ-/0/1758624194391?e=2147483647&amp;v=beta&amp;t=wKkMmoukTcrY1J8Ocdu52deRJ9wrmm4DO-JGh_FwJUI","View Creative")</f>
        <v>View Creative</v>
      </c>
      <c r="L919" s="4" t="s">
        <v>106</v>
      </c>
      <c r="M919" s="4" t="s">
        <v>61</v>
      </c>
      <c r="O919" s="4" t="s">
        <v>63</v>
      </c>
      <c r="P919" s="4" t="s">
        <v>64</v>
      </c>
    </row>
    <row r="920">
      <c r="A920" s="4" t="s">
        <v>40</v>
      </c>
      <c r="B920" s="4" t="s">
        <v>40</v>
      </c>
      <c r="C920" s="4">
        <v>918.0</v>
      </c>
      <c r="D920" s="5" t="str">
        <f>HYPERLINK("https://www.linkedin.com/ad-library/detail/776579374","Open Ad")</f>
        <v>Open Ad</v>
      </c>
      <c r="E920" s="4" t="s">
        <v>78</v>
      </c>
      <c r="F920" s="4" t="s">
        <v>54</v>
      </c>
      <c r="G920" s="4" t="s">
        <v>5413</v>
      </c>
      <c r="H920" s="4" t="s">
        <v>49</v>
      </c>
      <c r="I920" s="4" t="s">
        <v>661</v>
      </c>
      <c r="J920" s="4" t="s">
        <v>78</v>
      </c>
      <c r="K920" s="5" t="str">
        <f>HYPERLINK("https://media.licdn.com/dms/image/v2/D4E10AQFg08ritOM2rw/image-shrink_1280/B4EZl8K460HoAM-/0/1758724854364?e=2147483647&amp;v=beta&amp;t=E5BseDaxcTAg2DdP52uukCaxLBG-rCoheNoZ0IqF8Qs","View Creative")</f>
        <v>View Creative</v>
      </c>
      <c r="L920" s="4" t="s">
        <v>106</v>
      </c>
      <c r="M920" s="4" t="s">
        <v>61</v>
      </c>
      <c r="O920" s="4" t="s">
        <v>63</v>
      </c>
      <c r="P920" s="4" t="s">
        <v>64</v>
      </c>
    </row>
    <row r="921">
      <c r="A921" s="4" t="s">
        <v>40</v>
      </c>
      <c r="B921" s="4" t="s">
        <v>40</v>
      </c>
      <c r="C921" s="4">
        <v>919.0</v>
      </c>
      <c r="D921" s="5" t="str">
        <f>HYPERLINK("https://www.linkedin.com/ad-library/detail/776529354","Open Ad")</f>
        <v>Open Ad</v>
      </c>
      <c r="E921" s="4" t="s">
        <v>78</v>
      </c>
      <c r="F921" s="4" t="s">
        <v>54</v>
      </c>
      <c r="G921" s="4" t="s">
        <v>5421</v>
      </c>
      <c r="H921" s="4" t="s">
        <v>49</v>
      </c>
      <c r="I921" s="4" t="s">
        <v>661</v>
      </c>
      <c r="J921" s="4" t="s">
        <v>78</v>
      </c>
      <c r="K921" s="5" t="str">
        <f>HYPERLINK("https://media.licdn.com/dms/image/v2/D4E10AQF-kre3fdbR6w/image-shrink_1280/B4EZl8K6VaIMAM-/0/1758724860387?e=2147483647&amp;v=beta&amp;t=gbwN8oZKMhy6zxarsqobIiSN0Rd9fWJRKZZr69Ur3x4","View Creative")</f>
        <v>View Creative</v>
      </c>
      <c r="L921" s="4" t="s">
        <v>106</v>
      </c>
      <c r="M921" s="4" t="s">
        <v>61</v>
      </c>
      <c r="O921" s="4" t="s">
        <v>63</v>
      </c>
      <c r="P921" s="4" t="s">
        <v>64</v>
      </c>
    </row>
    <row r="922">
      <c r="A922" s="4" t="s">
        <v>40</v>
      </c>
      <c r="B922" s="4" t="s">
        <v>40</v>
      </c>
      <c r="C922" s="4">
        <v>920.0</v>
      </c>
      <c r="D922" s="5" t="str">
        <f>HYPERLINK("https://www.linkedin.com/ad-library/detail/771612164","Open Ad")</f>
        <v>Open Ad</v>
      </c>
      <c r="E922" s="4" t="s">
        <v>78</v>
      </c>
      <c r="F922" s="4" t="s">
        <v>54</v>
      </c>
      <c r="G922" s="4" t="s">
        <v>5472</v>
      </c>
      <c r="H922" s="4" t="s">
        <v>49</v>
      </c>
      <c r="I922" s="4" t="s">
        <v>661</v>
      </c>
      <c r="J922" s="4" t="s">
        <v>78</v>
      </c>
      <c r="K922" s="5" t="str">
        <f>HYPERLINK("https://media.licdn.com/dms/image/v2/D4E10AQFJJdlF1HM5xg/image-shrink_1280/B4EZl2K6MsKUAM-/0/1758624196275?e=2147483647&amp;v=beta&amp;t=Y6fsHyzqXAYmpUOxoFBwESMBRgAMqhF_44j3ticlKn4","View Creative")</f>
        <v>View Creative</v>
      </c>
      <c r="L922" s="4" t="s">
        <v>106</v>
      </c>
      <c r="M922" s="4" t="s">
        <v>61</v>
      </c>
      <c r="O922" s="4" t="s">
        <v>63</v>
      </c>
      <c r="P922" s="4" t="s">
        <v>64</v>
      </c>
    </row>
    <row r="923">
      <c r="A923" s="4" t="s">
        <v>40</v>
      </c>
      <c r="B923" s="4" t="s">
        <v>40</v>
      </c>
      <c r="C923" s="4">
        <v>921.0</v>
      </c>
      <c r="D923" s="5" t="str">
        <f>HYPERLINK("https://www.linkedin.com/ad-library/detail/771542604","Open Ad")</f>
        <v>Open Ad</v>
      </c>
      <c r="E923" s="4" t="s">
        <v>78</v>
      </c>
      <c r="F923" s="4" t="s">
        <v>54</v>
      </c>
      <c r="G923" s="4" t="s">
        <v>5469</v>
      </c>
      <c r="H923" s="4" t="s">
        <v>49</v>
      </c>
      <c r="I923" s="4" t="s">
        <v>661</v>
      </c>
      <c r="J923" s="4" t="s">
        <v>78</v>
      </c>
      <c r="K923" s="5" t="str">
        <f>HYPERLINK("https://media.licdn.com/dms/image/v2/D4E10AQE23CCFpZX5OA/image-shrink_1280/B4EZl2K_MuIoAM-/0/1758624216989?e=2147483647&amp;v=beta&amp;t=REMA74XMXhSMM6U-tFzSFa9uQoFzaAVjaAwu57NM8XQ","View Creative")</f>
        <v>View Creative</v>
      </c>
      <c r="L923" s="4" t="s">
        <v>106</v>
      </c>
      <c r="M923" s="4" t="s">
        <v>61</v>
      </c>
      <c r="O923" s="4" t="s">
        <v>63</v>
      </c>
      <c r="P923" s="4" t="s">
        <v>64</v>
      </c>
    </row>
    <row r="924">
      <c r="A924" s="4" t="s">
        <v>40</v>
      </c>
      <c r="B924" s="4" t="s">
        <v>40</v>
      </c>
      <c r="C924" s="4">
        <v>922.0</v>
      </c>
      <c r="D924" s="5" t="str">
        <f>HYPERLINK("https://www.linkedin.com/ad-library/detail/776668494","Open Ad")</f>
        <v>Open Ad</v>
      </c>
      <c r="E924" s="4" t="s">
        <v>78</v>
      </c>
      <c r="F924" s="4" t="s">
        <v>54</v>
      </c>
      <c r="G924" s="4" t="s">
        <v>5408</v>
      </c>
      <c r="H924" s="4" t="s">
        <v>49</v>
      </c>
      <c r="I924" s="4" t="s">
        <v>661</v>
      </c>
      <c r="J924" s="4" t="s">
        <v>78</v>
      </c>
      <c r="K924" s="5" t="str">
        <f>HYPERLINK("https://media.licdn.com/dms/image/v2/D4E10AQGPN9jR56asKg/image-shrink_1280/B4EZl8K5EVHoAM-/0/1758724855164?e=2147483647&amp;v=beta&amp;t=Qjgf4BSVVlPgHJNJGr85d1Fbf1SWbqc8T9dEaQOYt4o","View Creative")</f>
        <v>View Creative</v>
      </c>
      <c r="L924" s="4" t="s">
        <v>106</v>
      </c>
      <c r="M924" s="4" t="s">
        <v>61</v>
      </c>
      <c r="O924" s="4" t="s">
        <v>63</v>
      </c>
      <c r="P924" s="4" t="s">
        <v>64</v>
      </c>
    </row>
    <row r="925">
      <c r="A925" s="4" t="s">
        <v>40</v>
      </c>
      <c r="B925" s="4" t="s">
        <v>40</v>
      </c>
      <c r="C925" s="4">
        <v>923.0</v>
      </c>
      <c r="D925" s="5" t="str">
        <f>HYPERLINK("https://www.linkedin.com/ad-library/detail/776619274","Open Ad")</f>
        <v>Open Ad</v>
      </c>
      <c r="E925" s="4" t="s">
        <v>78</v>
      </c>
      <c r="F925" s="4" t="s">
        <v>54</v>
      </c>
      <c r="G925" s="4" t="s">
        <v>5408</v>
      </c>
      <c r="H925" s="4" t="s">
        <v>49</v>
      </c>
      <c r="I925" s="4" t="s">
        <v>661</v>
      </c>
      <c r="J925" s="4" t="s">
        <v>78</v>
      </c>
      <c r="K925" s="5" t="str">
        <f>HYPERLINK("https://media.licdn.com/dms/image/v2/D4E10AQGic51uOUyZBg/image-shrink_1280/B4EZl8K5AvKYAM-/0/1758724854610?e=2147483647&amp;v=beta&amp;t=tN_GzAHMDogfCWjGBY0aySPBJuPJruCNjbpNma1PZPc","View Creative")</f>
        <v>View Creative</v>
      </c>
      <c r="L925" s="4" t="s">
        <v>106</v>
      </c>
      <c r="M925" s="4" t="s">
        <v>61</v>
      </c>
      <c r="O925" s="4" t="s">
        <v>63</v>
      </c>
      <c r="P925" s="4" t="s">
        <v>64</v>
      </c>
    </row>
    <row r="926">
      <c r="A926" s="4" t="s">
        <v>40</v>
      </c>
      <c r="B926" s="4" t="s">
        <v>40</v>
      </c>
      <c r="C926" s="4">
        <v>924.0</v>
      </c>
      <c r="D926" s="5" t="str">
        <f>HYPERLINK("https://www.linkedin.com/ad-library/detail/776648644","Open Ad")</f>
        <v>Open Ad</v>
      </c>
      <c r="E926" s="4" t="s">
        <v>78</v>
      </c>
      <c r="F926" s="4" t="s">
        <v>54</v>
      </c>
      <c r="G926" s="4" t="s">
        <v>5421</v>
      </c>
      <c r="H926" s="4" t="s">
        <v>49</v>
      </c>
      <c r="I926" s="4" t="s">
        <v>661</v>
      </c>
      <c r="J926" s="4" t="s">
        <v>78</v>
      </c>
      <c r="K926" s="5" t="str">
        <f>HYPERLINK("https://media.licdn.com/dms/image/v2/D4E10AQFQy9cNSwFmew/image-shrink_1280/B4EZl8K48QKcAM-/0/1758724854569?e=2147483647&amp;v=beta&amp;t=j30zBv244a6z9utN-xshJrDL1Dpte9WU3s94nDXG82c","View Creative")</f>
        <v>View Creative</v>
      </c>
      <c r="L926" s="4" t="s">
        <v>106</v>
      </c>
      <c r="M926" s="4" t="s">
        <v>61</v>
      </c>
      <c r="O926" s="4" t="s">
        <v>63</v>
      </c>
      <c r="P926" s="4" t="s">
        <v>64</v>
      </c>
    </row>
    <row r="927">
      <c r="A927" s="4" t="s">
        <v>40</v>
      </c>
      <c r="B927" s="4" t="s">
        <v>40</v>
      </c>
      <c r="C927" s="4">
        <v>925.0</v>
      </c>
      <c r="D927" s="5" t="str">
        <f>HYPERLINK("https://www.linkedin.com/ad-library/detail/771641794","Open Ad")</f>
        <v>Open Ad</v>
      </c>
      <c r="E927" s="4" t="s">
        <v>78</v>
      </c>
      <c r="F927" s="4" t="s">
        <v>54</v>
      </c>
      <c r="G927" s="4" t="s">
        <v>5469</v>
      </c>
      <c r="H927" s="4" t="s">
        <v>49</v>
      </c>
      <c r="I927" s="4" t="s">
        <v>661</v>
      </c>
      <c r="J927" s="4" t="s">
        <v>78</v>
      </c>
      <c r="K927" s="5" t="str">
        <f>HYPERLINK("https://media.licdn.com/dms/image/v2/D4E10AQEopblOTEiR7A/image-shrink_1280/B4EZl2K6XRGUAQ-/0/1758624196982?e=2147483647&amp;v=beta&amp;t=69YYSeAb95_1Fdx4q-b4TrchsHK-fRcdy7WAMTYS9PY","View Creative")</f>
        <v>View Creative</v>
      </c>
      <c r="L927" s="4" t="s">
        <v>106</v>
      </c>
      <c r="M927" s="4" t="s">
        <v>61</v>
      </c>
      <c r="O927" s="4" t="s">
        <v>63</v>
      </c>
      <c r="P927" s="4" t="s">
        <v>64</v>
      </c>
    </row>
    <row r="928">
      <c r="A928" s="4" t="s">
        <v>40</v>
      </c>
      <c r="B928" s="4" t="s">
        <v>40</v>
      </c>
      <c r="C928" s="4">
        <v>926.0</v>
      </c>
      <c r="D928" s="5" t="str">
        <f>HYPERLINK("https://www.linkedin.com/ad-library/detail/771612184","Open Ad")</f>
        <v>Open Ad</v>
      </c>
      <c r="E928" s="4" t="s">
        <v>78</v>
      </c>
      <c r="F928" s="4" t="s">
        <v>54</v>
      </c>
      <c r="G928" s="4" t="s">
        <v>5472</v>
      </c>
      <c r="H928" s="4" t="s">
        <v>49</v>
      </c>
      <c r="I928" s="4" t="s">
        <v>661</v>
      </c>
      <c r="J928" s="4" t="s">
        <v>78</v>
      </c>
      <c r="K928" s="5" t="str">
        <f>HYPERLINK("https://media.licdn.com/dms/image/v2/D4E10AQG8LROGgCVfwQ/image-shrink_1280/B4EZl2K_OPHIAM-/0/1758624217052?e=2147483647&amp;v=beta&amp;t=iczt3_0-JZTTql5EWMl3kqKVqHftM6fPMKOXa0UTEg8","View Creative")</f>
        <v>View Creative</v>
      </c>
      <c r="L928" s="4" t="s">
        <v>106</v>
      </c>
      <c r="M928" s="4" t="s">
        <v>61</v>
      </c>
      <c r="O928" s="4" t="s">
        <v>63</v>
      </c>
      <c r="P928" s="4" t="s">
        <v>64</v>
      </c>
    </row>
    <row r="929">
      <c r="A929" s="4" t="s">
        <v>40</v>
      </c>
      <c r="B929" s="4" t="s">
        <v>40</v>
      </c>
      <c r="C929" s="4">
        <v>927.0</v>
      </c>
      <c r="D929" s="5" t="str">
        <f>HYPERLINK("https://www.linkedin.com/ad-library/detail/771671934","Open Ad")</f>
        <v>Open Ad</v>
      </c>
      <c r="E929" s="4" t="s">
        <v>78</v>
      </c>
      <c r="F929" s="4" t="s">
        <v>54</v>
      </c>
      <c r="G929" s="4" t="s">
        <v>5466</v>
      </c>
      <c r="H929" s="4" t="s">
        <v>49</v>
      </c>
      <c r="I929" s="4" t="s">
        <v>661</v>
      </c>
      <c r="J929" s="4" t="s">
        <v>78</v>
      </c>
      <c r="K929" s="5" t="str">
        <f>HYPERLINK("https://media.licdn.com/dms/image/v2/D4E10AQGD2vd_PoUH7g/image-shrink_1280/B4EZl2K6RiKUAM-/0/1758624196458?e=2147483647&amp;v=beta&amp;t=tj_ZXX62p3taT1BJgwfRqG92JwFVSVXLz32lK1d_o-I","View Creative")</f>
        <v>View Creative</v>
      </c>
      <c r="L929" s="4" t="s">
        <v>106</v>
      </c>
      <c r="M929" s="4" t="s">
        <v>61</v>
      </c>
      <c r="O929" s="4" t="s">
        <v>63</v>
      </c>
      <c r="P929" s="4" t="s">
        <v>64</v>
      </c>
    </row>
    <row r="930">
      <c r="A930" s="4" t="s">
        <v>40</v>
      </c>
      <c r="B930" s="4" t="s">
        <v>40</v>
      </c>
      <c r="C930" s="4">
        <v>928.0</v>
      </c>
      <c r="D930" s="5" t="str">
        <f>HYPERLINK("https://www.linkedin.com/ad-library/detail/771562124","Open Ad")</f>
        <v>Open Ad</v>
      </c>
      <c r="E930" s="4" t="s">
        <v>78</v>
      </c>
      <c r="F930" s="4" t="s">
        <v>54</v>
      </c>
      <c r="G930" s="4" t="s">
        <v>5472</v>
      </c>
      <c r="H930" s="4" t="s">
        <v>49</v>
      </c>
      <c r="I930" s="4" t="s">
        <v>661</v>
      </c>
      <c r="J930" s="4" t="s">
        <v>78</v>
      </c>
      <c r="K930" s="5" t="str">
        <f>HYPERLINK("https://media.licdn.com/dms/image/v2/D4E10AQFRLI5dTTze2w/image-shrink_1280/B4EZl2K0S1GoAM-/0/1758624172190?e=2147483647&amp;v=beta&amp;t=_-hhcAcasHQRXINo4fmIY69yL9qmxUr8zqDOB6HRqrg","View Creative")</f>
        <v>View Creative</v>
      </c>
      <c r="L930" s="4" t="s">
        <v>106</v>
      </c>
      <c r="M930" s="4" t="s">
        <v>61</v>
      </c>
      <c r="O930" s="4" t="s">
        <v>63</v>
      </c>
      <c r="P930" s="4" t="s">
        <v>64</v>
      </c>
    </row>
    <row r="931">
      <c r="A931" s="4" t="s">
        <v>40</v>
      </c>
      <c r="B931" s="4" t="s">
        <v>40</v>
      </c>
      <c r="C931" s="4">
        <v>929.0</v>
      </c>
      <c r="D931" s="5" t="str">
        <f>HYPERLINK("https://www.linkedin.com/ad-library/detail/771483734","Open Ad")</f>
        <v>Open Ad</v>
      </c>
      <c r="E931" s="4" t="s">
        <v>78</v>
      </c>
      <c r="F931" s="4" t="s">
        <v>54</v>
      </c>
      <c r="G931" s="4" t="s">
        <v>5472</v>
      </c>
      <c r="H931" s="4" t="s">
        <v>49</v>
      </c>
      <c r="I931" s="4" t="s">
        <v>661</v>
      </c>
      <c r="J931" s="4" t="s">
        <v>78</v>
      </c>
      <c r="K931" s="5" t="str">
        <f>HYPERLINK("https://media.licdn.com/dms/image/v2/D4E10AQGFCPp80YR77Q/image-shrink_1280/B4EZl2K0PQHEAM-/0/1758624171889?e=2147483647&amp;v=beta&amp;t=8DwibSimque7rfD1sKB-82ulXZktKk9_70LuJYXQIPw","View Creative")</f>
        <v>View Creative</v>
      </c>
      <c r="L931" s="4" t="s">
        <v>106</v>
      </c>
      <c r="M931" s="4" t="s">
        <v>61</v>
      </c>
      <c r="O931" s="4" t="s">
        <v>63</v>
      </c>
      <c r="P931" s="4" t="s">
        <v>64</v>
      </c>
    </row>
    <row r="932">
      <c r="A932" s="4" t="s">
        <v>40</v>
      </c>
      <c r="B932" s="4" t="s">
        <v>40</v>
      </c>
      <c r="C932" s="4">
        <v>930.0</v>
      </c>
      <c r="D932" s="5" t="str">
        <f>HYPERLINK("https://www.linkedin.com/ad-library/detail/771671904","Open Ad")</f>
        <v>Open Ad</v>
      </c>
      <c r="E932" s="4" t="s">
        <v>78</v>
      </c>
      <c r="F932" s="4" t="s">
        <v>54</v>
      </c>
      <c r="G932" s="4" t="s">
        <v>5466</v>
      </c>
      <c r="H932" s="4" t="s">
        <v>49</v>
      </c>
      <c r="I932" s="4" t="s">
        <v>661</v>
      </c>
      <c r="J932" s="4" t="s">
        <v>78</v>
      </c>
      <c r="K932" s="5" t="str">
        <f>HYPERLINK("https://media.licdn.com/dms/image/v2/D4E10AQF8_wHhdJGTIA/image-shrink_1280/B4EZl2K0v1HEAM-/0/1758624174165?e=2147483647&amp;v=beta&amp;t=_GpRqaTID4HPxFQUAPDTuF-tuBYJo0KGm8mST_ttCD8","View Creative")</f>
        <v>View Creative</v>
      </c>
      <c r="L932" s="4" t="s">
        <v>106</v>
      </c>
      <c r="M932" s="4" t="s">
        <v>61</v>
      </c>
      <c r="O932" s="4" t="s">
        <v>63</v>
      </c>
      <c r="P932" s="4" t="s">
        <v>64</v>
      </c>
    </row>
    <row r="933">
      <c r="A933" s="4" t="s">
        <v>40</v>
      </c>
      <c r="B933" s="4" t="s">
        <v>40</v>
      </c>
      <c r="C933" s="4">
        <v>931.0</v>
      </c>
      <c r="D933" s="5" t="str">
        <f>HYPERLINK("https://www.linkedin.com/ad-library/detail/776710024","Open Ad")</f>
        <v>Open Ad</v>
      </c>
      <c r="E933" s="4" t="s">
        <v>78</v>
      </c>
      <c r="F933" s="4" t="s">
        <v>54</v>
      </c>
      <c r="G933" s="4" t="s">
        <v>5408</v>
      </c>
      <c r="H933" s="4" t="s">
        <v>49</v>
      </c>
      <c r="I933" s="4" t="s">
        <v>661</v>
      </c>
      <c r="J933" s="4" t="s">
        <v>78</v>
      </c>
      <c r="K933" s="5" t="str">
        <f>HYPERLINK("https://media.licdn.com/dms/image/v2/D4E10AQGekBJsk4rSCQ/image-shrink_1280/B4EZl8K4.yKUAM-/0/1758724855062?e=2147483647&amp;v=beta&amp;t=DrwdyaFAkTvKkD_e-6DOVl3CrRRA-1AVZLcdfTcizjw","View Creative")</f>
        <v>View Creative</v>
      </c>
      <c r="L933" s="4" t="s">
        <v>106</v>
      </c>
      <c r="M933" s="4" t="s">
        <v>61</v>
      </c>
      <c r="O933" s="4" t="s">
        <v>63</v>
      </c>
      <c r="P933" s="4" t="s">
        <v>64</v>
      </c>
    </row>
    <row r="934">
      <c r="A934" s="4" t="s">
        <v>40</v>
      </c>
      <c r="B934" s="4" t="s">
        <v>40</v>
      </c>
      <c r="C934" s="4">
        <v>932.0</v>
      </c>
      <c r="D934" s="5" t="str">
        <f>HYPERLINK("https://www.linkedin.com/ad-library/detail/771701444","Open Ad")</f>
        <v>Open Ad</v>
      </c>
      <c r="E934" s="4" t="s">
        <v>78</v>
      </c>
      <c r="F934" s="4" t="s">
        <v>54</v>
      </c>
      <c r="G934" s="4" t="s">
        <v>5472</v>
      </c>
      <c r="H934" s="4" t="s">
        <v>49</v>
      </c>
      <c r="I934" s="4" t="s">
        <v>661</v>
      </c>
      <c r="J934" s="4" t="s">
        <v>78</v>
      </c>
      <c r="K934" s="5" t="str">
        <f>HYPERLINK("https://media.licdn.com/dms/image/v2/D4E10AQG1sNE8IKJwLA/image-shrink_1280/B4EZl2K0QfKYAM-/0/1758624171922?e=2147483647&amp;v=beta&amp;t=nuvFeVYI02tO2ip3E_rF0aJfRzmOI50wHa6LixifmX0","View Creative")</f>
        <v>View Creative</v>
      </c>
      <c r="L934" s="4" t="s">
        <v>106</v>
      </c>
      <c r="M934" s="4" t="s">
        <v>61</v>
      </c>
      <c r="O934" s="4" t="s">
        <v>63</v>
      </c>
      <c r="P934" s="4" t="s">
        <v>64</v>
      </c>
    </row>
    <row r="935">
      <c r="A935" s="4" t="s">
        <v>40</v>
      </c>
      <c r="B935" s="4" t="s">
        <v>40</v>
      </c>
      <c r="C935" s="4">
        <v>933.0</v>
      </c>
      <c r="D935" s="5" t="str">
        <f>HYPERLINK("https://www.linkedin.com/ad-library/detail/771562134","Open Ad")</f>
        <v>Open Ad</v>
      </c>
      <c r="E935" s="4" t="s">
        <v>78</v>
      </c>
      <c r="F935" s="4" t="s">
        <v>54</v>
      </c>
      <c r="G935" s="4" t="s">
        <v>5466</v>
      </c>
      <c r="H935" s="4" t="s">
        <v>49</v>
      </c>
      <c r="I935" s="4" t="s">
        <v>661</v>
      </c>
      <c r="J935" s="4" t="s">
        <v>78</v>
      </c>
      <c r="K935" s="5" t="str">
        <f>HYPERLINK("https://media.licdn.com/dms/image/v2/D4E10AQF0y5_aE2t2Ww/image-shrink_1280/B4EZl2LADuGYAM-/0/1758624220461?e=2147483647&amp;v=beta&amp;t=Igx7kdNgjxdcU7DV5NIynW-Dab6O7dzskDh8Mn5G1VI","View Creative")</f>
        <v>View Creative</v>
      </c>
      <c r="L935" s="4" t="s">
        <v>106</v>
      </c>
      <c r="M935" s="4" t="s">
        <v>61</v>
      </c>
      <c r="O935" s="4" t="s">
        <v>63</v>
      </c>
      <c r="P935" s="4" t="s">
        <v>64</v>
      </c>
    </row>
    <row r="936">
      <c r="A936" s="4" t="s">
        <v>40</v>
      </c>
      <c r="B936" s="4" t="s">
        <v>40</v>
      </c>
      <c r="C936" s="4">
        <v>934.0</v>
      </c>
      <c r="D936" s="5" t="str">
        <f>HYPERLINK("https://www.linkedin.com/ad-library/detail/771641784","Open Ad")</f>
        <v>Open Ad</v>
      </c>
      <c r="E936" s="4" t="s">
        <v>78</v>
      </c>
      <c r="F936" s="4" t="s">
        <v>54</v>
      </c>
      <c r="G936" s="4" t="s">
        <v>5472</v>
      </c>
      <c r="H936" s="4" t="s">
        <v>49</v>
      </c>
      <c r="I936" s="4" t="s">
        <v>661</v>
      </c>
      <c r="J936" s="4" t="s">
        <v>78</v>
      </c>
      <c r="K936" s="5" t="str">
        <f>HYPERLINK("https://media.licdn.com/dms/image/v2/D4E10AQFzUYN9DL101A/image-shrink_1280/B4EZl2K5y.GUAM-/0/1758624194927?e=2147483647&amp;v=beta&amp;t=N_Sh62joQhl3vE1SpOGeyzPY8mc4Q9v3-rNrktxtrEU","View Creative")</f>
        <v>View Creative</v>
      </c>
      <c r="L936" s="4" t="s">
        <v>106</v>
      </c>
      <c r="M936" s="4" t="s">
        <v>61</v>
      </c>
      <c r="O936" s="4" t="s">
        <v>63</v>
      </c>
      <c r="P936" s="4" t="s">
        <v>64</v>
      </c>
    </row>
    <row r="937">
      <c r="A937" s="4" t="s">
        <v>40</v>
      </c>
      <c r="B937" s="4" t="s">
        <v>40</v>
      </c>
      <c r="C937" s="4">
        <v>935.0</v>
      </c>
      <c r="D937" s="5" t="str">
        <f>HYPERLINK("https://www.linkedin.com/ad-library/detail/771641774","Open Ad")</f>
        <v>Open Ad</v>
      </c>
      <c r="E937" s="4" t="s">
        <v>78</v>
      </c>
      <c r="F937" s="4" t="s">
        <v>54</v>
      </c>
      <c r="G937" s="4" t="s">
        <v>5469</v>
      </c>
      <c r="H937" s="4" t="s">
        <v>49</v>
      </c>
      <c r="I937" s="4" t="s">
        <v>661</v>
      </c>
      <c r="J937" s="4" t="s">
        <v>78</v>
      </c>
      <c r="K937" s="5" t="str">
        <f>HYPERLINK("https://media.licdn.com/dms/image/v2/D4E10AQEQaAnck7tzAw/image-shrink_1280/B4EZl2K50mIwAM-/0/1758624194684?e=2147483647&amp;v=beta&amp;t=Ygwtl-UEB_jlQgy7WbR0JpEPGsK6Ktt5um6wa6gA3wI","View Creative")</f>
        <v>View Creative</v>
      </c>
      <c r="L937" s="4" t="s">
        <v>106</v>
      </c>
      <c r="M937" s="4" t="s">
        <v>61</v>
      </c>
      <c r="O937" s="4" t="s">
        <v>63</v>
      </c>
      <c r="P937" s="4" t="s">
        <v>64</v>
      </c>
    </row>
    <row r="938">
      <c r="A938" s="4" t="s">
        <v>40</v>
      </c>
      <c r="B938" s="4" t="s">
        <v>40</v>
      </c>
      <c r="C938" s="4">
        <v>936.0</v>
      </c>
      <c r="D938" s="5" t="str">
        <f>HYPERLINK("https://www.linkedin.com/ad-library/detail/771512754","Open Ad")</f>
        <v>Open Ad</v>
      </c>
      <c r="E938" s="4" t="s">
        <v>78</v>
      </c>
      <c r="F938" s="4" t="s">
        <v>54</v>
      </c>
      <c r="G938" s="4" t="s">
        <v>5472</v>
      </c>
      <c r="H938" s="4" t="s">
        <v>49</v>
      </c>
      <c r="I938" s="4" t="s">
        <v>661</v>
      </c>
      <c r="J938" s="4" t="s">
        <v>78</v>
      </c>
      <c r="K938" s="5" t="str">
        <f>HYPERLINK("https://media.licdn.com/dms/image/v2/D4E10AQHFlW0nbeFjcg/image-shrink_1280/B4EZl2K5vCKkAU-/0/1758624194437?e=2147483647&amp;v=beta&amp;t=kl5vC-V_hCZgwtMKtT0diC7pr-Euja-SSiQCzJhziuA","View Creative")</f>
        <v>View Creative</v>
      </c>
      <c r="L938" s="4" t="s">
        <v>106</v>
      </c>
      <c r="M938" s="4" t="s">
        <v>61</v>
      </c>
      <c r="O938" s="4" t="s">
        <v>63</v>
      </c>
      <c r="P938" s="4" t="s">
        <v>64</v>
      </c>
    </row>
    <row r="939">
      <c r="A939" s="4" t="s">
        <v>40</v>
      </c>
      <c r="B939" s="4" t="s">
        <v>40</v>
      </c>
      <c r="C939" s="4">
        <v>937.0</v>
      </c>
      <c r="D939" s="5" t="str">
        <f>HYPERLINK("https://www.linkedin.com/ad-library/detail/771572004","Open Ad")</f>
        <v>Open Ad</v>
      </c>
      <c r="E939" s="4" t="s">
        <v>78</v>
      </c>
      <c r="F939" s="4" t="s">
        <v>54</v>
      </c>
      <c r="G939" s="4" t="s">
        <v>5469</v>
      </c>
      <c r="H939" s="4" t="s">
        <v>49</v>
      </c>
      <c r="I939" s="4" t="s">
        <v>661</v>
      </c>
      <c r="J939" s="4" t="s">
        <v>78</v>
      </c>
      <c r="K939" s="5" t="str">
        <f>HYPERLINK("https://media.licdn.com/dms/image/v2/D4E10AQF1WC4Tg9N1Xg/image-shrink_1280/B4EZl2K0TjIoAM-/0/1758624172158?e=2147483647&amp;v=beta&amp;t=E7DIr4aieValwp1gHdis44J0imwy1h9DMZvxZxz0hxs","View Creative")</f>
        <v>View Creative</v>
      </c>
      <c r="L939" s="4" t="s">
        <v>106</v>
      </c>
      <c r="M939" s="4" t="s">
        <v>61</v>
      </c>
      <c r="O939" s="4" t="s">
        <v>63</v>
      </c>
      <c r="P939" s="4" t="s">
        <v>64</v>
      </c>
    </row>
    <row r="940">
      <c r="A940" s="4" t="s">
        <v>40</v>
      </c>
      <c r="B940" s="4" t="s">
        <v>40</v>
      </c>
      <c r="C940" s="4">
        <v>938.0</v>
      </c>
      <c r="D940" s="5" t="str">
        <f>HYPERLINK("https://www.linkedin.com/ad-library/detail/771592274","Open Ad")</f>
        <v>Open Ad</v>
      </c>
      <c r="E940" s="4" t="s">
        <v>78</v>
      </c>
      <c r="F940" s="4" t="s">
        <v>54</v>
      </c>
      <c r="G940" s="4" t="s">
        <v>5466</v>
      </c>
      <c r="H940" s="4" t="s">
        <v>49</v>
      </c>
      <c r="I940" s="4" t="s">
        <v>661</v>
      </c>
      <c r="J940" s="4" t="s">
        <v>78</v>
      </c>
      <c r="K940" s="5" t="str">
        <f>HYPERLINK("https://media.licdn.com/dms/image/v2/D4E10AQGCs3FCabJ4HA/image-shrink_1280/B4EZl2K0QLHEAM-/0/1758624171942?e=2147483647&amp;v=beta&amp;t=PTZbDI_6E-dZ0QJ5z9luNE1dW31p5KhHiZuBnghF2Qs","View Creative")</f>
        <v>View Creative</v>
      </c>
      <c r="L940" s="4" t="s">
        <v>106</v>
      </c>
      <c r="M940" s="4" t="s">
        <v>61</v>
      </c>
      <c r="O940" s="4" t="s">
        <v>63</v>
      </c>
      <c r="P940" s="4" t="s">
        <v>64</v>
      </c>
    </row>
    <row r="941">
      <c r="A941" s="4" t="s">
        <v>40</v>
      </c>
      <c r="B941" s="4" t="s">
        <v>40</v>
      </c>
      <c r="C941" s="4">
        <v>939.0</v>
      </c>
      <c r="D941" s="5" t="str">
        <f>HYPERLINK("https://www.linkedin.com/ad-library/detail/771592264","Open Ad")</f>
        <v>Open Ad</v>
      </c>
      <c r="E941" s="4" t="s">
        <v>78</v>
      </c>
      <c r="F941" s="4" t="s">
        <v>54</v>
      </c>
      <c r="G941" s="4" t="s">
        <v>5466</v>
      </c>
      <c r="H941" s="4" t="s">
        <v>49</v>
      </c>
      <c r="I941" s="4" t="s">
        <v>661</v>
      </c>
      <c r="J941" s="4" t="s">
        <v>78</v>
      </c>
      <c r="K941" s="5" t="str">
        <f>HYPERLINK("https://media.licdn.com/dms/image/v2/D4E10AQGjig0h8csdvA/image-shrink_1280/B4EZl2KvIzIwAM-/0/1758624151334?e=2147483647&amp;v=beta&amp;t=JjXor2JejuGt4uvxrWlTULtJq4LsCxd8kfnJU30Yq-s","View Creative")</f>
        <v>View Creative</v>
      </c>
      <c r="L941" s="4" t="s">
        <v>106</v>
      </c>
      <c r="M941" s="4" t="s">
        <v>61</v>
      </c>
      <c r="O941" s="4" t="s">
        <v>63</v>
      </c>
      <c r="P941" s="4" t="s">
        <v>64</v>
      </c>
    </row>
    <row r="942">
      <c r="A942" s="4" t="s">
        <v>40</v>
      </c>
      <c r="B942" s="4" t="s">
        <v>40</v>
      </c>
      <c r="C942" s="4">
        <v>940.0</v>
      </c>
      <c r="D942" s="5" t="str">
        <f>HYPERLINK("https://www.linkedin.com/ad-library/detail/771681564","Open Ad")</f>
        <v>Open Ad</v>
      </c>
      <c r="E942" s="4" t="s">
        <v>78</v>
      </c>
      <c r="F942" s="4" t="s">
        <v>54</v>
      </c>
      <c r="G942" s="4" t="s">
        <v>5472</v>
      </c>
      <c r="H942" s="4" t="s">
        <v>49</v>
      </c>
      <c r="I942" s="4" t="s">
        <v>661</v>
      </c>
      <c r="J942" s="4" t="s">
        <v>78</v>
      </c>
      <c r="K942" s="5" t="str">
        <f>HYPERLINK("https://media.licdn.com/dms/image/v2/D4E10AQHXf0FiUQNroA/image-shrink_1280/B4EZl2KvFZKoAM-/0/1758624150863?e=2147483647&amp;v=beta&amp;t=aRzWsEUKk2DOrY6DGoi8exqulbhVjjG4xoRtlSLTIpM","View Creative")</f>
        <v>View Creative</v>
      </c>
      <c r="L942" s="4" t="s">
        <v>106</v>
      </c>
      <c r="M942" s="4" t="s">
        <v>61</v>
      </c>
      <c r="O942" s="4" t="s">
        <v>63</v>
      </c>
      <c r="P942" s="4" t="s">
        <v>64</v>
      </c>
    </row>
    <row r="943">
      <c r="A943" s="4" t="s">
        <v>40</v>
      </c>
      <c r="B943" s="4" t="s">
        <v>40</v>
      </c>
      <c r="C943" s="4">
        <v>941.0</v>
      </c>
      <c r="D943" s="5" t="str">
        <f>HYPERLINK("https://www.linkedin.com/ad-library/detail/771711144","Open Ad")</f>
        <v>Open Ad</v>
      </c>
      <c r="E943" s="4" t="s">
        <v>78</v>
      </c>
      <c r="F943" s="4" t="s">
        <v>54</v>
      </c>
      <c r="G943" s="4" t="s">
        <v>5472</v>
      </c>
      <c r="H943" s="4" t="s">
        <v>49</v>
      </c>
      <c r="I943" s="4" t="s">
        <v>661</v>
      </c>
      <c r="J943" s="4" t="s">
        <v>78</v>
      </c>
      <c r="K943" s="5" t="str">
        <f>HYPERLINK("https://media.licdn.com/dms/image/v2/D4E10AQHfs1e5b3KdaA/image-shrink_1280/B4EZl2KvEnHEAM-/0/1758624150573?e=2147483647&amp;v=beta&amp;t=DYD-dTgXhEY2uJoj7VNoSNql8V4aK2NiKO0VawkRLno","View Creative")</f>
        <v>View Creative</v>
      </c>
      <c r="L943" s="4" t="s">
        <v>106</v>
      </c>
      <c r="M943" s="4" t="s">
        <v>61</v>
      </c>
      <c r="O943" s="4" t="s">
        <v>63</v>
      </c>
      <c r="P943" s="4" t="s">
        <v>64</v>
      </c>
    </row>
    <row r="944">
      <c r="A944" s="4" t="s">
        <v>40</v>
      </c>
      <c r="B944" s="4" t="s">
        <v>40</v>
      </c>
      <c r="C944" s="4">
        <v>942.0</v>
      </c>
      <c r="D944" s="5" t="str">
        <f>HYPERLINK("https://www.linkedin.com/ad-library/detail/771661834","Open Ad")</f>
        <v>Open Ad</v>
      </c>
      <c r="E944" s="4" t="s">
        <v>78</v>
      </c>
      <c r="F944" s="4" t="s">
        <v>54</v>
      </c>
      <c r="G944" s="4" t="s">
        <v>5472</v>
      </c>
      <c r="H944" s="4" t="s">
        <v>49</v>
      </c>
      <c r="I944" s="4" t="s">
        <v>661</v>
      </c>
      <c r="J944" s="4" t="s">
        <v>78</v>
      </c>
      <c r="K944" s="5" t="str">
        <f>HYPERLINK("https://media.licdn.com/dms/image/v2/D4E10AQEeFhhF53Vzpg/image-shrink_1280/B4EZl2Kp3TKkAM-/0/1758624129258?e=2147483647&amp;v=beta&amp;t=W7e4cOPXB7RTpV3oQEWhK0oLtr9Ghv4GOiRV8I5fTbc","View Creative")</f>
        <v>View Creative</v>
      </c>
      <c r="L944" s="4" t="s">
        <v>106</v>
      </c>
      <c r="M944" s="4" t="s">
        <v>61</v>
      </c>
      <c r="O944" s="4" t="s">
        <v>63</v>
      </c>
      <c r="P944" s="4" t="s">
        <v>64</v>
      </c>
    </row>
    <row r="945">
      <c r="A945" s="4" t="s">
        <v>40</v>
      </c>
      <c r="B945" s="4" t="s">
        <v>40</v>
      </c>
      <c r="C945" s="4">
        <v>943.0</v>
      </c>
      <c r="D945" s="5" t="str">
        <f>HYPERLINK("https://www.linkedin.com/ad-library/detail/771522564","Open Ad")</f>
        <v>Open Ad</v>
      </c>
      <c r="E945" s="4" t="s">
        <v>78</v>
      </c>
      <c r="F945" s="4" t="s">
        <v>54</v>
      </c>
      <c r="G945" s="4" t="s">
        <v>5466</v>
      </c>
      <c r="H945" s="4" t="s">
        <v>49</v>
      </c>
      <c r="I945" s="4" t="s">
        <v>661</v>
      </c>
      <c r="J945" s="4" t="s">
        <v>78</v>
      </c>
      <c r="K945" s="5" t="str">
        <f>HYPERLINK("https://media.licdn.com/dms/image/v2/D4E10AQGJjFmXJ-uQ2g/image-shrink_1280/B4EZl2KkvMIkAM-/0/1758624108567?e=2147483647&amp;v=beta&amp;t=tq2yDKMCxgPdyVJWxjOorpXJzWSTWPYq5dk_mWSWaK8","View Creative")</f>
        <v>View Creative</v>
      </c>
      <c r="L945" s="4" t="s">
        <v>106</v>
      </c>
      <c r="M945" s="4" t="s">
        <v>61</v>
      </c>
      <c r="O945" s="4" t="s">
        <v>63</v>
      </c>
      <c r="P945" s="4" t="s">
        <v>64</v>
      </c>
    </row>
    <row r="946">
      <c r="A946" s="4" t="s">
        <v>40</v>
      </c>
      <c r="B946" s="4" t="s">
        <v>40</v>
      </c>
      <c r="C946" s="4">
        <v>944.0</v>
      </c>
      <c r="D946" s="5" t="str">
        <f>HYPERLINK("https://www.linkedin.com/ad-library/detail/771711124","Open Ad")</f>
        <v>Open Ad</v>
      </c>
      <c r="E946" s="4" t="s">
        <v>78</v>
      </c>
      <c r="F946" s="4" t="s">
        <v>54</v>
      </c>
      <c r="G946" s="4" t="s">
        <v>5466</v>
      </c>
      <c r="H946" s="4" t="s">
        <v>49</v>
      </c>
      <c r="I946" s="4" t="s">
        <v>661</v>
      </c>
      <c r="J946" s="4" t="s">
        <v>78</v>
      </c>
      <c r="K946" s="5" t="str">
        <f>HYPERLINK("https://media.licdn.com/dms/image/v2/D4E10AQFk-Uu-cYDj7A/image-shrink_1280/B4EZl2Kp94KgAM-/0/1758624130046?e=2147483647&amp;v=beta&amp;t=AfDxi0f23SCNmh-GWPEtui2PIvy33QBLj2VuTyh7ETA","View Creative")</f>
        <v>View Creative</v>
      </c>
      <c r="L946" s="4" t="s">
        <v>106</v>
      </c>
      <c r="M946" s="4" t="s">
        <v>61</v>
      </c>
      <c r="O946" s="4" t="s">
        <v>63</v>
      </c>
      <c r="P946" s="4" t="s">
        <v>64</v>
      </c>
    </row>
    <row r="947">
      <c r="A947" s="4" t="s">
        <v>40</v>
      </c>
      <c r="B947" s="4" t="s">
        <v>40</v>
      </c>
      <c r="C947" s="4">
        <v>945.0</v>
      </c>
      <c r="D947" s="5" t="str">
        <f>HYPERLINK("https://www.linkedin.com/ad-library/detail/771571974","Open Ad")</f>
        <v>Open Ad</v>
      </c>
      <c r="E947" s="4" t="s">
        <v>78</v>
      </c>
      <c r="F947" s="4" t="s">
        <v>54</v>
      </c>
      <c r="G947" s="4" t="s">
        <v>5472</v>
      </c>
      <c r="H947" s="4" t="s">
        <v>49</v>
      </c>
      <c r="I947" s="4" t="s">
        <v>661</v>
      </c>
      <c r="J947" s="4" t="s">
        <v>78</v>
      </c>
      <c r="K947" s="5" t="str">
        <f>HYPERLINK("https://media.licdn.com/dms/image/v2/D4E10AQHPXZFyjQQ4lw/image-shrink_1280/B4EZl2Kp14KoAM-/0/1758624129418?e=2147483647&amp;v=beta&amp;t=KgT9BbwLPK4t4ap3dNVrWSCxyoQeTv-kWSnC4OhjAUs","View Creative")</f>
        <v>View Creative</v>
      </c>
      <c r="L947" s="4" t="s">
        <v>106</v>
      </c>
      <c r="M947" s="4" t="s">
        <v>61</v>
      </c>
      <c r="O947" s="4" t="s">
        <v>63</v>
      </c>
      <c r="P947" s="4" t="s">
        <v>64</v>
      </c>
    </row>
    <row r="948">
      <c r="A948" s="4" t="s">
        <v>40</v>
      </c>
      <c r="B948" s="4" t="s">
        <v>40</v>
      </c>
      <c r="C948" s="4">
        <v>946.0</v>
      </c>
      <c r="D948" s="5" t="str">
        <f>HYPERLINK("https://www.linkedin.com/ad-library/detail/771592244","Open Ad")</f>
        <v>Open Ad</v>
      </c>
      <c r="E948" s="4" t="s">
        <v>78</v>
      </c>
      <c r="F948" s="4" t="s">
        <v>54</v>
      </c>
      <c r="G948" s="4" t="s">
        <v>5469</v>
      </c>
      <c r="H948" s="4" t="s">
        <v>49</v>
      </c>
      <c r="I948" s="4" t="s">
        <v>661</v>
      </c>
      <c r="J948" s="4" t="s">
        <v>78</v>
      </c>
      <c r="K948" s="5" t="str">
        <f>HYPERLINK("https://media.licdn.com/dms/image/v2/D4E10AQEsn_1pta3Z-A/image-shrink_1280/B4EZl2KpyLIkAU-/0/1758624129370?e=2147483647&amp;v=beta&amp;t=PjahbAbIzQBxOPhYlGNitwg0kLEW4XCrZTahEUmUaN0","View Creative")</f>
        <v>View Creative</v>
      </c>
      <c r="L948" s="4" t="s">
        <v>106</v>
      </c>
      <c r="M948" s="4" t="s">
        <v>61</v>
      </c>
      <c r="O948" s="4" t="s">
        <v>63</v>
      </c>
      <c r="P948" s="4" t="s">
        <v>64</v>
      </c>
    </row>
    <row r="949">
      <c r="A949" s="4" t="s">
        <v>40</v>
      </c>
      <c r="B949" s="4" t="s">
        <v>40</v>
      </c>
      <c r="C949" s="4">
        <v>947.0</v>
      </c>
      <c r="D949" s="5" t="str">
        <f>HYPERLINK("https://www.linkedin.com/ad-library/detail/771671894","Open Ad")</f>
        <v>Open Ad</v>
      </c>
      <c r="E949" s="4" t="s">
        <v>78</v>
      </c>
      <c r="F949" s="4" t="s">
        <v>54</v>
      </c>
      <c r="G949" s="4" t="s">
        <v>5469</v>
      </c>
      <c r="H949" s="4" t="s">
        <v>49</v>
      </c>
      <c r="I949" s="4" t="s">
        <v>661</v>
      </c>
      <c r="J949" s="4" t="s">
        <v>78</v>
      </c>
      <c r="K949" s="5" t="str">
        <f>HYPERLINK("https://media.licdn.com/dms/image/v2/D4E10AQGjpDBaJ76pIg/image-shrink_1280/B4EZl2K0PCKcAU-/0/1758624171998?e=2147483647&amp;v=beta&amp;t=UT_F-fIDNjwQmUYmaajixAz39SuKnrt_m5WVbwuakes","View Creative")</f>
        <v>View Creative</v>
      </c>
      <c r="L949" s="4" t="s">
        <v>106</v>
      </c>
      <c r="M949" s="4" t="s">
        <v>61</v>
      </c>
      <c r="O949" s="4" t="s">
        <v>63</v>
      </c>
      <c r="P949" s="4" t="s">
        <v>64</v>
      </c>
    </row>
    <row r="950">
      <c r="A950" s="4" t="s">
        <v>40</v>
      </c>
      <c r="B950" s="4" t="s">
        <v>40</v>
      </c>
      <c r="C950" s="4">
        <v>948.0</v>
      </c>
      <c r="D950" s="5" t="str">
        <f>HYPERLINK("https://www.linkedin.com/ad-library/detail/771671884","Open Ad")</f>
        <v>Open Ad</v>
      </c>
      <c r="E950" s="4" t="s">
        <v>78</v>
      </c>
      <c r="F950" s="4" t="s">
        <v>54</v>
      </c>
      <c r="G950" s="4" t="s">
        <v>5472</v>
      </c>
      <c r="H950" s="4" t="s">
        <v>49</v>
      </c>
      <c r="I950" s="4" t="s">
        <v>661</v>
      </c>
      <c r="J950" s="4" t="s">
        <v>78</v>
      </c>
      <c r="K950" s="5" t="str">
        <f>HYPERLINK("https://media.licdn.com/dms/image/v2/D4E10AQH6dUNk8SF6zg/image-shrink_1280/B4EZl2Kp6TIkAU-/0/1758624129625?e=2147483647&amp;v=beta&amp;t=gkYSLqHayDS6v4Njq7M8ZkCmKQfdCulaRCQR72e4Z_8","View Creative")</f>
        <v>View Creative</v>
      </c>
      <c r="L950" s="4" t="s">
        <v>106</v>
      </c>
      <c r="M950" s="4" t="s">
        <v>61</v>
      </c>
      <c r="O950" s="4" t="s">
        <v>63</v>
      </c>
      <c r="P950" s="4" t="s">
        <v>64</v>
      </c>
    </row>
    <row r="951">
      <c r="A951" s="4" t="s">
        <v>40</v>
      </c>
      <c r="B951" s="4" t="s">
        <v>40</v>
      </c>
      <c r="C951" s="4">
        <v>949.0</v>
      </c>
      <c r="D951" s="5" t="str">
        <f>HYPERLINK("https://www.linkedin.com/ad-library/detail/771691644","Open Ad")</f>
        <v>Open Ad</v>
      </c>
      <c r="E951" s="4" t="s">
        <v>78</v>
      </c>
      <c r="F951" s="4" t="s">
        <v>54</v>
      </c>
      <c r="G951" s="4" t="s">
        <v>5469</v>
      </c>
      <c r="H951" s="4" t="s">
        <v>49</v>
      </c>
      <c r="I951" s="4" t="s">
        <v>661</v>
      </c>
      <c r="J951" s="4" t="s">
        <v>78</v>
      </c>
      <c r="K951" s="5" t="str">
        <f>HYPERLINK("https://media.licdn.com/dms/image/v2/D4E10AQEUrsbc9Uc_Yg/image-shrink_1280/B4EZl2KpwAKkAU-/0/1758624129227?e=2147483647&amp;v=beta&amp;t=GG9FeHqMboIdKeh9BOfqfnNUQMMlUY_G-sI7PmmGHnI","View Creative")</f>
        <v>View Creative</v>
      </c>
      <c r="L951" s="4" t="s">
        <v>106</v>
      </c>
      <c r="M951" s="4" t="s">
        <v>61</v>
      </c>
      <c r="O951" s="4" t="s">
        <v>63</v>
      </c>
      <c r="P951" s="4" t="s">
        <v>64</v>
      </c>
    </row>
    <row r="952">
      <c r="A952" s="4" t="s">
        <v>40</v>
      </c>
      <c r="B952" s="4" t="s">
        <v>40</v>
      </c>
      <c r="C952" s="4">
        <v>950.0</v>
      </c>
      <c r="D952" s="5" t="str">
        <f>HYPERLINK("https://www.linkedin.com/ad-library/detail/771632024","Open Ad")</f>
        <v>Open Ad</v>
      </c>
      <c r="E952" s="4" t="s">
        <v>78</v>
      </c>
      <c r="F952" s="4" t="s">
        <v>54</v>
      </c>
      <c r="G952" s="4" t="s">
        <v>5469</v>
      </c>
      <c r="H952" s="4" t="s">
        <v>49</v>
      </c>
      <c r="I952" s="4" t="s">
        <v>661</v>
      </c>
      <c r="J952" s="4" t="s">
        <v>78</v>
      </c>
      <c r="K952" s="5" t="str">
        <f>HYPERLINK("https://media.licdn.com/dms/image/v2/D4E10AQHq9WlIcZVdjw/image-shrink_1280/B4EZl2K0PgIUAM-/0/1758624172146?e=2147483647&amp;v=beta&amp;t=3OJwzZaMY6g81dcPok4ngEJOc-UE4FwnzygcSgMOdxs","View Creative")</f>
        <v>View Creative</v>
      </c>
      <c r="L952" s="4" t="s">
        <v>106</v>
      </c>
      <c r="M952" s="4" t="s">
        <v>61</v>
      </c>
      <c r="O952" s="4" t="s">
        <v>63</v>
      </c>
      <c r="P952" s="4" t="s">
        <v>64</v>
      </c>
    </row>
    <row r="953">
      <c r="A953" s="4" t="s">
        <v>40</v>
      </c>
      <c r="B953" s="4" t="s">
        <v>40</v>
      </c>
      <c r="C953" s="4">
        <v>951.0</v>
      </c>
      <c r="D953" s="5" t="str">
        <f>HYPERLINK("https://www.linkedin.com/ad-library/detail/771612154","Open Ad")</f>
        <v>Open Ad</v>
      </c>
      <c r="E953" s="4" t="s">
        <v>78</v>
      </c>
      <c r="F953" s="4" t="s">
        <v>54</v>
      </c>
      <c r="G953" s="4" t="s">
        <v>5469</v>
      </c>
      <c r="H953" s="4" t="s">
        <v>49</v>
      </c>
      <c r="I953" s="4" t="s">
        <v>661</v>
      </c>
      <c r="J953" s="4" t="s">
        <v>78</v>
      </c>
      <c r="K953" s="5" t="str">
        <f>HYPERLINK("https://media.licdn.com/dms/image/v2/D4E10AQH-Wktp79kN5g/image-shrink_1280/B4EZl2KvKuIQAM-/0/1758624151071?e=2147483647&amp;v=beta&amp;t=EQmd2Vp_j9STtll_z5AjWrXobkdTzBb-OSk2UDr6K5s","View Creative")</f>
        <v>View Creative</v>
      </c>
      <c r="L953" s="4" t="s">
        <v>106</v>
      </c>
      <c r="M953" s="4" t="s">
        <v>61</v>
      </c>
      <c r="O953" s="4" t="s">
        <v>63</v>
      </c>
      <c r="P953" s="4" t="s">
        <v>64</v>
      </c>
    </row>
    <row r="954">
      <c r="A954" s="4" t="s">
        <v>40</v>
      </c>
      <c r="B954" s="4" t="s">
        <v>40</v>
      </c>
      <c r="C954" s="4">
        <v>952.0</v>
      </c>
      <c r="D954" s="5" t="str">
        <f>HYPERLINK("https://www.linkedin.com/ad-library/detail/771601904","Open Ad")</f>
        <v>Open Ad</v>
      </c>
      <c r="E954" s="4" t="s">
        <v>78</v>
      </c>
      <c r="F954" s="4" t="s">
        <v>54</v>
      </c>
      <c r="G954" s="4" t="s">
        <v>5469</v>
      </c>
      <c r="H954" s="4" t="s">
        <v>49</v>
      </c>
      <c r="I954" s="4" t="s">
        <v>661</v>
      </c>
      <c r="J954" s="4" t="s">
        <v>78</v>
      </c>
      <c r="K954" s="5" t="str">
        <f>HYPERLINK("https://media.licdn.com/dms/image/v2/D4E10AQFumC2oiIYdbw/image-shrink_1280/B4EZl2KvFbGUAM-/0/1758624151002?e=2147483647&amp;v=beta&amp;t=LQyqu3mTr8tAGA1Ac4NeFlJnWBGQH6YRVjZYjy0o_ro","View Creative")</f>
        <v>View Creative</v>
      </c>
      <c r="L954" s="4" t="s">
        <v>106</v>
      </c>
      <c r="M954" s="4" t="s">
        <v>61</v>
      </c>
      <c r="O954" s="4" t="s">
        <v>63</v>
      </c>
      <c r="P954" s="4" t="s">
        <v>64</v>
      </c>
    </row>
    <row r="955">
      <c r="A955" s="4" t="s">
        <v>40</v>
      </c>
      <c r="B955" s="4" t="s">
        <v>40</v>
      </c>
      <c r="C955" s="4">
        <v>953.0</v>
      </c>
      <c r="D955" s="5" t="str">
        <f>HYPERLINK("https://www.linkedin.com/ad-library/detail/771621984","Open Ad")</f>
        <v>Open Ad</v>
      </c>
      <c r="E955" s="4" t="s">
        <v>78</v>
      </c>
      <c r="F955" s="4" t="s">
        <v>54</v>
      </c>
      <c r="G955" s="4" t="s">
        <v>5466</v>
      </c>
      <c r="H955" s="4" t="s">
        <v>49</v>
      </c>
      <c r="I955" s="4" t="s">
        <v>661</v>
      </c>
      <c r="J955" s="4" t="s">
        <v>78</v>
      </c>
      <c r="K955" s="5" t="str">
        <f>HYPERLINK("https://media.licdn.com/dms/image/v2/D4E10AQEhp3Qn5oxhHw/image-shrink_1280/B4EZl2Kp0mKUAM-/0/1758624129229?e=2147483647&amp;v=beta&amp;t=VT9SjqjyoR3kWl3bbCTRpdAQqO8TX0S2UUi63l7bNPY","View Creative")</f>
        <v>View Creative</v>
      </c>
      <c r="L955" s="4" t="s">
        <v>106</v>
      </c>
      <c r="M955" s="4" t="s">
        <v>61</v>
      </c>
      <c r="O955" s="4" t="s">
        <v>63</v>
      </c>
      <c r="P955" s="4" t="s">
        <v>64</v>
      </c>
    </row>
    <row r="956">
      <c r="A956" s="4" t="s">
        <v>40</v>
      </c>
      <c r="B956" s="4" t="s">
        <v>40</v>
      </c>
      <c r="C956" s="4">
        <v>954.0</v>
      </c>
      <c r="D956" s="5" t="str">
        <f>HYPERLINK("https://www.linkedin.com/ad-library/detail/771562114","Open Ad")</f>
        <v>Open Ad</v>
      </c>
      <c r="E956" s="4" t="s">
        <v>78</v>
      </c>
      <c r="F956" s="4" t="s">
        <v>54</v>
      </c>
      <c r="G956" s="4" t="s">
        <v>5466</v>
      </c>
      <c r="H956" s="4" t="s">
        <v>49</v>
      </c>
      <c r="I956" s="4" t="s">
        <v>661</v>
      </c>
      <c r="J956" s="4" t="s">
        <v>78</v>
      </c>
      <c r="K956" s="5" t="str">
        <f>HYPERLINK("https://media.licdn.com/dms/image/v2/D4E10AQFZ5kTuaP_99Q/image-shrink_1280/B4EZl2KvGtHEAM-/0/1758624151460?e=2147483647&amp;v=beta&amp;t=VN2vvC-HLZLbo7ovt77MT-idxFt9YrgV-XYa5MTgd-c","View Creative")</f>
        <v>View Creative</v>
      </c>
      <c r="L956" s="4" t="s">
        <v>106</v>
      </c>
      <c r="M956" s="4" t="s">
        <v>61</v>
      </c>
      <c r="O956" s="4" t="s">
        <v>63</v>
      </c>
      <c r="P956" s="4" t="s">
        <v>64</v>
      </c>
    </row>
    <row r="957">
      <c r="A957" s="4" t="s">
        <v>40</v>
      </c>
      <c r="B957" s="4" t="s">
        <v>40</v>
      </c>
      <c r="C957" s="4">
        <v>955.0</v>
      </c>
      <c r="D957" s="5" t="str">
        <f>HYPERLINK("https://www.linkedin.com/ad-library/detail/771552344","Open Ad")</f>
        <v>Open Ad</v>
      </c>
      <c r="E957" s="4" t="s">
        <v>78</v>
      </c>
      <c r="F957" s="4" t="s">
        <v>54</v>
      </c>
      <c r="G957" s="4" t="s">
        <v>5466</v>
      </c>
      <c r="H957" s="4" t="s">
        <v>49</v>
      </c>
      <c r="I957" s="4" t="s">
        <v>661</v>
      </c>
      <c r="J957" s="4" t="s">
        <v>78</v>
      </c>
      <c r="K957" s="5" t="str">
        <f>HYPERLINK("https://media.licdn.com/dms/image/v2/D4E10AQGZfUVWAwwdqQ/image-shrink_1280/B4EZl2KkwgHcAQ-/0/1758624108451?e=2147483647&amp;v=beta&amp;t=igPuW_yuttgbOtXJpp2CjSRjBGmO2N3uFQp3IrvHI8I","View Creative")</f>
        <v>View Creative</v>
      </c>
      <c r="L957" s="4" t="s">
        <v>106</v>
      </c>
      <c r="M957" s="4" t="s">
        <v>61</v>
      </c>
      <c r="O957" s="4" t="s">
        <v>63</v>
      </c>
      <c r="P957" s="4" t="s">
        <v>64</v>
      </c>
    </row>
    <row r="958">
      <c r="A958" s="4" t="s">
        <v>40</v>
      </c>
      <c r="B958" s="4" t="s">
        <v>40</v>
      </c>
      <c r="C958" s="4">
        <v>956.0</v>
      </c>
      <c r="D958" s="5" t="str">
        <f>HYPERLINK("https://www.linkedin.com/ad-library/detail/771532544","Open Ad")</f>
        <v>Open Ad</v>
      </c>
      <c r="E958" s="4" t="s">
        <v>78</v>
      </c>
      <c r="F958" s="4" t="s">
        <v>54</v>
      </c>
      <c r="G958" s="4" t="s">
        <v>5469</v>
      </c>
      <c r="H958" s="4" t="s">
        <v>49</v>
      </c>
      <c r="I958" s="4" t="s">
        <v>661</v>
      </c>
      <c r="J958" s="4" t="s">
        <v>78</v>
      </c>
      <c r="K958" s="5" t="str">
        <f>HYPERLINK("https://media.licdn.com/dms/image/v2/D4E10AQGeT1feoBhFBA/image-shrink_1280/B4EZl2Kpz3IIAM-/0/1758624129359?e=2147483647&amp;v=beta&amp;t=diSDC2Zg_KPtpJo-mhkQEVjDa6Byd3a9oi3jKORDMnQ","View Creative")</f>
        <v>View Creative</v>
      </c>
      <c r="L958" s="4" t="s">
        <v>106</v>
      </c>
      <c r="M958" s="4" t="s">
        <v>61</v>
      </c>
      <c r="O958" s="4" t="s">
        <v>63</v>
      </c>
      <c r="P958" s="4" t="s">
        <v>64</v>
      </c>
    </row>
    <row r="959">
      <c r="A959" s="4" t="s">
        <v>40</v>
      </c>
      <c r="B959" s="4" t="s">
        <v>40</v>
      </c>
      <c r="C959" s="4">
        <v>957.0</v>
      </c>
      <c r="D959" s="5" t="str">
        <f>HYPERLINK("https://www.linkedin.com/ad-library/detail/771532554","Open Ad")</f>
        <v>Open Ad</v>
      </c>
      <c r="E959" s="4" t="s">
        <v>78</v>
      </c>
      <c r="F959" s="4" t="s">
        <v>54</v>
      </c>
      <c r="G959" s="4" t="s">
        <v>5466</v>
      </c>
      <c r="H959" s="4" t="s">
        <v>49</v>
      </c>
      <c r="I959" s="4" t="s">
        <v>661</v>
      </c>
      <c r="J959" s="4" t="s">
        <v>78</v>
      </c>
      <c r="K959" s="5" t="str">
        <f>HYPERLINK("https://media.licdn.com/dms/image/v2/D4E10AQH5IYK0dZQU8A/image-shrink_1280/B4EZl2KvGDGoAM-/0/1758624151023?e=2147483647&amp;v=beta&amp;t=967SOWcfdCEOPsRSsSFfXiNFJ2pOR1VFquur4FiJbMw","View Creative")</f>
        <v>View Creative</v>
      </c>
      <c r="L959" s="4" t="s">
        <v>106</v>
      </c>
      <c r="M959" s="4" t="s">
        <v>61</v>
      </c>
      <c r="O959" s="4" t="s">
        <v>63</v>
      </c>
      <c r="P959" s="4" t="s">
        <v>64</v>
      </c>
    </row>
    <row r="960">
      <c r="A960" s="4" t="s">
        <v>40</v>
      </c>
      <c r="B960" s="4" t="s">
        <v>40</v>
      </c>
      <c r="C960" s="4">
        <v>958.0</v>
      </c>
      <c r="D960" s="5" t="str">
        <f>HYPERLINK("https://www.linkedin.com/ad-library/detail/771601884","Open Ad")</f>
        <v>Open Ad</v>
      </c>
      <c r="E960" s="4" t="s">
        <v>78</v>
      </c>
      <c r="F960" s="4" t="s">
        <v>54</v>
      </c>
      <c r="G960" s="4" t="s">
        <v>5466</v>
      </c>
      <c r="H960" s="4" t="s">
        <v>49</v>
      </c>
      <c r="I960" s="4" t="s">
        <v>661</v>
      </c>
      <c r="J960" s="4" t="s">
        <v>78</v>
      </c>
      <c r="K960" s="5" t="str">
        <f>HYPERLINK("https://media.licdn.com/dms/image/v2/D4E10AQFvcZDK9zdQdA/image-shrink_1280/B4EZl2KpxMKcAM-/0/1758624129128?e=2147483647&amp;v=beta&amp;t=qV86LinTFEtRwitUNHPZMfJ35g3RM6YtQPWlRYReMus","View Creative")</f>
        <v>View Creative</v>
      </c>
      <c r="L960" s="4" t="s">
        <v>106</v>
      </c>
      <c r="M960" s="4" t="s">
        <v>61</v>
      </c>
      <c r="O960" s="4" t="s">
        <v>63</v>
      </c>
      <c r="P960" s="4" t="s">
        <v>64</v>
      </c>
    </row>
    <row r="961">
      <c r="A961" s="4" t="s">
        <v>40</v>
      </c>
      <c r="B961" s="4" t="s">
        <v>40</v>
      </c>
      <c r="C961" s="4">
        <v>959.0</v>
      </c>
      <c r="D961" s="5" t="str">
        <f>HYPERLINK("https://www.linkedin.com/ad-library/detail/771661844","Open Ad")</f>
        <v>Open Ad</v>
      </c>
      <c r="E961" s="4" t="s">
        <v>78</v>
      </c>
      <c r="F961" s="4" t="s">
        <v>54</v>
      </c>
      <c r="G961" s="4" t="s">
        <v>5469</v>
      </c>
      <c r="H961" s="4" t="s">
        <v>49</v>
      </c>
      <c r="I961" s="4" t="s">
        <v>661</v>
      </c>
      <c r="J961" s="4" t="s">
        <v>78</v>
      </c>
      <c r="K961" s="5" t="str">
        <f>HYPERLINK("https://media.licdn.com/dms/image/v2/D4E10AQECDE9R7iaJdQ/image-shrink_1280/B4EZl2KvOmHIAM-/0/1758624151568?e=2147483647&amp;v=beta&amp;t=X1ySVxk_TbRlRAVY-X3EOMqL-8Zf8gHnUW5D49js86k","View Creative")</f>
        <v>View Creative</v>
      </c>
      <c r="L961" s="4" t="s">
        <v>106</v>
      </c>
      <c r="M961" s="4" t="s">
        <v>61</v>
      </c>
      <c r="O961" s="4" t="s">
        <v>63</v>
      </c>
      <c r="P961" s="4" t="s">
        <v>64</v>
      </c>
    </row>
    <row r="962">
      <c r="A962" s="4" t="s">
        <v>40</v>
      </c>
      <c r="B962" s="4" t="s">
        <v>40</v>
      </c>
      <c r="C962" s="4">
        <v>960.0</v>
      </c>
      <c r="D962" s="5" t="str">
        <f>HYPERLINK("https://www.linkedin.com/ad-library/detail/771512734","Open Ad")</f>
        <v>Open Ad</v>
      </c>
      <c r="E962" s="4" t="s">
        <v>78</v>
      </c>
      <c r="F962" s="4" t="s">
        <v>54</v>
      </c>
      <c r="G962" s="4" t="s">
        <v>5472</v>
      </c>
      <c r="H962" s="4" t="s">
        <v>49</v>
      </c>
      <c r="I962" s="4" t="s">
        <v>661</v>
      </c>
      <c r="J962" s="4" t="s">
        <v>78</v>
      </c>
      <c r="K962" s="5" t="str">
        <f>HYPERLINK("https://media.licdn.com/dms/image/v2/D4E10AQGBkTNb3OjMlg/image-shrink_1280/B4EZl2KvCWGUAM-/0/1758624150572?e=2147483647&amp;v=beta&amp;t=ajSnTeyiV_R9wTKmGksgYk3HipYjwuxl9cbQ0mLe5Rg","View Creative")</f>
        <v>View Creative</v>
      </c>
      <c r="L962" s="4" t="s">
        <v>106</v>
      </c>
      <c r="M962" s="4" t="s">
        <v>61</v>
      </c>
      <c r="O962" s="4" t="s">
        <v>63</v>
      </c>
      <c r="P962" s="4" t="s">
        <v>64</v>
      </c>
    </row>
    <row r="963">
      <c r="A963" s="4" t="s">
        <v>40</v>
      </c>
      <c r="B963" s="4" t="s">
        <v>40</v>
      </c>
      <c r="C963" s="4">
        <v>961.0</v>
      </c>
      <c r="D963" s="5" t="str">
        <f>HYPERLINK("https://www.linkedin.com/ad-library/detail/771661814","Open Ad")</f>
        <v>Open Ad</v>
      </c>
      <c r="E963" s="4" t="s">
        <v>78</v>
      </c>
      <c r="F963" s="4" t="s">
        <v>54</v>
      </c>
      <c r="G963" s="4" t="s">
        <v>5472</v>
      </c>
      <c r="H963" s="4" t="s">
        <v>49</v>
      </c>
      <c r="I963" s="4" t="s">
        <v>661</v>
      </c>
      <c r="J963" s="4" t="s">
        <v>78</v>
      </c>
      <c r="K963" s="5" t="str">
        <f>HYPERLINK("https://media.licdn.com/dms/image/v2/D4E10AQGVCN-Ks3sl2Q/image-shrink_1280/B4EZl2Kd8WHoAM-/0/1758624080704?e=2147483647&amp;v=beta&amp;t=syblyi0HIGnDRx83qflSF_SeqSteh7zRKURlPGxYZeQ","View Creative")</f>
        <v>View Creative</v>
      </c>
      <c r="L963" s="4" t="s">
        <v>106</v>
      </c>
      <c r="M963" s="4" t="s">
        <v>61</v>
      </c>
      <c r="O963" s="4" t="s">
        <v>63</v>
      </c>
      <c r="P963" s="4" t="s">
        <v>64</v>
      </c>
    </row>
    <row r="964">
      <c r="A964" s="4" t="s">
        <v>40</v>
      </c>
      <c r="B964" s="4" t="s">
        <v>40</v>
      </c>
      <c r="C964" s="4">
        <v>962.0</v>
      </c>
      <c r="D964" s="5" t="str">
        <f>HYPERLINK("https://www.linkedin.com/ad-library/detail/771522554","Open Ad")</f>
        <v>Open Ad</v>
      </c>
      <c r="E964" s="4" t="s">
        <v>78</v>
      </c>
      <c r="F964" s="4" t="s">
        <v>54</v>
      </c>
      <c r="G964" s="4" t="s">
        <v>5472</v>
      </c>
      <c r="H964" s="4" t="s">
        <v>49</v>
      </c>
      <c r="I964" s="4" t="s">
        <v>661</v>
      </c>
      <c r="J964" s="4" t="s">
        <v>78</v>
      </c>
      <c r="K964" s="5" t="str">
        <f>HYPERLINK("https://media.licdn.com/dms/image/v2/D4E10AQHssFFAg3H8pQ/image-shrink_1280/B4EZl2KkbpGYAM-/0/1758624107119?e=2147483647&amp;v=beta&amp;t=2iNKlmXF8r3MQ0mj39vT7CIib18zNAQrTLs0mzihCp8","View Creative")</f>
        <v>View Creative</v>
      </c>
      <c r="L964" s="4" t="s">
        <v>106</v>
      </c>
      <c r="M964" s="4" t="s">
        <v>61</v>
      </c>
      <c r="O964" s="4" t="s">
        <v>63</v>
      </c>
      <c r="P964" s="4" t="s">
        <v>64</v>
      </c>
    </row>
    <row r="965">
      <c r="A965" s="4" t="s">
        <v>40</v>
      </c>
      <c r="B965" s="4" t="s">
        <v>40</v>
      </c>
      <c r="C965" s="4">
        <v>963.0</v>
      </c>
      <c r="D965" s="5" t="str">
        <f>HYPERLINK("https://www.linkedin.com/ad-library/detail/771493424","Open Ad")</f>
        <v>Open Ad</v>
      </c>
      <c r="E965" s="4" t="s">
        <v>78</v>
      </c>
      <c r="F965" s="4" t="s">
        <v>54</v>
      </c>
      <c r="G965" s="4" t="s">
        <v>5469</v>
      </c>
      <c r="H965" s="4" t="s">
        <v>49</v>
      </c>
      <c r="I965" s="4" t="s">
        <v>661</v>
      </c>
      <c r="J965" s="4" t="s">
        <v>78</v>
      </c>
      <c r="K965" s="5" t="str">
        <f>HYPERLINK("https://media.licdn.com/dms/image/v2/D4E10AQEg-MoX3PAQqw/image-shrink_1280/B4EZl2KkgSGoAU-/0/1758624107778?e=2147483647&amp;v=beta&amp;t=rUIzv9VYplxpUe3xASQxDbD8dBUC1vHPaBvt7I1YgFE","View Creative")</f>
        <v>View Creative</v>
      </c>
      <c r="L965" s="4" t="s">
        <v>106</v>
      </c>
      <c r="M965" s="4" t="s">
        <v>61</v>
      </c>
      <c r="O965" s="4" t="s">
        <v>63</v>
      </c>
      <c r="P965" s="4" t="s">
        <v>64</v>
      </c>
    </row>
    <row r="966">
      <c r="A966" s="4" t="s">
        <v>40</v>
      </c>
      <c r="B966" s="4" t="s">
        <v>40</v>
      </c>
      <c r="C966" s="4">
        <v>964.0</v>
      </c>
      <c r="D966" s="5" t="str">
        <f>HYPERLINK("https://www.linkedin.com/ad-library/detail/771661824","Open Ad")</f>
        <v>Open Ad</v>
      </c>
      <c r="E966" s="4" t="s">
        <v>78</v>
      </c>
      <c r="F966" s="4" t="s">
        <v>54</v>
      </c>
      <c r="G966" s="4" t="s">
        <v>5469</v>
      </c>
      <c r="H966" s="4" t="s">
        <v>49</v>
      </c>
      <c r="I966" s="4" t="s">
        <v>661</v>
      </c>
      <c r="J966" s="4" t="s">
        <v>78</v>
      </c>
      <c r="K966" s="5" t="str">
        <f>HYPERLINK("https://media.licdn.com/dms/image/v2/D4E10AQHwyqqQcKh5MQ/image-shrink_1280/B4EZl2KedeKgAM-/0/1758624082895?e=2147483647&amp;v=beta&amp;t=pEpFIvNEM8_Xqa7oJHC5uvLk-XC_wn2NHtRhqy25AqA","View Creative")</f>
        <v>View Creative</v>
      </c>
      <c r="L966" s="4" t="s">
        <v>106</v>
      </c>
      <c r="M966" s="4" t="s">
        <v>61</v>
      </c>
      <c r="O966" s="4" t="s">
        <v>63</v>
      </c>
      <c r="P966" s="4" t="s">
        <v>64</v>
      </c>
    </row>
    <row r="967">
      <c r="A967" s="4" t="s">
        <v>40</v>
      </c>
      <c r="B967" s="4" t="s">
        <v>40</v>
      </c>
      <c r="C967" s="4">
        <v>965.0</v>
      </c>
      <c r="D967" s="5" t="str">
        <f>HYPERLINK("https://www.linkedin.com/ad-library/detail/771592234","Open Ad")</f>
        <v>Open Ad</v>
      </c>
      <c r="E967" s="4" t="s">
        <v>78</v>
      </c>
      <c r="F967" s="4" t="s">
        <v>54</v>
      </c>
      <c r="G967" s="4" t="s">
        <v>5472</v>
      </c>
      <c r="H967" s="4" t="s">
        <v>49</v>
      </c>
      <c r="I967" s="4" t="s">
        <v>661</v>
      </c>
      <c r="J967" s="4" t="s">
        <v>78</v>
      </c>
      <c r="K967" s="5" t="str">
        <f>HYPERLINK("https://media.licdn.com/dms/image/v2/D4E10AQFUkJxnctURgA/image-shrink_1280/B4EZl2KeEuHIAQ-/0/1758624081199?e=2147483647&amp;v=beta&amp;t=7h01LD3CZ6rxGOCmClMBHfmV5CKYEcYS4RuKMhrqKKQ","View Creative")</f>
        <v>View Creative</v>
      </c>
      <c r="L967" s="4" t="s">
        <v>106</v>
      </c>
      <c r="M967" s="4" t="s">
        <v>61</v>
      </c>
      <c r="O967" s="4" t="s">
        <v>63</v>
      </c>
      <c r="P967" s="4" t="s">
        <v>64</v>
      </c>
    </row>
    <row r="968">
      <c r="A968" s="4" t="s">
        <v>40</v>
      </c>
      <c r="B968" s="4" t="s">
        <v>40</v>
      </c>
      <c r="C968" s="4">
        <v>966.0</v>
      </c>
      <c r="D968" s="5" t="str">
        <f>HYPERLINK("https://www.linkedin.com/ad-library/detail/771592214","Open Ad")</f>
        <v>Open Ad</v>
      </c>
      <c r="E968" s="4" t="s">
        <v>78</v>
      </c>
      <c r="F968" s="4" t="s">
        <v>54</v>
      </c>
      <c r="G968" s="4" t="s">
        <v>5466</v>
      </c>
      <c r="H968" s="4" t="s">
        <v>49</v>
      </c>
      <c r="I968" s="4" t="s">
        <v>661</v>
      </c>
      <c r="J968" s="4" t="s">
        <v>78</v>
      </c>
      <c r="K968" s="5" t="str">
        <f>HYPERLINK("https://media.licdn.com/dms/image/v2/D4E10AQHYT1EbS015Ww/image-shrink_1280/B4EZl2KZBkHoAM-/0/1758624060627?e=2147483647&amp;v=beta&amp;t=nAeE0wS1Y1rSP5zjpnmM8YyEvGEKS6JXxjbmePWPa4U","View Creative")</f>
        <v>View Creative</v>
      </c>
      <c r="L968" s="4" t="s">
        <v>106</v>
      </c>
      <c r="M968" s="4" t="s">
        <v>61</v>
      </c>
      <c r="O968" s="4" t="s">
        <v>63</v>
      </c>
      <c r="P968" s="4" t="s">
        <v>64</v>
      </c>
    </row>
    <row r="969">
      <c r="A969" s="4" t="s">
        <v>40</v>
      </c>
      <c r="B969" s="4" t="s">
        <v>40</v>
      </c>
      <c r="C969" s="4">
        <v>967.0</v>
      </c>
      <c r="D969" s="5" t="str">
        <f>HYPERLINK("https://www.linkedin.com/ad-library/detail/771651864","Open Ad")</f>
        <v>Open Ad</v>
      </c>
      <c r="E969" s="4" t="s">
        <v>78</v>
      </c>
      <c r="F969" s="4" t="s">
        <v>54</v>
      </c>
      <c r="G969" s="4" t="s">
        <v>5472</v>
      </c>
      <c r="H969" s="4" t="s">
        <v>49</v>
      </c>
      <c r="I969" s="4" t="s">
        <v>661</v>
      </c>
      <c r="J969" s="4" t="s">
        <v>78</v>
      </c>
      <c r="K969" s="5" t="str">
        <f>HYPERLINK("https://media.licdn.com/dms/image/v2/D4E10AQFKpQNQPqMryA/image-shrink_1280/B4EZl2Kke9IUAM-/0/1758624107284?e=2147483647&amp;v=beta&amp;t=zD-TGHE-MZ0th_8StLcp_gKZYKiq1WKqfDdCtD1-O4Q","View Creative")</f>
        <v>View Creative</v>
      </c>
      <c r="L969" s="4" t="s">
        <v>106</v>
      </c>
      <c r="M969" s="4" t="s">
        <v>61</v>
      </c>
      <c r="O969" s="4" t="s">
        <v>63</v>
      </c>
      <c r="P969" s="4" t="s">
        <v>64</v>
      </c>
    </row>
    <row r="970">
      <c r="A970" s="4" t="s">
        <v>40</v>
      </c>
      <c r="B970" s="4" t="s">
        <v>40</v>
      </c>
      <c r="C970" s="4">
        <v>968.0</v>
      </c>
      <c r="D970" s="5" t="str">
        <f>HYPERLINK("https://www.linkedin.com/ad-library/detail/771651834","Open Ad")</f>
        <v>Open Ad</v>
      </c>
      <c r="E970" s="4" t="s">
        <v>78</v>
      </c>
      <c r="F970" s="4" t="s">
        <v>54</v>
      </c>
      <c r="G970" s="4" t="s">
        <v>5469</v>
      </c>
      <c r="H970" s="4" t="s">
        <v>49</v>
      </c>
      <c r="I970" s="4" t="s">
        <v>661</v>
      </c>
      <c r="J970" s="4" t="s">
        <v>78</v>
      </c>
      <c r="K970" s="5" t="str">
        <f>HYPERLINK("https://media.licdn.com/dms/image/v2/D4E10AQGjQb7zn0Xneg/image-shrink_1280/B4EZl2KZENIwAM-/0/1758624060571?e=2147483647&amp;v=beta&amp;t=QqGxVtPmuR54orEnld-7d9ExrHasjzt7HGe4o3rhuVc","View Creative")</f>
        <v>View Creative</v>
      </c>
      <c r="L970" s="4" t="s">
        <v>106</v>
      </c>
      <c r="M970" s="4" t="s">
        <v>61</v>
      </c>
      <c r="O970" s="4" t="s">
        <v>63</v>
      </c>
      <c r="P970" s="4" t="s">
        <v>64</v>
      </c>
    </row>
    <row r="971">
      <c r="A971" s="4" t="s">
        <v>40</v>
      </c>
      <c r="B971" s="4" t="s">
        <v>40</v>
      </c>
      <c r="C971" s="4">
        <v>969.0</v>
      </c>
      <c r="D971" s="5" t="str">
        <f>HYPERLINK("https://www.linkedin.com/ad-library/detail/771542544","Open Ad")</f>
        <v>Open Ad</v>
      </c>
      <c r="E971" s="4" t="s">
        <v>78</v>
      </c>
      <c r="F971" s="4" t="s">
        <v>54</v>
      </c>
      <c r="G971" s="4" t="s">
        <v>5466</v>
      </c>
      <c r="H971" s="4" t="s">
        <v>49</v>
      </c>
      <c r="I971" s="4" t="s">
        <v>661</v>
      </c>
      <c r="J971" s="4" t="s">
        <v>78</v>
      </c>
      <c r="K971" s="5" t="str">
        <f>HYPERLINK("https://media.licdn.com/dms/image/v2/D4E10AQF-4kUUckZJXA/image-shrink_1280/B4EZl2KY7tGcAM-/0/1758624060410?e=2147483647&amp;v=beta&amp;t=ztfcw5hEtbZVhyhyz5DSY8R13-gzGE1f5g_OOvz82e4","View Creative")</f>
        <v>View Creative</v>
      </c>
      <c r="L971" s="4" t="s">
        <v>106</v>
      </c>
      <c r="M971" s="4" t="s">
        <v>61</v>
      </c>
      <c r="O971" s="4" t="s">
        <v>63</v>
      </c>
      <c r="P971" s="4" t="s">
        <v>64</v>
      </c>
    </row>
    <row r="972">
      <c r="A972" s="4" t="s">
        <v>40</v>
      </c>
      <c r="B972" s="4" t="s">
        <v>40</v>
      </c>
      <c r="C972" s="4">
        <v>970.0</v>
      </c>
      <c r="D972" s="5" t="str">
        <f>HYPERLINK("https://www.linkedin.com/ad-library/detail/771522534","Open Ad")</f>
        <v>Open Ad</v>
      </c>
      <c r="E972" s="4" t="s">
        <v>78</v>
      </c>
      <c r="F972" s="4" t="s">
        <v>54</v>
      </c>
      <c r="G972" s="4" t="s">
        <v>5469</v>
      </c>
      <c r="H972" s="4" t="s">
        <v>49</v>
      </c>
      <c r="I972" s="4" t="s">
        <v>661</v>
      </c>
      <c r="J972" s="4" t="s">
        <v>78</v>
      </c>
      <c r="K972" s="5" t="str">
        <f>HYPERLINK("https://media.licdn.com/dms/image/v2/D4E10AQHDYG2QB_fpsQ/image-shrink_1280/B4EZl2KeBlIMAM-/0/1758624080834?e=2147483647&amp;v=beta&amp;t=sffuiGRdq01klINfBs7AYjYYKTufQBGJ0k8v3Inv2rY","View Creative")</f>
        <v>View Creative</v>
      </c>
      <c r="L972" s="4" t="s">
        <v>106</v>
      </c>
      <c r="M972" s="4" t="s">
        <v>61</v>
      </c>
      <c r="O972" s="4" t="s">
        <v>63</v>
      </c>
      <c r="P972" s="4" t="s">
        <v>64</v>
      </c>
    </row>
    <row r="973">
      <c r="A973" s="4" t="s">
        <v>40</v>
      </c>
      <c r="B973" s="4" t="s">
        <v>40</v>
      </c>
      <c r="C973" s="4">
        <v>971.0</v>
      </c>
      <c r="D973" s="5" t="str">
        <f>HYPERLINK("https://www.linkedin.com/ad-library/detail/771522544","Open Ad")</f>
        <v>Open Ad</v>
      </c>
      <c r="E973" s="4" t="s">
        <v>78</v>
      </c>
      <c r="F973" s="4" t="s">
        <v>54</v>
      </c>
      <c r="G973" s="4" t="s">
        <v>5466</v>
      </c>
      <c r="H973" s="4" t="s">
        <v>49</v>
      </c>
      <c r="I973" s="4" t="s">
        <v>661</v>
      </c>
      <c r="J973" s="4" t="s">
        <v>78</v>
      </c>
      <c r="K973" s="5" t="str">
        <f>HYPERLINK("https://media.licdn.com/dms/image/v2/D4E10AQEs3pGARv_ZTg/image-shrink_1280/B4EZl2Kd_TKgAM-/0/1758624081066?e=2147483647&amp;v=beta&amp;t=-nTd1FYMBHHxjbbu7GEWV_8r0mDsfC2gV17raCxPZRM","View Creative")</f>
        <v>View Creative</v>
      </c>
      <c r="L973" s="4" t="s">
        <v>106</v>
      </c>
      <c r="M973" s="4" t="s">
        <v>61</v>
      </c>
      <c r="O973" s="4" t="s">
        <v>63</v>
      </c>
      <c r="P973" s="4" t="s">
        <v>64</v>
      </c>
    </row>
    <row r="974">
      <c r="A974" s="4" t="s">
        <v>40</v>
      </c>
      <c r="B974" s="4" t="s">
        <v>40</v>
      </c>
      <c r="C974" s="4">
        <v>972.0</v>
      </c>
      <c r="D974" s="5" t="str">
        <f>HYPERLINK("https://www.linkedin.com/ad-library/detail/771522514","Open Ad")</f>
        <v>Open Ad</v>
      </c>
      <c r="E974" s="4" t="s">
        <v>78</v>
      </c>
      <c r="F974" s="4" t="s">
        <v>54</v>
      </c>
      <c r="G974" s="4" t="s">
        <v>5466</v>
      </c>
      <c r="H974" s="4" t="s">
        <v>49</v>
      </c>
      <c r="I974" s="4" t="s">
        <v>661</v>
      </c>
      <c r="J974" s="4" t="s">
        <v>78</v>
      </c>
      <c r="K974" s="5" t="str">
        <f>HYPERLINK("https://media.licdn.com/dms/image/v2/D4E10AQHrN0SPcfV8ew/image-shrink_1280/B4EZl2KZBsKQAM-/0/1758624060692?e=2147483647&amp;v=beta&amp;t=g0DizaHE_Yl6GcSAkvawCEFJPkxHAYpTZVkcLUGId-0","View Creative")</f>
        <v>View Creative</v>
      </c>
      <c r="L974" s="4" t="s">
        <v>106</v>
      </c>
      <c r="M974" s="4" t="s">
        <v>61</v>
      </c>
      <c r="O974" s="4" t="s">
        <v>63</v>
      </c>
      <c r="P974" s="4" t="s">
        <v>64</v>
      </c>
    </row>
    <row r="975">
      <c r="A975" s="4" t="s">
        <v>40</v>
      </c>
      <c r="B975" s="4" t="s">
        <v>40</v>
      </c>
      <c r="C975" s="4">
        <v>973.0</v>
      </c>
      <c r="D975" s="5" t="str">
        <f>HYPERLINK("https://www.linkedin.com/ad-library/detail/771651874","Open Ad")</f>
        <v>Open Ad</v>
      </c>
      <c r="E975" s="4" t="s">
        <v>78</v>
      </c>
      <c r="F975" s="4" t="s">
        <v>54</v>
      </c>
      <c r="G975" s="4" t="s">
        <v>5472</v>
      </c>
      <c r="H975" s="4" t="s">
        <v>49</v>
      </c>
      <c r="I975" s="4" t="s">
        <v>661</v>
      </c>
      <c r="J975" s="4" t="s">
        <v>78</v>
      </c>
      <c r="K975" s="5" t="str">
        <f>HYPERLINK("https://media.licdn.com/dms/image/v2/D4E10AQFmBUHn4Ys4qg/image-shrink_1280/B4EZl2KkfcGoAM-/0/1758624114255?e=2147483647&amp;v=beta&amp;t=Y_2V_FQGGBgcSaKfR-brfdhFJ_HYpKLbFpjjRFiYAF4","View Creative")</f>
        <v>View Creative</v>
      </c>
      <c r="L975" s="4" t="s">
        <v>106</v>
      </c>
      <c r="M975" s="4" t="s">
        <v>61</v>
      </c>
      <c r="O975" s="4" t="s">
        <v>63</v>
      </c>
      <c r="P975" s="4" t="s">
        <v>64</v>
      </c>
    </row>
    <row r="976">
      <c r="A976" s="4" t="s">
        <v>40</v>
      </c>
      <c r="B976" s="4" t="s">
        <v>40</v>
      </c>
      <c r="C976" s="4">
        <v>974.0</v>
      </c>
      <c r="D976" s="5" t="str">
        <f>HYPERLINK("https://www.linkedin.com/ad-library/detail/771483694","Open Ad")</f>
        <v>Open Ad</v>
      </c>
      <c r="E976" s="4" t="s">
        <v>78</v>
      </c>
      <c r="F976" s="4" t="s">
        <v>54</v>
      </c>
      <c r="G976" s="4" t="s">
        <v>5469</v>
      </c>
      <c r="H976" s="4" t="s">
        <v>49</v>
      </c>
      <c r="I976" s="4" t="s">
        <v>661</v>
      </c>
      <c r="J976" s="4" t="s">
        <v>78</v>
      </c>
      <c r="K976" s="5" t="str">
        <f>HYPERLINK("https://media.licdn.com/dms/image/v2/D4E10AQF4sHdYKPupdQ/image-shrink_1280/B4EZl2Kkb5IMAM-/0/1758624107329?e=2147483647&amp;v=beta&amp;t=FteSR4Hp639FyYVlHyuLUv4fSu68ossozH4LXR1leSo","View Creative")</f>
        <v>View Creative</v>
      </c>
      <c r="L976" s="4" t="s">
        <v>106</v>
      </c>
      <c r="M976" s="4" t="s">
        <v>61</v>
      </c>
      <c r="O976" s="4" t="s">
        <v>63</v>
      </c>
      <c r="P976" s="4" t="s">
        <v>64</v>
      </c>
    </row>
    <row r="977">
      <c r="A977" s="4" t="s">
        <v>40</v>
      </c>
      <c r="B977" s="4" t="s">
        <v>40</v>
      </c>
      <c r="C977" s="4">
        <v>975.0</v>
      </c>
      <c r="D977" s="5" t="str">
        <f>HYPERLINK("https://www.linkedin.com/ad-library/detail/771621964","Open Ad")</f>
        <v>Open Ad</v>
      </c>
      <c r="E977" s="4" t="s">
        <v>78</v>
      </c>
      <c r="F977" s="4" t="s">
        <v>54</v>
      </c>
      <c r="G977" s="4" t="s">
        <v>5472</v>
      </c>
      <c r="H977" s="4" t="s">
        <v>49</v>
      </c>
      <c r="I977" s="4" t="s">
        <v>661</v>
      </c>
      <c r="J977" s="4" t="s">
        <v>78</v>
      </c>
      <c r="K977" s="5" t="str">
        <f>HYPERLINK("https://media.licdn.com/dms/image/v2/D4E10AQFpzgAXe7hQxw/image-shrink_1280/B4EZl2KeACKUAM-/0/1758624080938?e=2147483647&amp;v=beta&amp;t=Q2BSBN7DZWfYz92pwvEKKpklt1te1SiJaAC4xx6s2MQ","View Creative")</f>
        <v>View Creative</v>
      </c>
      <c r="L977" s="4" t="s">
        <v>106</v>
      </c>
      <c r="M977" s="4" t="s">
        <v>61</v>
      </c>
      <c r="O977" s="4" t="s">
        <v>63</v>
      </c>
      <c r="P977" s="4" t="s">
        <v>64</v>
      </c>
    </row>
    <row r="978">
      <c r="A978" s="4" t="s">
        <v>40</v>
      </c>
      <c r="B978" s="4" t="s">
        <v>40</v>
      </c>
      <c r="C978" s="4">
        <v>976.0</v>
      </c>
      <c r="D978" s="5" t="str">
        <f>HYPERLINK("https://www.linkedin.com/ad-library/detail/771621954","Open Ad")</f>
        <v>Open Ad</v>
      </c>
      <c r="E978" s="4" t="s">
        <v>78</v>
      </c>
      <c r="F978" s="4" t="s">
        <v>54</v>
      </c>
      <c r="G978" s="4" t="s">
        <v>5466</v>
      </c>
      <c r="H978" s="4" t="s">
        <v>49</v>
      </c>
      <c r="I978" s="4" t="s">
        <v>661</v>
      </c>
      <c r="J978" s="4" t="s">
        <v>78</v>
      </c>
      <c r="K978" s="5" t="str">
        <f>HYPERLINK("https://media.licdn.com/dms/image/v2/D4E10AQFPQPB04qhvKQ/image-shrink_1280/B4EZl2Kd_8GcAU-/0/1758624080628?e=2147483647&amp;v=beta&amp;t=VpLkheRumfShwU9CZjNsXrfci3AwyZ3_z3o1kOa5QhI","View Creative")</f>
        <v>View Creative</v>
      </c>
      <c r="L978" s="4" t="s">
        <v>106</v>
      </c>
      <c r="M978" s="4" t="s">
        <v>61</v>
      </c>
      <c r="O978" s="4" t="s">
        <v>63</v>
      </c>
      <c r="P978" s="4" t="s">
        <v>64</v>
      </c>
    </row>
    <row r="979">
      <c r="A979" s="4" t="s">
        <v>40</v>
      </c>
      <c r="B979" s="4" t="s">
        <v>40</v>
      </c>
      <c r="C979" s="4">
        <v>977.0</v>
      </c>
      <c r="D979" s="5" t="str">
        <f>HYPERLINK("https://www.linkedin.com/ad-library/detail/771621974","Open Ad")</f>
        <v>Open Ad</v>
      </c>
      <c r="E979" s="4" t="s">
        <v>78</v>
      </c>
      <c r="F979" s="4" t="s">
        <v>54</v>
      </c>
      <c r="G979" s="4" t="s">
        <v>5466</v>
      </c>
      <c r="H979" s="4" t="s">
        <v>49</v>
      </c>
      <c r="I979" s="4" t="s">
        <v>661</v>
      </c>
      <c r="J979" s="4" t="s">
        <v>78</v>
      </c>
      <c r="K979" s="5" t="str">
        <f>HYPERLINK("https://media.licdn.com/dms/image/v2/D4E10AQFjMP2TYm0uJA/image-shrink_1280/B4EZl2KkcIGcAM-/0/1758624107098?e=2147483647&amp;v=beta&amp;t=vy0BG-8_zMhozGp38isZykCrrM_40IE_FRvsE4K029s","View Creative")</f>
        <v>View Creative</v>
      </c>
      <c r="L979" s="4" t="s">
        <v>106</v>
      </c>
      <c r="M979" s="4" t="s">
        <v>61</v>
      </c>
      <c r="O979" s="4" t="s">
        <v>63</v>
      </c>
      <c r="P979" s="4" t="s">
        <v>64</v>
      </c>
    </row>
    <row r="980">
      <c r="A980" s="4" t="s">
        <v>40</v>
      </c>
      <c r="B980" s="4" t="s">
        <v>40</v>
      </c>
      <c r="C980" s="4">
        <v>978.0</v>
      </c>
      <c r="D980" s="5" t="str">
        <f>HYPERLINK("https://www.linkedin.com/ad-library/detail/771512684","Open Ad")</f>
        <v>Open Ad</v>
      </c>
      <c r="E980" s="4" t="s">
        <v>78</v>
      </c>
      <c r="F980" s="4" t="s">
        <v>54</v>
      </c>
      <c r="G980" s="4" t="s">
        <v>5472</v>
      </c>
      <c r="H980" s="4" t="s">
        <v>49</v>
      </c>
      <c r="I980" s="4" t="s">
        <v>661</v>
      </c>
      <c r="J980" s="4" t="s">
        <v>78</v>
      </c>
      <c r="K980" s="5" t="str">
        <f>HYPERLINK("https://media.licdn.com/dms/image/v2/D4E10AQH-bjv34_eMLg/image-shrink_1280/B4EZl2KZAgKkAQ-/0/1758624060376?e=2147483647&amp;v=beta&amp;t=WEBjtXZtSupi3JhMswvqibKyIG5RBdgrvIQZ1WJQ3Nc","View Creative")</f>
        <v>View Creative</v>
      </c>
      <c r="L980" s="4" t="s">
        <v>106</v>
      </c>
      <c r="M980" s="4" t="s">
        <v>61</v>
      </c>
      <c r="O980" s="4" t="s">
        <v>63</v>
      </c>
      <c r="P980" s="4" t="s">
        <v>64</v>
      </c>
    </row>
    <row r="981">
      <c r="A981" s="4" t="s">
        <v>40</v>
      </c>
      <c r="B981" s="4" t="s">
        <v>40</v>
      </c>
      <c r="C981" s="4">
        <v>979.0</v>
      </c>
      <c r="D981" s="5" t="str">
        <f>HYPERLINK("https://www.linkedin.com/ad-library/detail/771651824","Open Ad")</f>
        <v>Open Ad</v>
      </c>
      <c r="E981" s="4" t="s">
        <v>78</v>
      </c>
      <c r="F981" s="4" t="s">
        <v>54</v>
      </c>
      <c r="G981" s="4" t="s">
        <v>5469</v>
      </c>
      <c r="H981" s="4" t="s">
        <v>49</v>
      </c>
      <c r="I981" s="4" t="s">
        <v>661</v>
      </c>
      <c r="J981" s="4" t="s">
        <v>78</v>
      </c>
      <c r="K981" s="5" t="str">
        <f>HYPERLINK("https://media.licdn.com/dms/image/v2/D4E10AQHuRg7BsCZfKw/image-shrink_1280/B4EZl2KY_8IMAM-/0/1758624060323?e=2147483647&amp;v=beta&amp;t=hGH9Y5wqaBVTSNqQo7UYM-hH7facQcPWO9SpwR9RvMA","View Creative")</f>
        <v>View Creative</v>
      </c>
      <c r="L981" s="4" t="s">
        <v>106</v>
      </c>
      <c r="M981" s="4" t="s">
        <v>61</v>
      </c>
      <c r="O981" s="4" t="s">
        <v>63</v>
      </c>
      <c r="P981" s="4" t="s">
        <v>64</v>
      </c>
    </row>
    <row r="982">
      <c r="A982" s="4" t="s">
        <v>40</v>
      </c>
      <c r="B982" s="4" t="s">
        <v>40</v>
      </c>
      <c r="C982" s="4">
        <v>980.0</v>
      </c>
      <c r="D982" s="5" t="str">
        <f>HYPERLINK("https://www.linkedin.com/ad-library/detail/771601874","Open Ad")</f>
        <v>Open Ad</v>
      </c>
      <c r="E982" s="4" t="s">
        <v>78</v>
      </c>
      <c r="F982" s="4" t="s">
        <v>54</v>
      </c>
      <c r="G982" s="4" t="s">
        <v>5466</v>
      </c>
      <c r="H982" s="4" t="s">
        <v>49</v>
      </c>
      <c r="I982" s="4" t="s">
        <v>661</v>
      </c>
      <c r="J982" s="4" t="s">
        <v>78</v>
      </c>
      <c r="K982" s="5" t="str">
        <f>HYPERLINK("https://media.licdn.com/dms/image/v2/D4E10AQGDMP-IvSNddw/image-shrink_1280/B4EZl2Kd.9KgAM-/0/1758624080957?e=2147483647&amp;v=beta&amp;t=b0nzZ1n0B7KsMKvz2H7BZlcQTfhLVn6o4a-HmoepoWA","View Creative")</f>
        <v>View Creative</v>
      </c>
      <c r="L982" s="4" t="s">
        <v>106</v>
      </c>
      <c r="M982" s="4" t="s">
        <v>61</v>
      </c>
      <c r="O982" s="4" t="s">
        <v>63</v>
      </c>
      <c r="P982" s="4" t="s">
        <v>64</v>
      </c>
    </row>
    <row r="983">
      <c r="A983" s="4" t="s">
        <v>40</v>
      </c>
      <c r="B983" s="4" t="s">
        <v>40</v>
      </c>
      <c r="C983" s="4">
        <v>981.0</v>
      </c>
      <c r="D983" s="5" t="str">
        <f>HYPERLINK("https://www.linkedin.com/ad-library/detail/771532524","Open Ad")</f>
        <v>Open Ad</v>
      </c>
      <c r="E983" s="4" t="s">
        <v>78</v>
      </c>
      <c r="F983" s="4" t="s">
        <v>54</v>
      </c>
      <c r="G983" s="4" t="s">
        <v>5469</v>
      </c>
      <c r="H983" s="4" t="s">
        <v>49</v>
      </c>
      <c r="I983" s="4" t="s">
        <v>661</v>
      </c>
      <c r="J983" s="4" t="s">
        <v>78</v>
      </c>
      <c r="K983" s="5" t="str">
        <f>HYPERLINK("https://media.licdn.com/dms/image/v2/D4E10AQHN8pwD9QjWZg/image-shrink_1280/B4EZl2KZBKGYAQ-/0/1758624060571?e=2147483647&amp;v=beta&amp;t=390oZJ6y6wH_6VGgIR_yFnE5WFC9pHJx9t1sUj_rKnA","View Creative")</f>
        <v>View Creative</v>
      </c>
      <c r="L983" s="4" t="s">
        <v>106</v>
      </c>
      <c r="M983" s="4" t="s">
        <v>61</v>
      </c>
      <c r="O983" s="4" t="s">
        <v>63</v>
      </c>
      <c r="P983" s="4" t="s">
        <v>64</v>
      </c>
    </row>
    <row r="984">
      <c r="A984" s="4" t="s">
        <v>40</v>
      </c>
      <c r="B984" s="4" t="s">
        <v>40</v>
      </c>
      <c r="C984" s="4">
        <v>982.0</v>
      </c>
      <c r="D984" s="5" t="str">
        <f>HYPERLINK("https://www.linkedin.com/ad-library/detail/771571944","Open Ad")</f>
        <v>Open Ad</v>
      </c>
      <c r="E984" s="4" t="s">
        <v>78</v>
      </c>
      <c r="F984" s="4" t="s">
        <v>54</v>
      </c>
      <c r="G984" s="4" t="s">
        <v>5469</v>
      </c>
      <c r="H984" s="4" t="s">
        <v>49</v>
      </c>
      <c r="I984" s="4" t="s">
        <v>661</v>
      </c>
      <c r="J984" s="4" t="s">
        <v>78</v>
      </c>
      <c r="K984" s="5" t="str">
        <f>HYPERLINK("https://media.licdn.com/dms/image/v2/D4E10AQHEQGKZHUThmA/image-shrink_1280/B4EZl2Kd6uIIAQ-/0/1758624080692?e=2147483647&amp;v=beta&amp;t=ttnFFqWjYIXh9zaOR-RdS_snlrGQ37eFP_pLeCJKVRs","View Creative")</f>
        <v>View Creative</v>
      </c>
      <c r="L984" s="4" t="s">
        <v>106</v>
      </c>
      <c r="M984" s="4" t="s">
        <v>61</v>
      </c>
      <c r="O984" s="4" t="s">
        <v>63</v>
      </c>
      <c r="P984" s="4" t="s">
        <v>64</v>
      </c>
    </row>
    <row r="985">
      <c r="A985" s="4" t="s">
        <v>40</v>
      </c>
      <c r="B985" s="4" t="s">
        <v>40</v>
      </c>
      <c r="C985" s="4">
        <v>983.0</v>
      </c>
      <c r="D985" s="5" t="str">
        <f>HYPERLINK("https://www.linkedin.com/ad-library/detail/771571954","Open Ad")</f>
        <v>Open Ad</v>
      </c>
      <c r="E985" s="4" t="s">
        <v>78</v>
      </c>
      <c r="F985" s="4" t="s">
        <v>54</v>
      </c>
      <c r="G985" s="4" t="s">
        <v>5469</v>
      </c>
      <c r="H985" s="4" t="s">
        <v>49</v>
      </c>
      <c r="I985" s="4" t="s">
        <v>661</v>
      </c>
      <c r="J985" s="4" t="s">
        <v>78</v>
      </c>
      <c r="K985" s="5" t="str">
        <f>HYPERLINK("https://media.licdn.com/dms/image/v2/D4E10AQF51UfWMzi2zg/image-shrink_1280/B4EZl2KkcdIkAM-/0/1758624107432?e=2147483647&amp;v=beta&amp;t=C6flHnQFYUB7A7UQLonH_aLQOsS68Yu0R0Q5aAoafdc","View Creative")</f>
        <v>View Creative</v>
      </c>
      <c r="L985" s="4" t="s">
        <v>106</v>
      </c>
      <c r="M985" s="4" t="s">
        <v>61</v>
      </c>
      <c r="O985" s="4" t="s">
        <v>63</v>
      </c>
      <c r="P985" s="4" t="s">
        <v>64</v>
      </c>
    </row>
    <row r="986">
      <c r="A986" s="4" t="s">
        <v>40</v>
      </c>
      <c r="B986" s="4" t="s">
        <v>40</v>
      </c>
      <c r="C986" s="4">
        <v>984.0</v>
      </c>
      <c r="D986" s="5" t="str">
        <f>HYPERLINK("https://www.linkedin.com/ad-library/detail/771582094","Open Ad")</f>
        <v>Open Ad</v>
      </c>
      <c r="E986" s="4" t="s">
        <v>78</v>
      </c>
      <c r="F986" s="4" t="s">
        <v>54</v>
      </c>
      <c r="G986" s="4" t="s">
        <v>5472</v>
      </c>
      <c r="H986" s="4" t="s">
        <v>49</v>
      </c>
      <c r="I986" s="4" t="s">
        <v>661</v>
      </c>
      <c r="J986" s="4" t="s">
        <v>78</v>
      </c>
      <c r="K986" s="5" t="str">
        <f>HYPERLINK("https://media.licdn.com/dms/image/v2/D4E10AQHZER-Mg39V9Q/image-shrink_1280/B4EZl2KZAQIQAU-/0/1758624060318?e=2147483647&amp;v=beta&amp;t=O5CPmVh1hTBoqA6Jvt5gl_-H2e64IDep09JSGIlsYjs","View Creative")</f>
        <v>View Creative</v>
      </c>
      <c r="L986" s="4" t="s">
        <v>106</v>
      </c>
      <c r="M986" s="4" t="s">
        <v>61</v>
      </c>
      <c r="O986" s="4" t="s">
        <v>63</v>
      </c>
      <c r="P986" s="4" t="s">
        <v>64</v>
      </c>
    </row>
    <row r="987">
      <c r="A987" s="4" t="s">
        <v>40</v>
      </c>
      <c r="B987" s="4" t="s">
        <v>40</v>
      </c>
      <c r="C987" s="4">
        <v>985.0</v>
      </c>
      <c r="D987" s="5" t="str">
        <f>HYPERLINK("https://www.linkedin.com/ad-library/detail/771631994","Open Ad")</f>
        <v>Open Ad</v>
      </c>
      <c r="E987" s="4" t="s">
        <v>78</v>
      </c>
      <c r="F987" s="4" t="s">
        <v>54</v>
      </c>
      <c r="G987" s="4" t="s">
        <v>5466</v>
      </c>
      <c r="H987" s="4" t="s">
        <v>49</v>
      </c>
      <c r="I987" s="4" t="s">
        <v>661</v>
      </c>
      <c r="J987" s="4" t="s">
        <v>78</v>
      </c>
      <c r="K987" s="5" t="str">
        <f>HYPERLINK("https://media.licdn.com/dms/image/v2/D4E10AQExBBEqNimC7A/image-shrink_1280/B4EZl2KTzMKkAQ-/0/1758624039333?e=2147483647&amp;v=beta&amp;t=Fz1xbMslTNRDfjNu0c5P05zk_2r6dV9RMzmykasa-iM","View Creative")</f>
        <v>View Creative</v>
      </c>
      <c r="L987" s="4" t="s">
        <v>106</v>
      </c>
      <c r="M987" s="4" t="s">
        <v>61</v>
      </c>
      <c r="O987" s="4" t="s">
        <v>63</v>
      </c>
      <c r="P987" s="4" t="s">
        <v>64</v>
      </c>
    </row>
    <row r="988">
      <c r="A988" s="4" t="s">
        <v>40</v>
      </c>
      <c r="B988" s="4" t="s">
        <v>40</v>
      </c>
      <c r="C988" s="4">
        <v>986.0</v>
      </c>
      <c r="D988" s="5" t="str">
        <f>HYPERLINK("https://www.linkedin.com/ad-library/detail/771661804","Open Ad")</f>
        <v>Open Ad</v>
      </c>
      <c r="E988" s="4" t="s">
        <v>78</v>
      </c>
      <c r="F988" s="4" t="s">
        <v>54</v>
      </c>
      <c r="G988" s="4" t="s">
        <v>5472</v>
      </c>
      <c r="H988" s="4" t="s">
        <v>49</v>
      </c>
      <c r="I988" s="4" t="s">
        <v>661</v>
      </c>
      <c r="J988" s="4" t="s">
        <v>78</v>
      </c>
      <c r="K988" s="5" t="str">
        <f>HYPERLINK("https://media.licdn.com/dms/image/v2/D4E10AQFf-uWQSIFOUg/image-shrink_1280/B4EZl2KJKtGcAU-/0/1758623995702?e=2147483647&amp;v=beta&amp;t=rAjmvc0SF4GZtoIuTBEpKI3ix7b8XqOaxj4ZnDZS_Ac","View Creative")</f>
        <v>View Creative</v>
      </c>
      <c r="L988" s="4" t="s">
        <v>106</v>
      </c>
      <c r="M988" s="4" t="s">
        <v>61</v>
      </c>
      <c r="O988" s="4" t="s">
        <v>63</v>
      </c>
      <c r="P988" s="4" t="s">
        <v>64</v>
      </c>
    </row>
    <row r="989">
      <c r="A989" s="4" t="s">
        <v>40</v>
      </c>
      <c r="B989" s="4" t="s">
        <v>40</v>
      </c>
      <c r="C989" s="4">
        <v>987.0</v>
      </c>
      <c r="D989" s="5" t="str">
        <f>HYPERLINK("https://www.linkedin.com/ad-library/detail/771483674","Open Ad")</f>
        <v>Open Ad</v>
      </c>
      <c r="E989" s="4" t="s">
        <v>78</v>
      </c>
      <c r="F989" s="4" t="s">
        <v>54</v>
      </c>
      <c r="G989" s="4" t="s">
        <v>5472</v>
      </c>
      <c r="H989" s="4" t="s">
        <v>49</v>
      </c>
      <c r="I989" s="4" t="s">
        <v>661</v>
      </c>
      <c r="J989" s="4" t="s">
        <v>78</v>
      </c>
      <c r="K989" s="5" t="str">
        <f>HYPERLINK("https://media.licdn.com/dms/image/v2/D4E10AQEc7oT79UGEYA/image-shrink_1280/B4EZl2KOzpIQAM-/0/1758624018456?e=2147483647&amp;v=beta&amp;t=Vzhe8ZTEJgAkw2vqx8FY3hx9zcJuWDvbJMKmwF9VOsQ","View Creative")</f>
        <v>View Creative</v>
      </c>
      <c r="L989" s="4" t="s">
        <v>106</v>
      </c>
      <c r="M989" s="4" t="s">
        <v>61</v>
      </c>
      <c r="O989" s="4" t="s">
        <v>63</v>
      </c>
      <c r="P989" s="4" t="s">
        <v>64</v>
      </c>
    </row>
    <row r="990">
      <c r="A990" s="4" t="s">
        <v>40</v>
      </c>
      <c r="B990" s="4" t="s">
        <v>40</v>
      </c>
      <c r="C990" s="4">
        <v>988.0</v>
      </c>
      <c r="D990" s="5" t="str">
        <f>HYPERLINK("https://www.linkedin.com/ad-library/detail/771542534","Open Ad")</f>
        <v>Open Ad</v>
      </c>
      <c r="E990" s="4" t="s">
        <v>78</v>
      </c>
      <c r="F990" s="4" t="s">
        <v>54</v>
      </c>
      <c r="G990" s="4" t="s">
        <v>5469</v>
      </c>
      <c r="H990" s="4" t="s">
        <v>49</v>
      </c>
      <c r="I990" s="4" t="s">
        <v>661</v>
      </c>
      <c r="J990" s="4" t="s">
        <v>78</v>
      </c>
      <c r="K990" s="5" t="str">
        <f>HYPERLINK("https://media.licdn.com/dms/image/v2/D4E10AQGO5YXuU8zuaQ/image-shrink_1280/B4EZl2KT8BIoAM-/0/1758624039806?e=2147483647&amp;v=beta&amp;t=HgM9SbCBBmq1gW5gaZ2WRB7zAb2wugI9nDy5IfvHcA0","View Creative")</f>
        <v>View Creative</v>
      </c>
      <c r="L990" s="4" t="s">
        <v>106</v>
      </c>
      <c r="M990" s="4" t="s">
        <v>61</v>
      </c>
      <c r="O990" s="4" t="s">
        <v>63</v>
      </c>
      <c r="P990" s="4" t="s">
        <v>64</v>
      </c>
    </row>
    <row r="991">
      <c r="A991" s="4" t="s">
        <v>40</v>
      </c>
      <c r="B991" s="4" t="s">
        <v>40</v>
      </c>
      <c r="C991" s="4">
        <v>989.0</v>
      </c>
      <c r="D991" s="5" t="str">
        <f>HYPERLINK("https://www.linkedin.com/ad-library/detail/771502464","Open Ad")</f>
        <v>Open Ad</v>
      </c>
      <c r="E991" s="4" t="s">
        <v>78</v>
      </c>
      <c r="F991" s="4" t="s">
        <v>54</v>
      </c>
      <c r="G991" s="4" t="s">
        <v>5466</v>
      </c>
      <c r="H991" s="4" t="s">
        <v>49</v>
      </c>
      <c r="I991" s="4" t="s">
        <v>661</v>
      </c>
      <c r="J991" s="4" t="s">
        <v>78</v>
      </c>
      <c r="K991" s="5" t="str">
        <f>HYPERLINK("https://media.licdn.com/dms/image/v2/D4E10AQHDpTeYU70RBg/image-shrink_1280/B4EZl2KOpdKgAQ-/0/1758624018021?e=2147483647&amp;v=beta&amp;t=n_R-qbnl_I9Xoh9K1DXSzU0wIAAC96ONMFmdzvhuQTQ","View Creative")</f>
        <v>View Creative</v>
      </c>
      <c r="L991" s="4" t="s">
        <v>106</v>
      </c>
      <c r="M991" s="4" t="s">
        <v>61</v>
      </c>
      <c r="O991" s="4" t="s">
        <v>63</v>
      </c>
      <c r="P991" s="4" t="s">
        <v>64</v>
      </c>
    </row>
    <row r="992">
      <c r="A992" s="4" t="s">
        <v>40</v>
      </c>
      <c r="B992" s="4" t="s">
        <v>40</v>
      </c>
      <c r="C992" s="4">
        <v>990.0</v>
      </c>
      <c r="D992" s="5" t="str">
        <f>HYPERLINK("https://www.linkedin.com/ad-library/detail/771502474","Open Ad")</f>
        <v>Open Ad</v>
      </c>
      <c r="E992" s="4" t="s">
        <v>78</v>
      </c>
      <c r="F992" s="4" t="s">
        <v>54</v>
      </c>
      <c r="G992" s="4" t="s">
        <v>5469</v>
      </c>
      <c r="H992" s="4" t="s">
        <v>49</v>
      </c>
      <c r="I992" s="4" t="s">
        <v>661</v>
      </c>
      <c r="J992" s="4" t="s">
        <v>78</v>
      </c>
      <c r="K992" s="5" t="str">
        <f>HYPERLINK("https://media.licdn.com/dms/image/v2/D4E10AQHOj3X-NQAEvQ/image-shrink_1280/B4EZl2KO5pKkAM-/0/1758624018980?e=2147483647&amp;v=beta&amp;t=2eADWXhuYYcRo5r5buzAXxZrXNlv9-uUT6qSf0SPpGs","View Creative")</f>
        <v>View Creative</v>
      </c>
      <c r="L992" s="4" t="s">
        <v>106</v>
      </c>
      <c r="M992" s="4" t="s">
        <v>61</v>
      </c>
      <c r="O992" s="4" t="s">
        <v>63</v>
      </c>
      <c r="P992" s="4" t="s">
        <v>64</v>
      </c>
    </row>
    <row r="993">
      <c r="A993" s="4" t="s">
        <v>40</v>
      </c>
      <c r="B993" s="4" t="s">
        <v>40</v>
      </c>
      <c r="C993" s="4">
        <v>991.0</v>
      </c>
      <c r="D993" s="5" t="str">
        <f>HYPERLINK("https://www.linkedin.com/ad-library/detail/771483654","Open Ad")</f>
        <v>Open Ad</v>
      </c>
      <c r="E993" s="4" t="s">
        <v>78</v>
      </c>
      <c r="F993" s="4" t="s">
        <v>54</v>
      </c>
      <c r="G993" s="4" t="s">
        <v>5469</v>
      </c>
      <c r="H993" s="4" t="s">
        <v>49</v>
      </c>
      <c r="I993" s="4" t="s">
        <v>661</v>
      </c>
      <c r="J993" s="4" t="s">
        <v>78</v>
      </c>
      <c r="K993" s="5" t="str">
        <f>HYPERLINK("https://media.licdn.com/dms/image/v2/D4E10AQHshak_wrZv_A/image-shrink_1280/B4EZl2KJXqGUAM-/0/1758623996072?e=2147483647&amp;v=beta&amp;t=eSvHQ6md9ak1IgVOjEkhX2lxecTT9Bsv4j1-PBTwUAU","View Creative")</f>
        <v>View Creative</v>
      </c>
      <c r="L993" s="4" t="s">
        <v>106</v>
      </c>
      <c r="M993" s="4" t="s">
        <v>61</v>
      </c>
      <c r="O993" s="4" t="s">
        <v>63</v>
      </c>
      <c r="P993" s="4" t="s">
        <v>64</v>
      </c>
    </row>
    <row r="994">
      <c r="A994" s="4" t="s">
        <v>40</v>
      </c>
      <c r="B994" s="4" t="s">
        <v>40</v>
      </c>
      <c r="C994" s="4">
        <v>992.0</v>
      </c>
      <c r="D994" s="5" t="str">
        <f>HYPERLINK("https://www.linkedin.com/ad-library/detail/771701394","Open Ad")</f>
        <v>Open Ad</v>
      </c>
      <c r="E994" s="4" t="s">
        <v>78</v>
      </c>
      <c r="F994" s="4" t="s">
        <v>54</v>
      </c>
      <c r="G994" s="4" t="s">
        <v>5472</v>
      </c>
      <c r="H994" s="4" t="s">
        <v>49</v>
      </c>
      <c r="I994" s="4" t="s">
        <v>661</v>
      </c>
      <c r="J994" s="4" t="s">
        <v>78</v>
      </c>
      <c r="K994" s="5" t="str">
        <f>HYPERLINK("https://media.licdn.com/dms/image/v2/D4E10AQFfnmDzsJY0KQ/image-shrink_1280/B4EZl2KJsYKYAM-/0/1758623997287?e=2147483647&amp;v=beta&amp;t=KBgprcwh2tg5vcGpKG6DECgV6L_s5RaZcc5PSUSrdYQ","View Creative")</f>
        <v>View Creative</v>
      </c>
      <c r="L994" s="4" t="s">
        <v>106</v>
      </c>
      <c r="M994" s="4" t="s">
        <v>61</v>
      </c>
      <c r="O994" s="4" t="s">
        <v>63</v>
      </c>
      <c r="P994" s="4" t="s">
        <v>64</v>
      </c>
    </row>
    <row r="995">
      <c r="A995" s="4" t="s">
        <v>40</v>
      </c>
      <c r="B995" s="4" t="s">
        <v>40</v>
      </c>
      <c r="C995" s="4">
        <v>993.0</v>
      </c>
      <c r="D995" s="5" t="str">
        <f>HYPERLINK("https://www.linkedin.com/ad-library/detail/771502454","Open Ad")</f>
        <v>Open Ad</v>
      </c>
      <c r="E995" s="4" t="s">
        <v>78</v>
      </c>
      <c r="F995" s="4" t="s">
        <v>54</v>
      </c>
      <c r="G995" s="4" t="s">
        <v>5466</v>
      </c>
      <c r="H995" s="4" t="s">
        <v>49</v>
      </c>
      <c r="I995" s="4" t="s">
        <v>661</v>
      </c>
      <c r="J995" s="4" t="s">
        <v>78</v>
      </c>
      <c r="K995" s="5" t="str">
        <f>HYPERLINK("https://media.licdn.com/dms/image/v2/D4E10AQF0AhOh2iqMrw/image-shrink_1280/B4EZl2KOjLKYAQ-/0/1758624017375?e=2147483647&amp;v=beta&amp;t=A74SA52NOwPUthqZ-CGfGu8k475Y8XOLnRW8HPZpFDQ","View Creative")</f>
        <v>View Creative</v>
      </c>
      <c r="L995" s="4" t="s">
        <v>106</v>
      </c>
      <c r="M995" s="4" t="s">
        <v>61</v>
      </c>
      <c r="O995" s="4" t="s">
        <v>63</v>
      </c>
      <c r="P995" s="4" t="s">
        <v>64</v>
      </c>
    </row>
    <row r="996">
      <c r="A996" s="4" t="s">
        <v>40</v>
      </c>
      <c r="B996" s="4" t="s">
        <v>40</v>
      </c>
      <c r="C996" s="4">
        <v>994.0</v>
      </c>
      <c r="D996" s="5" t="str">
        <f>HYPERLINK("https://www.linkedin.com/ad-library/detail/771542524","Open Ad")</f>
        <v>Open Ad</v>
      </c>
      <c r="E996" s="4" t="s">
        <v>78</v>
      </c>
      <c r="F996" s="4" t="s">
        <v>54</v>
      </c>
      <c r="G996" s="4" t="s">
        <v>5466</v>
      </c>
      <c r="H996" s="4" t="s">
        <v>49</v>
      </c>
      <c r="I996" s="4" t="s">
        <v>661</v>
      </c>
      <c r="J996" s="4" t="s">
        <v>78</v>
      </c>
      <c r="K996" s="5" t="str">
        <f>HYPERLINK("https://media.licdn.com/dms/image/v2/D4E10AQGf7yTYlBmlMw/image-shrink_1280/B4EZl2KJNWKkAM-/0/1758623995522?e=2147483647&amp;v=beta&amp;t=oJYzRLEiuu9TPvs8RaulHOqd1LMM1pD_yjusOWO_ntM","View Creative")</f>
        <v>View Creative</v>
      </c>
      <c r="L996" s="4" t="s">
        <v>106</v>
      </c>
      <c r="M996" s="4" t="s">
        <v>61</v>
      </c>
      <c r="O996" s="4" t="s">
        <v>63</v>
      </c>
      <c r="P996" s="4" t="s">
        <v>64</v>
      </c>
    </row>
    <row r="997">
      <c r="A997" s="4" t="s">
        <v>40</v>
      </c>
      <c r="B997" s="4" t="s">
        <v>40</v>
      </c>
      <c r="C997" s="4">
        <v>995.0</v>
      </c>
      <c r="D997" s="5" t="str">
        <f>HYPERLINK("https://www.linkedin.com/ad-library/detail/771671844","Open Ad")</f>
        <v>Open Ad</v>
      </c>
      <c r="E997" s="4" t="s">
        <v>78</v>
      </c>
      <c r="F997" s="4" t="s">
        <v>54</v>
      </c>
      <c r="G997" s="4" t="s">
        <v>5469</v>
      </c>
      <c r="H997" s="4" t="s">
        <v>49</v>
      </c>
      <c r="I997" s="4" t="s">
        <v>661</v>
      </c>
      <c r="J997" s="4" t="s">
        <v>78</v>
      </c>
      <c r="K997" s="5" t="str">
        <f>HYPERLINK("https://media.licdn.com/dms/image/v2/D4E10AQHhUWvmSALASA/image-shrink_1280/B4EZl2KTztKkAM-/0/1758624038873?e=2147483647&amp;v=beta&amp;t=cJYJOEliomxqeIyhbeOOi0teUGJ4nI4TpT_IbeLRR24","View Creative")</f>
        <v>View Creative</v>
      </c>
      <c r="L997" s="4" t="s">
        <v>106</v>
      </c>
      <c r="M997" s="4" t="s">
        <v>61</v>
      </c>
      <c r="O997" s="4" t="s">
        <v>63</v>
      </c>
      <c r="P997" s="4" t="s">
        <v>64</v>
      </c>
    </row>
    <row r="998">
      <c r="A998" s="4" t="s">
        <v>40</v>
      </c>
      <c r="B998" s="4" t="s">
        <v>40</v>
      </c>
      <c r="C998" s="4">
        <v>996.0</v>
      </c>
      <c r="D998" s="5" t="str">
        <f>HYPERLINK("https://www.linkedin.com/ad-library/detail/771512674","Open Ad")</f>
        <v>Open Ad</v>
      </c>
      <c r="E998" s="4" t="s">
        <v>78</v>
      </c>
      <c r="F998" s="4" t="s">
        <v>54</v>
      </c>
      <c r="G998" s="4" t="s">
        <v>5466</v>
      </c>
      <c r="H998" s="4" t="s">
        <v>49</v>
      </c>
      <c r="I998" s="4" t="s">
        <v>661</v>
      </c>
      <c r="J998" s="4" t="s">
        <v>78</v>
      </c>
      <c r="K998" s="5" t="str">
        <f>HYPERLINK("https://media.licdn.com/dms/image/v2/D4E10AQH0cM18mvSHbQ/image-shrink_1280/B4EZl2KTwjIMAM-/0/1758624038792?e=2147483647&amp;v=beta&amp;t=v1MAY7KBHcChV9FC584EJVbsZwcfXUSn6n54TmuxwaE","View Creative")</f>
        <v>View Creative</v>
      </c>
      <c r="L998" s="4" t="s">
        <v>106</v>
      </c>
      <c r="M998" s="4" t="s">
        <v>61</v>
      </c>
      <c r="O998" s="4" t="s">
        <v>63</v>
      </c>
      <c r="P998" s="4" t="s">
        <v>64</v>
      </c>
    </row>
    <row r="999">
      <c r="A999" s="4" t="s">
        <v>40</v>
      </c>
      <c r="B999" s="4" t="s">
        <v>40</v>
      </c>
      <c r="C999" s="4">
        <v>997.0</v>
      </c>
      <c r="D999" s="5" t="str">
        <f>HYPERLINK("https://www.linkedin.com/ad-library/detail/771562104","Open Ad")</f>
        <v>Open Ad</v>
      </c>
      <c r="E999" s="4" t="s">
        <v>78</v>
      </c>
      <c r="F999" s="4" t="s">
        <v>54</v>
      </c>
      <c r="G999" s="4" t="s">
        <v>5472</v>
      </c>
      <c r="H999" s="4" t="s">
        <v>49</v>
      </c>
      <c r="I999" s="4" t="s">
        <v>661</v>
      </c>
      <c r="J999" s="4" t="s">
        <v>78</v>
      </c>
      <c r="K999" s="5" t="str">
        <f>HYPERLINK("https://media.licdn.com/dms/image/v2/D4E10AQGrJvG1eO7JIA/image-shrink_1280/B4EZl2KOhHIwAM-/0/1758624017646?e=2147483647&amp;v=beta&amp;t=ZFHu9ARX0BHZ19SapdN-dEgJsH3-4nFd0T66yMflCOE","View Creative")</f>
        <v>View Creative</v>
      </c>
      <c r="L999" s="4" t="s">
        <v>106</v>
      </c>
      <c r="M999" s="4" t="s">
        <v>61</v>
      </c>
      <c r="O999" s="4" t="s">
        <v>63</v>
      </c>
      <c r="P999" s="4" t="s">
        <v>64</v>
      </c>
    </row>
    <row r="1000">
      <c r="A1000" s="4" t="s">
        <v>40</v>
      </c>
      <c r="B1000" s="4" t="s">
        <v>40</v>
      </c>
      <c r="C1000" s="4">
        <v>998.0</v>
      </c>
      <c r="D1000" s="5" t="str">
        <f>HYPERLINK("https://www.linkedin.com/ad-library/detail/771621944","Open Ad")</f>
        <v>Open Ad</v>
      </c>
      <c r="E1000" s="4" t="s">
        <v>78</v>
      </c>
      <c r="F1000" s="4" t="s">
        <v>54</v>
      </c>
      <c r="G1000" s="4" t="s">
        <v>5472</v>
      </c>
      <c r="H1000" s="4" t="s">
        <v>49</v>
      </c>
      <c r="I1000" s="4" t="s">
        <v>661</v>
      </c>
      <c r="J1000" s="4" t="s">
        <v>78</v>
      </c>
      <c r="K1000" s="5" t="str">
        <f>HYPERLINK("https://media.licdn.com/dms/image/v2/D4E10AQHFqhuu7vyoCA/image-shrink_1280/B4EZl2KUIGKcAM-/0/1758624040633?e=2147483647&amp;v=beta&amp;t=vfrpnx4yDpBkdGQ7Ek7cFcZvfyebXBFwzRfDMPURp90","View Creative")</f>
        <v>View Creative</v>
      </c>
      <c r="L1000" s="4" t="s">
        <v>106</v>
      </c>
      <c r="M1000" s="4" t="s">
        <v>61</v>
      </c>
      <c r="O1000" s="4" t="s">
        <v>63</v>
      </c>
      <c r="P1000" s="4" t="s">
        <v>64</v>
      </c>
    </row>
    <row r="1001">
      <c r="A1001" s="4" t="s">
        <v>40</v>
      </c>
      <c r="B1001" s="4" t="s">
        <v>40</v>
      </c>
      <c r="C1001" s="4">
        <v>999.0</v>
      </c>
      <c r="D1001" s="5" t="str">
        <f>HYPERLINK("https://www.linkedin.com/ad-library/detail/771621934","Open Ad")</f>
        <v>Open Ad</v>
      </c>
      <c r="E1001" s="4" t="s">
        <v>78</v>
      </c>
      <c r="F1001" s="4" t="s">
        <v>54</v>
      </c>
      <c r="G1001" s="4" t="s">
        <v>5466</v>
      </c>
      <c r="H1001" s="4" t="s">
        <v>49</v>
      </c>
      <c r="I1001" s="4" t="s">
        <v>661</v>
      </c>
      <c r="J1001" s="4" t="s">
        <v>78</v>
      </c>
      <c r="K1001" s="5" t="str">
        <f>HYPERLINK("https://media.licdn.com/dms/image/v2/D4E10AQHvyRTRxJCQVQ/image-shrink_1280/B4EZl2KOiJHgAM-/0/1758624018193?e=2147483647&amp;v=beta&amp;t=j5DWroUs9-o2J_TVJ4NNBylVmTp_HZI2hmYhKrRm_xc","View Creative")</f>
        <v>View Creative</v>
      </c>
      <c r="L1001" s="4" t="s">
        <v>106</v>
      </c>
      <c r="M1001" s="4" t="s">
        <v>61</v>
      </c>
      <c r="O1001" s="4" t="s">
        <v>63</v>
      </c>
      <c r="P1001" s="4" t="s">
        <v>64</v>
      </c>
    </row>
    <row r="1002">
      <c r="A1002" s="4" t="s">
        <v>40</v>
      </c>
      <c r="B1002" s="4" t="s">
        <v>40</v>
      </c>
      <c r="C1002" s="4">
        <v>1000.0</v>
      </c>
      <c r="D1002" s="5" t="str">
        <f>HYPERLINK("https://www.linkedin.com/ad-library/detail/771592204","Open Ad")</f>
        <v>Open Ad</v>
      </c>
      <c r="E1002" s="4" t="s">
        <v>78</v>
      </c>
      <c r="F1002" s="4" t="s">
        <v>54</v>
      </c>
      <c r="G1002" s="4" t="s">
        <v>5469</v>
      </c>
      <c r="H1002" s="4" t="s">
        <v>49</v>
      </c>
      <c r="I1002" s="4" t="s">
        <v>661</v>
      </c>
      <c r="J1002" s="4" t="s">
        <v>78</v>
      </c>
      <c r="K1002" s="5" t="str">
        <f>HYPERLINK("https://media.licdn.com/dms/image/v2/D4E10AQF1UWdvFTm_Bw/image-shrink_1280/B4EZl2KOnZKkAM-/0/1758624018466?e=2147483647&amp;v=beta&amp;t=NvHPvVOIfY-8bUuSA7OSd6N-4tIeMTNUlH-HXbAiZN4","View Creative")</f>
        <v>View Creative</v>
      </c>
      <c r="L1002" s="4" t="s">
        <v>106</v>
      </c>
      <c r="M1002" s="4" t="s">
        <v>61</v>
      </c>
      <c r="O1002" s="4" t="s">
        <v>63</v>
      </c>
      <c r="P1002" s="4" t="s">
        <v>64</v>
      </c>
    </row>
    <row r="1003">
      <c r="A1003" s="4" t="s">
        <v>40</v>
      </c>
      <c r="B1003" s="4" t="s">
        <v>40</v>
      </c>
      <c r="C1003" s="4">
        <v>1001.0</v>
      </c>
      <c r="D1003" s="5" t="str">
        <f>HYPERLINK("https://www.linkedin.com/ad-library/detail/771493384","Open Ad")</f>
        <v>Open Ad</v>
      </c>
      <c r="E1003" s="4" t="s">
        <v>78</v>
      </c>
      <c r="F1003" s="4" t="s">
        <v>54</v>
      </c>
      <c r="G1003" s="4" t="s">
        <v>5466</v>
      </c>
      <c r="H1003" s="4" t="s">
        <v>49</v>
      </c>
      <c r="I1003" s="4" t="s">
        <v>661</v>
      </c>
      <c r="J1003" s="4" t="s">
        <v>78</v>
      </c>
      <c r="K1003" s="5" t="str">
        <f>HYPERLINK("https://media.licdn.com/dms/image/v2/D4E10AQEM-rZivQp41A/image-shrink_1280/B4EZl2KTyDIwAM-/0/1758624038887?e=2147483647&amp;v=beta&amp;t=NN4v75N9YtHByv3Ix6-CSm4hr-bppPbLtTwWrjD5AH4","View Creative")</f>
        <v>View Creative</v>
      </c>
      <c r="L1003" s="4" t="s">
        <v>106</v>
      </c>
      <c r="M1003" s="4" t="s">
        <v>61</v>
      </c>
      <c r="O1003" s="4" t="s">
        <v>63</v>
      </c>
      <c r="P1003" s="4" t="s">
        <v>64</v>
      </c>
    </row>
    <row r="1004">
      <c r="A1004" s="4" t="s">
        <v>40</v>
      </c>
      <c r="B1004" s="4" t="s">
        <v>40</v>
      </c>
      <c r="C1004" s="4">
        <v>1002.0</v>
      </c>
      <c r="D1004" s="5" t="str">
        <f>HYPERLINK("https://www.linkedin.com/ad-library/detail/771562094","Open Ad")</f>
        <v>Open Ad</v>
      </c>
      <c r="E1004" s="4" t="s">
        <v>78</v>
      </c>
      <c r="F1004" s="4" t="s">
        <v>54</v>
      </c>
      <c r="G1004" s="4" t="s">
        <v>5466</v>
      </c>
      <c r="H1004" s="4" t="s">
        <v>49</v>
      </c>
      <c r="I1004" s="4" t="s">
        <v>661</v>
      </c>
      <c r="J1004" s="4" t="s">
        <v>78</v>
      </c>
      <c r="K1004" s="5" t="str">
        <f>HYPERLINK("https://media.licdn.com/dms/image/v2/D4E10AQGniOuSIKAkjw/image-shrink_1280/B4EZl2KJMRIIAQ-/0/1758623995807?e=2147483647&amp;v=beta&amp;t=lW_7rr3PEL4ThIAFXfTY7mrk9JQxRag79PtLJoUhRpo","View Creative")</f>
        <v>View Creative</v>
      </c>
      <c r="L1004" s="4" t="s">
        <v>106</v>
      </c>
      <c r="M1004" s="4" t="s">
        <v>61</v>
      </c>
      <c r="O1004" s="4" t="s">
        <v>63</v>
      </c>
      <c r="P1004" s="4" t="s">
        <v>64</v>
      </c>
    </row>
    <row r="1005">
      <c r="A1005" s="4" t="s">
        <v>40</v>
      </c>
      <c r="B1005" s="4" t="s">
        <v>40</v>
      </c>
      <c r="C1005" s="4">
        <v>1003.0</v>
      </c>
      <c r="D1005" s="5" t="str">
        <f>HYPERLINK("https://www.linkedin.com/ad-library/detail/771571904","Open Ad")</f>
        <v>Open Ad</v>
      </c>
      <c r="E1005" s="4" t="s">
        <v>78</v>
      </c>
      <c r="F1005" s="4" t="s">
        <v>54</v>
      </c>
      <c r="G1005" s="4" t="s">
        <v>5469</v>
      </c>
      <c r="H1005" s="4" t="s">
        <v>49</v>
      </c>
      <c r="I1005" s="4" t="s">
        <v>661</v>
      </c>
      <c r="J1005" s="4" t="s">
        <v>78</v>
      </c>
      <c r="K1005" s="5" t="str">
        <f>HYPERLINK("https://media.licdn.com/dms/image/v2/D4E10AQHNOQVufzDIgA/image-shrink_1280/B4EZl2KTyqKoAM-/0/1758624038983?e=2147483647&amp;v=beta&amp;t=kbJD4aj2xq2pyx12a1lB9k3HHmSuUvy0kvkcH9ylB-g","View Creative")</f>
        <v>View Creative</v>
      </c>
      <c r="L1005" s="4" t="s">
        <v>106</v>
      </c>
      <c r="M1005" s="4" t="s">
        <v>61</v>
      </c>
      <c r="O1005" s="4" t="s">
        <v>63</v>
      </c>
      <c r="P1005" s="4" t="s">
        <v>64</v>
      </c>
    </row>
    <row r="1006">
      <c r="A1006" s="4" t="s">
        <v>40</v>
      </c>
      <c r="B1006" s="4" t="s">
        <v>40</v>
      </c>
      <c r="C1006" s="4">
        <v>1004.0</v>
      </c>
      <c r="D1006" s="5" t="str">
        <f>HYPERLINK("https://www.linkedin.com/ad-library/detail/771571914","Open Ad")</f>
        <v>Open Ad</v>
      </c>
      <c r="E1006" s="4" t="s">
        <v>78</v>
      </c>
      <c r="F1006" s="4" t="s">
        <v>54</v>
      </c>
      <c r="G1006" s="4" t="s">
        <v>5472</v>
      </c>
      <c r="H1006" s="4" t="s">
        <v>49</v>
      </c>
      <c r="I1006" s="4" t="s">
        <v>661</v>
      </c>
      <c r="J1006" s="4" t="s">
        <v>78</v>
      </c>
      <c r="K1006" s="5" t="str">
        <f>HYPERLINK("https://media.licdn.com/dms/image/v2/D4E10AQGI3MkuCZ1iGA/image-shrink_1280/B4EZl2KT1cGYAQ-/0/1758624039248?e=2147483647&amp;v=beta&amp;t=K0DHWggMWwvOMFuhmP7novfL6PA6ehCc7pmhqfyvEtU","View Creative")</f>
        <v>View Creative</v>
      </c>
      <c r="L1006" s="4" t="s">
        <v>106</v>
      </c>
      <c r="M1006" s="4" t="s">
        <v>61</v>
      </c>
      <c r="O1006" s="4" t="s">
        <v>63</v>
      </c>
      <c r="P1006" s="4" t="s">
        <v>64</v>
      </c>
    </row>
    <row r="1007">
      <c r="A1007" s="4" t="s">
        <v>40</v>
      </c>
      <c r="B1007" s="4" t="s">
        <v>40</v>
      </c>
      <c r="C1007" s="4">
        <v>1005.0</v>
      </c>
      <c r="D1007" s="5" t="str">
        <f>HYPERLINK("https://www.linkedin.com/ad-library/detail/771711074","Open Ad")</f>
        <v>Open Ad</v>
      </c>
      <c r="E1007" s="4" t="s">
        <v>78</v>
      </c>
      <c r="F1007" s="4" t="s">
        <v>54</v>
      </c>
      <c r="G1007" s="4" t="s">
        <v>5472</v>
      </c>
      <c r="H1007" s="4" t="s">
        <v>49</v>
      </c>
      <c r="I1007" s="4" t="s">
        <v>661</v>
      </c>
      <c r="J1007" s="4" t="s">
        <v>78</v>
      </c>
      <c r="K1007" s="5" t="str">
        <f>HYPERLINK("https://media.licdn.com/dms/image/v2/D4E10AQFAbjB3TmWk4A/image-shrink_1280/B4EZl2KO5fKYAQ-/0/1758624019028?e=2147483647&amp;v=beta&amp;t=cg4u-hzS1L6Lq9HoSiyaWmJAAazQ1seoGxsE3BDvEjQ","View Creative")</f>
        <v>View Creative</v>
      </c>
      <c r="L1007" s="4" t="s">
        <v>106</v>
      </c>
      <c r="M1007" s="4" t="s">
        <v>61</v>
      </c>
      <c r="O1007" s="4" t="s">
        <v>63</v>
      </c>
      <c r="P1007" s="4" t="s">
        <v>64</v>
      </c>
    </row>
    <row r="1008">
      <c r="A1008" s="4" t="s">
        <v>40</v>
      </c>
      <c r="B1008" s="4" t="s">
        <v>40</v>
      </c>
      <c r="C1008" s="4">
        <v>1006.0</v>
      </c>
      <c r="D1008" s="5" t="str">
        <f>HYPERLINK("https://www.linkedin.com/ad-library/detail/771681524","Open Ad")</f>
        <v>Open Ad</v>
      </c>
      <c r="E1008" s="4" t="s">
        <v>78</v>
      </c>
      <c r="F1008" s="4" t="s">
        <v>54</v>
      </c>
      <c r="G1008" s="4" t="s">
        <v>5466</v>
      </c>
      <c r="H1008" s="4" t="s">
        <v>49</v>
      </c>
      <c r="I1008" s="4" t="s">
        <v>661</v>
      </c>
      <c r="J1008" s="4" t="s">
        <v>78</v>
      </c>
      <c r="K1008" s="5" t="str">
        <f>HYPERLINK("https://media.licdn.com/dms/image/v2/D4E10AQGqihjVstfDdA/image-shrink_1280/B4EZl2KJKyGoAM-/0/1758623995692?e=2147483647&amp;v=beta&amp;t=TOdELFwK3rYAXxTI9coLk-YmmilVANJ9xvbBZ0_zgYs","View Creative")</f>
        <v>View Creative</v>
      </c>
      <c r="L1008" s="4" t="s">
        <v>106</v>
      </c>
      <c r="M1008" s="4" t="s">
        <v>61</v>
      </c>
      <c r="O1008" s="4" t="s">
        <v>63</v>
      </c>
      <c r="P1008" s="4" t="s">
        <v>64</v>
      </c>
    </row>
    <row r="1009">
      <c r="A1009" s="4" t="s">
        <v>40</v>
      </c>
      <c r="B1009" s="4" t="s">
        <v>40</v>
      </c>
      <c r="C1009" s="4">
        <v>1007.0</v>
      </c>
      <c r="D1009" s="5" t="str">
        <f>HYPERLINK("https://www.linkedin.com/ad-library/detail/771582084","Open Ad")</f>
        <v>Open Ad</v>
      </c>
      <c r="E1009" s="4" t="s">
        <v>78</v>
      </c>
      <c r="F1009" s="4" t="s">
        <v>54</v>
      </c>
      <c r="G1009" s="4" t="s">
        <v>5472</v>
      </c>
      <c r="H1009" s="4" t="s">
        <v>49</v>
      </c>
      <c r="I1009" s="4" t="s">
        <v>661</v>
      </c>
      <c r="J1009" s="4" t="s">
        <v>78</v>
      </c>
      <c r="K1009" s="5" t="str">
        <f>HYPERLINK("https://media.licdn.com/dms/image/v2/D4E10AQFh_uJMR8HI-Q/image-shrink_1280/B4EZl2KTwDGYAM-/0/1758624039006?e=2147483647&amp;v=beta&amp;t=kceRQ9kfApmwBxqTOMtNGVw6zRATdfKQxlI3cbIh454","View Creative")</f>
        <v>View Creative</v>
      </c>
      <c r="L1009" s="4" t="s">
        <v>106</v>
      </c>
      <c r="M1009" s="4" t="s">
        <v>61</v>
      </c>
      <c r="O1009" s="4" t="s">
        <v>63</v>
      </c>
      <c r="P1009" s="4" t="s">
        <v>64</v>
      </c>
    </row>
    <row r="1010">
      <c r="A1010" s="4" t="s">
        <v>40</v>
      </c>
      <c r="B1010" s="4" t="s">
        <v>40</v>
      </c>
      <c r="C1010" s="4">
        <v>1008.0</v>
      </c>
      <c r="D1010" s="5" t="str">
        <f>HYPERLINK("https://www.linkedin.com/ad-library/detail/771711064","Open Ad")</f>
        <v>Open Ad</v>
      </c>
      <c r="E1010" s="4" t="s">
        <v>78</v>
      </c>
      <c r="F1010" s="4" t="s">
        <v>54</v>
      </c>
      <c r="G1010" s="4" t="s">
        <v>5469</v>
      </c>
      <c r="H1010" s="4" t="s">
        <v>49</v>
      </c>
      <c r="I1010" s="4" t="s">
        <v>661</v>
      </c>
      <c r="J1010" s="4" t="s">
        <v>78</v>
      </c>
      <c r="K1010" s="5" t="str">
        <f>HYPERLINK("https://media.licdn.com/dms/image/v2/D4E10AQHjj8dHQcLqxQ/image-shrink_1280/B4EZl2KOyzKYAM-/0/1758624018471?e=2147483647&amp;v=beta&amp;t=8MS94wJsmpBRB8zM78nO6ZVM-yxawnujjClQIVrK8ag","View Creative")</f>
        <v>View Creative</v>
      </c>
      <c r="L1010" s="4" t="s">
        <v>106</v>
      </c>
      <c r="M1010" s="4" t="s">
        <v>61</v>
      </c>
      <c r="O1010" s="4" t="s">
        <v>63</v>
      </c>
      <c r="P1010" s="4" t="s">
        <v>64</v>
      </c>
    </row>
    <row r="1011">
      <c r="A1011" s="4" t="s">
        <v>40</v>
      </c>
      <c r="B1011" s="4" t="s">
        <v>40</v>
      </c>
      <c r="C1011" s="4">
        <v>1009.0</v>
      </c>
      <c r="D1011" s="5" t="str">
        <f>HYPERLINK("https://www.linkedin.com/ad-library/detail/771522464","Open Ad")</f>
        <v>Open Ad</v>
      </c>
      <c r="E1011" s="4" t="s">
        <v>78</v>
      </c>
      <c r="F1011" s="4" t="s">
        <v>54</v>
      </c>
      <c r="G1011" s="4" t="s">
        <v>5469</v>
      </c>
      <c r="H1011" s="4" t="s">
        <v>49</v>
      </c>
      <c r="I1011" s="4" t="s">
        <v>661</v>
      </c>
      <c r="J1011" s="4" t="s">
        <v>78</v>
      </c>
      <c r="K1011" s="5" t="str">
        <f>HYPERLINK("https://media.licdn.com/dms/image/v2/D4E10AQEbRk5OwVgrqw/image-shrink_1280/B4EZl2J.njGUAQ-/0/1758623952686?e=2147483647&amp;v=beta&amp;t=jPdwyKDkVNSMPxO6N0kfNCRT643nUpNaCG4Di7QrMQQ","View Creative")</f>
        <v>View Creative</v>
      </c>
      <c r="L1011" s="4" t="s">
        <v>106</v>
      </c>
      <c r="M1011" s="4" t="s">
        <v>61</v>
      </c>
      <c r="O1011" s="4" t="s">
        <v>63</v>
      </c>
      <c r="P1011" s="4" t="s">
        <v>64</v>
      </c>
    </row>
    <row r="1012">
      <c r="A1012" s="4" t="s">
        <v>40</v>
      </c>
      <c r="B1012" s="4" t="s">
        <v>40</v>
      </c>
      <c r="C1012" s="4">
        <v>1010.0</v>
      </c>
      <c r="D1012" s="5" t="str">
        <f>HYPERLINK("https://www.linkedin.com/ad-library/detail/771711054","Open Ad")</f>
        <v>Open Ad</v>
      </c>
      <c r="E1012" s="4" t="s">
        <v>78</v>
      </c>
      <c r="F1012" s="4" t="s">
        <v>54</v>
      </c>
      <c r="G1012" s="4" t="s">
        <v>5466</v>
      </c>
      <c r="H1012" s="4" t="s">
        <v>49</v>
      </c>
      <c r="I1012" s="4" t="s">
        <v>661</v>
      </c>
      <c r="J1012" s="4" t="s">
        <v>78</v>
      </c>
      <c r="K1012" s="5" t="str">
        <f>HYPERLINK("https://media.licdn.com/dms/image/v2/D4E10AQG1iOspWyKNbw/image-shrink_1280/B4EZl2J.igKoAM-/0/1758623952097?e=2147483647&amp;v=beta&amp;t=5uA07eV9wjwt1C9OcrOZ5Q33IyYzc6VXdghRCKEbctA","View Creative")</f>
        <v>View Creative</v>
      </c>
      <c r="L1012" s="4" t="s">
        <v>106</v>
      </c>
      <c r="M1012" s="4" t="s">
        <v>61</v>
      </c>
      <c r="O1012" s="4" t="s">
        <v>63</v>
      </c>
      <c r="P1012" s="4" t="s">
        <v>64</v>
      </c>
    </row>
    <row r="1013">
      <c r="A1013" s="4" t="s">
        <v>40</v>
      </c>
      <c r="B1013" s="4" t="s">
        <v>40</v>
      </c>
      <c r="C1013" s="4">
        <v>1011.0</v>
      </c>
      <c r="D1013" s="5" t="str">
        <f>HYPERLINK("https://www.linkedin.com/ad-library/detail/771522454","Open Ad")</f>
        <v>Open Ad</v>
      </c>
      <c r="E1013" s="4" t="s">
        <v>78</v>
      </c>
      <c r="F1013" s="4" t="s">
        <v>54</v>
      </c>
      <c r="G1013" s="4" t="s">
        <v>5472</v>
      </c>
      <c r="H1013" s="4" t="s">
        <v>49</v>
      </c>
      <c r="I1013" s="4" t="s">
        <v>661</v>
      </c>
      <c r="J1013" s="4" t="s">
        <v>78</v>
      </c>
      <c r="K1013" s="5" t="str">
        <f>HYPERLINK("https://media.licdn.com/dms/image/v2/D4E10AQGSiJ-FGfPaqA/image-shrink_1280/B4EZl2J5orIoAM-/0/1758623931740?e=2147483647&amp;v=beta&amp;t=0uwTDaFq4mC9tgcPK5MEVQGloIEfhIXM_4RDLFFHt7Y","View Creative")</f>
        <v>View Creative</v>
      </c>
      <c r="L1013" s="4" t="s">
        <v>106</v>
      </c>
      <c r="M1013" s="4" t="s">
        <v>61</v>
      </c>
      <c r="O1013" s="4" t="s">
        <v>63</v>
      </c>
      <c r="P1013" s="4" t="s">
        <v>64</v>
      </c>
    </row>
    <row r="1014">
      <c r="A1014" s="4" t="s">
        <v>40</v>
      </c>
      <c r="B1014" s="4" t="s">
        <v>40</v>
      </c>
      <c r="C1014" s="4">
        <v>1012.0</v>
      </c>
      <c r="D1014" s="5" t="str">
        <f>HYPERLINK("https://www.linkedin.com/ad-library/detail/771522484","Open Ad")</f>
        <v>Open Ad</v>
      </c>
      <c r="E1014" s="4" t="s">
        <v>78</v>
      </c>
      <c r="F1014" s="4" t="s">
        <v>54</v>
      </c>
      <c r="G1014" s="4" t="s">
        <v>5469</v>
      </c>
      <c r="H1014" s="4" t="s">
        <v>49</v>
      </c>
      <c r="I1014" s="4" t="s">
        <v>661</v>
      </c>
      <c r="J1014" s="4" t="s">
        <v>78</v>
      </c>
      <c r="K1014" s="5" t="str">
        <f>HYPERLINK("https://media.licdn.com/dms/image/v2/D4E10AQGg5jf8oGEx-A/image-shrink_1280/B4EZl2KDoaGoAM-/0/1758623973112?e=2147483647&amp;v=beta&amp;t=zNtIQMOoW0pM6Vl3NsV-nUBFFSH1BwsMLTEhQ7rTfSU","View Creative")</f>
        <v>View Creative</v>
      </c>
      <c r="L1014" s="4" t="s">
        <v>106</v>
      </c>
      <c r="M1014" s="4" t="s">
        <v>61</v>
      </c>
      <c r="O1014" s="4" t="s">
        <v>63</v>
      </c>
      <c r="P1014" s="4" t="s">
        <v>64</v>
      </c>
    </row>
    <row r="1015">
      <c r="A1015" s="4" t="s">
        <v>40</v>
      </c>
      <c r="B1015" s="4" t="s">
        <v>40</v>
      </c>
      <c r="C1015" s="4">
        <v>1013.0</v>
      </c>
      <c r="D1015" s="5" t="str">
        <f>HYPERLINK("https://www.linkedin.com/ad-library/detail/771571884","Open Ad")</f>
        <v>Open Ad</v>
      </c>
      <c r="E1015" s="4" t="s">
        <v>78</v>
      </c>
      <c r="F1015" s="4" t="s">
        <v>54</v>
      </c>
      <c r="G1015" s="4" t="s">
        <v>5472</v>
      </c>
      <c r="H1015" s="4" t="s">
        <v>49</v>
      </c>
      <c r="I1015" s="4" t="s">
        <v>661</v>
      </c>
      <c r="J1015" s="4" t="s">
        <v>78</v>
      </c>
      <c r="K1015" s="5" t="str">
        <f>HYPERLINK("https://media.licdn.com/dms/image/v2/D4E10AQEn19Q6sV997w/image-shrink_1280/B4EZl2KDpgIQAM-/0/1758623972760?e=2147483647&amp;v=beta&amp;t=OImmZRwcUOvAMFeaKXlPxoFjTNW9fiWYzYwRAKnqhSA","View Creative")</f>
        <v>View Creative</v>
      </c>
      <c r="L1015" s="4" t="s">
        <v>106</v>
      </c>
      <c r="M1015" s="4" t="s">
        <v>61</v>
      </c>
      <c r="O1015" s="4" t="s">
        <v>63</v>
      </c>
      <c r="P1015" s="4" t="s">
        <v>64</v>
      </c>
    </row>
    <row r="1016">
      <c r="A1016" s="4" t="s">
        <v>40</v>
      </c>
      <c r="B1016" s="4" t="s">
        <v>40</v>
      </c>
      <c r="C1016" s="4">
        <v>1014.0</v>
      </c>
      <c r="D1016" s="5" t="str">
        <f>HYPERLINK("https://www.linkedin.com/ad-library/detail/771571894","Open Ad")</f>
        <v>Open Ad</v>
      </c>
      <c r="E1016" s="4" t="s">
        <v>78</v>
      </c>
      <c r="F1016" s="4" t="s">
        <v>54</v>
      </c>
      <c r="G1016" s="4" t="s">
        <v>5472</v>
      </c>
      <c r="H1016" s="4" t="s">
        <v>49</v>
      </c>
      <c r="I1016" s="4" t="s">
        <v>661</v>
      </c>
      <c r="J1016" s="4" t="s">
        <v>78</v>
      </c>
      <c r="K1016" s="5" t="str">
        <f>HYPERLINK("https://media.licdn.com/dms/image/v2/D4E10AQEKs6P-lxFmqQ/image-shrink_1280/B4EZl2KJIzIkAM-/0/1758623995210?e=2147483647&amp;v=beta&amp;t=3WcVc3ZDfgWA8f2esO2ZEsqgNmpHtDfARrI8NyTbpnI","View Creative")</f>
        <v>View Creative</v>
      </c>
      <c r="L1016" s="4" t="s">
        <v>106</v>
      </c>
      <c r="M1016" s="4" t="s">
        <v>61</v>
      </c>
      <c r="O1016" s="4" t="s">
        <v>63</v>
      </c>
      <c r="P1016" s="4" t="s">
        <v>64</v>
      </c>
    </row>
    <row r="1017">
      <c r="A1017" s="4" t="s">
        <v>40</v>
      </c>
      <c r="B1017" s="4" t="s">
        <v>40</v>
      </c>
      <c r="C1017" s="4">
        <v>1015.0</v>
      </c>
      <c r="D1017" s="5" t="str">
        <f>HYPERLINK("https://www.linkedin.com/ad-library/detail/771522494","Open Ad")</f>
        <v>Open Ad</v>
      </c>
      <c r="E1017" s="4" t="s">
        <v>78</v>
      </c>
      <c r="F1017" s="4" t="s">
        <v>54</v>
      </c>
      <c r="G1017" s="4" t="s">
        <v>5469</v>
      </c>
      <c r="H1017" s="4" t="s">
        <v>49</v>
      </c>
      <c r="I1017" s="4" t="s">
        <v>661</v>
      </c>
      <c r="J1017" s="4" t="s">
        <v>78</v>
      </c>
      <c r="K1017" s="5" t="str">
        <f>HYPERLINK("https://media.licdn.com/dms/image/v2/D4E10AQH01jxjE0WZ5g/image-shrink_1280/B4EZl2KI7lGoAM-/0/1758623994707?e=2147483647&amp;v=beta&amp;t=XeZe-4nByq_8fiVwevDJA4QV6c4b3TJs2WOf2EYQeH0","View Creative")</f>
        <v>View Creative</v>
      </c>
      <c r="L1017" s="4" t="s">
        <v>106</v>
      </c>
      <c r="M1017" s="4" t="s">
        <v>61</v>
      </c>
      <c r="O1017" s="4" t="s">
        <v>63</v>
      </c>
      <c r="P1017" s="4" t="s">
        <v>64</v>
      </c>
    </row>
    <row r="1018">
      <c r="A1018" s="4" t="s">
        <v>40</v>
      </c>
      <c r="B1018" s="4" t="s">
        <v>40</v>
      </c>
      <c r="C1018" s="4">
        <v>1016.0</v>
      </c>
      <c r="D1018" s="5" t="str">
        <f>HYPERLINK("https://www.linkedin.com/ad-library/detail/771612124","Open Ad")</f>
        <v>Open Ad</v>
      </c>
      <c r="E1018" s="4" t="s">
        <v>78</v>
      </c>
      <c r="F1018" s="4" t="s">
        <v>54</v>
      </c>
      <c r="G1018" s="4" t="s">
        <v>5469</v>
      </c>
      <c r="H1018" s="4" t="s">
        <v>49</v>
      </c>
      <c r="I1018" s="4" t="s">
        <v>661</v>
      </c>
      <c r="J1018" s="4" t="s">
        <v>78</v>
      </c>
      <c r="K1018" s="5" t="str">
        <f>HYPERLINK("https://media.licdn.com/dms/image/v2/D4E10AQF7y2Y5ClEVdA/image-shrink_1280/B4EZl2KEOzIMAM-/0/1758623975235?e=2147483647&amp;v=beta&amp;t=rK1pjkUeowxLoGRyxqcylH38hKtMtGti7k0iVr9aT7M","View Creative")</f>
        <v>View Creative</v>
      </c>
      <c r="L1018" s="4" t="s">
        <v>106</v>
      </c>
      <c r="M1018" s="4" t="s">
        <v>61</v>
      </c>
      <c r="O1018" s="4" t="s">
        <v>63</v>
      </c>
      <c r="P1018" s="4" t="s">
        <v>64</v>
      </c>
    </row>
    <row r="1019">
      <c r="A1019" s="4" t="s">
        <v>40</v>
      </c>
      <c r="B1019" s="4" t="s">
        <v>40</v>
      </c>
      <c r="C1019" s="4">
        <v>1017.0</v>
      </c>
      <c r="D1019" s="5" t="str">
        <f>HYPERLINK("https://www.linkedin.com/ad-library/detail/771612114","Open Ad")</f>
        <v>Open Ad</v>
      </c>
      <c r="E1019" s="4" t="s">
        <v>78</v>
      </c>
      <c r="F1019" s="4" t="s">
        <v>54</v>
      </c>
      <c r="G1019" s="4" t="s">
        <v>5472</v>
      </c>
      <c r="H1019" s="4" t="s">
        <v>49</v>
      </c>
      <c r="I1019" s="4" t="s">
        <v>661</v>
      </c>
      <c r="J1019" s="4" t="s">
        <v>78</v>
      </c>
      <c r="K1019" s="5" t="str">
        <f>HYPERLINK("https://media.licdn.com/dms/image/v2/D4E10AQEd9x9tvxKAuQ/image-shrink_1280/B4EZl2J.loKsAM-/0/1758623952938?e=2147483647&amp;v=beta&amp;t=oke5ZUigRGfPfbuBfhDFmpcdaPvsJTzqQNkUcVc6FuY","View Creative")</f>
        <v>View Creative</v>
      </c>
      <c r="L1019" s="4" t="s">
        <v>106</v>
      </c>
      <c r="M1019" s="4" t="s">
        <v>61</v>
      </c>
      <c r="O1019" s="4" t="s">
        <v>63</v>
      </c>
      <c r="P1019" s="4" t="s">
        <v>64</v>
      </c>
    </row>
    <row r="1020">
      <c r="A1020" s="4" t="s">
        <v>40</v>
      </c>
      <c r="B1020" s="4" t="s">
        <v>40</v>
      </c>
      <c r="C1020" s="4">
        <v>1018.0</v>
      </c>
      <c r="D1020" s="5" t="str">
        <f>HYPERLINK("https://www.linkedin.com/ad-library/detail/771542514","Open Ad")</f>
        <v>Open Ad</v>
      </c>
      <c r="E1020" s="4" t="s">
        <v>78</v>
      </c>
      <c r="F1020" s="4" t="s">
        <v>54</v>
      </c>
      <c r="G1020" s="4" t="s">
        <v>5466</v>
      </c>
      <c r="H1020" s="4" t="s">
        <v>49</v>
      </c>
      <c r="I1020" s="4" t="s">
        <v>661</v>
      </c>
      <c r="J1020" s="4" t="s">
        <v>78</v>
      </c>
      <c r="K1020" s="5" t="str">
        <f>HYPERLINK("https://media.licdn.com/dms/image/v2/D4E10AQEudW6xszD_QQ/image-shrink_1280/B4EZl2KDvaKYAM-/0/1758623973376?e=2147483647&amp;v=beta&amp;t=HHetCNFfBIXdjVDmERY3wrqIF6vMY4yTMRiPgAFBQH8","View Creative")</f>
        <v>View Creative</v>
      </c>
      <c r="L1020" s="4" t="s">
        <v>106</v>
      </c>
      <c r="M1020" s="4" t="s">
        <v>61</v>
      </c>
      <c r="O1020" s="4" t="s">
        <v>63</v>
      </c>
      <c r="P1020" s="4" t="s">
        <v>64</v>
      </c>
    </row>
    <row r="1021">
      <c r="A1021" s="4" t="s">
        <v>40</v>
      </c>
      <c r="B1021" s="4" t="s">
        <v>40</v>
      </c>
      <c r="C1021" s="4">
        <v>1019.0</v>
      </c>
      <c r="D1021" s="5" t="str">
        <f>HYPERLINK("https://www.linkedin.com/ad-library/detail/771701384","Open Ad")</f>
        <v>Open Ad</v>
      </c>
      <c r="E1021" s="4" t="s">
        <v>78</v>
      </c>
      <c r="F1021" s="4" t="s">
        <v>54</v>
      </c>
      <c r="G1021" s="4" t="s">
        <v>5469</v>
      </c>
      <c r="H1021" s="4" t="s">
        <v>49</v>
      </c>
      <c r="I1021" s="4" t="s">
        <v>661</v>
      </c>
      <c r="J1021" s="4" t="s">
        <v>78</v>
      </c>
      <c r="K1021" s="5" t="str">
        <f>HYPERLINK("https://media.licdn.com/dms/image/v2/D4E10AQHMJH6YW7HyqA/image-shrink_1280/B4EZl2J.qWHEAM-/0/1758623952693?e=2147483647&amp;v=beta&amp;t=FspXJh3Ux7F3WOPniAmXDtNqDzabf5WwLNJKOaLQknk","View Creative")</f>
        <v>View Creative</v>
      </c>
      <c r="L1021" s="4" t="s">
        <v>106</v>
      </c>
      <c r="M1021" s="4" t="s">
        <v>61</v>
      </c>
      <c r="O1021" s="4" t="s">
        <v>63</v>
      </c>
      <c r="P1021" s="4" t="s">
        <v>64</v>
      </c>
    </row>
    <row r="1022">
      <c r="A1022" s="4" t="s">
        <v>40</v>
      </c>
      <c r="B1022" s="4" t="s">
        <v>40</v>
      </c>
      <c r="C1022" s="4">
        <v>1020.0</v>
      </c>
      <c r="D1022" s="5" t="str">
        <f>HYPERLINK("https://www.linkedin.com/ad-library/detail/771502424","Open Ad")</f>
        <v>Open Ad</v>
      </c>
      <c r="E1022" s="4" t="s">
        <v>78</v>
      </c>
      <c r="F1022" s="4" t="s">
        <v>54</v>
      </c>
      <c r="G1022" s="4" t="s">
        <v>5472</v>
      </c>
      <c r="H1022" s="4" t="s">
        <v>49</v>
      </c>
      <c r="I1022" s="4" t="s">
        <v>661</v>
      </c>
      <c r="J1022" s="4" t="s">
        <v>78</v>
      </c>
      <c r="K1022" s="5" t="str">
        <f>HYPERLINK("https://media.licdn.com/dms/image/v2/D4E10AQGbtyCLwkdw_g/image-shrink_1280/B4EZl2J.eSKsAM-/0/1758623951576?e=2147483647&amp;v=beta&amp;t=WgMGmt0d4pcKXJJTYqwsiM5nUJjibipwAr187qrsTew","View Creative")</f>
        <v>View Creative</v>
      </c>
      <c r="L1022" s="4" t="s">
        <v>106</v>
      </c>
      <c r="M1022" s="4" t="s">
        <v>61</v>
      </c>
      <c r="O1022" s="4" t="s">
        <v>63</v>
      </c>
      <c r="P1022" s="4" t="s">
        <v>64</v>
      </c>
    </row>
    <row r="1023">
      <c r="A1023" s="4" t="s">
        <v>40</v>
      </c>
      <c r="B1023" s="4" t="s">
        <v>40</v>
      </c>
      <c r="C1023" s="4">
        <v>1021.0</v>
      </c>
      <c r="D1023" s="5" t="str">
        <f>HYPERLINK("https://www.linkedin.com/ad-library/detail/771502434","Open Ad")</f>
        <v>Open Ad</v>
      </c>
      <c r="E1023" s="4" t="s">
        <v>78</v>
      </c>
      <c r="F1023" s="4" t="s">
        <v>54</v>
      </c>
      <c r="G1023" s="4" t="s">
        <v>5472</v>
      </c>
      <c r="H1023" s="4" t="s">
        <v>49</v>
      </c>
      <c r="I1023" s="4" t="s">
        <v>661</v>
      </c>
      <c r="J1023" s="4" t="s">
        <v>78</v>
      </c>
      <c r="K1023" s="5" t="str">
        <f>HYPERLINK("https://media.licdn.com/dms/image/v2/D4E10AQHl10vNGj3QtQ/image-shrink_1280/B4EZl2J.jmGUAM-/0/1758623952421?e=2147483647&amp;v=beta&amp;t=hwi2YwIrJ57XedvEbnfeDEI201LMiVcVxiwXGnM5PKM","View Creative")</f>
        <v>View Creative</v>
      </c>
      <c r="L1023" s="4" t="s">
        <v>106</v>
      </c>
      <c r="M1023" s="4" t="s">
        <v>61</v>
      </c>
      <c r="O1023" s="4" t="s">
        <v>63</v>
      </c>
      <c r="P1023" s="4" t="s">
        <v>64</v>
      </c>
    </row>
    <row r="1024">
      <c r="A1024" s="4" t="s">
        <v>40</v>
      </c>
      <c r="B1024" s="4" t="s">
        <v>40</v>
      </c>
      <c r="C1024" s="4">
        <v>1022.0</v>
      </c>
      <c r="D1024" s="5" t="str">
        <f>HYPERLINK("https://www.linkedin.com/ad-library/detail/771512654","Open Ad")</f>
        <v>Open Ad</v>
      </c>
      <c r="E1024" s="4" t="s">
        <v>78</v>
      </c>
      <c r="F1024" s="4" t="s">
        <v>54</v>
      </c>
      <c r="G1024" s="4" t="s">
        <v>5466</v>
      </c>
      <c r="H1024" s="4" t="s">
        <v>49</v>
      </c>
      <c r="I1024" s="4" t="s">
        <v>661</v>
      </c>
      <c r="J1024" s="4" t="s">
        <v>78</v>
      </c>
      <c r="K1024" s="5" t="str">
        <f>HYPERLINK("https://media.licdn.com/dms/image/v2/D4E10AQE0ptfDga4PUA/image-shrink_1280/B4EZl2KDssKsAM-/0/1758623973254?e=2147483647&amp;v=beta&amp;t=47o22s5czGJkwXGiSYP9JcJN9v4ETG7idWtsM-ePHn4","View Creative")</f>
        <v>View Creative</v>
      </c>
      <c r="L1024" s="4" t="s">
        <v>106</v>
      </c>
      <c r="M1024" s="4" t="s">
        <v>61</v>
      </c>
      <c r="O1024" s="4" t="s">
        <v>63</v>
      </c>
      <c r="P1024" s="4" t="s">
        <v>64</v>
      </c>
    </row>
    <row r="1025">
      <c r="A1025" s="4" t="s">
        <v>40</v>
      </c>
      <c r="B1025" s="4" t="s">
        <v>40</v>
      </c>
      <c r="C1025" s="4">
        <v>1023.0</v>
      </c>
      <c r="D1025" s="5" t="str">
        <f>HYPERLINK("https://www.linkedin.com/ad-library/detail/771671814","Open Ad")</f>
        <v>Open Ad</v>
      </c>
      <c r="E1025" s="4" t="s">
        <v>78</v>
      </c>
      <c r="F1025" s="4" t="s">
        <v>54</v>
      </c>
      <c r="G1025" s="4" t="s">
        <v>5466</v>
      </c>
      <c r="H1025" s="4" t="s">
        <v>49</v>
      </c>
      <c r="I1025" s="4" t="s">
        <v>661</v>
      </c>
      <c r="J1025" s="4" t="s">
        <v>78</v>
      </c>
      <c r="K1025" s="5" t="str">
        <f>HYPERLINK("https://media.licdn.com/dms/image/v2/D4E10AQGwRC8mPWq6ag/image-shrink_1280/B4EZl2J.gNIkAM-/0/1758623952248?e=2147483647&amp;v=beta&amp;t=XQBP-VvLwoDt3BgqRcZL-GVD1D4B0QvXVfILcmG_AlY","View Creative")</f>
        <v>View Creative</v>
      </c>
      <c r="L1025" s="4" t="s">
        <v>106</v>
      </c>
      <c r="M1025" s="4" t="s">
        <v>61</v>
      </c>
      <c r="O1025" s="4" t="s">
        <v>63</v>
      </c>
      <c r="P1025" s="4" t="s">
        <v>64</v>
      </c>
    </row>
    <row r="1026">
      <c r="A1026" s="4" t="s">
        <v>40</v>
      </c>
      <c r="B1026" s="4" t="s">
        <v>40</v>
      </c>
      <c r="C1026" s="4">
        <v>1024.0</v>
      </c>
      <c r="D1026" s="5" t="str">
        <f>HYPERLINK("https://www.linkedin.com/ad-library/detail/771621924","Open Ad")</f>
        <v>Open Ad</v>
      </c>
      <c r="E1026" s="4" t="s">
        <v>78</v>
      </c>
      <c r="F1026" s="4" t="s">
        <v>54</v>
      </c>
      <c r="G1026" s="4" t="s">
        <v>5466</v>
      </c>
      <c r="H1026" s="4" t="s">
        <v>49</v>
      </c>
      <c r="I1026" s="4" t="s">
        <v>661</v>
      </c>
      <c r="J1026" s="4" t="s">
        <v>78</v>
      </c>
      <c r="K1026" s="5" t="str">
        <f>HYPERLINK("https://media.licdn.com/dms/image/v2/D4E10AQFLoLDDK07ERw/image-shrink_1280/B4EZl2J.gHIkAM-/0/1758623951958?e=2147483647&amp;v=beta&amp;t=Q7uu3RpEyGKn4zVFgRByTsjncTknm_5retvpNbdnU28","View Creative")</f>
        <v>View Creative</v>
      </c>
      <c r="L1026" s="4" t="s">
        <v>106</v>
      </c>
      <c r="M1026" s="4" t="s">
        <v>61</v>
      </c>
      <c r="O1026" s="4" t="s">
        <v>63</v>
      </c>
      <c r="P1026" s="4" t="s">
        <v>64</v>
      </c>
    </row>
    <row r="1027">
      <c r="A1027" s="4" t="s">
        <v>40</v>
      </c>
      <c r="B1027" s="4" t="s">
        <v>40</v>
      </c>
      <c r="C1027" s="4">
        <v>1025.0</v>
      </c>
      <c r="D1027" s="5" t="str">
        <f>HYPERLINK("https://www.linkedin.com/ad-library/detail/771601844","Open Ad")</f>
        <v>Open Ad</v>
      </c>
      <c r="E1027" s="4" t="s">
        <v>78</v>
      </c>
      <c r="F1027" s="4" t="s">
        <v>54</v>
      </c>
      <c r="G1027" s="4" t="s">
        <v>5472</v>
      </c>
      <c r="H1027" s="4" t="s">
        <v>49</v>
      </c>
      <c r="I1027" s="4" t="s">
        <v>661</v>
      </c>
      <c r="J1027" s="4" t="s">
        <v>78</v>
      </c>
      <c r="K1027" s="5" t="str">
        <f>HYPERLINK("https://media.licdn.com/dms/image/v2/D4E10AQFZzKqO_YgflQ/image-shrink_1280/B4EZl2KDtRGoAM-/0/1758623973102?e=2147483647&amp;v=beta&amp;t=tYrTK0AjO8G6ZFDI4mMYFc60ajm-D1xRr6_mO7XX9T0","View Creative")</f>
        <v>View Creative</v>
      </c>
      <c r="L1027" s="4" t="s">
        <v>106</v>
      </c>
      <c r="M1027" s="4" t="s">
        <v>61</v>
      </c>
      <c r="O1027" s="4" t="s">
        <v>63</v>
      </c>
      <c r="P1027" s="4" t="s">
        <v>64</v>
      </c>
    </row>
    <row r="1028">
      <c r="A1028" s="4" t="s">
        <v>40</v>
      </c>
      <c r="B1028" s="4" t="s">
        <v>40</v>
      </c>
      <c r="C1028" s="4">
        <v>1026.0</v>
      </c>
      <c r="D1028" s="5" t="str">
        <f>HYPERLINK("https://www.linkedin.com/ad-library/detail/771661794","Open Ad")</f>
        <v>Open Ad</v>
      </c>
      <c r="E1028" s="4" t="s">
        <v>78</v>
      </c>
      <c r="F1028" s="4" t="s">
        <v>54</v>
      </c>
      <c r="G1028" s="4" t="s">
        <v>5469</v>
      </c>
      <c r="H1028" s="4" t="s">
        <v>49</v>
      </c>
      <c r="I1028" s="4" t="s">
        <v>661</v>
      </c>
      <c r="J1028" s="4" t="s">
        <v>78</v>
      </c>
      <c r="K1028" s="5" t="str">
        <f>HYPERLINK("https://media.licdn.com/dms/image/v2/D4E10AQHjMdk5yOFU2g/image-shrink_1280/B4EZl2KDs2IoAM-/0/1758623974418?e=2147483647&amp;v=beta&amp;t=_O4QhCaEWFuJCJKj-sHRVTaAMjEwQkjIkeGlup33J2U","View Creative")</f>
        <v>View Creative</v>
      </c>
      <c r="L1028" s="4" t="s">
        <v>106</v>
      </c>
      <c r="M1028" s="4" t="s">
        <v>61</v>
      </c>
      <c r="O1028" s="4" t="s">
        <v>63</v>
      </c>
      <c r="P1028" s="4" t="s">
        <v>64</v>
      </c>
    </row>
    <row r="1029">
      <c r="A1029" s="4" t="s">
        <v>40</v>
      </c>
      <c r="B1029" s="4" t="s">
        <v>40</v>
      </c>
      <c r="C1029" s="4">
        <v>1027.0</v>
      </c>
      <c r="D1029" s="5" t="str">
        <f>HYPERLINK("https://www.linkedin.com/ad-library/detail/771641734","Open Ad")</f>
        <v>Open Ad</v>
      </c>
      <c r="E1029" s="4" t="s">
        <v>78</v>
      </c>
      <c r="F1029" s="4" t="s">
        <v>54</v>
      </c>
      <c r="G1029" s="4" t="s">
        <v>5469</v>
      </c>
      <c r="H1029" s="4" t="s">
        <v>49</v>
      </c>
      <c r="I1029" s="4" t="s">
        <v>661</v>
      </c>
      <c r="J1029" s="4" t="s">
        <v>78</v>
      </c>
      <c r="K1029" s="5" t="str">
        <f>HYPERLINK("https://media.licdn.com/dms/image/v2/D4E10AQEoxF0Y1WbR2g/image-shrink_1280/B4EZl2J.xGIwAQ-/0/1758623953249?e=2147483647&amp;v=beta&amp;t=CXPjfurSNLKb4ZVfqd5y8ErF6kthOX4hllMVUmQtMxs","View Creative")</f>
        <v>View Creative</v>
      </c>
      <c r="L1029" s="4" t="s">
        <v>106</v>
      </c>
      <c r="M1029" s="4" t="s">
        <v>61</v>
      </c>
      <c r="O1029" s="4" t="s">
        <v>63</v>
      </c>
      <c r="P1029" s="4" t="s">
        <v>64</v>
      </c>
    </row>
    <row r="1030">
      <c r="A1030" s="4" t="s">
        <v>40</v>
      </c>
      <c r="B1030" s="4" t="s">
        <v>40</v>
      </c>
      <c r="C1030" s="4">
        <v>1028.0</v>
      </c>
      <c r="D1030" s="5" t="str">
        <f>HYPERLINK("https://www.linkedin.com/ad-library/detail/771582074","Open Ad")</f>
        <v>Open Ad</v>
      </c>
      <c r="E1030" s="4" t="s">
        <v>78</v>
      </c>
      <c r="F1030" s="4" t="s">
        <v>54</v>
      </c>
      <c r="G1030" s="4" t="s">
        <v>5469</v>
      </c>
      <c r="H1030" s="4" t="s">
        <v>49</v>
      </c>
      <c r="I1030" s="4" t="s">
        <v>661</v>
      </c>
      <c r="J1030" s="4" t="s">
        <v>78</v>
      </c>
      <c r="K1030" s="5" t="str">
        <f>HYPERLINK("https://media.licdn.com/dms/image/v2/D4E10AQEaCblSSyCxxQ/image-shrink_1280/B4EZl2KJJyGYAM-/0/1758623995284?e=2147483647&amp;v=beta&amp;t=xUgxH8gEe472N_eKVEVT3mwqjHTcStzQwq1JhsxvL3A","View Creative")</f>
        <v>View Creative</v>
      </c>
      <c r="L1030" s="4" t="s">
        <v>106</v>
      </c>
      <c r="M1030" s="4" t="s">
        <v>61</v>
      </c>
      <c r="O1030" s="4" t="s">
        <v>63</v>
      </c>
      <c r="P1030" s="4" t="s">
        <v>64</v>
      </c>
    </row>
    <row r="1031">
      <c r="A1031" s="4" t="s">
        <v>40</v>
      </c>
      <c r="B1031" s="4" t="s">
        <v>40</v>
      </c>
      <c r="C1031" s="4">
        <v>1029.0</v>
      </c>
      <c r="D1031" s="5" t="str">
        <f>HYPERLINK("https://www.linkedin.com/ad-library/detail/771552314","Open Ad")</f>
        <v>Open Ad</v>
      </c>
      <c r="E1031" s="4" t="s">
        <v>78</v>
      </c>
      <c r="F1031" s="4" t="s">
        <v>54</v>
      </c>
      <c r="G1031" s="4" t="s">
        <v>5466</v>
      </c>
      <c r="H1031" s="4" t="s">
        <v>49</v>
      </c>
      <c r="I1031" s="4" t="s">
        <v>661</v>
      </c>
      <c r="J1031" s="4" t="s">
        <v>78</v>
      </c>
      <c r="K1031" s="5" t="str">
        <f>HYPERLINK("https://media.licdn.com/dms/image/v2/D4E10AQGjMN6B4PCdrg/image-shrink_1280/B4EZl2KDs_GcAM-/0/1758623973329?e=2147483647&amp;v=beta&amp;t=axYlnvgZhMG_C04rJXb3KIQV3MVoXQsqH8FnBLQJgXA","View Creative")</f>
        <v>View Creative</v>
      </c>
      <c r="L1031" s="4" t="s">
        <v>106</v>
      </c>
      <c r="M1031" s="4" t="s">
        <v>61</v>
      </c>
      <c r="O1031" s="4" t="s">
        <v>63</v>
      </c>
      <c r="P1031" s="4" t="s">
        <v>64</v>
      </c>
    </row>
    <row r="1032">
      <c r="A1032" s="4" t="s">
        <v>40</v>
      </c>
      <c r="B1032" s="4" t="s">
        <v>40</v>
      </c>
      <c r="C1032" s="4">
        <v>1030.0</v>
      </c>
      <c r="D1032" s="5" t="str">
        <f>HYPERLINK("https://www.linkedin.com/ad-library/detail/771582064","Open Ad")</f>
        <v>Open Ad</v>
      </c>
      <c r="E1032" s="4" t="s">
        <v>78</v>
      </c>
      <c r="F1032" s="4" t="s">
        <v>54</v>
      </c>
      <c r="G1032" s="4" t="s">
        <v>5472</v>
      </c>
      <c r="H1032" s="4" t="s">
        <v>49</v>
      </c>
      <c r="I1032" s="4" t="s">
        <v>661</v>
      </c>
      <c r="J1032" s="4" t="s">
        <v>78</v>
      </c>
      <c r="K1032" s="5" t="str">
        <f>HYPERLINK("https://media.licdn.com/dms/image/v2/D4E10AQFt7TbYFX2Uqw/image-shrink_1280/B4EZl2J5fTKUAM-/0/1758623931989?e=2147483647&amp;v=beta&amp;t=C84LETsrfq3y7Jc9iZVfxfFZcOkn1bHs_izHw64RrTo","View Creative")</f>
        <v>View Creative</v>
      </c>
      <c r="L1032" s="4" t="s">
        <v>106</v>
      </c>
      <c r="M1032" s="4" t="s">
        <v>61</v>
      </c>
      <c r="O1032" s="4" t="s">
        <v>63</v>
      </c>
      <c r="P1032" s="4" t="s">
        <v>64</v>
      </c>
    </row>
    <row r="1033">
      <c r="A1033" s="4" t="s">
        <v>40</v>
      </c>
      <c r="B1033" s="4" t="s">
        <v>40</v>
      </c>
      <c r="C1033" s="4">
        <v>1031.0</v>
      </c>
      <c r="D1033" s="5" t="str">
        <f>HYPERLINK("https://www.linkedin.com/ad-library/detail/771512624","Open Ad")</f>
        <v>Open Ad</v>
      </c>
      <c r="E1033" s="4" t="s">
        <v>78</v>
      </c>
      <c r="F1033" s="4" t="s">
        <v>54</v>
      </c>
      <c r="G1033" s="4" t="s">
        <v>5466</v>
      </c>
      <c r="H1033" s="4" t="s">
        <v>49</v>
      </c>
      <c r="I1033" s="4" t="s">
        <v>661</v>
      </c>
      <c r="J1033" s="4" t="s">
        <v>78</v>
      </c>
      <c r="K1033" s="5" t="str">
        <f>HYPERLINK("https://media.licdn.com/dms/image/v2/D4E10AQHSum9hzSw5Mg/image-shrink_1280/B4EZl2J5WJKYAM-/0/1758623930807?e=2147483647&amp;v=beta&amp;t=CkMJixE8SwcaCf6xigDYtiR3v2bKRnn_zYd-jGS3Lzs","View Creative")</f>
        <v>View Creative</v>
      </c>
      <c r="L1033" s="4" t="s">
        <v>106</v>
      </c>
      <c r="M1033" s="4" t="s">
        <v>61</v>
      </c>
      <c r="O1033" s="4" t="s">
        <v>63</v>
      </c>
      <c r="P1033" s="4" t="s">
        <v>64</v>
      </c>
    </row>
    <row r="1034">
      <c r="A1034" s="4" t="s">
        <v>40</v>
      </c>
      <c r="B1034" s="4" t="s">
        <v>40</v>
      </c>
      <c r="C1034" s="4">
        <v>1032.0</v>
      </c>
      <c r="D1034" s="5" t="str">
        <f>HYPERLINK("https://www.linkedin.com/ad-library/detail/771512644","Open Ad")</f>
        <v>Open Ad</v>
      </c>
      <c r="E1034" s="4" t="s">
        <v>78</v>
      </c>
      <c r="F1034" s="4" t="s">
        <v>54</v>
      </c>
      <c r="G1034" s="4" t="s">
        <v>5472</v>
      </c>
      <c r="H1034" s="4" t="s">
        <v>49</v>
      </c>
      <c r="I1034" s="4" t="s">
        <v>661</v>
      </c>
      <c r="J1034" s="4" t="s">
        <v>78</v>
      </c>
      <c r="K1034" s="5" t="str">
        <f>HYPERLINK("https://media.licdn.com/dms/image/v2/D4E10AQEqEXUUr5RsQw/image-shrink_1280/B4EZl2KDqPIkAU-/0/1758623972834?e=2147483647&amp;v=beta&amp;t=I6V3mMpmsfNiRz_YFOrgmN-0el8crSC8pchIPQv34RQ","View Creative")</f>
        <v>View Creative</v>
      </c>
      <c r="L1034" s="4" t="s">
        <v>106</v>
      </c>
      <c r="M1034" s="4" t="s">
        <v>61</v>
      </c>
      <c r="O1034" s="4" t="s">
        <v>63</v>
      </c>
      <c r="P1034" s="4" t="s">
        <v>64</v>
      </c>
    </row>
    <row r="1035">
      <c r="A1035" s="4" t="s">
        <v>40</v>
      </c>
      <c r="B1035" s="4" t="s">
        <v>40</v>
      </c>
      <c r="C1035" s="4">
        <v>1033.0</v>
      </c>
      <c r="D1035" s="5" t="str">
        <f>HYPERLINK("https://www.linkedin.com/ad-library/detail/771592174","Open Ad")</f>
        <v>Open Ad</v>
      </c>
      <c r="E1035" s="4" t="s">
        <v>78</v>
      </c>
      <c r="F1035" s="4" t="s">
        <v>54</v>
      </c>
      <c r="G1035" s="4" t="s">
        <v>5472</v>
      </c>
      <c r="H1035" s="4" t="s">
        <v>49</v>
      </c>
      <c r="I1035" s="4" t="s">
        <v>661</v>
      </c>
      <c r="J1035" s="4" t="s">
        <v>78</v>
      </c>
      <c r="K1035" s="5" t="str">
        <f>HYPERLINK("https://media.licdn.com/dms/image/v2/D4E10AQEVDQxjCIOTnQ/image-shrink_1280/B4EZl2J0X8HcAQ-/0/1758623910668?e=2147483647&amp;v=beta&amp;t=RFdFS03nvMdExFN9s07AVdr5b7rw02164HxlKivPq2g","View Creative")</f>
        <v>View Creative</v>
      </c>
      <c r="L1035" s="4" t="s">
        <v>106</v>
      </c>
      <c r="M1035" s="4" t="s">
        <v>61</v>
      </c>
      <c r="O1035" s="4" t="s">
        <v>63</v>
      </c>
      <c r="P1035" s="4" t="s">
        <v>64</v>
      </c>
    </row>
    <row r="1036">
      <c r="A1036" s="4" t="s">
        <v>40</v>
      </c>
      <c r="B1036" s="4" t="s">
        <v>40</v>
      </c>
      <c r="C1036" s="4">
        <v>1034.0</v>
      </c>
      <c r="D1036" s="5" t="str">
        <f>HYPERLINK("https://www.linkedin.com/ad-library/detail/771502404","Open Ad")</f>
        <v>Open Ad</v>
      </c>
      <c r="E1036" s="4" t="s">
        <v>78</v>
      </c>
      <c r="F1036" s="4" t="s">
        <v>54</v>
      </c>
      <c r="G1036" s="4" t="s">
        <v>5469</v>
      </c>
      <c r="H1036" s="4" t="s">
        <v>49</v>
      </c>
      <c r="I1036" s="4" t="s">
        <v>661</v>
      </c>
      <c r="J1036" s="4" t="s">
        <v>78</v>
      </c>
      <c r="K1036" s="5" t="str">
        <f>HYPERLINK("https://media.licdn.com/dms/image/v2/D4E10AQFhEpnGSODmAQ/image-shrink_1280/B4EZl2JvNqIwAM-/0/1758623889896?e=2147483647&amp;v=beta&amp;t=WvNXtcPwJaROMXCimZNommGw3vS4ByuKbiQ22YgB0v8","View Creative")</f>
        <v>View Creative</v>
      </c>
      <c r="L1036" s="4" t="s">
        <v>106</v>
      </c>
      <c r="M1036" s="4" t="s">
        <v>61</v>
      </c>
      <c r="O1036" s="4" t="s">
        <v>63</v>
      </c>
      <c r="P1036" s="4" t="s">
        <v>64</v>
      </c>
    </row>
    <row r="1037">
      <c r="A1037" s="4" t="s">
        <v>40</v>
      </c>
      <c r="B1037" s="4" t="s">
        <v>40</v>
      </c>
      <c r="C1037" s="4">
        <v>1035.0</v>
      </c>
      <c r="D1037" s="5" t="str">
        <f>HYPERLINK("https://www.linkedin.com/ad-library/detail/771542484","Open Ad")</f>
        <v>Open Ad</v>
      </c>
      <c r="E1037" s="4" t="s">
        <v>78</v>
      </c>
      <c r="F1037" s="4" t="s">
        <v>54</v>
      </c>
      <c r="G1037" s="4" t="s">
        <v>5466</v>
      </c>
      <c r="H1037" s="4" t="s">
        <v>49</v>
      </c>
      <c r="I1037" s="4" t="s">
        <v>661</v>
      </c>
      <c r="J1037" s="4" t="s">
        <v>78</v>
      </c>
      <c r="K1037" s="5" t="str">
        <f>HYPERLINK("https://media.licdn.com/dms/image/v2/D4E10AQE0N8YUbunjeQ/image-shrink_1280/B4EZl2J0UAHgAQ-/0/1758623910424?e=2147483647&amp;v=beta&amp;t=zWJ9hfCG9y73ppgJK_mMUHcLCMr-1pSR-WaP2ysfShE","View Creative")</f>
        <v>View Creative</v>
      </c>
      <c r="L1037" s="4" t="s">
        <v>106</v>
      </c>
      <c r="M1037" s="4" t="s">
        <v>61</v>
      </c>
      <c r="O1037" s="4" t="s">
        <v>63</v>
      </c>
      <c r="P1037" s="4" t="s">
        <v>64</v>
      </c>
    </row>
    <row r="1038">
      <c r="A1038" s="4" t="s">
        <v>40</v>
      </c>
      <c r="B1038" s="4" t="s">
        <v>40</v>
      </c>
      <c r="C1038" s="4">
        <v>1036.0</v>
      </c>
      <c r="D1038" s="5" t="str">
        <f>HYPERLINK("https://www.linkedin.com/ad-library/detail/771571864","Open Ad")</f>
        <v>Open Ad</v>
      </c>
      <c r="E1038" s="4" t="s">
        <v>78</v>
      </c>
      <c r="F1038" s="4" t="s">
        <v>54</v>
      </c>
      <c r="G1038" s="4" t="s">
        <v>5472</v>
      </c>
      <c r="H1038" s="4" t="s">
        <v>49</v>
      </c>
      <c r="I1038" s="4" t="s">
        <v>661</v>
      </c>
      <c r="J1038" s="4" t="s">
        <v>78</v>
      </c>
      <c r="K1038" s="5" t="str">
        <f>HYPERLINK("https://media.licdn.com/dms/image/v2/D4E10AQGXRNlDUu4iUw/image-shrink_1280/B4EZl2JvXaIIAM-/0/1758623889755?e=2147483647&amp;v=beta&amp;t=TjEIMSUoiWP7J9da7t5Rseae6kWkn1-s2oGcVGommOU","View Creative")</f>
        <v>View Creative</v>
      </c>
      <c r="L1038" s="4" t="s">
        <v>106</v>
      </c>
      <c r="M1038" s="4" t="s">
        <v>61</v>
      </c>
      <c r="O1038" s="4" t="s">
        <v>63</v>
      </c>
      <c r="P1038" s="4" t="s">
        <v>64</v>
      </c>
    </row>
    <row r="1039">
      <c r="A1039" s="4" t="s">
        <v>40</v>
      </c>
      <c r="B1039" s="4" t="s">
        <v>40</v>
      </c>
      <c r="C1039" s="4">
        <v>1037.0</v>
      </c>
      <c r="D1039" s="5" t="str">
        <f>HYPERLINK("https://www.linkedin.com/ad-library/detail/771571874","Open Ad")</f>
        <v>Open Ad</v>
      </c>
      <c r="E1039" s="4" t="s">
        <v>78</v>
      </c>
      <c r="F1039" s="4" t="s">
        <v>54</v>
      </c>
      <c r="G1039" s="4" t="s">
        <v>5469</v>
      </c>
      <c r="H1039" s="4" t="s">
        <v>49</v>
      </c>
      <c r="I1039" s="4" t="s">
        <v>661</v>
      </c>
      <c r="J1039" s="4" t="s">
        <v>78</v>
      </c>
      <c r="K1039" s="5" t="str">
        <f>HYPERLINK("https://media.licdn.com/dms/image/v2/D4E10AQHy_1_drn5iKw/image-shrink_1280/B4EZl2J0WzHEAM-/0/1758623910147?e=2147483647&amp;v=beta&amp;t=UfNqTcQyTQAl_nYr2Fx9jpyrfxj9qPEdg_rHVgWg1Yo","View Creative")</f>
        <v>View Creative</v>
      </c>
      <c r="L1039" s="4" t="s">
        <v>106</v>
      </c>
      <c r="M1039" s="4" t="s">
        <v>61</v>
      </c>
      <c r="O1039" s="4" t="s">
        <v>63</v>
      </c>
      <c r="P1039" s="4" t="s">
        <v>64</v>
      </c>
    </row>
    <row r="1040">
      <c r="A1040" s="4" t="s">
        <v>40</v>
      </c>
      <c r="B1040" s="4" t="s">
        <v>40</v>
      </c>
      <c r="C1040" s="4">
        <v>1038.0</v>
      </c>
      <c r="D1040" s="5" t="str">
        <f>HYPERLINK("https://www.linkedin.com/ad-library/detail/771542474","Open Ad")</f>
        <v>Open Ad</v>
      </c>
      <c r="E1040" s="4" t="s">
        <v>78</v>
      </c>
      <c r="F1040" s="4" t="s">
        <v>54</v>
      </c>
      <c r="G1040" s="4" t="s">
        <v>5466</v>
      </c>
      <c r="H1040" s="4" t="s">
        <v>49</v>
      </c>
      <c r="I1040" s="4" t="s">
        <v>661</v>
      </c>
      <c r="J1040" s="4" t="s">
        <v>78</v>
      </c>
      <c r="K1040" s="5" t="str">
        <f>HYPERLINK("https://media.licdn.com/dms/image/v2/D4E10AQHRSma5ZjVHkg/image-shrink_1280/B4EZl2J0S2KgAQ-/0/1758623910082?e=2147483647&amp;v=beta&amp;t=Bf0c-Muwy-VzybVmfpzrpDCvdJpr555f-a1UdaaNx0I","View Creative")</f>
        <v>View Creative</v>
      </c>
      <c r="L1040" s="4" t="s">
        <v>106</v>
      </c>
      <c r="M1040" s="4" t="s">
        <v>61</v>
      </c>
      <c r="O1040" s="4" t="s">
        <v>63</v>
      </c>
      <c r="P1040" s="4" t="s">
        <v>64</v>
      </c>
    </row>
    <row r="1041">
      <c r="A1041" s="4" t="s">
        <v>40</v>
      </c>
      <c r="B1041" s="4" t="s">
        <v>40</v>
      </c>
      <c r="C1041" s="4">
        <v>1039.0</v>
      </c>
      <c r="D1041" s="5" t="str">
        <f>HYPERLINK("https://www.linkedin.com/ad-library/detail/771631924","Open Ad")</f>
        <v>Open Ad</v>
      </c>
      <c r="E1041" s="4" t="s">
        <v>78</v>
      </c>
      <c r="F1041" s="4" t="s">
        <v>54</v>
      </c>
      <c r="G1041" s="4" t="s">
        <v>5469</v>
      </c>
      <c r="H1041" s="4" t="s">
        <v>49</v>
      </c>
      <c r="I1041" s="4" t="s">
        <v>661</v>
      </c>
      <c r="J1041" s="4" t="s">
        <v>78</v>
      </c>
      <c r="K1041" s="5" t="str">
        <f>HYPERLINK("https://media.licdn.com/dms/image/v2/D4E10AQHqicI-i5jAFA/image-shrink_1280/B4EZl2Jux9HEAQ-/0/1758623887917?e=2147483647&amp;v=beta&amp;t=B4NEFS7K2bK1jq8-d2AxPD6QSbrV_vrJv5IZI13dL2c","View Creative")</f>
        <v>View Creative</v>
      </c>
      <c r="L1041" s="4" t="s">
        <v>106</v>
      </c>
      <c r="M1041" s="4" t="s">
        <v>61</v>
      </c>
      <c r="O1041" s="4" t="s">
        <v>63</v>
      </c>
      <c r="P1041" s="4" t="s">
        <v>64</v>
      </c>
    </row>
    <row r="1042">
      <c r="A1042" s="4" t="s">
        <v>40</v>
      </c>
      <c r="B1042" s="4" t="s">
        <v>40</v>
      </c>
      <c r="C1042" s="4">
        <v>1040.0</v>
      </c>
      <c r="D1042" s="5" t="str">
        <f>HYPERLINK("https://www.linkedin.com/ad-library/detail/771552274","Open Ad")</f>
        <v>Open Ad</v>
      </c>
      <c r="E1042" s="4" t="s">
        <v>78</v>
      </c>
      <c r="F1042" s="4" t="s">
        <v>54</v>
      </c>
      <c r="G1042" s="4" t="s">
        <v>5472</v>
      </c>
      <c r="H1042" s="4" t="s">
        <v>49</v>
      </c>
      <c r="I1042" s="4" t="s">
        <v>661</v>
      </c>
      <c r="J1042" s="4" t="s">
        <v>78</v>
      </c>
      <c r="K1042" s="5" t="str">
        <f>HYPERLINK("https://media.licdn.com/dms/image/v2/D4E10AQFLhClU-F6qSQ/image-shrink_1280/B4EZl2J0NvHIAM-/0/1758623909677?e=2147483647&amp;v=beta&amp;t=xKfE8butcuqMoV4YW7s-C7c9laZl7Rz9i14RgIBeEko","View Creative")</f>
        <v>View Creative</v>
      </c>
      <c r="L1042" s="4" t="s">
        <v>106</v>
      </c>
      <c r="M1042" s="4" t="s">
        <v>61</v>
      </c>
      <c r="O1042" s="4" t="s">
        <v>63</v>
      </c>
      <c r="P1042" s="4" t="s">
        <v>64</v>
      </c>
    </row>
    <row r="1043">
      <c r="A1043" s="4" t="s">
        <v>40</v>
      </c>
      <c r="B1043" s="4" t="s">
        <v>40</v>
      </c>
      <c r="C1043" s="4">
        <v>1041.0</v>
      </c>
      <c r="D1043" s="5" t="str">
        <f>HYPERLINK("https://www.linkedin.com/ad-library/detail/771671794","Open Ad")</f>
        <v>Open Ad</v>
      </c>
      <c r="E1043" s="4" t="s">
        <v>78</v>
      </c>
      <c r="F1043" s="4" t="s">
        <v>54</v>
      </c>
      <c r="G1043" s="4" t="s">
        <v>5466</v>
      </c>
      <c r="H1043" s="4" t="s">
        <v>49</v>
      </c>
      <c r="I1043" s="4" t="s">
        <v>661</v>
      </c>
      <c r="J1043" s="4" t="s">
        <v>78</v>
      </c>
      <c r="K1043" s="5" t="str">
        <f>HYPERLINK("https://media.licdn.com/dms/image/v2/D4E10AQFjiNBuiQObRw/image-shrink_1280/B4EZl2Ju1PKcAM-/0/1758623887782?e=2147483647&amp;v=beta&amp;t=w9c_IgcKasN1KGvjRdg6Y48ZdpdD6n2gJkdXsu2xpSM","View Creative")</f>
        <v>View Creative</v>
      </c>
      <c r="L1043" s="4" t="s">
        <v>106</v>
      </c>
      <c r="M1043" s="4" t="s">
        <v>61</v>
      </c>
      <c r="O1043" s="4" t="s">
        <v>63</v>
      </c>
      <c r="P1043" s="4" t="s">
        <v>64</v>
      </c>
    </row>
    <row r="1044">
      <c r="A1044" s="4" t="s">
        <v>40</v>
      </c>
      <c r="B1044" s="4" t="s">
        <v>40</v>
      </c>
      <c r="C1044" s="4">
        <v>1042.0</v>
      </c>
      <c r="D1044" s="5" t="str">
        <f>HYPERLINK("https://www.linkedin.com/ad-library/detail/771552284","Open Ad")</f>
        <v>Open Ad</v>
      </c>
      <c r="E1044" s="4" t="s">
        <v>78</v>
      </c>
      <c r="F1044" s="4" t="s">
        <v>54</v>
      </c>
      <c r="G1044" s="4" t="s">
        <v>5469</v>
      </c>
      <c r="H1044" s="4" t="s">
        <v>49</v>
      </c>
      <c r="I1044" s="4" t="s">
        <v>661</v>
      </c>
      <c r="J1044" s="4" t="s">
        <v>78</v>
      </c>
      <c r="K1044" s="5" t="str">
        <f>HYPERLINK("https://media.licdn.com/dms/image/v2/D4E10AQGlPGF4-6S74w/image-shrink_1280/B4EZl2J5UgGoAM-/0/1758623930565?e=2147483647&amp;v=beta&amp;t=2sTTC7K1u7ouXizvuXTPtD3vhpPTlRed_E_7W7g8Tqg","View Creative")</f>
        <v>View Creative</v>
      </c>
      <c r="L1044" s="4" t="s">
        <v>106</v>
      </c>
      <c r="M1044" s="4" t="s">
        <v>61</v>
      </c>
      <c r="O1044" s="4" t="s">
        <v>63</v>
      </c>
      <c r="P1044" s="4" t="s">
        <v>64</v>
      </c>
    </row>
    <row r="1045">
      <c r="A1045" s="4" t="s">
        <v>40</v>
      </c>
      <c r="B1045" s="4" t="s">
        <v>40</v>
      </c>
      <c r="C1045" s="4">
        <v>1043.0</v>
      </c>
      <c r="D1045" s="5" t="str">
        <f>HYPERLINK("https://www.linkedin.com/ad-library/detail/771552294","Open Ad")</f>
        <v>Open Ad</v>
      </c>
      <c r="E1045" s="4" t="s">
        <v>78</v>
      </c>
      <c r="F1045" s="4" t="s">
        <v>54</v>
      </c>
      <c r="G1045" s="4" t="s">
        <v>5466</v>
      </c>
      <c r="H1045" s="4" t="s">
        <v>49</v>
      </c>
      <c r="I1045" s="4" t="s">
        <v>661</v>
      </c>
      <c r="J1045" s="4" t="s">
        <v>78</v>
      </c>
      <c r="K1045" s="5" t="str">
        <f>HYPERLINK("https://media.licdn.com/dms/image/v2/D4E10AQHhAIT4Tq_7Kw/image-shrink_1280/B4EZl2J5WRKQAQ-/0/1758623930573?e=2147483647&amp;v=beta&amp;t=-e8BR6UhELCpv2BYmg4z2Rz_C1-snbhVhlTjTpAC9VE","View Creative")</f>
        <v>View Creative</v>
      </c>
      <c r="L1045" s="4" t="s">
        <v>106</v>
      </c>
      <c r="M1045" s="4" t="s">
        <v>61</v>
      </c>
      <c r="O1045" s="4" t="s">
        <v>63</v>
      </c>
      <c r="P1045" s="4" t="s">
        <v>64</v>
      </c>
    </row>
    <row r="1046">
      <c r="A1046" s="4" t="s">
        <v>40</v>
      </c>
      <c r="B1046" s="4" t="s">
        <v>40</v>
      </c>
      <c r="C1046" s="4">
        <v>1044.0</v>
      </c>
      <c r="D1046" s="5" t="str">
        <f>HYPERLINK("https://www.linkedin.com/ad-library/detail/771522434","Open Ad")</f>
        <v>Open Ad</v>
      </c>
      <c r="E1046" s="4" t="s">
        <v>78</v>
      </c>
      <c r="F1046" s="4" t="s">
        <v>54</v>
      </c>
      <c r="G1046" s="4" t="s">
        <v>5466</v>
      </c>
      <c r="H1046" s="4" t="s">
        <v>49</v>
      </c>
      <c r="I1046" s="4" t="s">
        <v>661</v>
      </c>
      <c r="J1046" s="4" t="s">
        <v>78</v>
      </c>
      <c r="K1046" s="5" t="str">
        <f>HYPERLINK("https://media.licdn.com/dms/image/v2/D4E10AQFXiaPRLhQWuw/image-shrink_1280/B4EZl2JuvrKQAM-/0/1758623887290?e=2147483647&amp;v=beta&amp;t=n47dYlUt6KcZ7dnNgUcldAgAB2RX8eehKnzD3_aI2LI","View Creative")</f>
        <v>View Creative</v>
      </c>
      <c r="L1046" s="4" t="s">
        <v>106</v>
      </c>
      <c r="M1046" s="4" t="s">
        <v>61</v>
      </c>
      <c r="O1046" s="4" t="s">
        <v>63</v>
      </c>
      <c r="P1046" s="4" t="s">
        <v>64</v>
      </c>
    </row>
    <row r="1047">
      <c r="A1047" s="4" t="s">
        <v>40</v>
      </c>
      <c r="B1047" s="4" t="s">
        <v>40</v>
      </c>
      <c r="C1047" s="4">
        <v>1045.0</v>
      </c>
      <c r="D1047" s="5" t="str">
        <f>HYPERLINK("https://www.linkedin.com/ad-library/detail/771701354","Open Ad")</f>
        <v>Open Ad</v>
      </c>
      <c r="E1047" s="4" t="s">
        <v>78</v>
      </c>
      <c r="F1047" s="4" t="s">
        <v>54</v>
      </c>
      <c r="G1047" s="4" t="s">
        <v>5472</v>
      </c>
      <c r="H1047" s="4" t="s">
        <v>49</v>
      </c>
      <c r="I1047" s="4" t="s">
        <v>661</v>
      </c>
      <c r="J1047" s="4" t="s">
        <v>78</v>
      </c>
      <c r="K1047" s="5" t="str">
        <f>HYPERLINK("https://media.licdn.com/dms/image/v2/D4E10AQHMbpDeTons_w/image-shrink_1280/B4EZl2Ju2iGUAM-/0/1758623887611?e=2147483647&amp;v=beta&amp;t=6JS21GcMfxfcjGfQXiMiSLPg58OI9FNZE2o6gMwWbnI","View Creative")</f>
        <v>View Creative</v>
      </c>
      <c r="L1047" s="4" t="s">
        <v>106</v>
      </c>
      <c r="M1047" s="4" t="s">
        <v>61</v>
      </c>
      <c r="O1047" s="4" t="s">
        <v>63</v>
      </c>
      <c r="P1047" s="4" t="s">
        <v>64</v>
      </c>
    </row>
    <row r="1048">
      <c r="A1048" s="4" t="s">
        <v>40</v>
      </c>
      <c r="B1048" s="4" t="s">
        <v>40</v>
      </c>
      <c r="C1048" s="4">
        <v>1046.0</v>
      </c>
      <c r="D1048" s="5" t="str">
        <f>HYPERLINK("https://www.linkedin.com/ad-library/detail/771701374","Open Ad")</f>
        <v>Open Ad</v>
      </c>
      <c r="E1048" s="4" t="s">
        <v>78</v>
      </c>
      <c r="F1048" s="4" t="s">
        <v>54</v>
      </c>
      <c r="G1048" s="4" t="s">
        <v>5469</v>
      </c>
      <c r="H1048" s="4" t="s">
        <v>49</v>
      </c>
      <c r="I1048" s="4" t="s">
        <v>661</v>
      </c>
      <c r="J1048" s="4" t="s">
        <v>78</v>
      </c>
      <c r="K1048" s="5" t="str">
        <f>HYPERLINK("https://media.licdn.com/dms/image/v2/D4E10AQHBG5kgpWagEQ/image-shrink_1280/B4EZl2J0RIGYAM-/0/1758623910426?e=2147483647&amp;v=beta&amp;t=xJpqglrwoq4Iqkyw10rST0B7O2DHOSlSWFLqxzXde-I","View Creative")</f>
        <v>View Creative</v>
      </c>
      <c r="L1048" s="4" t="s">
        <v>106</v>
      </c>
      <c r="M1048" s="4" t="s">
        <v>61</v>
      </c>
      <c r="O1048" s="4" t="s">
        <v>63</v>
      </c>
      <c r="P1048" s="4" t="s">
        <v>64</v>
      </c>
    </row>
    <row r="1049">
      <c r="A1049" s="4" t="s">
        <v>40</v>
      </c>
      <c r="B1049" s="4" t="s">
        <v>40</v>
      </c>
      <c r="C1049" s="4">
        <v>1047.0</v>
      </c>
      <c r="D1049" s="5" t="str">
        <f>HYPERLINK("https://www.linkedin.com/ad-library/detail/771601824","Open Ad")</f>
        <v>Open Ad</v>
      </c>
      <c r="E1049" s="4" t="s">
        <v>78</v>
      </c>
      <c r="F1049" s="4" t="s">
        <v>54</v>
      </c>
      <c r="G1049" s="4" t="s">
        <v>5469</v>
      </c>
      <c r="H1049" s="4" t="s">
        <v>49</v>
      </c>
      <c r="I1049" s="4" t="s">
        <v>661</v>
      </c>
      <c r="J1049" s="4" t="s">
        <v>78</v>
      </c>
      <c r="K1049" s="5" t="str">
        <f>HYPERLINK("https://media.licdn.com/dms/image/v2/D4E10AQHY4s3NZNgXxw/image-shrink_1280/B4EZl2J5YwHcAM-/0/1758623930805?e=2147483647&amp;v=beta&amp;t=gVQNvvPH7gDt_KbCMMNNrFWo1T8wDHqNjmtK5UMcPxY","View Creative")</f>
        <v>View Creative</v>
      </c>
      <c r="L1049" s="4" t="s">
        <v>106</v>
      </c>
      <c r="M1049" s="4" t="s">
        <v>61</v>
      </c>
      <c r="O1049" s="4" t="s">
        <v>63</v>
      </c>
      <c r="P1049" s="4" t="s">
        <v>64</v>
      </c>
    </row>
    <row r="1050">
      <c r="A1050" s="4" t="s">
        <v>40</v>
      </c>
      <c r="B1050" s="4" t="s">
        <v>40</v>
      </c>
      <c r="C1050" s="4">
        <v>1048.0</v>
      </c>
      <c r="D1050" s="5" t="str">
        <f>HYPERLINK("https://www.linkedin.com/ad-library/detail/771621914","Open Ad")</f>
        <v>Open Ad</v>
      </c>
      <c r="E1050" s="4" t="s">
        <v>78</v>
      </c>
      <c r="F1050" s="4" t="s">
        <v>54</v>
      </c>
      <c r="G1050" s="4" t="s">
        <v>5466</v>
      </c>
      <c r="H1050" s="4" t="s">
        <v>49</v>
      </c>
      <c r="I1050" s="4" t="s">
        <v>661</v>
      </c>
      <c r="J1050" s="4" t="s">
        <v>78</v>
      </c>
      <c r="K1050" s="5" t="str">
        <f>HYPERLINK("https://media.licdn.com/dms/image/v2/D4E10AQHKDTwpnGovXw/image-shrink_1280/B4EZl2J5ZPGoAM-/0/1758623930861?e=2147483647&amp;v=beta&amp;t=9ZoTeLX45uHVnhbQxEY7GyAKXcjySmifpcpXHMz_g_U","View Creative")</f>
        <v>View Creative</v>
      </c>
      <c r="L1050" s="4" t="s">
        <v>106</v>
      </c>
      <c r="M1050" s="4" t="s">
        <v>61</v>
      </c>
      <c r="O1050" s="4" t="s">
        <v>63</v>
      </c>
      <c r="P1050" s="4" t="s">
        <v>64</v>
      </c>
    </row>
    <row r="1051">
      <c r="A1051" s="4" t="s">
        <v>40</v>
      </c>
      <c r="B1051" s="4" t="s">
        <v>40</v>
      </c>
      <c r="C1051" s="4">
        <v>1049.0</v>
      </c>
      <c r="D1051" s="5" t="str">
        <f>HYPERLINK("https://www.linkedin.com/ad-library/detail/771320854","Open Ad")</f>
        <v>Open Ad</v>
      </c>
      <c r="E1051" s="4" t="s">
        <v>78</v>
      </c>
      <c r="F1051" s="4" t="s">
        <v>54</v>
      </c>
      <c r="G1051" s="4" t="s">
        <v>5258</v>
      </c>
      <c r="H1051" s="4" t="s">
        <v>49</v>
      </c>
      <c r="I1051" s="4" t="s">
        <v>661</v>
      </c>
      <c r="J1051" s="4" t="s">
        <v>78</v>
      </c>
      <c r="K1051" s="5" t="str">
        <f>HYPERLINK("https://media.licdn.com/dms/image/v2/D4E10AQE_g_mEWsz9Qg/image-shrink_1280/B4EZlwmZlXHcAM-/0/1758530739755?e=2147483647&amp;v=beta&amp;t=F4PhMiNPXxcSXUHPb_I-0ggtaH5clSoC0yi5a0PfPyU","View Creative")</f>
        <v>View Creative</v>
      </c>
      <c r="L1051" s="4" t="s">
        <v>106</v>
      </c>
      <c r="M1051" s="4" t="s">
        <v>61</v>
      </c>
      <c r="O1051" s="4" t="s">
        <v>63</v>
      </c>
      <c r="P1051" s="4" t="s">
        <v>64</v>
      </c>
    </row>
    <row r="1052">
      <c r="A1052" s="4" t="s">
        <v>40</v>
      </c>
      <c r="B1052" s="4" t="s">
        <v>40</v>
      </c>
      <c r="C1052" s="4">
        <v>1050.0</v>
      </c>
      <c r="D1052" s="5" t="str">
        <f>HYPERLINK("https://www.linkedin.com/ad-library/detail/771502394","Open Ad")</f>
        <v>Open Ad</v>
      </c>
      <c r="E1052" s="4" t="s">
        <v>78</v>
      </c>
      <c r="F1052" s="4" t="s">
        <v>54</v>
      </c>
      <c r="G1052" s="4" t="s">
        <v>5472</v>
      </c>
      <c r="H1052" s="4" t="s">
        <v>49</v>
      </c>
      <c r="I1052" s="4" t="s">
        <v>661</v>
      </c>
      <c r="J1052" s="4" t="s">
        <v>78</v>
      </c>
      <c r="K1052" s="5" t="str">
        <f>HYPERLINK("https://media.licdn.com/dms/image/v2/D4E10AQHZWEnYaw7Mbw/image-shrink_1280/B4EZl2JuxRHoAM-/0/1758623887562?e=2147483647&amp;v=beta&amp;t=HdAA-ur2Y5s88lnRXIZKl2UOg2aDdQ4XALA5iZin_t0","View Creative")</f>
        <v>View Creative</v>
      </c>
      <c r="L1052" s="4" t="s">
        <v>106</v>
      </c>
      <c r="M1052" s="4" t="s">
        <v>61</v>
      </c>
      <c r="O1052" s="4" t="s">
        <v>63</v>
      </c>
      <c r="P1052" s="4" t="s">
        <v>64</v>
      </c>
    </row>
    <row r="1053">
      <c r="A1053" s="4" t="s">
        <v>40</v>
      </c>
      <c r="B1053" s="4" t="s">
        <v>40</v>
      </c>
      <c r="C1053" s="4">
        <v>1051.0</v>
      </c>
      <c r="D1053" s="5" t="str">
        <f>HYPERLINK("https://www.linkedin.com/ad-library/detail/771691584","Open Ad")</f>
        <v>Open Ad</v>
      </c>
      <c r="E1053" s="4" t="s">
        <v>78</v>
      </c>
      <c r="F1053" s="4" t="s">
        <v>54</v>
      </c>
      <c r="G1053" s="4" t="s">
        <v>5472</v>
      </c>
      <c r="H1053" s="4" t="s">
        <v>49</v>
      </c>
      <c r="I1053" s="4" t="s">
        <v>661</v>
      </c>
      <c r="J1053" s="4" t="s">
        <v>78</v>
      </c>
      <c r="K1053" s="5" t="str">
        <f>HYPERLINK("https://media.licdn.com/dms/image/v2/D4E10AQGRUju10vIxzA/image-shrink_1280/B4EZl2J0TbKYAM-/0/1758623910037?e=2147483647&amp;v=beta&amp;t=o_uMSGnQq1Ko71uCdI9WMUlM5REpRc2RLj-CJZOwZ_E","View Creative")</f>
        <v>View Creative</v>
      </c>
      <c r="L1053" s="4" t="s">
        <v>106</v>
      </c>
      <c r="M1053" s="4" t="s">
        <v>61</v>
      </c>
      <c r="O1053" s="4" t="s">
        <v>63</v>
      </c>
      <c r="P1053" s="4" t="s">
        <v>64</v>
      </c>
    </row>
    <row r="1054">
      <c r="A1054" s="4" t="s">
        <v>40</v>
      </c>
      <c r="B1054" s="4" t="s">
        <v>40</v>
      </c>
      <c r="C1054" s="4">
        <v>1052.0</v>
      </c>
      <c r="D1054" s="5" t="str">
        <f>HYPERLINK("https://www.linkedin.com/ad-library/detail/771562054","Open Ad")</f>
        <v>Open Ad</v>
      </c>
      <c r="E1054" s="4" t="s">
        <v>78</v>
      </c>
      <c r="F1054" s="4" t="s">
        <v>54</v>
      </c>
      <c r="G1054" s="4" t="s">
        <v>5466</v>
      </c>
      <c r="H1054" s="4" t="s">
        <v>49</v>
      </c>
      <c r="I1054" s="4" t="s">
        <v>661</v>
      </c>
      <c r="J1054" s="4" t="s">
        <v>78</v>
      </c>
      <c r="K1054" s="5" t="str">
        <f>HYPERLINK("https://media.licdn.com/dms/image/v2/D4E10AQH_Vw1C0zqEIg/image-shrink_1280/B4EZl2Ju5EIIAQ-/0/1758623887973?e=2147483647&amp;v=beta&amp;t=rJdnolr_WglcUyj__erA5N2_-HNbvnEWGRzA2DT4iHU","View Creative")</f>
        <v>View Creative</v>
      </c>
      <c r="L1054" s="4" t="s">
        <v>106</v>
      </c>
      <c r="M1054" s="4" t="s">
        <v>61</v>
      </c>
      <c r="O1054" s="4" t="s">
        <v>63</v>
      </c>
      <c r="P1054" s="4" t="s">
        <v>64</v>
      </c>
    </row>
    <row r="1055">
      <c r="A1055" s="4" t="s">
        <v>40</v>
      </c>
      <c r="B1055" s="4" t="s">
        <v>40</v>
      </c>
      <c r="C1055" s="4">
        <v>1053.0</v>
      </c>
      <c r="D1055" s="5" t="str">
        <f>HYPERLINK("https://www.linkedin.com/ad-library/detail/771641724","Open Ad")</f>
        <v>Open Ad</v>
      </c>
      <c r="E1055" s="4" t="s">
        <v>78</v>
      </c>
      <c r="F1055" s="4" t="s">
        <v>54</v>
      </c>
      <c r="G1055" s="4" t="s">
        <v>5469</v>
      </c>
      <c r="H1055" s="4" t="s">
        <v>49</v>
      </c>
      <c r="I1055" s="4" t="s">
        <v>661</v>
      </c>
      <c r="J1055" s="4" t="s">
        <v>78</v>
      </c>
      <c r="K1055" s="5" t="str">
        <f>HYPERLINK("https://media.licdn.com/dms/image/v2/D4E10AQHWu_IlYmaTug/image-shrink_1280/B4EZl2Ju2lKcAM-/0/1758623887734?e=2147483647&amp;v=beta&amp;t=reOqhHqEe7k785SeeNyz8U0N9t1aZFK4EeWta6OaEIE","View Creative")</f>
        <v>View Creative</v>
      </c>
      <c r="L1055" s="4" t="s">
        <v>106</v>
      </c>
      <c r="M1055" s="4" t="s">
        <v>61</v>
      </c>
      <c r="O1055" s="4" t="s">
        <v>63</v>
      </c>
      <c r="P1055" s="4" t="s">
        <v>64</v>
      </c>
    </row>
    <row r="1056">
      <c r="A1056" s="4" t="s">
        <v>40</v>
      </c>
      <c r="B1056" s="4" t="s">
        <v>40</v>
      </c>
      <c r="C1056" s="4">
        <v>1054.0</v>
      </c>
      <c r="D1056" s="5" t="str">
        <f>HYPERLINK("https://www.linkedin.com/ad-library/detail/771562074","Open Ad")</f>
        <v>Open Ad</v>
      </c>
      <c r="E1056" s="4" t="s">
        <v>78</v>
      </c>
      <c r="F1056" s="4" t="s">
        <v>54</v>
      </c>
      <c r="G1056" s="4" t="s">
        <v>5469</v>
      </c>
      <c r="H1056" s="4" t="s">
        <v>49</v>
      </c>
      <c r="I1056" s="4" t="s">
        <v>661</v>
      </c>
      <c r="J1056" s="4" t="s">
        <v>78</v>
      </c>
      <c r="K1056" s="5" t="str">
        <f>HYPERLINK("https://media.licdn.com/dms/image/v2/D4E10AQHL4cZVvxzdXw/image-shrink_1280/B4EZl2J5YiIQAM-/0/1758623930786?e=2147483647&amp;v=beta&amp;t=jHOPa3vn4Pe9OFANssDLbr_QVdLiC7hs7szhAUOS19M","View Creative")</f>
        <v>View Creative</v>
      </c>
      <c r="L1056" s="4" t="s">
        <v>106</v>
      </c>
      <c r="M1056" s="4" t="s">
        <v>61</v>
      </c>
      <c r="O1056" s="4" t="s">
        <v>63</v>
      </c>
      <c r="P1056" s="4" t="s">
        <v>64</v>
      </c>
    </row>
    <row r="1057">
      <c r="A1057" s="4" t="s">
        <v>40</v>
      </c>
      <c r="B1057" s="4" t="s">
        <v>40</v>
      </c>
      <c r="C1057" s="4">
        <v>1055.0</v>
      </c>
      <c r="D1057" s="5" t="str">
        <f>HYPERLINK("https://www.linkedin.com/ad-library/detail/771552304","Open Ad")</f>
        <v>Open Ad</v>
      </c>
      <c r="E1057" s="4" t="s">
        <v>78</v>
      </c>
      <c r="F1057" s="4" t="s">
        <v>54</v>
      </c>
      <c r="G1057" s="4" t="s">
        <v>5472</v>
      </c>
      <c r="H1057" s="4" t="s">
        <v>49</v>
      </c>
      <c r="I1057" s="4" t="s">
        <v>661</v>
      </c>
      <c r="J1057" s="4" t="s">
        <v>78</v>
      </c>
      <c r="K1057" s="5" t="str">
        <f>HYPERLINK("https://media.licdn.com/dms/image/v2/D4E10AQExjCsbkw189g/image-shrink_1280/B4EZl2J5TnKgAM-/0/1758623930518?e=2147483647&amp;v=beta&amp;t=z5OPemuz8q3C5Dfuc2nmay_Mid2kSg64EK9pVQGtkXA","View Creative")</f>
        <v>View Creative</v>
      </c>
      <c r="L1057" s="4" t="s">
        <v>106</v>
      </c>
      <c r="M1057" s="4" t="s">
        <v>61</v>
      </c>
      <c r="O1057" s="4" t="s">
        <v>63</v>
      </c>
      <c r="P1057" s="4" t="s">
        <v>64</v>
      </c>
    </row>
    <row r="1058">
      <c r="A1058" s="4" t="s">
        <v>40</v>
      </c>
      <c r="B1058" s="4" t="s">
        <v>40</v>
      </c>
      <c r="C1058" s="4">
        <v>1056.0</v>
      </c>
      <c r="D1058" s="5" t="str">
        <f>HYPERLINK("https://www.linkedin.com/ad-library/detail/771493354","Open Ad")</f>
        <v>Open Ad</v>
      </c>
      <c r="E1058" s="4" t="s">
        <v>78</v>
      </c>
      <c r="F1058" s="4" t="s">
        <v>54</v>
      </c>
      <c r="G1058" s="4" t="s">
        <v>5469</v>
      </c>
      <c r="H1058" s="4" t="s">
        <v>49</v>
      </c>
      <c r="I1058" s="4" t="s">
        <v>661</v>
      </c>
      <c r="J1058" s="4" t="s">
        <v>78</v>
      </c>
      <c r="K1058" s="5" t="str">
        <f>HYPERLINK("https://media.licdn.com/dms/image/v2/D4E10AQEIp5ixE2EwDQ/image-shrink_1280/B4EZl2J0VgKcAM-/0/1758623910308?e=2147483647&amp;v=beta&amp;t=-DNgW1uGektolQmG2_KcnRF8pJ6WQM--PRp73a3RXT8","View Creative")</f>
        <v>View Creative</v>
      </c>
      <c r="L1058" s="4" t="s">
        <v>106</v>
      </c>
      <c r="M1058" s="4" t="s">
        <v>61</v>
      </c>
      <c r="O1058" s="4" t="s">
        <v>63</v>
      </c>
      <c r="P1058" s="4" t="s">
        <v>64</v>
      </c>
    </row>
    <row r="1059">
      <c r="A1059" s="4" t="s">
        <v>40</v>
      </c>
      <c r="B1059" s="4" t="s">
        <v>40</v>
      </c>
      <c r="C1059" s="4">
        <v>1057.0</v>
      </c>
      <c r="D1059" s="5" t="str">
        <f>HYPERLINK("https://www.linkedin.com/ad-library/detail/771330694","Open Ad")</f>
        <v>Open Ad</v>
      </c>
      <c r="E1059" s="4" t="s">
        <v>78</v>
      </c>
      <c r="F1059" s="4" t="s">
        <v>54</v>
      </c>
      <c r="G1059" s="4" t="s">
        <v>5263</v>
      </c>
      <c r="H1059" s="4" t="s">
        <v>49</v>
      </c>
      <c r="I1059" s="4" t="s">
        <v>661</v>
      </c>
      <c r="J1059" s="4" t="s">
        <v>78</v>
      </c>
      <c r="K1059" s="5" t="str">
        <f>HYPERLINK("https://media.licdn.com/dms/image/v2/D4E10AQFFKLazFaE1Nw/image-shrink_1280/B4EZlwmY4rHIAM-/0/1758530736939?e=2147483647&amp;v=beta&amp;t=AAOUXRSpUdu_qg6clUfKF-tRruS90fUusFyoujY4ngM","View Creative")</f>
        <v>View Creative</v>
      </c>
      <c r="L1059" s="4" t="s">
        <v>106</v>
      </c>
      <c r="M1059" s="4" t="s">
        <v>61</v>
      </c>
      <c r="O1059" s="4" t="s">
        <v>63</v>
      </c>
      <c r="P1059" s="4" t="s">
        <v>64</v>
      </c>
    </row>
    <row r="1060">
      <c r="A1060" s="4" t="s">
        <v>40</v>
      </c>
      <c r="B1060" s="4" t="s">
        <v>40</v>
      </c>
      <c r="C1060" s="4">
        <v>1058.0</v>
      </c>
      <c r="D1060" s="5" t="str">
        <f>HYPERLINK("https://www.linkedin.com/ad-library/detail/771251314","Open Ad")</f>
        <v>Open Ad</v>
      </c>
      <c r="E1060" s="4" t="s">
        <v>78</v>
      </c>
      <c r="F1060" s="4" t="s">
        <v>54</v>
      </c>
      <c r="G1060" s="4" t="s">
        <v>5263</v>
      </c>
      <c r="H1060" s="4" t="s">
        <v>49</v>
      </c>
      <c r="I1060" s="4" t="s">
        <v>661</v>
      </c>
      <c r="J1060" s="4" t="s">
        <v>78</v>
      </c>
      <c r="K1060" s="5" t="str">
        <f>HYPERLINK("https://media.licdn.com/dms/image/v2/D4E10AQHmuMkhV4TxGA/image-shrink_1280/B4EZlwmTkIHoAM-/0/1758530714672?e=2147483647&amp;v=beta&amp;t=Cm3tbdzH_ZC5lD11y-56STbHOXrSOmdYAG8K3WdTPFQ","View Creative")</f>
        <v>View Creative</v>
      </c>
      <c r="L1060" s="4" t="s">
        <v>106</v>
      </c>
      <c r="M1060" s="4" t="s">
        <v>61</v>
      </c>
      <c r="O1060" s="4" t="s">
        <v>63</v>
      </c>
      <c r="P1060" s="4" t="s">
        <v>64</v>
      </c>
    </row>
    <row r="1061">
      <c r="A1061" s="4" t="s">
        <v>40</v>
      </c>
      <c r="B1061" s="4" t="s">
        <v>40</v>
      </c>
      <c r="C1061" s="4">
        <v>1059.0</v>
      </c>
      <c r="D1061" s="5" t="str">
        <f>HYPERLINK("https://www.linkedin.com/ad-library/detail/771440314","Open Ad")</f>
        <v>Open Ad</v>
      </c>
      <c r="E1061" s="4" t="s">
        <v>78</v>
      </c>
      <c r="F1061" s="4" t="s">
        <v>54</v>
      </c>
      <c r="G1061" s="4" t="s">
        <v>5258</v>
      </c>
      <c r="H1061" s="4" t="s">
        <v>49</v>
      </c>
      <c r="I1061" s="4" t="s">
        <v>661</v>
      </c>
      <c r="J1061" s="4" t="s">
        <v>78</v>
      </c>
      <c r="K1061" s="5" t="str">
        <f>HYPERLINK("https://media.licdn.com/dms/image/v2/D4E10AQHV1cKy6-VBhA/image-shrink_1280/B4EZlwmTqmHoAU-/0/1758530715016?e=2147483647&amp;v=beta&amp;t=RSosOeyMhgitk1hr4lYo-ZV3S3EyKg0eJfGLa9LJGdg","View Creative")</f>
        <v>View Creative</v>
      </c>
      <c r="L1061" s="4" t="s">
        <v>106</v>
      </c>
      <c r="M1061" s="4" t="s">
        <v>61</v>
      </c>
      <c r="O1061" s="4" t="s">
        <v>63</v>
      </c>
      <c r="P1061" s="4" t="s">
        <v>64</v>
      </c>
    </row>
    <row r="1062">
      <c r="A1062" s="4" t="s">
        <v>40</v>
      </c>
      <c r="B1062" s="4" t="s">
        <v>40</v>
      </c>
      <c r="C1062" s="4">
        <v>1060.0</v>
      </c>
      <c r="D1062" s="5" t="str">
        <f>HYPERLINK("https://www.linkedin.com/ad-library/detail/771440304","Open Ad")</f>
        <v>Open Ad</v>
      </c>
      <c r="E1062" s="4" t="s">
        <v>78</v>
      </c>
      <c r="F1062" s="4" t="s">
        <v>54</v>
      </c>
      <c r="G1062" s="4" t="s">
        <v>5258</v>
      </c>
      <c r="H1062" s="4" t="s">
        <v>49</v>
      </c>
      <c r="I1062" s="4" t="s">
        <v>661</v>
      </c>
      <c r="J1062" s="4" t="s">
        <v>78</v>
      </c>
      <c r="K1062" s="5" t="str">
        <f>HYPERLINK("https://media.licdn.com/dms/image/v2/D4E10AQHu7VoeGOhVzw/image-shrink_1280/B4EZlwmTlkHoAM-/0/1758530715035?e=2147483647&amp;v=beta&amp;t=9Cq0ZbX7IJj-fOCdG5a1uE4turO94pBP9fmJVdCqA5A","View Creative")</f>
        <v>View Creative</v>
      </c>
      <c r="L1062" s="4" t="s">
        <v>106</v>
      </c>
      <c r="M1062" s="4" t="s">
        <v>61</v>
      </c>
      <c r="O1062" s="4" t="s">
        <v>63</v>
      </c>
      <c r="P1062" s="4" t="s">
        <v>64</v>
      </c>
    </row>
    <row r="1063">
      <c r="A1063" s="4" t="s">
        <v>40</v>
      </c>
      <c r="B1063" s="4" t="s">
        <v>40</v>
      </c>
      <c r="C1063" s="4">
        <v>1061.0</v>
      </c>
      <c r="D1063" s="5" t="str">
        <f>HYPERLINK("https://www.linkedin.com/ad-library/detail/771330684","Open Ad")</f>
        <v>Open Ad</v>
      </c>
      <c r="E1063" s="4" t="s">
        <v>78</v>
      </c>
      <c r="F1063" s="4" t="s">
        <v>54</v>
      </c>
      <c r="G1063" s="4" t="s">
        <v>5263</v>
      </c>
      <c r="H1063" s="4" t="s">
        <v>49</v>
      </c>
      <c r="I1063" s="4" t="s">
        <v>661</v>
      </c>
      <c r="J1063" s="4" t="s">
        <v>78</v>
      </c>
      <c r="K1063" s="5" t="str">
        <f>HYPERLINK("https://media.licdn.com/dms/image/v2/D4E10AQFC06VB80NJFA/image-shrink_1280/B4EZlwmOddKkAM-/0/1758530693929?e=2147483647&amp;v=beta&amp;t=YtQCmLIocpj8gVvnI1KU0Boq5unFXJiNDwm03W0vjkg","View Creative")</f>
        <v>View Creative</v>
      </c>
      <c r="L1063" s="4" t="s">
        <v>106</v>
      </c>
      <c r="M1063" s="4" t="s">
        <v>61</v>
      </c>
      <c r="O1063" s="4" t="s">
        <v>63</v>
      </c>
      <c r="P1063" s="4" t="s">
        <v>64</v>
      </c>
    </row>
    <row r="1064">
      <c r="A1064" s="4" t="s">
        <v>40</v>
      </c>
      <c r="B1064" s="4" t="s">
        <v>40</v>
      </c>
      <c r="C1064" s="4">
        <v>1062.0</v>
      </c>
      <c r="D1064" s="5" t="str">
        <f>HYPERLINK("https://www.linkedin.com/ad-library/detail/771440264","Open Ad")</f>
        <v>Open Ad</v>
      </c>
      <c r="E1064" s="4" t="s">
        <v>78</v>
      </c>
      <c r="F1064" s="4" t="s">
        <v>54</v>
      </c>
      <c r="G1064" s="4" t="s">
        <v>5263</v>
      </c>
      <c r="H1064" s="4" t="s">
        <v>49</v>
      </c>
      <c r="I1064" s="4" t="s">
        <v>661</v>
      </c>
      <c r="J1064" s="4" t="s">
        <v>78</v>
      </c>
      <c r="K1064" s="5" t="str">
        <f>HYPERLINK("https://media.licdn.com/dms/image/v2/D4E10AQEl-tfY8E474g/image-shrink_1280/B4EZlwmOfAIQAQ-/0/1758530693803?e=2147483647&amp;v=beta&amp;t=Vd60rnc-_TBRjnqexCiy29ei1BqkVhmgJn2fNXNGTwA","View Creative")</f>
        <v>View Creative</v>
      </c>
      <c r="L1064" s="4" t="s">
        <v>106</v>
      </c>
      <c r="M1064" s="4" t="s">
        <v>61</v>
      </c>
      <c r="O1064" s="4" t="s">
        <v>63</v>
      </c>
      <c r="P1064" s="4" t="s">
        <v>64</v>
      </c>
    </row>
    <row r="1065">
      <c r="A1065" s="4" t="s">
        <v>40</v>
      </c>
      <c r="B1065" s="4" t="s">
        <v>40</v>
      </c>
      <c r="C1065" s="4">
        <v>1063.0</v>
      </c>
      <c r="D1065" s="5" t="str">
        <f>HYPERLINK("https://www.linkedin.com/ad-library/detail/771360714","Open Ad")</f>
        <v>Open Ad</v>
      </c>
      <c r="E1065" s="4" t="s">
        <v>78</v>
      </c>
      <c r="F1065" s="4" t="s">
        <v>54</v>
      </c>
      <c r="G1065" s="4" t="s">
        <v>5263</v>
      </c>
      <c r="H1065" s="4" t="s">
        <v>49</v>
      </c>
      <c r="I1065" s="4" t="s">
        <v>661</v>
      </c>
      <c r="J1065" s="4" t="s">
        <v>78</v>
      </c>
      <c r="K1065" s="5" t="str">
        <f>HYPERLINK("https://media.licdn.com/dms/image/v2/D4E10AQEEE0nGSTzLpA/image-shrink_1280/B4EZlwmOf3HIAM-/0/1758530693913?e=2147483647&amp;v=beta&amp;t=_JI74AfxbbekZBO0m1UIF5qqwbmKPjEcg6PmVEI_HMI","View Creative")</f>
        <v>View Creative</v>
      </c>
      <c r="L1065" s="4" t="s">
        <v>106</v>
      </c>
      <c r="M1065" s="4" t="s">
        <v>61</v>
      </c>
      <c r="O1065" s="4" t="s">
        <v>63</v>
      </c>
      <c r="P1065" s="4" t="s">
        <v>64</v>
      </c>
    </row>
    <row r="1066">
      <c r="A1066" s="4" t="s">
        <v>40</v>
      </c>
      <c r="B1066" s="4" t="s">
        <v>40</v>
      </c>
      <c r="C1066" s="4">
        <v>1064.0</v>
      </c>
      <c r="D1066" s="5" t="str">
        <f>HYPERLINK("https://www.linkedin.com/ad-library/detail/771390424","Open Ad")</f>
        <v>Open Ad</v>
      </c>
      <c r="E1066" s="4" t="s">
        <v>78</v>
      </c>
      <c r="F1066" s="4" t="s">
        <v>54</v>
      </c>
      <c r="G1066" s="4" t="s">
        <v>5263</v>
      </c>
      <c r="H1066" s="4" t="s">
        <v>49</v>
      </c>
      <c r="I1066" s="4" t="s">
        <v>661</v>
      </c>
      <c r="J1066" s="4" t="s">
        <v>78</v>
      </c>
      <c r="K1066" s="5" t="str">
        <f>HYPERLINK("https://media.licdn.com/dms/image/v2/D4E10AQFW_vVJ04WMZw/image-shrink_1280/B4EZlwmY8DKoAM-/0/1758530737128?e=2147483647&amp;v=beta&amp;t=KIV62ovzTyIfBD9SjChrfcV0vCKUzP7R1WCzZTN2S6U","View Creative")</f>
        <v>View Creative</v>
      </c>
      <c r="L1066" s="4" t="s">
        <v>106</v>
      </c>
      <c r="M1066" s="4" t="s">
        <v>61</v>
      </c>
      <c r="O1066" s="4" t="s">
        <v>63</v>
      </c>
      <c r="P1066" s="4" t="s">
        <v>64</v>
      </c>
    </row>
    <row r="1067">
      <c r="A1067" s="4" t="s">
        <v>40</v>
      </c>
      <c r="B1067" s="4" t="s">
        <v>40</v>
      </c>
      <c r="C1067" s="4">
        <v>1065.0</v>
      </c>
      <c r="D1067" s="5" t="str">
        <f>HYPERLINK("https://www.linkedin.com/ad-library/detail/771241464","Open Ad")</f>
        <v>Open Ad</v>
      </c>
      <c r="E1067" s="4" t="s">
        <v>78</v>
      </c>
      <c r="F1067" s="4" t="s">
        <v>54</v>
      </c>
      <c r="G1067" s="4" t="s">
        <v>5258</v>
      </c>
      <c r="H1067" s="4" t="s">
        <v>49</v>
      </c>
      <c r="I1067" s="4" t="s">
        <v>661</v>
      </c>
      <c r="J1067" s="4" t="s">
        <v>78</v>
      </c>
      <c r="K1067" s="5" t="str">
        <f>HYPERLINK("https://media.licdn.com/dms/image/v2/D4E10AQGOqBacc3SfiQ/image-shrink_1280/B4EZlwmOjgHEAM-/0/1758530694566?e=2147483647&amp;v=beta&amp;t=rASEp8m6XxZf0kk-GgSYv-8inrzMFJD2-G4Ug0XFz9U","View Creative")</f>
        <v>View Creative</v>
      </c>
      <c r="L1067" s="4" t="s">
        <v>106</v>
      </c>
      <c r="M1067" s="4" t="s">
        <v>61</v>
      </c>
      <c r="O1067" s="4" t="s">
        <v>63</v>
      </c>
      <c r="P1067" s="4" t="s">
        <v>64</v>
      </c>
    </row>
    <row r="1068">
      <c r="A1068" s="4" t="s">
        <v>40</v>
      </c>
      <c r="B1068" s="4" t="s">
        <v>40</v>
      </c>
      <c r="C1068" s="4">
        <v>1066.0</v>
      </c>
      <c r="D1068" s="5" t="str">
        <f>HYPERLINK("https://www.linkedin.com/ad-library/detail/771241494","Open Ad")</f>
        <v>Open Ad</v>
      </c>
      <c r="E1068" s="4" t="s">
        <v>78</v>
      </c>
      <c r="F1068" s="4" t="s">
        <v>54</v>
      </c>
      <c r="G1068" s="4" t="s">
        <v>5258</v>
      </c>
      <c r="H1068" s="4" t="s">
        <v>49</v>
      </c>
      <c r="I1068" s="4" t="s">
        <v>661</v>
      </c>
      <c r="J1068" s="4" t="s">
        <v>78</v>
      </c>
      <c r="K1068" s="5" t="str">
        <f>HYPERLINK("https://media.licdn.com/dms/image/v2/D4E10AQHQOx6lXUyVDw/image-shrink_1280/B4EZlwmZMgHgAM-/0/1758530737577?e=2147483647&amp;v=beta&amp;t=-OcTuGd_1YSblJ_iVc5ib8VTCTBxRr_-Z3mu8_c7AAY","View Creative")</f>
        <v>View Creative</v>
      </c>
      <c r="L1068" s="4" t="s">
        <v>106</v>
      </c>
      <c r="M1068" s="4" t="s">
        <v>61</v>
      </c>
      <c r="O1068" s="4" t="s">
        <v>63</v>
      </c>
      <c r="P1068" s="4" t="s">
        <v>64</v>
      </c>
    </row>
    <row r="1069">
      <c r="A1069" s="4" t="s">
        <v>40</v>
      </c>
      <c r="B1069" s="4" t="s">
        <v>40</v>
      </c>
      <c r="C1069" s="4">
        <v>1067.0</v>
      </c>
      <c r="D1069" s="5" t="str">
        <f>HYPERLINK("https://www.linkedin.com/ad-library/detail/771410424","Open Ad")</f>
        <v>Open Ad</v>
      </c>
      <c r="E1069" s="4" t="s">
        <v>78</v>
      </c>
      <c r="F1069" s="4" t="s">
        <v>54</v>
      </c>
      <c r="G1069" s="4" t="s">
        <v>5263</v>
      </c>
      <c r="H1069" s="4" t="s">
        <v>49</v>
      </c>
      <c r="I1069" s="4" t="s">
        <v>661</v>
      </c>
      <c r="J1069" s="4" t="s">
        <v>78</v>
      </c>
      <c r="K1069" s="5" t="str">
        <f>HYPERLINK("https://media.licdn.com/dms/image/v2/D4E10AQFflSARu2z3ng/image-shrink_1280/B4EZlwmTsHKQAM-/0/1758530715121?e=2147483647&amp;v=beta&amp;t=CrDTkZfqK-U8WdFvLY-ZL_psd-EgNtO3XZPklvqbbLQ","View Creative")</f>
        <v>View Creative</v>
      </c>
      <c r="L1069" s="4" t="s">
        <v>106</v>
      </c>
      <c r="M1069" s="4" t="s">
        <v>61</v>
      </c>
      <c r="O1069" s="4" t="s">
        <v>63</v>
      </c>
      <c r="P1069" s="4" t="s">
        <v>64</v>
      </c>
    </row>
    <row r="1070">
      <c r="A1070" s="4" t="s">
        <v>40</v>
      </c>
      <c r="B1070" s="4" t="s">
        <v>40</v>
      </c>
      <c r="C1070" s="4">
        <v>1068.0</v>
      </c>
      <c r="D1070" s="5" t="str">
        <f>HYPERLINK("https://www.linkedin.com/ad-library/detail/771410434","Open Ad")</f>
        <v>Open Ad</v>
      </c>
      <c r="E1070" s="4" t="s">
        <v>78</v>
      </c>
      <c r="F1070" s="4" t="s">
        <v>54</v>
      </c>
      <c r="G1070" s="4" t="s">
        <v>5263</v>
      </c>
      <c r="H1070" s="4" t="s">
        <v>49</v>
      </c>
      <c r="I1070" s="4" t="s">
        <v>661</v>
      </c>
      <c r="J1070" s="4" t="s">
        <v>78</v>
      </c>
      <c r="K1070" s="5" t="str">
        <f>HYPERLINK("https://media.licdn.com/dms/image/v2/D4E10AQG332dUivh2aQ/image-shrink_1280/B4EZlwmUJ9HcAM-/0/1758530717712?e=2147483647&amp;v=beta&amp;t=izPMR6Oe6vR0UjcC5x9FgvVta2PAteRWv21Vc94Z3P0","View Creative")</f>
        <v>View Creative</v>
      </c>
      <c r="L1070" s="4" t="s">
        <v>106</v>
      </c>
      <c r="M1070" s="4" t="s">
        <v>61</v>
      </c>
      <c r="O1070" s="4" t="s">
        <v>63</v>
      </c>
      <c r="P1070" s="4" t="s">
        <v>64</v>
      </c>
    </row>
    <row r="1071">
      <c r="A1071" s="4" t="s">
        <v>40</v>
      </c>
      <c r="B1071" s="4" t="s">
        <v>40</v>
      </c>
      <c r="C1071" s="4">
        <v>1069.0</v>
      </c>
      <c r="D1071" s="5" t="str">
        <f>HYPERLINK("https://www.linkedin.com/ad-library/detail/771350694","Open Ad")</f>
        <v>Open Ad</v>
      </c>
      <c r="E1071" s="4" t="s">
        <v>78</v>
      </c>
      <c r="F1071" s="4" t="s">
        <v>54</v>
      </c>
      <c r="G1071" s="4" t="s">
        <v>5263</v>
      </c>
      <c r="H1071" s="4" t="s">
        <v>49</v>
      </c>
      <c r="I1071" s="4" t="s">
        <v>661</v>
      </c>
      <c r="J1071" s="4" t="s">
        <v>78</v>
      </c>
      <c r="K1071" s="5" t="str">
        <f>HYPERLINK("https://media.licdn.com/dms/image/v2/D4E10AQE5a1wziOpcQQ/image-shrink_1280/B4EZlwmZVDKcAM-/0/1758530738184?e=2147483647&amp;v=beta&amp;t=FMv6OU3dm3yS4lb81p3W3hBQxsL6gXS8IUcsF2OleRI","View Creative")</f>
        <v>View Creative</v>
      </c>
      <c r="L1071" s="4" t="s">
        <v>106</v>
      </c>
      <c r="M1071" s="4" t="s">
        <v>61</v>
      </c>
      <c r="O1071" s="4" t="s">
        <v>63</v>
      </c>
      <c r="P1071" s="4" t="s">
        <v>64</v>
      </c>
    </row>
    <row r="1072">
      <c r="A1072" s="4" t="s">
        <v>40</v>
      </c>
      <c r="B1072" s="4" t="s">
        <v>40</v>
      </c>
      <c r="C1072" s="4">
        <v>1070.0</v>
      </c>
      <c r="D1072" s="5" t="str">
        <f>HYPERLINK("https://www.linkedin.com/ad-library/detail/771390434","Open Ad")</f>
        <v>Open Ad</v>
      </c>
      <c r="E1072" s="4" t="s">
        <v>78</v>
      </c>
      <c r="F1072" s="4" t="s">
        <v>54</v>
      </c>
      <c r="G1072" s="4" t="s">
        <v>5263</v>
      </c>
      <c r="H1072" s="4" t="s">
        <v>49</v>
      </c>
      <c r="I1072" s="4" t="s">
        <v>661</v>
      </c>
      <c r="J1072" s="4" t="s">
        <v>78</v>
      </c>
      <c r="K1072" s="5" t="str">
        <f>HYPERLINK("https://media.licdn.com/dms/image/v2/D4E10AQHuLrvbtDH2dw/image-shrink_1280/B4EZlwmZNtIUAM-/0/1758530737751?e=2147483647&amp;v=beta&amp;t=oEHtWJk1PRzVtSPLCqQlH0VduJhjaSBX3tcEUNyF7nk","View Creative")</f>
        <v>View Creative</v>
      </c>
      <c r="L1072" s="4" t="s">
        <v>106</v>
      </c>
      <c r="M1072" s="4" t="s">
        <v>61</v>
      </c>
      <c r="O1072" s="4" t="s">
        <v>63</v>
      </c>
      <c r="P1072" s="4" t="s">
        <v>64</v>
      </c>
    </row>
    <row r="1073">
      <c r="A1073" s="4" t="s">
        <v>40</v>
      </c>
      <c r="B1073" s="4" t="s">
        <v>40</v>
      </c>
      <c r="C1073" s="4">
        <v>1071.0</v>
      </c>
      <c r="D1073" s="5" t="str">
        <f>HYPERLINK("https://www.linkedin.com/ad-library/detail/771290934","Open Ad")</f>
        <v>Open Ad</v>
      </c>
      <c r="E1073" s="4" t="s">
        <v>78</v>
      </c>
      <c r="F1073" s="4" t="s">
        <v>54</v>
      </c>
      <c r="G1073" s="4" t="s">
        <v>5263</v>
      </c>
      <c r="H1073" s="4" t="s">
        <v>49</v>
      </c>
      <c r="I1073" s="4" t="s">
        <v>661</v>
      </c>
      <c r="J1073" s="4" t="s">
        <v>78</v>
      </c>
      <c r="K1073" s="5" t="str">
        <f>HYPERLINK("https://media.licdn.com/dms/image/v2/D4E10AQGNPGJHOQ-ZVA/image-shrink_1280/B4EZlwmTmXIQAM-/0/1758530714652?e=2147483647&amp;v=beta&amp;t=hj5-Gwdbboa0JJlIwWWvkdDJxLTXyH1lvUpq5OiZy50","View Creative")</f>
        <v>View Creative</v>
      </c>
      <c r="L1073" s="4" t="s">
        <v>106</v>
      </c>
      <c r="M1073" s="4" t="s">
        <v>61</v>
      </c>
      <c r="O1073" s="4" t="s">
        <v>63</v>
      </c>
      <c r="P1073" s="4" t="s">
        <v>64</v>
      </c>
    </row>
    <row r="1074">
      <c r="A1074" s="4" t="s">
        <v>40</v>
      </c>
      <c r="B1074" s="4" t="s">
        <v>40</v>
      </c>
      <c r="C1074" s="4">
        <v>1072.0</v>
      </c>
      <c r="D1074" s="5" t="str">
        <f>HYPERLINK("https://www.linkedin.com/ad-library/detail/771290944","Open Ad")</f>
        <v>Open Ad</v>
      </c>
      <c r="E1074" s="4" t="s">
        <v>78</v>
      </c>
      <c r="F1074" s="4" t="s">
        <v>54</v>
      </c>
      <c r="G1074" s="4" t="s">
        <v>5263</v>
      </c>
      <c r="H1074" s="4" t="s">
        <v>49</v>
      </c>
      <c r="I1074" s="4" t="s">
        <v>661</v>
      </c>
      <c r="J1074" s="4" t="s">
        <v>78</v>
      </c>
      <c r="K1074" s="5" t="str">
        <f>HYPERLINK("https://media.licdn.com/dms/image/v2/D4E10AQFXa-F_3lQ1YA/image-shrink_1280/B4EZlwmTmfGYAM-/0/1758530714821?e=2147483647&amp;v=beta&amp;t=nk3mmpci4_jLNCZI7_GG2MdY65FY1BOBLBH5JXZYIsI","View Creative")</f>
        <v>View Creative</v>
      </c>
      <c r="L1074" s="4" t="s">
        <v>106</v>
      </c>
      <c r="M1074" s="4" t="s">
        <v>61</v>
      </c>
      <c r="O1074" s="4" t="s">
        <v>63</v>
      </c>
      <c r="P1074" s="4" t="s">
        <v>64</v>
      </c>
    </row>
    <row r="1075">
      <c r="A1075" s="4" t="s">
        <v>40</v>
      </c>
      <c r="B1075" s="4" t="s">
        <v>40</v>
      </c>
      <c r="C1075" s="4">
        <v>1073.0</v>
      </c>
      <c r="D1075" s="5" t="str">
        <f>HYPERLINK("https://www.linkedin.com/ad-library/detail/771370754","Open Ad")</f>
        <v>Open Ad</v>
      </c>
      <c r="E1075" s="4" t="s">
        <v>78</v>
      </c>
      <c r="F1075" s="4" t="s">
        <v>54</v>
      </c>
      <c r="G1075" s="4" t="s">
        <v>5258</v>
      </c>
      <c r="H1075" s="4" t="s">
        <v>49</v>
      </c>
      <c r="I1075" s="4" t="s">
        <v>661</v>
      </c>
      <c r="J1075" s="4" t="s">
        <v>78</v>
      </c>
      <c r="K1075" s="5" t="str">
        <f>HYPERLINK("https://media.licdn.com/dms/image/v2/D4E10AQEZ3WTi0Fr8sg/image-shrink_1280/B4EZlwmToEGoAM-/0/1758530715584?e=2147483647&amp;v=beta&amp;t=iXLs_Q8NGbM4vELrqcsikL3VfYzQ2XJBqKkZ5BrBYnc","View Creative")</f>
        <v>View Creative</v>
      </c>
      <c r="L1075" s="4" t="s">
        <v>106</v>
      </c>
      <c r="M1075" s="4" t="s">
        <v>61</v>
      </c>
      <c r="O1075" s="4" t="s">
        <v>63</v>
      </c>
      <c r="P1075" s="4" t="s">
        <v>64</v>
      </c>
    </row>
    <row r="1076">
      <c r="A1076" s="4" t="s">
        <v>40</v>
      </c>
      <c r="B1076" s="4" t="s">
        <v>40</v>
      </c>
      <c r="C1076" s="4">
        <v>1074.0</v>
      </c>
      <c r="D1076" s="5" t="str">
        <f>HYPERLINK("https://www.linkedin.com/ad-library/detail/771300854","Open Ad")</f>
        <v>Open Ad</v>
      </c>
      <c r="E1076" s="4" t="s">
        <v>78</v>
      </c>
      <c r="F1076" s="4" t="s">
        <v>54</v>
      </c>
      <c r="G1076" s="4" t="s">
        <v>5258</v>
      </c>
      <c r="H1076" s="4" t="s">
        <v>49</v>
      </c>
      <c r="I1076" s="4" t="s">
        <v>661</v>
      </c>
      <c r="J1076" s="4" t="s">
        <v>78</v>
      </c>
      <c r="K1076" s="5" t="str">
        <f>HYPERLINK("https://media.licdn.com/dms/image/v2/D4E10AQH7eh9GHNWDpg/image-shrink_1280/B4EZlwmTi6KcAM-/0/1758530714736?e=2147483647&amp;v=beta&amp;t=4C8ieAh1sILofijVfD41QaLXOdxPU0h9-LsjJBes4tY","View Creative")</f>
        <v>View Creative</v>
      </c>
      <c r="L1076" s="4" t="s">
        <v>106</v>
      </c>
      <c r="M1076" s="4" t="s">
        <v>61</v>
      </c>
      <c r="O1076" s="4" t="s">
        <v>63</v>
      </c>
      <c r="P1076" s="4" t="s">
        <v>64</v>
      </c>
    </row>
    <row r="1077">
      <c r="A1077" s="4" t="s">
        <v>40</v>
      </c>
      <c r="B1077" s="4" t="s">
        <v>40</v>
      </c>
      <c r="C1077" s="4">
        <v>1075.0</v>
      </c>
      <c r="D1077" s="5" t="str">
        <f>HYPERLINK("https://www.linkedin.com/ad-library/detail/771320844","Open Ad")</f>
        <v>Open Ad</v>
      </c>
      <c r="E1077" s="4" t="s">
        <v>78</v>
      </c>
      <c r="F1077" s="4" t="s">
        <v>54</v>
      </c>
      <c r="G1077" s="4" t="s">
        <v>5258</v>
      </c>
      <c r="H1077" s="4" t="s">
        <v>49</v>
      </c>
      <c r="I1077" s="4" t="s">
        <v>661</v>
      </c>
      <c r="J1077" s="4" t="s">
        <v>78</v>
      </c>
      <c r="K1077" s="5" t="str">
        <f>HYPERLINK("https://media.licdn.com/dms/image/v2/D4E10AQH_djnABctMZg/image-shrink_1280/B4EZlwmZARKkAM-/0/1758530736989?e=2147483647&amp;v=beta&amp;t=BgjYBJqZPe81jdCW6ctFZ98U2u9feXXoO4bUMH0ZX9E","View Creative")</f>
        <v>View Creative</v>
      </c>
      <c r="L1077" s="4" t="s">
        <v>106</v>
      </c>
      <c r="M1077" s="4" t="s">
        <v>61</v>
      </c>
      <c r="O1077" s="4" t="s">
        <v>63</v>
      </c>
      <c r="P1077" s="4" t="s">
        <v>64</v>
      </c>
    </row>
    <row r="1078">
      <c r="A1078" s="4" t="s">
        <v>40</v>
      </c>
      <c r="B1078" s="4" t="s">
        <v>40</v>
      </c>
      <c r="C1078" s="4">
        <v>1076.0</v>
      </c>
      <c r="D1078" s="5" t="str">
        <f>HYPERLINK("https://www.linkedin.com/ad-library/detail/771290974","Open Ad")</f>
        <v>Open Ad</v>
      </c>
      <c r="E1078" s="4" t="s">
        <v>78</v>
      </c>
      <c r="F1078" s="4" t="s">
        <v>54</v>
      </c>
      <c r="G1078" s="4" t="s">
        <v>5258</v>
      </c>
      <c r="H1078" s="4" t="s">
        <v>49</v>
      </c>
      <c r="I1078" s="4" t="s">
        <v>661</v>
      </c>
      <c r="J1078" s="4" t="s">
        <v>78</v>
      </c>
      <c r="K1078" s="5" t="str">
        <f>HYPERLINK("https://media.licdn.com/dms/image/v2/D4E10AQFSCRoESLefew/image-shrink_1280/B4EZlwmZFnGoAM-/0/1758530737578?e=2147483647&amp;v=beta&amp;t=E6LBF7dmyOI7WgH6-rGlbSSZxFsuAkysP1ZHj9T8Ijg","View Creative")</f>
        <v>View Creative</v>
      </c>
      <c r="L1078" s="4" t="s">
        <v>106</v>
      </c>
      <c r="M1078" s="4" t="s">
        <v>61</v>
      </c>
      <c r="O1078" s="4" t="s">
        <v>63</v>
      </c>
      <c r="P1078" s="4" t="s">
        <v>64</v>
      </c>
    </row>
    <row r="1079">
      <c r="A1079" s="4" t="s">
        <v>40</v>
      </c>
      <c r="B1079" s="4" t="s">
        <v>40</v>
      </c>
      <c r="C1079" s="4">
        <v>1077.0</v>
      </c>
      <c r="D1079" s="5" t="str">
        <f>HYPERLINK("https://www.linkedin.com/ad-library/detail/771290954","Open Ad")</f>
        <v>Open Ad</v>
      </c>
      <c r="E1079" s="4" t="s">
        <v>78</v>
      </c>
      <c r="F1079" s="4" t="s">
        <v>54</v>
      </c>
      <c r="G1079" s="4" t="s">
        <v>5258</v>
      </c>
      <c r="H1079" s="4" t="s">
        <v>49</v>
      </c>
      <c r="I1079" s="4" t="s">
        <v>661</v>
      </c>
      <c r="J1079" s="4" t="s">
        <v>78</v>
      </c>
      <c r="K1079" s="5" t="str">
        <f>HYPERLINK("https://media.licdn.com/dms/image/v2/D4E10AQFH-Y6IBYwU3g/image-shrink_1280/B4EZlwmTnlIkAM-/0/1758530714868?e=2147483647&amp;v=beta&amp;t=HHIXvSPvbpoLnrQc_ZpInY5NiMRzAqVX4Pqo2Kqr9SQ","View Creative")</f>
        <v>View Creative</v>
      </c>
      <c r="L1079" s="4" t="s">
        <v>106</v>
      </c>
      <c r="M1079" s="4" t="s">
        <v>61</v>
      </c>
      <c r="O1079" s="4" t="s">
        <v>63</v>
      </c>
      <c r="P1079" s="4" t="s">
        <v>64</v>
      </c>
    </row>
    <row r="1080">
      <c r="A1080" s="4" t="s">
        <v>40</v>
      </c>
      <c r="B1080" s="4" t="s">
        <v>40</v>
      </c>
      <c r="C1080" s="4">
        <v>1078.0</v>
      </c>
      <c r="D1080" s="5" t="str">
        <f>HYPERLINK("https://www.linkedin.com/ad-library/detail/771270874","Open Ad")</f>
        <v>Open Ad</v>
      </c>
      <c r="E1080" s="4" t="s">
        <v>78</v>
      </c>
      <c r="F1080" s="4" t="s">
        <v>54</v>
      </c>
      <c r="G1080" s="4" t="s">
        <v>5258</v>
      </c>
      <c r="H1080" s="4" t="s">
        <v>49</v>
      </c>
      <c r="I1080" s="4" t="s">
        <v>661</v>
      </c>
      <c r="J1080" s="4" t="s">
        <v>78</v>
      </c>
      <c r="K1080" s="5" t="str">
        <f>HYPERLINK("https://media.licdn.com/dms/image/v2/D4E10AQHCa5m29iNr8g/image-shrink_1280/B4EZlwmOXxGoBY-/0/1758530694620?e=2147483647&amp;v=beta&amp;t=lc2euQtaXfMQQEh_Cyh21-2PEa9DGMxNKjI93Zq73kY","View Creative")</f>
        <v>View Creative</v>
      </c>
      <c r="L1080" s="4" t="s">
        <v>106</v>
      </c>
      <c r="M1080" s="4" t="s">
        <v>61</v>
      </c>
      <c r="O1080" s="4" t="s">
        <v>63</v>
      </c>
      <c r="P1080" s="4" t="s">
        <v>64</v>
      </c>
    </row>
    <row r="1081">
      <c r="A1081" s="4" t="s">
        <v>40</v>
      </c>
      <c r="B1081" s="4" t="s">
        <v>40</v>
      </c>
      <c r="C1081" s="4">
        <v>1079.0</v>
      </c>
      <c r="D1081" s="5" t="str">
        <f>HYPERLINK("https://www.linkedin.com/ad-library/detail/771310804","Open Ad")</f>
        <v>Open Ad</v>
      </c>
      <c r="E1081" s="4" t="s">
        <v>78</v>
      </c>
      <c r="F1081" s="4" t="s">
        <v>54</v>
      </c>
      <c r="G1081" s="4" t="s">
        <v>5258</v>
      </c>
      <c r="H1081" s="4" t="s">
        <v>49</v>
      </c>
      <c r="I1081" s="4" t="s">
        <v>661</v>
      </c>
      <c r="J1081" s="4" t="s">
        <v>78</v>
      </c>
      <c r="K1081" s="5" t="str">
        <f>HYPERLINK("https://media.licdn.com/dms/image/v2/D4E10AQH0Js5QPwtoDw/image-shrink_1280/B4EZlwmZVcGcAM-/0/1758530738131?e=2147483647&amp;v=beta&amp;t=MVdYBLD67wqcRnxr4GZ0DpZ6m0KzkgPIg4mRxO2T7iw","View Creative")</f>
        <v>View Creative</v>
      </c>
      <c r="L1081" s="4" t="s">
        <v>106</v>
      </c>
      <c r="M1081" s="4" t="s">
        <v>61</v>
      </c>
      <c r="O1081" s="4" t="s">
        <v>63</v>
      </c>
      <c r="P1081" s="4" t="s">
        <v>64</v>
      </c>
    </row>
    <row r="1082">
      <c r="A1082" s="4" t="s">
        <v>40</v>
      </c>
      <c r="B1082" s="4" t="s">
        <v>40</v>
      </c>
      <c r="C1082" s="4">
        <v>1080.0</v>
      </c>
      <c r="D1082" s="5" t="str">
        <f>HYPERLINK("https://www.linkedin.com/ad-library/detail/771290964","Open Ad")</f>
        <v>Open Ad</v>
      </c>
      <c r="E1082" s="4" t="s">
        <v>78</v>
      </c>
      <c r="F1082" s="4" t="s">
        <v>54</v>
      </c>
      <c r="G1082" s="4" t="s">
        <v>5263</v>
      </c>
      <c r="H1082" s="4" t="s">
        <v>49</v>
      </c>
      <c r="I1082" s="4" t="s">
        <v>661</v>
      </c>
      <c r="J1082" s="4" t="s">
        <v>78</v>
      </c>
      <c r="K1082" s="5" t="str">
        <f>HYPERLINK("https://media.licdn.com/dms/image/v2/D4E10AQHgUtHHAfRs9w/image-shrink_1280/B4EZlwmY92GUAQ-/0/1758530736870?e=2147483647&amp;v=beta&amp;t=FB-DBWwVVMkMmwcQGOYHjeT0zVeq02jOGZrPpzKAz4s","View Creative")</f>
        <v>View Creative</v>
      </c>
      <c r="L1082" s="4" t="s">
        <v>106</v>
      </c>
      <c r="M1082" s="4" t="s">
        <v>61</v>
      </c>
      <c r="O1082" s="4" t="s">
        <v>63</v>
      </c>
      <c r="P1082" s="4" t="s">
        <v>64</v>
      </c>
    </row>
    <row r="1083">
      <c r="A1083" s="4" t="s">
        <v>40</v>
      </c>
      <c r="B1083" s="4" t="s">
        <v>40</v>
      </c>
      <c r="C1083" s="4">
        <v>1081.0</v>
      </c>
      <c r="D1083" s="5" t="str">
        <f>HYPERLINK("https://www.linkedin.com/ad-library/detail/771440224","Open Ad")</f>
        <v>Open Ad</v>
      </c>
      <c r="E1083" s="4" t="s">
        <v>78</v>
      </c>
      <c r="F1083" s="4" t="s">
        <v>54</v>
      </c>
      <c r="G1083" s="4" t="s">
        <v>5263</v>
      </c>
      <c r="H1083" s="4" t="s">
        <v>49</v>
      </c>
      <c r="I1083" s="4" t="s">
        <v>661</v>
      </c>
      <c r="J1083" s="4" t="s">
        <v>78</v>
      </c>
      <c r="K1083" s="5" t="str">
        <f>HYPERLINK("https://media.licdn.com/dms/image/v2/D4E10AQFpvzLOdybr6Q/image-shrink_1280/B4EZlwmD9QGUAQ-/0/1758530651946?e=2147483647&amp;v=beta&amp;t=zbCtlGzgkzKNEwTDNdWZWsz2F9rD9Qx2A1HknqDSzyk","View Creative")</f>
        <v>View Creative</v>
      </c>
      <c r="L1083" s="4" t="s">
        <v>106</v>
      </c>
      <c r="M1083" s="4" t="s">
        <v>61</v>
      </c>
      <c r="O1083" s="4" t="s">
        <v>63</v>
      </c>
      <c r="P1083" s="4" t="s">
        <v>64</v>
      </c>
    </row>
    <row r="1084">
      <c r="A1084" s="4" t="s">
        <v>40</v>
      </c>
      <c r="B1084" s="4" t="s">
        <v>40</v>
      </c>
      <c r="C1084" s="4">
        <v>1082.0</v>
      </c>
      <c r="D1084" s="5" t="str">
        <f>HYPERLINK("https://www.linkedin.com/ad-library/detail/771420334","Open Ad")</f>
        <v>Open Ad</v>
      </c>
      <c r="E1084" s="4" t="s">
        <v>78</v>
      </c>
      <c r="F1084" s="4" t="s">
        <v>54</v>
      </c>
      <c r="G1084" s="4" t="s">
        <v>5258</v>
      </c>
      <c r="H1084" s="4" t="s">
        <v>49</v>
      </c>
      <c r="I1084" s="4" t="s">
        <v>661</v>
      </c>
      <c r="J1084" s="4" t="s">
        <v>78</v>
      </c>
      <c r="K1084" s="5" t="str">
        <f>HYPERLINK("https://media.licdn.com/dms/image/v2/D4E10AQFGnvD8r0XNtA/image-shrink_1280/B4EZlwmDKMKQAM-/0/1758530647779?e=2147483647&amp;v=beta&amp;t=xiZ8zxHprW0LGx3zK1K3meFSxU6evaF41ZpTEgojBVY","View Creative")</f>
        <v>View Creative</v>
      </c>
      <c r="L1084" s="4" t="s">
        <v>106</v>
      </c>
      <c r="M1084" s="4" t="s">
        <v>61</v>
      </c>
      <c r="O1084" s="4" t="s">
        <v>63</v>
      </c>
      <c r="P1084" s="4" t="s">
        <v>64</v>
      </c>
    </row>
    <row r="1085">
      <c r="A1085" s="4" t="s">
        <v>40</v>
      </c>
      <c r="B1085" s="4" t="s">
        <v>40</v>
      </c>
      <c r="C1085" s="4">
        <v>1083.0</v>
      </c>
      <c r="D1085" s="5" t="str">
        <f>HYPERLINK("https://www.linkedin.com/ad-library/detail/771420344","Open Ad")</f>
        <v>Open Ad</v>
      </c>
      <c r="E1085" s="4" t="s">
        <v>78</v>
      </c>
      <c r="F1085" s="4" t="s">
        <v>54</v>
      </c>
      <c r="G1085" s="4" t="s">
        <v>5263</v>
      </c>
      <c r="H1085" s="4" t="s">
        <v>49</v>
      </c>
      <c r="I1085" s="4" t="s">
        <v>661</v>
      </c>
      <c r="J1085" s="4" t="s">
        <v>78</v>
      </c>
      <c r="K1085" s="5" t="str">
        <f>HYPERLINK("https://media.licdn.com/dms/image/v2/D4E10AQELTxi2885CqA/image-shrink_1280/B4EZlwmJGlKkAM-/0/1758530671842?e=2147483647&amp;v=beta&amp;t=CBTa5iv7sv2B3GhnmxyHIrP5se7ObsP23QaDinn4uQw","View Creative")</f>
        <v>View Creative</v>
      </c>
      <c r="L1085" s="4" t="s">
        <v>106</v>
      </c>
      <c r="M1085" s="4" t="s">
        <v>61</v>
      </c>
      <c r="O1085" s="4" t="s">
        <v>63</v>
      </c>
      <c r="P1085" s="4" t="s">
        <v>64</v>
      </c>
    </row>
    <row r="1086">
      <c r="A1086" s="4" t="s">
        <v>40</v>
      </c>
      <c r="B1086" s="4" t="s">
        <v>40</v>
      </c>
      <c r="C1086" s="4">
        <v>1084.0</v>
      </c>
      <c r="D1086" s="5" t="str">
        <f>HYPERLINK("https://www.linkedin.com/ad-library/detail/771350674","Open Ad")</f>
        <v>Open Ad</v>
      </c>
      <c r="E1086" s="4" t="s">
        <v>78</v>
      </c>
      <c r="F1086" s="4" t="s">
        <v>5257</v>
      </c>
      <c r="G1086" s="4" t="s">
        <v>5258</v>
      </c>
      <c r="H1086" s="4" t="s">
        <v>49</v>
      </c>
      <c r="I1086" s="4" t="s">
        <v>5259</v>
      </c>
      <c r="J1086" s="4" t="s">
        <v>78</v>
      </c>
      <c r="K1086" s="5" t="str">
        <f>HYPERLINK("https://media.licdn.com/dms/image/v2/D4E10AQE55Q5GFFve1g/image-shrink_1280/B4EZlwmOXxGoAM-/0/1758530693269?e=2147483647&amp;v=beta&amp;t=rKPcLditPdhvgXca9yYZh7ZaVYCFiUboiQTNeeTlll0","View Creative")</f>
        <v>View Creative</v>
      </c>
      <c r="L1086" s="4" t="s">
        <v>60</v>
      </c>
      <c r="M1086" s="4" t="s">
        <v>61</v>
      </c>
      <c r="N1086" s="4" t="s">
        <v>5625</v>
      </c>
      <c r="O1086" s="4" t="s">
        <v>89</v>
      </c>
      <c r="P1086" s="4" t="s">
        <v>5626</v>
      </c>
    </row>
    <row r="1087">
      <c r="A1087" s="4" t="s">
        <v>40</v>
      </c>
      <c r="B1087" s="4" t="s">
        <v>40</v>
      </c>
      <c r="C1087" s="4">
        <v>1085.0</v>
      </c>
      <c r="D1087" s="5" t="str">
        <f>HYPERLINK("https://www.linkedin.com/ad-library/detail/771390414","Open Ad")</f>
        <v>Open Ad</v>
      </c>
      <c r="E1087" s="4" t="s">
        <v>78</v>
      </c>
      <c r="F1087" s="4" t="s">
        <v>54</v>
      </c>
      <c r="G1087" s="4" t="s">
        <v>5263</v>
      </c>
      <c r="H1087" s="4" t="s">
        <v>49</v>
      </c>
      <c r="I1087" s="4" t="s">
        <v>661</v>
      </c>
      <c r="J1087" s="4" t="s">
        <v>78</v>
      </c>
      <c r="K1087" s="5" t="str">
        <f>HYPERLINK("https://media.licdn.com/dms/image/v2/D4E10AQF-PXZ6vnBiFg/image-shrink_1280/B4EZlwmDLfIoAQ-/0/1758530647961?e=2147483647&amp;v=beta&amp;t=SAlMkLAQLZGdhxKIJEIzn9cGziY1AueJGG5Z3vskvs0","View Creative")</f>
        <v>View Creative</v>
      </c>
      <c r="L1087" s="4" t="s">
        <v>106</v>
      </c>
      <c r="M1087" s="4" t="s">
        <v>61</v>
      </c>
      <c r="O1087" s="4" t="s">
        <v>63</v>
      </c>
      <c r="P1087" s="4" t="s">
        <v>64</v>
      </c>
    </row>
    <row r="1088">
      <c r="A1088" s="4" t="s">
        <v>40</v>
      </c>
      <c r="B1088" s="4" t="s">
        <v>40</v>
      </c>
      <c r="C1088" s="4">
        <v>1086.0</v>
      </c>
      <c r="D1088" s="5" t="str">
        <f>HYPERLINK("https://www.linkedin.com/ad-library/detail/771350654","Open Ad")</f>
        <v>Open Ad</v>
      </c>
      <c r="E1088" s="4" t="s">
        <v>78</v>
      </c>
      <c r="F1088" s="4" t="s">
        <v>54</v>
      </c>
      <c r="G1088" s="4" t="s">
        <v>5258</v>
      </c>
      <c r="H1088" s="4" t="s">
        <v>49</v>
      </c>
      <c r="I1088" s="4" t="s">
        <v>661</v>
      </c>
      <c r="J1088" s="4" t="s">
        <v>78</v>
      </c>
      <c r="K1088" s="5" t="str">
        <f>HYPERLINK("https://media.licdn.com/dms/image/v2/D4E10AQF8W71hJ07g0g/image-shrink_1280/B4EZlwmDbaGcAM-/0/1758530648600?e=2147483647&amp;v=beta&amp;t=qxRP4kM-upreePOpYaSIuOPicyE4DCeIM7ILw2Xhz2M","View Creative")</f>
        <v>View Creative</v>
      </c>
      <c r="L1088" s="4" t="s">
        <v>106</v>
      </c>
      <c r="M1088" s="4" t="s">
        <v>61</v>
      </c>
      <c r="O1088" s="4" t="s">
        <v>63</v>
      </c>
      <c r="P1088" s="4" t="s">
        <v>64</v>
      </c>
    </row>
    <row r="1089">
      <c r="A1089" s="4" t="s">
        <v>40</v>
      </c>
      <c r="B1089" s="4" t="s">
        <v>40</v>
      </c>
      <c r="C1089" s="4">
        <v>1087.0</v>
      </c>
      <c r="D1089" s="5" t="str">
        <f>HYPERLINK("https://www.linkedin.com/ad-library/detail/771410404","Open Ad")</f>
        <v>Open Ad</v>
      </c>
      <c r="E1089" s="4" t="s">
        <v>78</v>
      </c>
      <c r="F1089" s="4" t="s">
        <v>54</v>
      </c>
      <c r="G1089" s="4" t="s">
        <v>5258</v>
      </c>
      <c r="H1089" s="4" t="s">
        <v>49</v>
      </c>
      <c r="I1089" s="4" t="s">
        <v>661</v>
      </c>
      <c r="J1089" s="4" t="s">
        <v>78</v>
      </c>
      <c r="K1089" s="5" t="str">
        <f>HYPERLINK("https://media.licdn.com/dms/image/v2/D4E10AQFpnlAW7FHUzw/image-shrink_1280/B4EZlwmJFxGoAQ-/0/1758530671801?e=2147483647&amp;v=beta&amp;t=2A4qzn49zXpF_6Rw-CK4cKTODAeEBQBHZn_q0zzIbU4","View Creative")</f>
        <v>View Creative</v>
      </c>
      <c r="L1089" s="4" t="s">
        <v>106</v>
      </c>
      <c r="M1089" s="4" t="s">
        <v>61</v>
      </c>
      <c r="O1089" s="4" t="s">
        <v>63</v>
      </c>
      <c r="P1089" s="4" t="s">
        <v>64</v>
      </c>
    </row>
    <row r="1090">
      <c r="A1090" s="4" t="s">
        <v>40</v>
      </c>
      <c r="B1090" s="4" t="s">
        <v>40</v>
      </c>
      <c r="C1090" s="4">
        <v>1088.0</v>
      </c>
      <c r="D1090" s="5" t="str">
        <f>HYPERLINK("https://www.linkedin.com/ad-library/detail/771410414","Open Ad")</f>
        <v>Open Ad</v>
      </c>
      <c r="E1090" s="4" t="s">
        <v>78</v>
      </c>
      <c r="F1090" s="4" t="s">
        <v>54</v>
      </c>
      <c r="G1090" s="4" t="s">
        <v>5258</v>
      </c>
      <c r="H1090" s="4" t="s">
        <v>49</v>
      </c>
      <c r="I1090" s="4" t="s">
        <v>661</v>
      </c>
      <c r="J1090" s="4" t="s">
        <v>78</v>
      </c>
      <c r="K1090" s="5" t="str">
        <f>HYPERLINK("https://media.licdn.com/dms/image/v2/D4E10AQHd_T3X2-3Avw/image-shrink_1280/B4EZlwmJIbKQAM-/0/1758530671886?e=2147483647&amp;v=beta&amp;t=sDdrEb2WdA_mxP3nHZPgMsuwMDQQKuAFj_SokFbHQ3c","View Creative")</f>
        <v>View Creative</v>
      </c>
      <c r="L1090" s="4" t="s">
        <v>106</v>
      </c>
      <c r="M1090" s="4" t="s">
        <v>61</v>
      </c>
      <c r="O1090" s="4" t="s">
        <v>63</v>
      </c>
      <c r="P1090" s="4" t="s">
        <v>64</v>
      </c>
    </row>
    <row r="1091">
      <c r="A1091" s="4" t="s">
        <v>40</v>
      </c>
      <c r="B1091" s="4" t="s">
        <v>40</v>
      </c>
      <c r="C1091" s="4">
        <v>1089.0</v>
      </c>
      <c r="D1091" s="5" t="str">
        <f>HYPERLINK("https://www.linkedin.com/ad-library/detail/771261304","Open Ad")</f>
        <v>Open Ad</v>
      </c>
      <c r="E1091" s="4" t="s">
        <v>78</v>
      </c>
      <c r="F1091" s="4" t="s">
        <v>54</v>
      </c>
      <c r="G1091" s="4" t="s">
        <v>5258</v>
      </c>
      <c r="H1091" s="4" t="s">
        <v>49</v>
      </c>
      <c r="I1091" s="4" t="s">
        <v>661</v>
      </c>
      <c r="J1091" s="4" t="s">
        <v>78</v>
      </c>
      <c r="K1091" s="5" t="str">
        <f>HYPERLINK("https://media.licdn.com/dms/image/v2/D4E10AQGmITGhB4MGCQ/image-shrink_1280/B4EZlwmJDbIMAQ-/0/1758530671680?e=2147483647&amp;v=beta&amp;t=C7pXt6NCUQj9F52ccAEPW8ulZvxMf3n-pebX0orEB9w","View Creative")</f>
        <v>View Creative</v>
      </c>
      <c r="L1091" s="4" t="s">
        <v>106</v>
      </c>
      <c r="M1091" s="4" t="s">
        <v>61</v>
      </c>
      <c r="O1091" s="4" t="s">
        <v>63</v>
      </c>
      <c r="P1091" s="4" t="s">
        <v>64</v>
      </c>
    </row>
    <row r="1092">
      <c r="A1092" s="4" t="s">
        <v>40</v>
      </c>
      <c r="B1092" s="4" t="s">
        <v>40</v>
      </c>
      <c r="C1092" s="4">
        <v>1090.0</v>
      </c>
      <c r="D1092" s="5" t="str">
        <f>HYPERLINK("https://www.linkedin.com/ad-library/detail/771261314","Open Ad")</f>
        <v>Open Ad</v>
      </c>
      <c r="E1092" s="4" t="s">
        <v>78</v>
      </c>
      <c r="F1092" s="4" t="s">
        <v>54</v>
      </c>
      <c r="G1092" s="4" t="s">
        <v>5263</v>
      </c>
      <c r="H1092" s="4" t="s">
        <v>49</v>
      </c>
      <c r="I1092" s="4" t="s">
        <v>661</v>
      </c>
      <c r="J1092" s="4" t="s">
        <v>78</v>
      </c>
      <c r="K1092" s="5" t="str">
        <f>HYPERLINK("https://media.licdn.com/dms/image/v2/D4E10AQE49-dFO03UgQ/image-shrink_1280/B4EZlwmJHWKUAQ-/0/1758530672506?e=2147483647&amp;v=beta&amp;t=gktdH8mVuRoe2jHt06FVZvg6ld5sjaEySa3dt0q2vjs","View Creative")</f>
        <v>View Creative</v>
      </c>
      <c r="L1092" s="4" t="s">
        <v>106</v>
      </c>
      <c r="M1092" s="4" t="s">
        <v>61</v>
      </c>
      <c r="O1092" s="4" t="s">
        <v>63</v>
      </c>
      <c r="P1092" s="4" t="s">
        <v>64</v>
      </c>
    </row>
    <row r="1093">
      <c r="A1093" s="4" t="s">
        <v>40</v>
      </c>
      <c r="B1093" s="4" t="s">
        <v>40</v>
      </c>
      <c r="C1093" s="4">
        <v>1091.0</v>
      </c>
      <c r="D1093" s="5" t="str">
        <f>HYPERLINK("https://www.linkedin.com/ad-library/detail/771400494","Open Ad")</f>
        <v>Open Ad</v>
      </c>
      <c r="E1093" s="4" t="s">
        <v>78</v>
      </c>
      <c r="F1093" s="4" t="s">
        <v>54</v>
      </c>
      <c r="G1093" s="4" t="s">
        <v>5258</v>
      </c>
      <c r="H1093" s="4" t="s">
        <v>49</v>
      </c>
      <c r="I1093" s="4" t="s">
        <v>661</v>
      </c>
      <c r="J1093" s="4" t="s">
        <v>78</v>
      </c>
      <c r="K1093" s="5" t="str">
        <f>HYPERLINK("https://media.licdn.com/dms/image/v2/D4E10AQFCMmvwY334Fw/image-shrink_1280/B4EZlwmOaUKsAM-/0/1758530693457?e=2147483647&amp;v=beta&amp;t=7sPCifeXI6uEKNrPfhVNnhpLmRbsRYlk71igNBS96yU","View Creative")</f>
        <v>View Creative</v>
      </c>
      <c r="L1093" s="4" t="s">
        <v>106</v>
      </c>
      <c r="M1093" s="4" t="s">
        <v>61</v>
      </c>
      <c r="O1093" s="4" t="s">
        <v>63</v>
      </c>
      <c r="P1093" s="4" t="s">
        <v>64</v>
      </c>
    </row>
    <row r="1094">
      <c r="A1094" s="4" t="s">
        <v>40</v>
      </c>
      <c r="B1094" s="4" t="s">
        <v>40</v>
      </c>
      <c r="C1094" s="4">
        <v>1092.0</v>
      </c>
      <c r="D1094" s="5" t="str">
        <f>HYPERLINK("https://www.linkedin.com/ad-library/detail/771430304","Open Ad")</f>
        <v>Open Ad</v>
      </c>
      <c r="E1094" s="4" t="s">
        <v>78</v>
      </c>
      <c r="F1094" s="4" t="s">
        <v>54</v>
      </c>
      <c r="G1094" s="4" t="s">
        <v>5258</v>
      </c>
      <c r="H1094" s="4" t="s">
        <v>49</v>
      </c>
      <c r="I1094" s="4" t="s">
        <v>661</v>
      </c>
      <c r="J1094" s="4" t="s">
        <v>78</v>
      </c>
      <c r="K1094" s="5" t="str">
        <f>HYPERLINK("https://media.licdn.com/dms/image/v2/D4E10AQG9FYc62sLguQ/image-shrink_1280/B4EZlwmOZvKgAM-/0/1758530693348?e=2147483647&amp;v=beta&amp;t=YdyZd0B4cxTwtMZ1Vz64nsOINmMbj82EfPggnjatr1Y","View Creative")</f>
        <v>View Creative</v>
      </c>
      <c r="L1094" s="4" t="s">
        <v>106</v>
      </c>
      <c r="M1094" s="4" t="s">
        <v>61</v>
      </c>
      <c r="O1094" s="4" t="s">
        <v>63</v>
      </c>
      <c r="P1094" s="4" t="s">
        <v>64</v>
      </c>
    </row>
    <row r="1095">
      <c r="A1095" s="4" t="s">
        <v>40</v>
      </c>
      <c r="B1095" s="4" t="s">
        <v>40</v>
      </c>
      <c r="C1095" s="4">
        <v>1093.0</v>
      </c>
      <c r="D1095" s="5" t="str">
        <f>HYPERLINK("https://www.linkedin.com/ad-library/detail/771320774","Open Ad")</f>
        <v>Open Ad</v>
      </c>
      <c r="E1095" s="4" t="s">
        <v>78</v>
      </c>
      <c r="F1095" s="4" t="s">
        <v>54</v>
      </c>
      <c r="G1095" s="4" t="s">
        <v>5263</v>
      </c>
      <c r="H1095" s="4" t="s">
        <v>49</v>
      </c>
      <c r="I1095" s="4" t="s">
        <v>661</v>
      </c>
      <c r="J1095" s="4" t="s">
        <v>78</v>
      </c>
      <c r="K1095" s="5" t="str">
        <f>HYPERLINK("https://media.licdn.com/dms/image/v2/D4E10AQFObJbl5BEdQg/image-shrink_1280/B4EZlwmDg6KUAM-/0/1758530649335?e=2147483647&amp;v=beta&amp;t=ac_c3ifkGqqBDGXHci6_k3lQ1jd49X8FQg1XCCkkoIY","View Creative")</f>
        <v>View Creative</v>
      </c>
      <c r="L1095" s="4" t="s">
        <v>106</v>
      </c>
      <c r="M1095" s="4" t="s">
        <v>61</v>
      </c>
      <c r="O1095" s="4" t="s">
        <v>63</v>
      </c>
      <c r="P1095" s="4" t="s">
        <v>64</v>
      </c>
    </row>
    <row r="1096">
      <c r="A1096" s="4" t="s">
        <v>40</v>
      </c>
      <c r="B1096" s="4" t="s">
        <v>40</v>
      </c>
      <c r="C1096" s="4">
        <v>1094.0</v>
      </c>
      <c r="D1096" s="5" t="str">
        <f>HYPERLINK("https://www.linkedin.com/ad-library/detail/771290914","Open Ad")</f>
        <v>Open Ad</v>
      </c>
      <c r="E1096" s="4" t="s">
        <v>78</v>
      </c>
      <c r="F1096" s="4" t="s">
        <v>54</v>
      </c>
      <c r="G1096" s="4" t="s">
        <v>5258</v>
      </c>
      <c r="H1096" s="4" t="s">
        <v>49</v>
      </c>
      <c r="I1096" s="4" t="s">
        <v>661</v>
      </c>
      <c r="J1096" s="4" t="s">
        <v>78</v>
      </c>
      <c r="K1096" s="5" t="str">
        <f>HYPERLINK("https://media.licdn.com/dms/image/v2/D4E10AQHMXujdd8e7mQ/image-shrink_1280/B4EZlwmJACIUAM-/0/1758530671378?e=2147483647&amp;v=beta&amp;t=AQJXkje5J9Vyug4kWFLSEHSHczAiVr4eMz2pyW3peBA","View Creative")</f>
        <v>View Creative</v>
      </c>
      <c r="L1096" s="4" t="s">
        <v>106</v>
      </c>
      <c r="M1096" s="4" t="s">
        <v>61</v>
      </c>
      <c r="O1096" s="4" t="s">
        <v>63</v>
      </c>
      <c r="P1096" s="4" t="s">
        <v>64</v>
      </c>
    </row>
    <row r="1097">
      <c r="A1097" s="4" t="s">
        <v>40</v>
      </c>
      <c r="B1097" s="4" t="s">
        <v>40</v>
      </c>
      <c r="C1097" s="4">
        <v>1095.0</v>
      </c>
      <c r="D1097" s="5" t="str">
        <f>HYPERLINK("https://www.linkedin.com/ad-library/detail/771320794","Open Ad")</f>
        <v>Open Ad</v>
      </c>
      <c r="E1097" s="4" t="s">
        <v>78</v>
      </c>
      <c r="F1097" s="4" t="s">
        <v>54</v>
      </c>
      <c r="G1097" s="4" t="s">
        <v>5263</v>
      </c>
      <c r="H1097" s="4" t="s">
        <v>49</v>
      </c>
      <c r="I1097" s="4" t="s">
        <v>661</v>
      </c>
      <c r="J1097" s="4" t="s">
        <v>78</v>
      </c>
      <c r="K1097" s="5" t="str">
        <f>HYPERLINK("https://media.licdn.com/dms/image/v2/D4E10AQHisRD2R_BJvg/image-shrink_1280/B4EZlwmI_lGYAM-/0/1758530671159?e=2147483647&amp;v=beta&amp;t=SeJQ36_UNDOtsihgJX1U29jSjTwxa0sWrGsLD19h3nA","View Creative")</f>
        <v>View Creative</v>
      </c>
      <c r="L1097" s="4" t="s">
        <v>106</v>
      </c>
      <c r="M1097" s="4" t="s">
        <v>61</v>
      </c>
      <c r="O1097" s="4" t="s">
        <v>63</v>
      </c>
      <c r="P1097" s="4" t="s">
        <v>64</v>
      </c>
    </row>
    <row r="1098">
      <c r="A1098" s="4" t="s">
        <v>40</v>
      </c>
      <c r="B1098" s="4" t="s">
        <v>40</v>
      </c>
      <c r="C1098" s="4">
        <v>1096.0</v>
      </c>
      <c r="D1098" s="5" t="str">
        <f>HYPERLINK("https://www.linkedin.com/ad-library/detail/771290924","Open Ad")</f>
        <v>Open Ad</v>
      </c>
      <c r="E1098" s="4" t="s">
        <v>78</v>
      </c>
      <c r="F1098" s="4" t="s">
        <v>54</v>
      </c>
      <c r="G1098" s="4" t="s">
        <v>5258</v>
      </c>
      <c r="H1098" s="4" t="s">
        <v>49</v>
      </c>
      <c r="I1098" s="4" t="s">
        <v>661</v>
      </c>
      <c r="J1098" s="4" t="s">
        <v>78</v>
      </c>
      <c r="K1098" s="5" t="str">
        <f>HYPERLINK("https://media.licdn.com/dms/image/v2/D4E10AQGRl1KOiOM_OQ/image-shrink_1280/B4EZlwmJIHHcAQ-/0/1758530672212?e=2147483647&amp;v=beta&amp;t=aBmGXzzu-_Gi2lIrFVcGX5Lp59nV_fb4e6qOa_dhPlE","View Creative")</f>
        <v>View Creative</v>
      </c>
      <c r="L1098" s="4" t="s">
        <v>106</v>
      </c>
      <c r="M1098" s="4" t="s">
        <v>61</v>
      </c>
      <c r="O1098" s="4" t="s">
        <v>63</v>
      </c>
      <c r="P1098" s="4" t="s">
        <v>64</v>
      </c>
    </row>
    <row r="1099">
      <c r="A1099" s="4" t="s">
        <v>40</v>
      </c>
      <c r="B1099" s="4" t="s">
        <v>40</v>
      </c>
      <c r="C1099" s="4">
        <v>1097.0</v>
      </c>
      <c r="D1099" s="5" t="str">
        <f>HYPERLINK("https://www.linkedin.com/ad-library/detail/771290904","Open Ad")</f>
        <v>Open Ad</v>
      </c>
      <c r="E1099" s="4" t="s">
        <v>78</v>
      </c>
      <c r="F1099" s="4" t="s">
        <v>54</v>
      </c>
      <c r="G1099" s="4" t="s">
        <v>5263</v>
      </c>
      <c r="H1099" s="4" t="s">
        <v>49</v>
      </c>
      <c r="I1099" s="4" t="s">
        <v>661</v>
      </c>
      <c r="J1099" s="4" t="s">
        <v>78</v>
      </c>
      <c r="K1099" s="5" t="str">
        <f>HYPERLINK("https://media.licdn.com/dms/image/v2/D4E10AQFwSw9Erpcr7A/image-shrink_1280/B4EZlwmI1EGUAM-/0/1758530670844?e=2147483647&amp;v=beta&amp;t=2FnhumvUhBNmLlwr7hpdVyyLy0h6w0C8W4tWE1d5t1A","View Creative")</f>
        <v>View Creative</v>
      </c>
      <c r="L1099" s="4" t="s">
        <v>106</v>
      </c>
      <c r="M1099" s="4" t="s">
        <v>61</v>
      </c>
      <c r="O1099" s="4" t="s">
        <v>63</v>
      </c>
      <c r="P1099" s="4" t="s">
        <v>64</v>
      </c>
    </row>
    <row r="1100">
      <c r="A1100" s="4" t="s">
        <v>40</v>
      </c>
      <c r="B1100" s="4" t="s">
        <v>40</v>
      </c>
      <c r="C1100" s="4">
        <v>1098.0</v>
      </c>
      <c r="D1100" s="5" t="str">
        <f>HYPERLINK("https://www.linkedin.com/ad-library/detail/771400484","Open Ad")</f>
        <v>Open Ad</v>
      </c>
      <c r="E1100" s="4" t="s">
        <v>78</v>
      </c>
      <c r="F1100" s="4" t="s">
        <v>54</v>
      </c>
      <c r="G1100" s="4" t="s">
        <v>5263</v>
      </c>
      <c r="H1100" s="4" t="s">
        <v>49</v>
      </c>
      <c r="I1100" s="4" t="s">
        <v>661</v>
      </c>
      <c r="J1100" s="4" t="s">
        <v>78</v>
      </c>
      <c r="K1100" s="5" t="str">
        <f>HYPERLINK("https://media.licdn.com/dms/image/v2/D4E10AQHn__hpDrFt2A/image-shrink_1280/B4EZlwmOWGIUAM-/0/1758530693138?e=2147483647&amp;v=beta&amp;t=cSrhijF-SmFyuYtRoFRpQtl52MxfvA5pDiv7okZH6AA","View Creative")</f>
        <v>View Creative</v>
      </c>
      <c r="L1100" s="4" t="s">
        <v>106</v>
      </c>
      <c r="M1100" s="4" t="s">
        <v>61</v>
      </c>
      <c r="O1100" s="4" t="s">
        <v>63</v>
      </c>
      <c r="P1100" s="4" t="s">
        <v>64</v>
      </c>
    </row>
    <row r="1101">
      <c r="A1101" s="4" t="s">
        <v>40</v>
      </c>
      <c r="B1101" s="4" t="s">
        <v>40</v>
      </c>
      <c r="C1101" s="4">
        <v>1099.0</v>
      </c>
      <c r="D1101" s="5" t="str">
        <f>HYPERLINK("https://www.linkedin.com/ad-library/detail/771430274","Open Ad")</f>
        <v>Open Ad</v>
      </c>
      <c r="E1101" s="4" t="s">
        <v>78</v>
      </c>
      <c r="F1101" s="4" t="s">
        <v>54</v>
      </c>
      <c r="G1101" s="4" t="s">
        <v>5258</v>
      </c>
      <c r="H1101" s="4" t="s">
        <v>49</v>
      </c>
      <c r="I1101" s="4" t="s">
        <v>661</v>
      </c>
      <c r="J1101" s="4" t="s">
        <v>78</v>
      </c>
      <c r="K1101" s="5" t="str">
        <f>HYPERLINK("https://media.licdn.com/dms/image/v2/D4E10AQH8dqHxyuCvMA/image-shrink_1280/B4EZlwmDanHcAM-/0/1758530648506?e=2147483647&amp;v=beta&amp;t=e_yu8M1t2FTK6UcUhyOnDRLiUeoX05cOoj0aP2Vj3_E","View Creative")</f>
        <v>View Creative</v>
      </c>
      <c r="L1101" s="4" t="s">
        <v>106</v>
      </c>
      <c r="M1101" s="4" t="s">
        <v>61</v>
      </c>
      <c r="O1101" s="4" t="s">
        <v>63</v>
      </c>
      <c r="P1101" s="4" t="s">
        <v>64</v>
      </c>
    </row>
    <row r="1102">
      <c r="A1102" s="4" t="s">
        <v>40</v>
      </c>
      <c r="B1102" s="4" t="s">
        <v>40</v>
      </c>
      <c r="C1102" s="4">
        <v>1100.0</v>
      </c>
      <c r="D1102" s="5" t="str">
        <f>HYPERLINK("https://www.linkedin.com/ad-library/detail/771380504","Open Ad")</f>
        <v>Open Ad</v>
      </c>
      <c r="E1102" s="4" t="s">
        <v>78</v>
      </c>
      <c r="F1102" s="4" t="s">
        <v>54</v>
      </c>
      <c r="G1102" s="4" t="s">
        <v>5263</v>
      </c>
      <c r="H1102" s="4" t="s">
        <v>49</v>
      </c>
      <c r="I1102" s="4" t="s">
        <v>661</v>
      </c>
      <c r="J1102" s="4" t="s">
        <v>78</v>
      </c>
      <c r="K1102" s="5" t="str">
        <f>HYPERLINK("https://media.licdn.com/dms/image/v2/D4E10AQFT_X1agUGbJg/image-shrink_1280/B4EZlwmDktIIAQ-/0/1758530649210?e=2147483647&amp;v=beta&amp;t=Ija6WjSlKQ8CTzpvUT7vzDkobWumvWCpbUhngtDyZDE","View Creative")</f>
        <v>View Creative</v>
      </c>
      <c r="L1102" s="4" t="s">
        <v>106</v>
      </c>
      <c r="M1102" s="4" t="s">
        <v>61</v>
      </c>
      <c r="O1102" s="4" t="s">
        <v>63</v>
      </c>
      <c r="P1102" s="4" t="s">
        <v>64</v>
      </c>
    </row>
    <row r="1103">
      <c r="A1103" s="4" t="s">
        <v>40</v>
      </c>
      <c r="B1103" s="4" t="s">
        <v>40</v>
      </c>
      <c r="C1103" s="4">
        <v>1101.0</v>
      </c>
      <c r="D1103" s="5" t="str">
        <f>HYPERLINK("https://www.linkedin.com/ad-library/detail/771430294","Open Ad")</f>
        <v>Open Ad</v>
      </c>
      <c r="E1103" s="4" t="s">
        <v>78</v>
      </c>
      <c r="F1103" s="4" t="s">
        <v>54</v>
      </c>
      <c r="G1103" s="4" t="s">
        <v>5263</v>
      </c>
      <c r="H1103" s="4" t="s">
        <v>49</v>
      </c>
      <c r="I1103" s="4" t="s">
        <v>661</v>
      </c>
      <c r="J1103" s="4" t="s">
        <v>78</v>
      </c>
      <c r="K1103" s="5" t="str">
        <f>HYPERLINK("https://media.licdn.com/dms/image/v2/D4E10AQEnHQsmeLUdwA/image-shrink_1280/B4EZlwmORvIwAM-/0/1758530693254?e=2147483647&amp;v=beta&amp;t=PckBd2XozT8xJn0x1H2QTUf2_pGF-_FJvnOEFzHuqxs","View Creative")</f>
        <v>View Creative</v>
      </c>
      <c r="L1103" s="4" t="s">
        <v>106</v>
      </c>
      <c r="M1103" s="4" t="s">
        <v>61</v>
      </c>
      <c r="O1103" s="4" t="s">
        <v>63</v>
      </c>
      <c r="P1103" s="4" t="s">
        <v>64</v>
      </c>
    </row>
    <row r="1104">
      <c r="A1104" s="4" t="s">
        <v>40</v>
      </c>
      <c r="B1104" s="4" t="s">
        <v>40</v>
      </c>
      <c r="C1104" s="4">
        <v>1102.0</v>
      </c>
      <c r="D1104" s="5" t="str">
        <f>HYPERLINK("https://www.linkedin.com/ad-library/detail/771340564","Open Ad")</f>
        <v>Open Ad</v>
      </c>
      <c r="E1104" s="4" t="s">
        <v>78</v>
      </c>
      <c r="F1104" s="4" t="s">
        <v>54</v>
      </c>
      <c r="G1104" s="4" t="s">
        <v>5263</v>
      </c>
      <c r="H1104" s="4" t="s">
        <v>49</v>
      </c>
      <c r="I1104" s="4" t="s">
        <v>661</v>
      </c>
      <c r="J1104" s="4" t="s">
        <v>78</v>
      </c>
      <c r="K1104" s="5" t="str">
        <f>HYPERLINK("https://media.licdn.com/dms/image/v2/D4E10AQH4ZZq6vO4WsA/image-shrink_1280/B4EZlwmJHAIUAM-/0/1758530673305?e=2147483647&amp;v=beta&amp;t=lkledceXidXk3Iwlziq030zWL9ZU9WXo6pPlA1eH3-Q","View Creative")</f>
        <v>View Creative</v>
      </c>
      <c r="L1104" s="4" t="s">
        <v>106</v>
      </c>
      <c r="M1104" s="4" t="s">
        <v>61</v>
      </c>
      <c r="O1104" s="4" t="s">
        <v>63</v>
      </c>
      <c r="P1104" s="4" t="s">
        <v>64</v>
      </c>
    </row>
    <row r="1105">
      <c r="A1105" s="4" t="s">
        <v>40</v>
      </c>
      <c r="B1105" s="4" t="s">
        <v>40</v>
      </c>
      <c r="C1105" s="4">
        <v>1103.0</v>
      </c>
      <c r="D1105" s="5" t="str">
        <f>HYPERLINK("https://www.linkedin.com/ad-library/detail/771430284","Open Ad")</f>
        <v>Open Ad</v>
      </c>
      <c r="E1105" s="4" t="s">
        <v>78</v>
      </c>
      <c r="F1105" s="4" t="s">
        <v>54</v>
      </c>
      <c r="G1105" s="4" t="s">
        <v>5263</v>
      </c>
      <c r="H1105" s="4" t="s">
        <v>49</v>
      </c>
      <c r="I1105" s="4" t="s">
        <v>661</v>
      </c>
      <c r="J1105" s="4" t="s">
        <v>78</v>
      </c>
      <c r="K1105" s="5" t="str">
        <f>HYPERLINK("https://media.licdn.com/dms/image/v2/D4E10AQHBb2PDeyBLfQ/image-shrink_1280/B4EZlwmDhWKsAM-/0/1758530649248?e=2147483647&amp;v=beta&amp;t=h8rK4fQT3MMV4nE8xOyJ-DhQsY6lhRJR6o021R2RYnA","View Creative")</f>
        <v>View Creative</v>
      </c>
      <c r="L1105" s="4" t="s">
        <v>106</v>
      </c>
      <c r="M1105" s="4" t="s">
        <v>61</v>
      </c>
      <c r="O1105" s="4" t="s">
        <v>63</v>
      </c>
      <c r="P1105" s="4" t="s">
        <v>64</v>
      </c>
    </row>
    <row r="1106">
      <c r="A1106" s="4" t="s">
        <v>40</v>
      </c>
      <c r="B1106" s="4" t="s">
        <v>40</v>
      </c>
      <c r="C1106" s="4">
        <v>1104.0</v>
      </c>
      <c r="D1106" s="5" t="str">
        <f>HYPERLINK("https://www.linkedin.com/ad-library/detail/771470024","Open Ad")</f>
        <v>Open Ad</v>
      </c>
      <c r="E1106" s="4" t="s">
        <v>78</v>
      </c>
      <c r="F1106" s="4" t="s">
        <v>54</v>
      </c>
      <c r="G1106" s="4" t="s">
        <v>5258</v>
      </c>
      <c r="H1106" s="4" t="s">
        <v>49</v>
      </c>
      <c r="I1106" s="4" t="s">
        <v>661</v>
      </c>
      <c r="J1106" s="4" t="s">
        <v>78</v>
      </c>
      <c r="K1106" s="5" t="str">
        <f>HYPERLINK("https://media.licdn.com/dms/image/v2/D4E10AQESnEI6FLAEjg/image-shrink_1280/B4EZlwmDfKKoAM-/0/1758530648906?e=2147483647&amp;v=beta&amp;t=JdGtVhOhYiQ6725PYfvwtZtRFa-IoczLwxTS_dwbbHE","View Creative")</f>
        <v>View Creative</v>
      </c>
      <c r="L1106" s="4" t="s">
        <v>106</v>
      </c>
      <c r="M1106" s="4" t="s">
        <v>61</v>
      </c>
      <c r="O1106" s="4" t="s">
        <v>63</v>
      </c>
      <c r="P1106" s="4" t="s">
        <v>64</v>
      </c>
    </row>
    <row r="1107">
      <c r="A1107" s="4" t="s">
        <v>40</v>
      </c>
      <c r="B1107" s="4" t="s">
        <v>40</v>
      </c>
      <c r="C1107" s="4">
        <v>1105.0</v>
      </c>
      <c r="D1107" s="5" t="str">
        <f>HYPERLINK("https://www.linkedin.com/ad-library/detail/771439994","Open Ad")</f>
        <v>Open Ad</v>
      </c>
      <c r="E1107" s="4" t="s">
        <v>121</v>
      </c>
      <c r="F1107" s="4" t="s">
        <v>54</v>
      </c>
      <c r="G1107" s="4" t="s">
        <v>5356</v>
      </c>
      <c r="H1107" s="4" t="s">
        <v>49</v>
      </c>
      <c r="I1107" s="4" t="s">
        <v>661</v>
      </c>
      <c r="J1107" s="4" t="s">
        <v>121</v>
      </c>
      <c r="K1107" s="5" t="str">
        <f>HYPERLINK("https://dms.licdn.com/playlist/vid/v2/D4E10AQG0yqqJY6BwKg/mp4-360p-30fp-crf28/B4EZlwgk7lKYCE-/0/1758529238601/261_AIVisibiltyIndex_TheDefinitiveBlueprint_1080x1920mp4?e=2147483647&amp;v=beta&amp;t=OrIzX1jw6qfC2f-bSfaATvZVfWJ_33LC4LxEAL5q0Q0","View Creative")</f>
        <v>View Creative</v>
      </c>
      <c r="L1107" s="4" t="s">
        <v>106</v>
      </c>
      <c r="M1107" s="4" t="s">
        <v>61</v>
      </c>
      <c r="O1107" s="4" t="s">
        <v>63</v>
      </c>
      <c r="P1107" s="4" t="s">
        <v>64</v>
      </c>
    </row>
    <row r="1108">
      <c r="A1108" s="4" t="s">
        <v>40</v>
      </c>
      <c r="B1108" s="4" t="s">
        <v>40</v>
      </c>
      <c r="C1108" s="4">
        <v>1106.0</v>
      </c>
      <c r="D1108" s="5" t="str">
        <f>HYPERLINK("https://www.linkedin.com/ad-library/detail/771310754","Open Ad")</f>
        <v>Open Ad</v>
      </c>
      <c r="E1108" s="4" t="s">
        <v>78</v>
      </c>
      <c r="F1108" s="4" t="s">
        <v>54</v>
      </c>
      <c r="G1108" s="4" t="s">
        <v>5258</v>
      </c>
      <c r="H1108" s="4" t="s">
        <v>49</v>
      </c>
      <c r="I1108" s="4" t="s">
        <v>661</v>
      </c>
      <c r="J1108" s="4" t="s">
        <v>78</v>
      </c>
      <c r="K1108" s="5" t="str">
        <f>HYPERLINK("https://media.licdn.com/dms/image/v2/D4E10AQEF_1Ow5u9Ssg/image-shrink_1280/B4EZlwl9zZGoAM-/0/1758530625799?e=2147483647&amp;v=beta&amp;t=Do-9f_BAtU0IIbn45HWvH8HhIkbFwPDRueW0EFVFn4s","View Creative")</f>
        <v>View Creative</v>
      </c>
      <c r="L1108" s="4" t="s">
        <v>106</v>
      </c>
      <c r="M1108" s="4" t="s">
        <v>61</v>
      </c>
      <c r="O1108" s="4" t="s">
        <v>63</v>
      </c>
      <c r="P1108" s="4" t="s">
        <v>64</v>
      </c>
    </row>
    <row r="1109">
      <c r="A1109" s="4" t="s">
        <v>40</v>
      </c>
      <c r="B1109" s="4" t="s">
        <v>40</v>
      </c>
      <c r="C1109" s="4">
        <v>1107.0</v>
      </c>
      <c r="D1109" s="5" t="str">
        <f>HYPERLINK("https://www.linkedin.com/ad-library/detail/758593694","Open Ad")</f>
        <v>Open Ad</v>
      </c>
      <c r="E1109" s="4" t="s">
        <v>78</v>
      </c>
      <c r="F1109" s="4" t="s">
        <v>54</v>
      </c>
      <c r="G1109" s="4" t="s">
        <v>5258</v>
      </c>
      <c r="H1109" s="4" t="s">
        <v>49</v>
      </c>
      <c r="I1109" s="4" t="s">
        <v>661</v>
      </c>
      <c r="J1109" s="4" t="s">
        <v>78</v>
      </c>
      <c r="K1109" s="5" t="str">
        <f>HYPERLINK("https://media.licdn.com/dms/image/v2/D4E10AQGY0Ce37DCFIw/image-shrink_1280/B4EZlMjGNYGwAQ-/0/1757925894054?e=2147483647&amp;v=beta&amp;t=Ju8KqRvdsVgn_qFoTA85BPox4n4GuoWUfAUImEU7I8U","View Creative")</f>
        <v>View Creative</v>
      </c>
      <c r="L1109" s="4" t="s">
        <v>106</v>
      </c>
      <c r="M1109" s="4" t="s">
        <v>61</v>
      </c>
      <c r="O1109" s="4" t="s">
        <v>63</v>
      </c>
      <c r="P1109" s="4" t="s">
        <v>64</v>
      </c>
    </row>
    <row r="1110">
      <c r="A1110" s="4" t="s">
        <v>40</v>
      </c>
      <c r="B1110" s="4" t="s">
        <v>40</v>
      </c>
      <c r="C1110" s="4">
        <v>1108.0</v>
      </c>
      <c r="D1110" s="5" t="str">
        <f>HYPERLINK("https://www.linkedin.com/ad-library/detail/771440204","Open Ad")</f>
        <v>Open Ad</v>
      </c>
      <c r="E1110" s="4" t="s">
        <v>78</v>
      </c>
      <c r="F1110" s="4" t="s">
        <v>54</v>
      </c>
      <c r="G1110" s="4" t="s">
        <v>5263</v>
      </c>
      <c r="H1110" s="4" t="s">
        <v>49</v>
      </c>
      <c r="I1110" s="4" t="s">
        <v>661</v>
      </c>
      <c r="J1110" s="4" t="s">
        <v>78</v>
      </c>
      <c r="K1110" s="5" t="str">
        <f>HYPERLINK("https://media.licdn.com/dms/image/v2/D4E10AQG0yVCBiETIFw/image-shrink_1280/B4EZlwl9yRIoAQ-/0/1758530625707?e=2147483647&amp;v=beta&amp;t=vFKW9jUfYEfGnhSIwquSukFz8ntoMvoGpvwFn_ZDF3Y","View Creative")</f>
        <v>View Creative</v>
      </c>
      <c r="L1110" s="4" t="s">
        <v>106</v>
      </c>
      <c r="M1110" s="4" t="s">
        <v>61</v>
      </c>
      <c r="O1110" s="4" t="s">
        <v>63</v>
      </c>
      <c r="P1110" s="4" t="s">
        <v>64</v>
      </c>
    </row>
    <row r="1111">
      <c r="A1111" s="4" t="s">
        <v>40</v>
      </c>
      <c r="B1111" s="4" t="s">
        <v>40</v>
      </c>
      <c r="C1111" s="4">
        <v>1109.0</v>
      </c>
      <c r="D1111" s="5" t="str">
        <f>HYPERLINK("https://www.linkedin.com/ad-library/detail/771420314","Open Ad")</f>
        <v>Open Ad</v>
      </c>
      <c r="E1111" s="4" t="s">
        <v>78</v>
      </c>
      <c r="F1111" s="4" t="s">
        <v>54</v>
      </c>
      <c r="G1111" s="4" t="s">
        <v>5263</v>
      </c>
      <c r="H1111" s="4" t="s">
        <v>49</v>
      </c>
      <c r="I1111" s="4" t="s">
        <v>661</v>
      </c>
      <c r="J1111" s="4" t="s">
        <v>78</v>
      </c>
      <c r="K1111" s="5" t="str">
        <f>HYPERLINK("https://media.licdn.com/dms/image/v2/D4E10AQFX3RC0ihIKtg/image-shrink_1280/B4EZlwl.BxIoAM-/0/1758530626764?e=2147483647&amp;v=beta&amp;t=WPdh8_AExsycb_WFLi1qFHgn4GXp1W7SszsBI6Wwo7I","View Creative")</f>
        <v>View Creative</v>
      </c>
      <c r="L1111" s="4" t="s">
        <v>106</v>
      </c>
      <c r="M1111" s="4" t="s">
        <v>61</v>
      </c>
      <c r="O1111" s="4" t="s">
        <v>63</v>
      </c>
      <c r="P1111" s="4" t="s">
        <v>64</v>
      </c>
    </row>
    <row r="1112">
      <c r="A1112" s="4" t="s">
        <v>40</v>
      </c>
      <c r="B1112" s="4" t="s">
        <v>40</v>
      </c>
      <c r="C1112" s="4">
        <v>1110.0</v>
      </c>
      <c r="D1112" s="5" t="str">
        <f>HYPERLINK("https://www.linkedin.com/ad-library/detail/771330444","Open Ad")</f>
        <v>Open Ad</v>
      </c>
      <c r="E1112" s="4" t="s">
        <v>121</v>
      </c>
      <c r="F1112" s="4" t="s">
        <v>54</v>
      </c>
      <c r="G1112" s="4" t="s">
        <v>5356</v>
      </c>
      <c r="H1112" s="4" t="s">
        <v>49</v>
      </c>
      <c r="I1112" s="4" t="s">
        <v>661</v>
      </c>
      <c r="J1112" s="4" t="s">
        <v>121</v>
      </c>
      <c r="K1112" s="5" t="str">
        <f>HYPERLINK("https://dms.licdn.com/playlist/vid/v2/D4E10AQFUndm73u-fdA/mp4-640p-30fp-crf28/B4EZlwgvyXHoBQ-/0/1758529281020/261_AIVisibiltyIndex_TheDefinitiveBlueprint_1200x1200mp4?e=2147483647&amp;v=beta&amp;t=KesHxN9yN5qd7ybMbgtyOk_rydQ8KNxC-g9tQVDyBDg","View Creative")</f>
        <v>View Creative</v>
      </c>
      <c r="L1112" s="4" t="s">
        <v>106</v>
      </c>
      <c r="M1112" s="4" t="s">
        <v>61</v>
      </c>
      <c r="O1112" s="4" t="s">
        <v>63</v>
      </c>
      <c r="P1112" s="4" t="s">
        <v>64</v>
      </c>
    </row>
    <row r="1113">
      <c r="A1113" s="4" t="s">
        <v>40</v>
      </c>
      <c r="B1113" s="4" t="s">
        <v>40</v>
      </c>
      <c r="C1113" s="4">
        <v>1111.0</v>
      </c>
      <c r="D1113" s="5" t="str">
        <f>HYPERLINK("https://www.linkedin.com/ad-library/detail/771310764","Open Ad")</f>
        <v>Open Ad</v>
      </c>
      <c r="E1113" s="4" t="s">
        <v>78</v>
      </c>
      <c r="F1113" s="4" t="s">
        <v>54</v>
      </c>
      <c r="G1113" s="4" t="s">
        <v>5258</v>
      </c>
      <c r="H1113" s="4" t="s">
        <v>49</v>
      </c>
      <c r="I1113" s="4" t="s">
        <v>661</v>
      </c>
      <c r="J1113" s="4" t="s">
        <v>78</v>
      </c>
      <c r="K1113" s="5" t="str">
        <f>HYPERLINK("https://media.licdn.com/dms/image/v2/D4E10AQFykSFjA_8l-g/image-shrink_1280/B4EZlwl.ChHgAY-/0/1758530626614?e=2147483647&amp;v=beta&amp;t=6-IaFsPNzhDe_ksLGJoPkvA-NGHxvnCyLg_BNcEVUQY","View Creative")</f>
        <v>View Creative</v>
      </c>
      <c r="L1113" s="4" t="s">
        <v>106</v>
      </c>
      <c r="M1113" s="4" t="s">
        <v>61</v>
      </c>
      <c r="O1113" s="4" t="s">
        <v>63</v>
      </c>
      <c r="P1113" s="4" t="s">
        <v>64</v>
      </c>
    </row>
    <row r="1114">
      <c r="A1114" s="4" t="s">
        <v>40</v>
      </c>
      <c r="B1114" s="4" t="s">
        <v>40</v>
      </c>
      <c r="C1114" s="4">
        <v>1112.0</v>
      </c>
      <c r="D1114" s="5" t="str">
        <f>HYPERLINK("https://www.linkedin.com/ad-library/detail/758623354","Open Ad")</f>
        <v>Open Ad</v>
      </c>
      <c r="E1114" s="4" t="s">
        <v>78</v>
      </c>
      <c r="F1114" s="4" t="s">
        <v>54</v>
      </c>
      <c r="G1114" s="4" t="s">
        <v>5263</v>
      </c>
      <c r="H1114" s="4" t="s">
        <v>49</v>
      </c>
      <c r="I1114" s="4" t="s">
        <v>661</v>
      </c>
      <c r="J1114" s="4" t="s">
        <v>78</v>
      </c>
      <c r="K1114" s="5" t="str">
        <f>HYPERLINK("https://media.licdn.com/dms/image/v2/D4E10AQFHlS4oSdFBHQ/image-shrink_1280/B4EZlMjGNHGYAQ-/0/1757925893793?e=2147483647&amp;v=beta&amp;t=Lzdl_6D12KXvnbpjpbzzFCUzztCtOPxqG1jqWtBCzl0","View Creative")</f>
        <v>View Creative</v>
      </c>
      <c r="L1114" s="4" t="s">
        <v>106</v>
      </c>
      <c r="M1114" s="4" t="s">
        <v>61</v>
      </c>
      <c r="O1114" s="4" t="s">
        <v>63</v>
      </c>
      <c r="P1114" s="4" t="s">
        <v>64</v>
      </c>
    </row>
    <row r="1115">
      <c r="A1115" s="4" t="s">
        <v>40</v>
      </c>
      <c r="B1115" s="4" t="s">
        <v>40</v>
      </c>
      <c r="C1115" s="4">
        <v>1113.0</v>
      </c>
      <c r="D1115" s="5" t="str">
        <f>HYPERLINK("https://www.linkedin.com/ad-library/detail/771390404","Open Ad")</f>
        <v>Open Ad</v>
      </c>
      <c r="E1115" s="4" t="s">
        <v>78</v>
      </c>
      <c r="F1115" s="4" t="s">
        <v>54</v>
      </c>
      <c r="G1115" s="4" t="s">
        <v>5263</v>
      </c>
      <c r="H1115" s="4" t="s">
        <v>49</v>
      </c>
      <c r="I1115" s="4" t="s">
        <v>661</v>
      </c>
      <c r="J1115" s="4" t="s">
        <v>78</v>
      </c>
      <c r="K1115" s="5" t="str">
        <f>HYPERLINK("https://media.licdn.com/dms/image/v2/D4E10AQH-IsgKrRFD6w/image-shrink_1280/B4EZlwl.MCKkAM-/0/1758530627361?e=2147483647&amp;v=beta&amp;t=iZvwVzwgOKow5oG8TYrWOHZFp0xs4Q1Algv4oG168Rc","View Creative")</f>
        <v>View Creative</v>
      </c>
      <c r="L1115" s="4" t="s">
        <v>106</v>
      </c>
      <c r="M1115" s="4" t="s">
        <v>61</v>
      </c>
      <c r="O1115" s="4" t="s">
        <v>63</v>
      </c>
      <c r="P1115" s="4" t="s">
        <v>64</v>
      </c>
    </row>
    <row r="1116">
      <c r="A1116" s="4" t="s">
        <v>40</v>
      </c>
      <c r="B1116" s="4" t="s">
        <v>40</v>
      </c>
      <c r="C1116" s="4">
        <v>1114.0</v>
      </c>
      <c r="D1116" s="5" t="str">
        <f>HYPERLINK("https://www.linkedin.com/ad-library/detail/771241444","Open Ad")</f>
        <v>Open Ad</v>
      </c>
      <c r="E1116" s="4" t="s">
        <v>78</v>
      </c>
      <c r="F1116" s="4" t="s">
        <v>54</v>
      </c>
      <c r="G1116" s="4" t="s">
        <v>5258</v>
      </c>
      <c r="H1116" s="4" t="s">
        <v>49</v>
      </c>
      <c r="I1116" s="4" t="s">
        <v>661</v>
      </c>
      <c r="J1116" s="4" t="s">
        <v>78</v>
      </c>
      <c r="K1116" s="5" t="str">
        <f>HYPERLINK("https://media.licdn.com/dms/image/v2/D4E10AQE9KjNv553vbw/image-shrink_1280/B4EZlwl.ctIIAM-/0/1758530628295?e=2147483647&amp;v=beta&amp;t=Pr0MA6ev6UGd6Gzvg60GvLFY6VrZrU70bnqYQyBvS7w","View Creative")</f>
        <v>View Creative</v>
      </c>
      <c r="L1116" s="4" t="s">
        <v>106</v>
      </c>
      <c r="M1116" s="4" t="s">
        <v>61</v>
      </c>
      <c r="O1116" s="4" t="s">
        <v>63</v>
      </c>
      <c r="P1116" s="4" t="s">
        <v>64</v>
      </c>
    </row>
    <row r="1117">
      <c r="A1117" s="4" t="s">
        <v>40</v>
      </c>
      <c r="B1117" s="4" t="s">
        <v>40</v>
      </c>
      <c r="C1117" s="4">
        <v>1115.0</v>
      </c>
      <c r="D1117" s="5" t="str">
        <f>HYPERLINK("https://www.linkedin.com/ad-library/detail/771280634","Open Ad")</f>
        <v>Open Ad</v>
      </c>
      <c r="E1117" s="4" t="s">
        <v>121</v>
      </c>
      <c r="F1117" s="4" t="s">
        <v>54</v>
      </c>
      <c r="G1117" s="4" t="s">
        <v>5356</v>
      </c>
      <c r="H1117" s="4" t="s">
        <v>49</v>
      </c>
      <c r="I1117" s="4" t="s">
        <v>661</v>
      </c>
      <c r="J1117" s="4" t="s">
        <v>121</v>
      </c>
      <c r="K1117" s="5" t="str">
        <f>HYPERLINK("https://dms.licdn.com/playlist/vid/v2/D4E10AQG0yqqJY6BwKg/mp4-360p-30fp-crf28/B4EZlwgk7lKYCE-/0/1758529238601/261_AIVisibiltyIndex_TheDefinitiveBlueprint_1080x1920mp4?e=2147483647&amp;v=beta&amp;t=OrIzX1jw6qfC2f-bSfaATvZVfWJ_33LC4LxEAL5q0Q0","View Creative")</f>
        <v>View Creative</v>
      </c>
      <c r="L1117" s="4" t="s">
        <v>106</v>
      </c>
      <c r="M1117" s="4" t="s">
        <v>61</v>
      </c>
      <c r="O1117" s="4" t="s">
        <v>63</v>
      </c>
      <c r="P1117" s="4" t="s">
        <v>64</v>
      </c>
    </row>
    <row r="1118">
      <c r="A1118" s="4" t="s">
        <v>40</v>
      </c>
      <c r="B1118" s="4" t="s">
        <v>40</v>
      </c>
      <c r="C1118" s="4">
        <v>1116.0</v>
      </c>
      <c r="D1118" s="5" t="str">
        <f>HYPERLINK("https://www.linkedin.com/ad-library/detail/758702554","Open Ad")</f>
        <v>Open Ad</v>
      </c>
      <c r="E1118" s="4" t="s">
        <v>78</v>
      </c>
      <c r="F1118" s="4" t="s">
        <v>54</v>
      </c>
      <c r="G1118" s="4" t="s">
        <v>5258</v>
      </c>
      <c r="H1118" s="4" t="s">
        <v>49</v>
      </c>
      <c r="I1118" s="4" t="s">
        <v>661</v>
      </c>
      <c r="J1118" s="4" t="s">
        <v>78</v>
      </c>
      <c r="K1118" s="5" t="str">
        <f>HYPERLINK("https://media.licdn.com/dms/image/v2/D4E10AQErMiX6idLlpw/image-shrink_1280/B4EZlMjG0EIwAM-/0/1757925896198?e=2147483647&amp;v=beta&amp;t=6iNN8WuyZ1B2jK_uWDqKNX2lwHafbqcTJ-Td9EV0PXo","View Creative")</f>
        <v>View Creative</v>
      </c>
      <c r="L1118" s="4" t="s">
        <v>106</v>
      </c>
      <c r="M1118" s="4" t="s">
        <v>61</v>
      </c>
      <c r="O1118" s="4" t="s">
        <v>63</v>
      </c>
      <c r="P1118" s="4" t="s">
        <v>64</v>
      </c>
    </row>
    <row r="1119">
      <c r="A1119" s="4" t="s">
        <v>40</v>
      </c>
      <c r="B1119" s="4" t="s">
        <v>40</v>
      </c>
      <c r="C1119" s="4">
        <v>1117.0</v>
      </c>
      <c r="D1119" s="5" t="str">
        <f>HYPERLINK("https://www.linkedin.com/ad-library/detail/771261134","Open Ad")</f>
        <v>Open Ad</v>
      </c>
      <c r="E1119" s="4" t="s">
        <v>121</v>
      </c>
      <c r="F1119" s="4" t="s">
        <v>54</v>
      </c>
      <c r="G1119" s="4" t="s">
        <v>5356</v>
      </c>
      <c r="H1119" s="4" t="s">
        <v>49</v>
      </c>
      <c r="I1119" s="4" t="s">
        <v>661</v>
      </c>
      <c r="J1119" s="4" t="s">
        <v>121</v>
      </c>
      <c r="K1119" s="5" t="str">
        <f>HYPERLINK("https://dms.licdn.com/playlist/vid/v2/D4E10AQG0jLGxbHvyZQ/mp4-360p-30fp-crf28/B4EZlwg41cIQCE-/0/1758529318910/261_AIVisibiltyIndex_TheDefinitiveBlueprint_1920x1080mp4?e=2147483647&amp;v=beta&amp;t=Y7np7qQRgVmi9e7X3cqc5CICbJM4NZHcKIJFNKc30aU","View Creative")</f>
        <v>View Creative</v>
      </c>
      <c r="L1119" s="4" t="s">
        <v>106</v>
      </c>
      <c r="M1119" s="4" t="s">
        <v>61</v>
      </c>
      <c r="O1119" s="4" t="s">
        <v>63</v>
      </c>
      <c r="P1119" s="4" t="s">
        <v>64</v>
      </c>
    </row>
    <row r="1120">
      <c r="A1120" s="4" t="s">
        <v>40</v>
      </c>
      <c r="B1120" s="4" t="s">
        <v>40</v>
      </c>
      <c r="C1120" s="4">
        <v>1118.0</v>
      </c>
      <c r="D1120" s="5" t="str">
        <f>HYPERLINK("https://www.linkedin.com/ad-library/detail/758672734","Open Ad")</f>
        <v>Open Ad</v>
      </c>
      <c r="E1120" s="4" t="s">
        <v>78</v>
      </c>
      <c r="F1120" s="4" t="s">
        <v>54</v>
      </c>
      <c r="G1120" s="4" t="s">
        <v>5263</v>
      </c>
      <c r="H1120" s="4" t="s">
        <v>49</v>
      </c>
      <c r="I1120" s="4" t="s">
        <v>661</v>
      </c>
      <c r="J1120" s="4" t="s">
        <v>78</v>
      </c>
      <c r="K1120" s="5" t="str">
        <f>HYPERLINK("https://media.licdn.com/dms/image/v2/D4E10AQHUhQln7nMl3A/image-shrink_1280/B4EZlMjGOdIoAM-/0/1757925894402?e=2147483647&amp;v=beta&amp;t=0oTlS3XuttVpDizakVD9PY1LjQO4iSrWfwGBRKkQvnQ","View Creative")</f>
        <v>View Creative</v>
      </c>
      <c r="L1120" s="4" t="s">
        <v>106</v>
      </c>
      <c r="M1120" s="4" t="s">
        <v>61</v>
      </c>
      <c r="O1120" s="4" t="s">
        <v>63</v>
      </c>
      <c r="P1120" s="4" t="s">
        <v>64</v>
      </c>
    </row>
    <row r="1121">
      <c r="A1121" s="4" t="s">
        <v>40</v>
      </c>
      <c r="B1121" s="4" t="s">
        <v>40</v>
      </c>
      <c r="C1121" s="4">
        <v>1119.0</v>
      </c>
      <c r="D1121" s="5" t="str">
        <f>HYPERLINK("https://www.linkedin.com/ad-library/detail/771261144","Open Ad")</f>
        <v>Open Ad</v>
      </c>
      <c r="E1121" s="4" t="s">
        <v>121</v>
      </c>
      <c r="F1121" s="4" t="s">
        <v>54</v>
      </c>
      <c r="G1121" s="4" t="s">
        <v>5356</v>
      </c>
      <c r="H1121" s="4" t="s">
        <v>49</v>
      </c>
      <c r="I1121" s="4" t="s">
        <v>661</v>
      </c>
      <c r="J1121" s="4" t="s">
        <v>121</v>
      </c>
      <c r="K1121" s="5" t="str">
        <f>HYPERLINK("https://dms.licdn.com/playlist/vid/v2/D4E10AQFUndm73u-fdA/mp4-640p-30fp-crf28/B4EZlwgvyXHoBQ-/0/1758529281020/261_AIVisibiltyIndex_TheDefinitiveBlueprint_1200x1200mp4?e=2147483647&amp;v=beta&amp;t=KesHxN9yN5qd7ybMbgtyOk_rydQ8KNxC-g9tQVDyBDg","View Creative")</f>
        <v>View Creative</v>
      </c>
      <c r="L1121" s="4" t="s">
        <v>106</v>
      </c>
      <c r="M1121" s="4" t="s">
        <v>61</v>
      </c>
      <c r="O1121" s="4" t="s">
        <v>63</v>
      </c>
      <c r="P1121" s="4" t="s">
        <v>64</v>
      </c>
    </row>
    <row r="1122">
      <c r="A1122" s="4" t="s">
        <v>40</v>
      </c>
      <c r="B1122" s="4" t="s">
        <v>40</v>
      </c>
      <c r="C1122" s="4">
        <v>1120.0</v>
      </c>
      <c r="D1122" s="5" t="str">
        <f>HYPERLINK("https://www.linkedin.com/ad-library/detail/771320754","Open Ad")</f>
        <v>Open Ad</v>
      </c>
      <c r="E1122" s="4" t="s">
        <v>78</v>
      </c>
      <c r="F1122" s="4" t="s">
        <v>54</v>
      </c>
      <c r="G1122" s="4" t="s">
        <v>5263</v>
      </c>
      <c r="H1122" s="4" t="s">
        <v>49</v>
      </c>
      <c r="I1122" s="4" t="s">
        <v>661</v>
      </c>
      <c r="J1122" s="4" t="s">
        <v>78</v>
      </c>
      <c r="K1122" s="5" t="str">
        <f>HYPERLINK("https://media.licdn.com/dms/image/v2/D4E10AQH0trcYnkGc7Q/image-shrink_1280/B4EZlwl9_oKoAM-/0/1758530626835?e=2147483647&amp;v=beta&amp;t=-50YnBIqKGfo3pe_PXeoQ3ftaVkv5FCYqQZqNVUqu2E","View Creative")</f>
        <v>View Creative</v>
      </c>
      <c r="L1122" s="4" t="s">
        <v>106</v>
      </c>
      <c r="M1122" s="4" t="s">
        <v>61</v>
      </c>
      <c r="O1122" s="4" t="s">
        <v>63</v>
      </c>
      <c r="P1122" s="4" t="s">
        <v>64</v>
      </c>
    </row>
    <row r="1123">
      <c r="A1123" s="4" t="s">
        <v>40</v>
      </c>
      <c r="B1123" s="4" t="s">
        <v>40</v>
      </c>
      <c r="C1123" s="4">
        <v>1121.0</v>
      </c>
      <c r="D1123" s="5" t="str">
        <f>HYPERLINK("https://www.linkedin.com/ad-library/detail/758563684","Open Ad")</f>
        <v>Open Ad</v>
      </c>
      <c r="E1123" s="4" t="s">
        <v>78</v>
      </c>
      <c r="F1123" s="4" t="s">
        <v>54</v>
      </c>
      <c r="G1123" s="4" t="s">
        <v>5263</v>
      </c>
      <c r="H1123" s="4" t="s">
        <v>49</v>
      </c>
      <c r="I1123" s="4" t="s">
        <v>661</v>
      </c>
      <c r="J1123" s="4" t="s">
        <v>78</v>
      </c>
      <c r="K1123" s="5" t="str">
        <f>HYPERLINK("https://media.licdn.com/dms/image/v2/D4E10AQGd9qTsYoSmuA/image-shrink_1280/B4EZlMjGNGKwAM-/0/1757925894050?e=2147483647&amp;v=beta&amp;t=nPzEHQJzKNzn2BefAuHKhhJ8qHBaSgOL2GQ9XKByXow","View Creative")</f>
        <v>View Creative</v>
      </c>
      <c r="L1123" s="4" t="s">
        <v>106</v>
      </c>
      <c r="M1123" s="4" t="s">
        <v>61</v>
      </c>
      <c r="O1123" s="4" t="s">
        <v>63</v>
      </c>
      <c r="P1123" s="4" t="s">
        <v>64</v>
      </c>
    </row>
    <row r="1124">
      <c r="A1124" s="4" t="s">
        <v>40</v>
      </c>
      <c r="B1124" s="4" t="s">
        <v>40</v>
      </c>
      <c r="C1124" s="4">
        <v>1122.0</v>
      </c>
      <c r="D1124" s="5" t="str">
        <f>HYPERLINK("https://www.linkedin.com/ad-library/detail/771261294","Open Ad")</f>
        <v>Open Ad</v>
      </c>
      <c r="E1124" s="4" t="s">
        <v>78</v>
      </c>
      <c r="F1124" s="4" t="s">
        <v>54</v>
      </c>
      <c r="G1124" s="4" t="s">
        <v>5258</v>
      </c>
      <c r="H1124" s="4" t="s">
        <v>49</v>
      </c>
      <c r="I1124" s="4" t="s">
        <v>661</v>
      </c>
      <c r="J1124" s="4" t="s">
        <v>78</v>
      </c>
      <c r="K1124" s="5" t="str">
        <f>HYPERLINK("https://media.licdn.com/dms/image/v2/D4E10AQFcklfdNyj8_Q/image-shrink_1280/B4EZlwmDPhIIAQ-/0/1758530647691?e=2147483647&amp;v=beta&amp;t=KIxAw-BM1gXQ-2N6CiyAEGDhXo5eCMtvNnS5JTHeaM0","View Creative")</f>
        <v>View Creative</v>
      </c>
      <c r="L1124" s="4" t="s">
        <v>106</v>
      </c>
      <c r="M1124" s="4" t="s">
        <v>61</v>
      </c>
      <c r="O1124" s="4" t="s">
        <v>63</v>
      </c>
      <c r="P1124" s="4" t="s">
        <v>64</v>
      </c>
    </row>
    <row r="1125">
      <c r="A1125" s="4" t="s">
        <v>40</v>
      </c>
      <c r="B1125" s="4" t="s">
        <v>40</v>
      </c>
      <c r="C1125" s="4">
        <v>1123.0</v>
      </c>
      <c r="D1125" s="5" t="str">
        <f>HYPERLINK("https://www.linkedin.com/ad-library/detail/771320764","Open Ad")</f>
        <v>Open Ad</v>
      </c>
      <c r="E1125" s="4" t="s">
        <v>78</v>
      </c>
      <c r="F1125" s="4" t="s">
        <v>54</v>
      </c>
      <c r="G1125" s="4" t="s">
        <v>5258</v>
      </c>
      <c r="H1125" s="4" t="s">
        <v>49</v>
      </c>
      <c r="I1125" s="4" t="s">
        <v>661</v>
      </c>
      <c r="J1125" s="4" t="s">
        <v>78</v>
      </c>
      <c r="K1125" s="5" t="str">
        <f>HYPERLINK("https://media.licdn.com/dms/image/v2/D4E10AQFpWFR-BKPfkQ/image-shrink_1280/B4EZlwl.EnGUAM-/0/1758530626968?e=2147483647&amp;v=beta&amp;t=APQtjAhaf9Jojeo1ZcUAOINVHQroO_SKl6B33A93Q7s","View Creative")</f>
        <v>View Creative</v>
      </c>
      <c r="L1125" s="4" t="s">
        <v>106</v>
      </c>
      <c r="M1125" s="4" t="s">
        <v>61</v>
      </c>
      <c r="O1125" s="4" t="s">
        <v>63</v>
      </c>
      <c r="P1125" s="4" t="s">
        <v>64</v>
      </c>
    </row>
    <row r="1126">
      <c r="A1126" s="4" t="s">
        <v>40</v>
      </c>
      <c r="B1126" s="4" t="s">
        <v>40</v>
      </c>
      <c r="C1126" s="4">
        <v>1124.0</v>
      </c>
      <c r="D1126" s="5" t="str">
        <f>HYPERLINK("https://www.linkedin.com/ad-library/detail/771270854","Open Ad")</f>
        <v>Open Ad</v>
      </c>
      <c r="E1126" s="4" t="s">
        <v>78</v>
      </c>
      <c r="F1126" s="4" t="s">
        <v>54</v>
      </c>
      <c r="G1126" s="4" t="s">
        <v>5258</v>
      </c>
      <c r="H1126" s="4" t="s">
        <v>49</v>
      </c>
      <c r="I1126" s="4" t="s">
        <v>661</v>
      </c>
      <c r="J1126" s="4" t="s">
        <v>78</v>
      </c>
      <c r="K1126" s="5" t="str">
        <f>HYPERLINK("https://media.licdn.com/dms/image/v2/D4E10AQHL6-8TkqyzGQ/image-shrink_1280/B4EZlwl91OKoAM-/0/1758530625478?e=2147483647&amp;v=beta&amp;t=J5WPbiyXcphNb6RN-6tB5fn7U8tA8Rb9A_AgtLsMdvE","View Creative")</f>
        <v>View Creative</v>
      </c>
      <c r="L1126" s="4" t="s">
        <v>106</v>
      </c>
      <c r="M1126" s="4" t="s">
        <v>61</v>
      </c>
      <c r="O1126" s="4" t="s">
        <v>63</v>
      </c>
      <c r="P1126" s="4" t="s">
        <v>64</v>
      </c>
    </row>
    <row r="1127">
      <c r="A1127" s="4" t="s">
        <v>40</v>
      </c>
      <c r="B1127" s="4" t="s">
        <v>40</v>
      </c>
      <c r="C1127" s="4">
        <v>1125.0</v>
      </c>
      <c r="D1127" s="5" t="str">
        <f>HYPERLINK("https://www.linkedin.com/ad-library/detail/771470004","Open Ad")</f>
        <v>Open Ad</v>
      </c>
      <c r="E1127" s="4" t="s">
        <v>78</v>
      </c>
      <c r="F1127" s="4" t="s">
        <v>54</v>
      </c>
      <c r="G1127" s="4" t="s">
        <v>5263</v>
      </c>
      <c r="H1127" s="4" t="s">
        <v>49</v>
      </c>
      <c r="I1127" s="4" t="s">
        <v>661</v>
      </c>
      <c r="J1127" s="4" t="s">
        <v>78</v>
      </c>
      <c r="K1127" s="5" t="str">
        <f>HYPERLINK("https://media.licdn.com/dms/image/v2/D4E10AQH1js3xivKr5g/image-shrink_1280/B4EZlwl.GoIIAM-/0/1758530627521?e=2147483647&amp;v=beta&amp;t=9_O4HLfD3nDu8wokoV1Sobiqi1Mz4vcV_--EwJ8tLhc","View Creative")</f>
        <v>View Creative</v>
      </c>
      <c r="L1127" s="4" t="s">
        <v>106</v>
      </c>
      <c r="M1127" s="4" t="s">
        <v>61</v>
      </c>
      <c r="O1127" s="4" t="s">
        <v>63</v>
      </c>
      <c r="P1127" s="4" t="s">
        <v>64</v>
      </c>
    </row>
    <row r="1128">
      <c r="A1128" s="4" t="s">
        <v>40</v>
      </c>
      <c r="B1128" s="4" t="s">
        <v>40</v>
      </c>
      <c r="C1128" s="4">
        <v>1126.0</v>
      </c>
      <c r="D1128" s="5" t="str">
        <f>HYPERLINK("https://www.linkedin.com/ad-library/detail/771270564","Open Ad")</f>
        <v>Open Ad</v>
      </c>
      <c r="E1128" s="4" t="s">
        <v>121</v>
      </c>
      <c r="F1128" s="4" t="s">
        <v>54</v>
      </c>
      <c r="G1128" s="4" t="s">
        <v>5356</v>
      </c>
      <c r="H1128" s="4" t="s">
        <v>49</v>
      </c>
      <c r="I1128" s="4" t="s">
        <v>661</v>
      </c>
      <c r="J1128" s="4" t="s">
        <v>121</v>
      </c>
      <c r="K1128" s="5" t="str">
        <f>HYPERLINK("https://dms.licdn.com/playlist/vid/v2/D4E10AQG0jLGxbHvyZQ/mp4-360p-30fp-crf28/B4EZlwg41cIQCE-/0/1758529318910/261_AIVisibiltyIndex_TheDefinitiveBlueprint_1920x1080mp4?e=2147483647&amp;v=beta&amp;t=Y7np7qQRgVmi9e7X3cqc5CICbJM4NZHcKIJFNKc30aU","View Creative")</f>
        <v>View Creative</v>
      </c>
      <c r="L1128" s="4" t="s">
        <v>106</v>
      </c>
      <c r="M1128" s="4" t="s">
        <v>61</v>
      </c>
      <c r="O1128" s="4" t="s">
        <v>63</v>
      </c>
      <c r="P1128" s="4" t="s">
        <v>64</v>
      </c>
    </row>
    <row r="1129">
      <c r="A1129" s="4" t="s">
        <v>40</v>
      </c>
      <c r="B1129" s="4" t="s">
        <v>40</v>
      </c>
      <c r="C1129" s="4">
        <v>1127.0</v>
      </c>
      <c r="D1129" s="5" t="str">
        <f>HYPERLINK("https://www.linkedin.com/ad-library/detail/758652984","Open Ad")</f>
        <v>Open Ad</v>
      </c>
      <c r="E1129" s="4" t="s">
        <v>78</v>
      </c>
      <c r="F1129" s="4" t="s">
        <v>54</v>
      </c>
      <c r="G1129" s="4" t="s">
        <v>5263</v>
      </c>
      <c r="H1129" s="4" t="s">
        <v>49</v>
      </c>
      <c r="I1129" s="4" t="s">
        <v>661</v>
      </c>
      <c r="J1129" s="4" t="s">
        <v>78</v>
      </c>
      <c r="K1129" s="5" t="str">
        <f>HYPERLINK("https://media.licdn.com/dms/image/v2/D4E10AQGPlHmXQmx-wA/image-shrink_1280/B4EZlMjGPKK0AM-/0/1757925893910?e=2147483647&amp;v=beta&amp;t=ZsxJ6aloTiQ8IuWzpciia1oMF6eji273w1d3MQsVo80","View Creative")</f>
        <v>View Creative</v>
      </c>
      <c r="L1129" s="4" t="s">
        <v>106</v>
      </c>
      <c r="M1129" s="4" t="s">
        <v>61</v>
      </c>
      <c r="O1129" s="4" t="s">
        <v>63</v>
      </c>
      <c r="P1129" s="4" t="s">
        <v>64</v>
      </c>
    </row>
    <row r="1130">
      <c r="A1130" s="4" t="s">
        <v>40</v>
      </c>
      <c r="B1130" s="4" t="s">
        <v>40</v>
      </c>
      <c r="C1130" s="4">
        <v>1128.0</v>
      </c>
      <c r="D1130" s="5" t="str">
        <f>HYPERLINK("https://www.linkedin.com/ad-library/detail/758722084","Open Ad")</f>
        <v>Open Ad</v>
      </c>
      <c r="E1130" s="4" t="s">
        <v>78</v>
      </c>
      <c r="F1130" s="4" t="s">
        <v>54</v>
      </c>
      <c r="G1130" s="4" t="s">
        <v>5258</v>
      </c>
      <c r="H1130" s="4" t="s">
        <v>49</v>
      </c>
      <c r="I1130" s="4" t="s">
        <v>661</v>
      </c>
      <c r="J1130" s="4" t="s">
        <v>78</v>
      </c>
      <c r="K1130" s="5" t="str">
        <f>HYPERLINK("https://media.licdn.com/dms/image/v2/D4E10AQGkAwFYrDM1jA/image-shrink_1280/B4EZlMjGtCIMAM-/0/1757925896139?e=2147483647&amp;v=beta&amp;t=mSkVvJNlM6otvoCS88dn91qB3FGpalhZwEQIaTEKH3k","View Creative")</f>
        <v>View Creative</v>
      </c>
      <c r="L1130" s="4" t="s">
        <v>106</v>
      </c>
      <c r="M1130" s="4" t="s">
        <v>61</v>
      </c>
      <c r="O1130" s="4" t="s">
        <v>63</v>
      </c>
      <c r="P1130" s="4" t="s">
        <v>64</v>
      </c>
    </row>
    <row r="1131">
      <c r="A1131" s="4" t="s">
        <v>40</v>
      </c>
      <c r="B1131" s="4" t="s">
        <v>40</v>
      </c>
      <c r="C1131" s="4">
        <v>1129.0</v>
      </c>
      <c r="D1131" s="5" t="str">
        <f>HYPERLINK("https://www.linkedin.com/ad-library/detail/758741124","Open Ad")</f>
        <v>Open Ad</v>
      </c>
      <c r="E1131" s="4" t="s">
        <v>78</v>
      </c>
      <c r="F1131" s="4" t="s">
        <v>54</v>
      </c>
      <c r="G1131" s="4" t="s">
        <v>5263</v>
      </c>
      <c r="H1131" s="4" t="s">
        <v>49</v>
      </c>
      <c r="I1131" s="4" t="s">
        <v>661</v>
      </c>
      <c r="J1131" s="4" t="s">
        <v>78</v>
      </c>
      <c r="K1131" s="5" t="str">
        <f>HYPERLINK("https://media.licdn.com/dms/image/v2/D4E10AQEEnue2h3A3ng/image-shrink_1280/B4EZlMi6WTIUAM-/0/1757925845575?e=2147483647&amp;v=beta&amp;t=LQXmhNV6JIOUjl9_5ZJzo-Ip32RELBjMxlNoNum2m5g","View Creative")</f>
        <v>View Creative</v>
      </c>
      <c r="L1131" s="4" t="s">
        <v>106</v>
      </c>
      <c r="M1131" s="4" t="s">
        <v>61</v>
      </c>
      <c r="O1131" s="4" t="s">
        <v>63</v>
      </c>
      <c r="P1131" s="4" t="s">
        <v>64</v>
      </c>
    </row>
    <row r="1132">
      <c r="A1132" s="4" t="s">
        <v>40</v>
      </c>
      <c r="B1132" s="4" t="s">
        <v>40</v>
      </c>
      <c r="C1132" s="4">
        <v>1130.0</v>
      </c>
      <c r="D1132" s="5" t="str">
        <f>HYPERLINK("https://www.linkedin.com/ad-library/detail/758593684","Open Ad")</f>
        <v>Open Ad</v>
      </c>
      <c r="E1132" s="4" t="s">
        <v>78</v>
      </c>
      <c r="F1132" s="4" t="s">
        <v>54</v>
      </c>
      <c r="G1132" s="4" t="s">
        <v>5258</v>
      </c>
      <c r="H1132" s="4" t="s">
        <v>49</v>
      </c>
      <c r="I1132" s="4" t="s">
        <v>661</v>
      </c>
      <c r="J1132" s="4" t="s">
        <v>78</v>
      </c>
      <c r="K1132" s="5" t="str">
        <f>HYPERLINK("https://media.licdn.com/dms/image/v2/D4E10AQEUa09p87Jv5g/image-shrink_1280/B4EZlMjGMUKYAM-/0/1757925893632?e=2147483647&amp;v=beta&amp;t=BUD9mlBq1dq3VfeDOJ3y1-laEcQuhaFXOGRrbnwcOA4","View Creative")</f>
        <v>View Creative</v>
      </c>
      <c r="L1132" s="4" t="s">
        <v>106</v>
      </c>
      <c r="M1132" s="4" t="s">
        <v>61</v>
      </c>
      <c r="O1132" s="4" t="s">
        <v>63</v>
      </c>
      <c r="P1132" s="4" t="s">
        <v>64</v>
      </c>
    </row>
    <row r="1133">
      <c r="A1133" s="4" t="s">
        <v>40</v>
      </c>
      <c r="B1133" s="4" t="s">
        <v>40</v>
      </c>
      <c r="C1133" s="4">
        <v>1131.0</v>
      </c>
      <c r="D1133" s="5" t="str">
        <f>HYPERLINK("https://www.linkedin.com/ad-library/detail/758770414","Open Ad")</f>
        <v>Open Ad</v>
      </c>
      <c r="E1133" s="4" t="s">
        <v>78</v>
      </c>
      <c r="F1133" s="4" t="s">
        <v>54</v>
      </c>
      <c r="G1133" s="4" t="s">
        <v>5258</v>
      </c>
      <c r="H1133" s="4" t="s">
        <v>49</v>
      </c>
      <c r="I1133" s="4" t="s">
        <v>661</v>
      </c>
      <c r="J1133" s="4" t="s">
        <v>78</v>
      </c>
      <c r="K1133" s="5" t="str">
        <f>HYPERLINK("https://media.licdn.com/dms/image/v2/D4E10AQG2G3iDj6oMvA/image-shrink_1280/B4EZlMi6WAIMAQ-/0/1757925845333?e=2147483647&amp;v=beta&amp;t=W7yrXt1p3QZjEpuBgLFkGuZEzb8vgMZskHCdQm4fISU","View Creative")</f>
        <v>View Creative</v>
      </c>
      <c r="L1133" s="4" t="s">
        <v>106</v>
      </c>
      <c r="M1133" s="4" t="s">
        <v>61</v>
      </c>
      <c r="O1133" s="4" t="s">
        <v>63</v>
      </c>
      <c r="P1133" s="4" t="s">
        <v>64</v>
      </c>
    </row>
    <row r="1134">
      <c r="A1134" s="4" t="s">
        <v>40</v>
      </c>
      <c r="B1134" s="4" t="s">
        <v>40</v>
      </c>
      <c r="C1134" s="4">
        <v>1132.0</v>
      </c>
      <c r="D1134" s="5" t="str">
        <f>HYPERLINK("https://www.linkedin.com/ad-library/detail/758613404","Open Ad")</f>
        <v>Open Ad</v>
      </c>
      <c r="E1134" s="4" t="s">
        <v>78</v>
      </c>
      <c r="F1134" s="4" t="s">
        <v>54</v>
      </c>
      <c r="G1134" s="4" t="s">
        <v>5258</v>
      </c>
      <c r="H1134" s="4" t="s">
        <v>49</v>
      </c>
      <c r="I1134" s="4" t="s">
        <v>661</v>
      </c>
      <c r="J1134" s="4" t="s">
        <v>78</v>
      </c>
      <c r="K1134" s="5" t="str">
        <f>HYPERLINK("https://media.licdn.com/dms/image/v2/D4E10AQF8Sw592U818A/image-shrink_1280/B4EZlMi6TmHEAM-/0/1757925845278?e=2147483647&amp;v=beta&amp;t=QTm-noBn29xANNSs1wZ6Zn2FmaBfdM9fYOrsycU3ZTk","View Creative")</f>
        <v>View Creative</v>
      </c>
      <c r="L1134" s="4" t="s">
        <v>106</v>
      </c>
      <c r="M1134" s="4" t="s">
        <v>61</v>
      </c>
      <c r="O1134" s="4" t="s">
        <v>63</v>
      </c>
      <c r="P1134" s="4" t="s">
        <v>64</v>
      </c>
    </row>
    <row r="1135">
      <c r="A1135" s="4" t="s">
        <v>40</v>
      </c>
      <c r="B1135" s="4" t="s">
        <v>40</v>
      </c>
      <c r="C1135" s="4">
        <v>1133.0</v>
      </c>
      <c r="D1135" s="5" t="str">
        <f>HYPERLINK("https://www.linkedin.com/ad-library/detail/758574134","Open Ad")</f>
        <v>Open Ad</v>
      </c>
      <c r="E1135" s="4" t="s">
        <v>78</v>
      </c>
      <c r="F1135" s="4" t="s">
        <v>54</v>
      </c>
      <c r="G1135" s="4" t="s">
        <v>5263</v>
      </c>
      <c r="H1135" s="4" t="s">
        <v>49</v>
      </c>
      <c r="I1135" s="4" t="s">
        <v>661</v>
      </c>
      <c r="J1135" s="4" t="s">
        <v>78</v>
      </c>
      <c r="K1135" s="5" t="str">
        <f>HYPERLINK("https://media.licdn.com/dms/image/v2/D4E10AQE0ld4Xx6F2uA/image-shrink_1280/B4EZlMi1UEKkAU-/0/1757925825256?e=2147483647&amp;v=beta&amp;t=t_YwX07Nb2UgCCPKyub3CWjcG7XsuauGR6LXN-oeMlQ","View Creative")</f>
        <v>View Creative</v>
      </c>
      <c r="L1135" s="4" t="s">
        <v>106</v>
      </c>
      <c r="M1135" s="4" t="s">
        <v>61</v>
      </c>
      <c r="O1135" s="4" t="s">
        <v>63</v>
      </c>
      <c r="P1135" s="4" t="s">
        <v>64</v>
      </c>
    </row>
    <row r="1136">
      <c r="A1136" s="4" t="s">
        <v>40</v>
      </c>
      <c r="B1136" s="4" t="s">
        <v>40</v>
      </c>
      <c r="C1136" s="4">
        <v>1134.0</v>
      </c>
      <c r="D1136" s="5" t="str">
        <f>HYPERLINK("https://www.linkedin.com/ad-library/detail/758760624","Open Ad")</f>
        <v>Open Ad</v>
      </c>
      <c r="E1136" s="4" t="s">
        <v>78</v>
      </c>
      <c r="F1136" s="4" t="s">
        <v>54</v>
      </c>
      <c r="G1136" s="4" t="s">
        <v>5258</v>
      </c>
      <c r="H1136" s="4" t="s">
        <v>49</v>
      </c>
      <c r="I1136" s="4" t="s">
        <v>661</v>
      </c>
      <c r="J1136" s="4" t="s">
        <v>78</v>
      </c>
      <c r="K1136" s="5" t="str">
        <f>HYPERLINK("https://media.licdn.com/dms/image/v2/D4E10AQFW10iXZb3OJQ/image-shrink_1280/B4EZlMi_iCGUAM-/0/1757925866379?e=2147483647&amp;v=beta&amp;t=b0L_FlXv1oewOVBTEq2aedgc1ZvflJoNdS70cpbz5qk","View Creative")</f>
        <v>View Creative</v>
      </c>
      <c r="L1136" s="4" t="s">
        <v>106</v>
      </c>
      <c r="M1136" s="4" t="s">
        <v>61</v>
      </c>
      <c r="O1136" s="4" t="s">
        <v>63</v>
      </c>
      <c r="P1136" s="4" t="s">
        <v>64</v>
      </c>
    </row>
    <row r="1137">
      <c r="A1137" s="4" t="s">
        <v>40</v>
      </c>
      <c r="B1137" s="4" t="s">
        <v>40</v>
      </c>
      <c r="C1137" s="4">
        <v>1135.0</v>
      </c>
      <c r="D1137" s="5" t="str">
        <f>HYPERLINK("https://www.linkedin.com/ad-library/detail/758683034","Open Ad")</f>
        <v>Open Ad</v>
      </c>
      <c r="E1137" s="4" t="s">
        <v>78</v>
      </c>
      <c r="F1137" s="4" t="s">
        <v>54</v>
      </c>
      <c r="G1137" s="4" t="s">
        <v>5263</v>
      </c>
      <c r="H1137" s="4" t="s">
        <v>49</v>
      </c>
      <c r="I1137" s="4" t="s">
        <v>661</v>
      </c>
      <c r="J1137" s="4" t="s">
        <v>78</v>
      </c>
      <c r="K1137" s="5" t="str">
        <f>HYPERLINK("https://media.licdn.com/dms/image/v2/D4E10AQFg_KNfjT0b0g/image-shrink_1280/B4EZlMjAHQKcAM-/0/1757925869246?e=2147483647&amp;v=beta&amp;t=G0Gv5NPHbyRNoQGv4rZEOgZYa9uqDU799js-ofORVTo","View Creative")</f>
        <v>View Creative</v>
      </c>
      <c r="L1137" s="4" t="s">
        <v>106</v>
      </c>
      <c r="M1137" s="4" t="s">
        <v>61</v>
      </c>
      <c r="O1137" s="4" t="s">
        <v>63</v>
      </c>
      <c r="P1137" s="4" t="s">
        <v>64</v>
      </c>
    </row>
    <row r="1138">
      <c r="A1138" s="4" t="s">
        <v>40</v>
      </c>
      <c r="B1138" s="4" t="s">
        <v>40</v>
      </c>
      <c r="C1138" s="4">
        <v>1136.0</v>
      </c>
      <c r="D1138" s="5" t="str">
        <f>HYPERLINK("https://www.linkedin.com/ad-library/detail/758770424","Open Ad")</f>
        <v>Open Ad</v>
      </c>
      <c r="E1138" s="4" t="s">
        <v>78</v>
      </c>
      <c r="F1138" s="4" t="s">
        <v>54</v>
      </c>
      <c r="G1138" s="4" t="s">
        <v>5263</v>
      </c>
      <c r="H1138" s="4" t="s">
        <v>49</v>
      </c>
      <c r="I1138" s="4" t="s">
        <v>661</v>
      </c>
      <c r="J1138" s="4" t="s">
        <v>78</v>
      </c>
      <c r="K1138" s="5" t="str">
        <f>HYPERLINK("https://media.licdn.com/dms/image/v2/D4E10AQFfRBdYbFGoZw/image-shrink_1280/B4EZlMi6XHHIAM-/0/1757925845531?e=2147483647&amp;v=beta&amp;t=rEaOIah2IB0jAa4DxHYWm4VWJCAw89rIt78mfnIndzE","View Creative")</f>
        <v>View Creative</v>
      </c>
      <c r="L1138" s="4" t="s">
        <v>106</v>
      </c>
      <c r="M1138" s="4" t="s">
        <v>61</v>
      </c>
      <c r="O1138" s="4" t="s">
        <v>63</v>
      </c>
      <c r="P1138" s="4" t="s">
        <v>64</v>
      </c>
    </row>
    <row r="1139">
      <c r="A1139" s="4" t="s">
        <v>40</v>
      </c>
      <c r="B1139" s="4" t="s">
        <v>40</v>
      </c>
      <c r="C1139" s="4">
        <v>1137.0</v>
      </c>
      <c r="D1139" s="5" t="str">
        <f>HYPERLINK("https://www.linkedin.com/ad-library/detail/758770454","Open Ad")</f>
        <v>Open Ad</v>
      </c>
      <c r="E1139" s="4" t="s">
        <v>78</v>
      </c>
      <c r="F1139" s="4" t="s">
        <v>54</v>
      </c>
      <c r="G1139" s="4" t="s">
        <v>5258</v>
      </c>
      <c r="H1139" s="4" t="s">
        <v>49</v>
      </c>
      <c r="I1139" s="4" t="s">
        <v>661</v>
      </c>
      <c r="J1139" s="4" t="s">
        <v>78</v>
      </c>
      <c r="K1139" s="5" t="str">
        <f>HYPERLINK("https://media.licdn.com/dms/image/v2/D4E10AQGNIRFZk0nFWw/image-shrink_1280/B4EZlMi_d7IMAM-/0/1757925866420?e=2147483647&amp;v=beta&amp;t=6l5t6uMKcJpx8Cy9Gp5S9Qm8Zh5O_zJwQKh8OYDSGXQ","View Creative")</f>
        <v>View Creative</v>
      </c>
      <c r="L1139" s="4" t="s">
        <v>106</v>
      </c>
      <c r="M1139" s="4" t="s">
        <v>61</v>
      </c>
      <c r="O1139" s="4" t="s">
        <v>63</v>
      </c>
      <c r="P1139" s="4" t="s">
        <v>64</v>
      </c>
    </row>
    <row r="1140">
      <c r="A1140" s="4" t="s">
        <v>40</v>
      </c>
      <c r="B1140" s="4" t="s">
        <v>40</v>
      </c>
      <c r="C1140" s="4">
        <v>1138.0</v>
      </c>
      <c r="D1140" s="5" t="str">
        <f>HYPERLINK("https://www.linkedin.com/ad-library/detail/758554744","Open Ad")</f>
        <v>Open Ad</v>
      </c>
      <c r="E1140" s="4" t="s">
        <v>78</v>
      </c>
      <c r="F1140" s="4" t="s">
        <v>54</v>
      </c>
      <c r="G1140" s="4" t="s">
        <v>5258</v>
      </c>
      <c r="H1140" s="4" t="s">
        <v>49</v>
      </c>
      <c r="I1140" s="4" t="s">
        <v>661</v>
      </c>
      <c r="J1140" s="4" t="s">
        <v>78</v>
      </c>
      <c r="K1140" s="5" t="str">
        <f>HYPERLINK("https://media.licdn.com/dms/image/v2/D4E10AQEBdM34XC1BlA/image-shrink_1280/B4EZlMjAFFGYAQ-/0/1757925869040?e=2147483647&amp;v=beta&amp;t=1d_fW0vmKeZHB5tRAozMIXemVBEyYPua8auwQbUIS4Q","View Creative")</f>
        <v>View Creative</v>
      </c>
      <c r="L1140" s="4" t="s">
        <v>106</v>
      </c>
      <c r="M1140" s="4" t="s">
        <v>61</v>
      </c>
      <c r="O1140" s="4" t="s">
        <v>63</v>
      </c>
      <c r="P1140" s="4" t="s">
        <v>64</v>
      </c>
    </row>
    <row r="1141">
      <c r="A1141" s="4" t="s">
        <v>40</v>
      </c>
      <c r="B1141" s="4" t="s">
        <v>40</v>
      </c>
      <c r="C1141" s="4">
        <v>1139.0</v>
      </c>
      <c r="D1141" s="5" t="str">
        <f>HYPERLINK("https://www.linkedin.com/ad-library/detail/758554734","Open Ad")</f>
        <v>Open Ad</v>
      </c>
      <c r="E1141" s="4" t="s">
        <v>78</v>
      </c>
      <c r="F1141" s="4" t="s">
        <v>54</v>
      </c>
      <c r="G1141" s="4" t="s">
        <v>5263</v>
      </c>
      <c r="H1141" s="4" t="s">
        <v>49</v>
      </c>
      <c r="I1141" s="4" t="s">
        <v>661</v>
      </c>
      <c r="J1141" s="4" t="s">
        <v>78</v>
      </c>
      <c r="K1141" s="5" t="str">
        <f>HYPERLINK("https://media.licdn.com/dms/image/v2/D4E10AQGXu2E9YNd3Kg/image-shrink_1280/B4EZlMi6feHoAM-/0/1757925845851?e=2147483647&amp;v=beta&amp;t=jn06-7wtNgEhYCi1mxpduPYq8nsKPobFopfeZ90Ojoc","View Creative")</f>
        <v>View Creative</v>
      </c>
      <c r="L1141" s="4" t="s">
        <v>106</v>
      </c>
      <c r="M1141" s="4" t="s">
        <v>61</v>
      </c>
      <c r="O1141" s="4" t="s">
        <v>63</v>
      </c>
      <c r="P1141" s="4" t="s">
        <v>64</v>
      </c>
    </row>
    <row r="1142">
      <c r="A1142" s="4" t="s">
        <v>40</v>
      </c>
      <c r="B1142" s="4" t="s">
        <v>40</v>
      </c>
      <c r="C1142" s="4">
        <v>1140.0</v>
      </c>
      <c r="D1142" s="5" t="str">
        <f>HYPERLINK("https://www.linkedin.com/ad-library/detail/758692774","Open Ad")</f>
        <v>Open Ad</v>
      </c>
      <c r="E1142" s="4" t="s">
        <v>78</v>
      </c>
      <c r="F1142" s="4" t="s">
        <v>54</v>
      </c>
      <c r="G1142" s="4" t="s">
        <v>5263</v>
      </c>
      <c r="H1142" s="4" t="s">
        <v>49</v>
      </c>
      <c r="I1142" s="4" t="s">
        <v>661</v>
      </c>
      <c r="J1142" s="4" t="s">
        <v>78</v>
      </c>
      <c r="K1142" s="5" t="str">
        <f>HYPERLINK("https://media.licdn.com/dms/image/v2/D4E10AQEHyV7oi7FgIg/image-shrink_1280/B4EZlMi_k7KYAM-/0/1757925866925?e=2147483647&amp;v=beta&amp;t=m8dNDB4cBhXqR2Xus800JufVCFXKL2U11WvPCduZCn0","View Creative")</f>
        <v>View Creative</v>
      </c>
      <c r="L1142" s="4" t="s">
        <v>106</v>
      </c>
      <c r="M1142" s="4" t="s">
        <v>61</v>
      </c>
      <c r="O1142" s="4" t="s">
        <v>63</v>
      </c>
      <c r="P1142" s="4" t="s">
        <v>64</v>
      </c>
    </row>
    <row r="1143">
      <c r="A1143" s="4" t="s">
        <v>40</v>
      </c>
      <c r="B1143" s="4" t="s">
        <v>40</v>
      </c>
      <c r="C1143" s="4">
        <v>1141.0</v>
      </c>
      <c r="D1143" s="5" t="str">
        <f>HYPERLINK("https://www.linkedin.com/ad-library/detail/758702544","Open Ad")</f>
        <v>Open Ad</v>
      </c>
      <c r="E1143" s="4" t="s">
        <v>78</v>
      </c>
      <c r="F1143" s="4" t="s">
        <v>54</v>
      </c>
      <c r="G1143" s="4" t="s">
        <v>5258</v>
      </c>
      <c r="H1143" s="4" t="s">
        <v>49</v>
      </c>
      <c r="I1143" s="4" t="s">
        <v>661</v>
      </c>
      <c r="J1143" s="4" t="s">
        <v>78</v>
      </c>
      <c r="K1143" s="5" t="str">
        <f>HYPERLINK("https://media.licdn.com/dms/image/v2/D4E10AQFEr4lxZUrlnA/image-shrink_1280/B4EZlMjGCeIQAM-/0/1757925893049?e=2147483647&amp;v=beta&amp;t=c9pBpEa90P_xkv5owMVnlc8OA1_0WHgRmD-J6Vp57Vo","View Creative")</f>
        <v>View Creative</v>
      </c>
      <c r="L1143" s="4" t="s">
        <v>106</v>
      </c>
      <c r="M1143" s="4" t="s">
        <v>61</v>
      </c>
      <c r="O1143" s="4" t="s">
        <v>63</v>
      </c>
      <c r="P1143" s="4" t="s">
        <v>64</v>
      </c>
    </row>
    <row r="1144">
      <c r="A1144" s="4" t="s">
        <v>40</v>
      </c>
      <c r="B1144" s="4" t="s">
        <v>40</v>
      </c>
      <c r="C1144" s="4">
        <v>1142.0</v>
      </c>
      <c r="D1144" s="5" t="str">
        <f>HYPERLINK("https://www.linkedin.com/ad-library/detail/758692764","Open Ad")</f>
        <v>Open Ad</v>
      </c>
      <c r="E1144" s="4" t="s">
        <v>78</v>
      </c>
      <c r="F1144" s="4" t="s">
        <v>54</v>
      </c>
      <c r="G1144" s="4" t="s">
        <v>5263</v>
      </c>
      <c r="H1144" s="4" t="s">
        <v>49</v>
      </c>
      <c r="I1144" s="4" t="s">
        <v>661</v>
      </c>
      <c r="J1144" s="4" t="s">
        <v>78</v>
      </c>
      <c r="K1144" s="5" t="str">
        <f>HYPERLINK("https://media.licdn.com/dms/image/v2/D4E10AQFZut5zmfyMyg/image-shrink_1280/B4EZlMi_hNHgAM-/0/1757925866962?e=2147483647&amp;v=beta&amp;t=veY5qs-4T6Eosw1nE0J00n9mefbR7h-t85TGsygm1N8","View Creative")</f>
        <v>View Creative</v>
      </c>
      <c r="L1144" s="4" t="s">
        <v>106</v>
      </c>
      <c r="M1144" s="4" t="s">
        <v>61</v>
      </c>
      <c r="O1144" s="4" t="s">
        <v>63</v>
      </c>
      <c r="P1144" s="4" t="s">
        <v>64</v>
      </c>
    </row>
    <row r="1145">
      <c r="A1145" s="4" t="s">
        <v>40</v>
      </c>
      <c r="B1145" s="4" t="s">
        <v>40</v>
      </c>
      <c r="C1145" s="4">
        <v>1143.0</v>
      </c>
      <c r="D1145" s="5" t="str">
        <f>HYPERLINK("https://www.linkedin.com/ad-library/detail/758613394","Open Ad")</f>
        <v>Open Ad</v>
      </c>
      <c r="E1145" s="4" t="s">
        <v>78</v>
      </c>
      <c r="F1145" s="4" t="s">
        <v>54</v>
      </c>
      <c r="G1145" s="4" t="s">
        <v>5258</v>
      </c>
      <c r="H1145" s="4" t="s">
        <v>49</v>
      </c>
      <c r="I1145" s="4" t="s">
        <v>661</v>
      </c>
      <c r="J1145" s="4" t="s">
        <v>78</v>
      </c>
      <c r="K1145" s="5" t="str">
        <f>HYPERLINK("https://media.licdn.com/dms/image/v2/D4E10AQEyAtipmGjuMQ/image-shrink_1280/B4EZlMi6RAIUAM-/0/1757925844861?e=2147483647&amp;v=beta&amp;t=RuKstbVBwYQqBrG5-nk402n6AZ_yvWwbECblCea6Tlg","View Creative")</f>
        <v>View Creative</v>
      </c>
      <c r="L1145" s="4" t="s">
        <v>106</v>
      </c>
      <c r="M1145" s="4" t="s">
        <v>61</v>
      </c>
      <c r="O1145" s="4" t="s">
        <v>63</v>
      </c>
      <c r="P1145" s="4" t="s">
        <v>64</v>
      </c>
    </row>
    <row r="1146">
      <c r="A1146" s="4" t="s">
        <v>40</v>
      </c>
      <c r="B1146" s="4" t="s">
        <v>40</v>
      </c>
      <c r="C1146" s="4">
        <v>1144.0</v>
      </c>
      <c r="D1146" s="5" t="str">
        <f>HYPERLINK("https://www.linkedin.com/ad-library/detail/758563664","Open Ad")</f>
        <v>Open Ad</v>
      </c>
      <c r="E1146" s="4" t="s">
        <v>78</v>
      </c>
      <c r="F1146" s="4" t="s">
        <v>54</v>
      </c>
      <c r="G1146" s="4" t="s">
        <v>5263</v>
      </c>
      <c r="H1146" s="4" t="s">
        <v>49</v>
      </c>
      <c r="I1146" s="4" t="s">
        <v>661</v>
      </c>
      <c r="J1146" s="4" t="s">
        <v>78</v>
      </c>
      <c r="K1146" s="5" t="str">
        <f>HYPERLINK("https://media.licdn.com/dms/image/v2/D4E10AQHTZUVcYY9Bmw/image-shrink_1280/B4EZlMi1XNGUAM-/0/1757925824706?e=2147483647&amp;v=beta&amp;t=qHIooOwJLROwlOOIFfB-K3b17AWSaEmtvFnTyidItBA","View Creative")</f>
        <v>View Creative</v>
      </c>
      <c r="L1146" s="4" t="s">
        <v>106</v>
      </c>
      <c r="M1146" s="4" t="s">
        <v>61</v>
      </c>
      <c r="O1146" s="4" t="s">
        <v>63</v>
      </c>
      <c r="P1146" s="4" t="s">
        <v>64</v>
      </c>
    </row>
    <row r="1147">
      <c r="A1147" s="4" t="s">
        <v>40</v>
      </c>
      <c r="B1147" s="4" t="s">
        <v>40</v>
      </c>
      <c r="C1147" s="4">
        <v>1145.0</v>
      </c>
      <c r="D1147" s="5" t="str">
        <f>HYPERLINK("https://www.linkedin.com/ad-library/detail/758584134","Open Ad")</f>
        <v>Open Ad</v>
      </c>
      <c r="E1147" s="4" t="s">
        <v>78</v>
      </c>
      <c r="F1147" s="4" t="s">
        <v>54</v>
      </c>
      <c r="G1147" s="4" t="s">
        <v>5263</v>
      </c>
      <c r="H1147" s="4" t="s">
        <v>49</v>
      </c>
      <c r="I1147" s="4" t="s">
        <v>661</v>
      </c>
      <c r="J1147" s="4" t="s">
        <v>78</v>
      </c>
      <c r="K1147" s="5" t="str">
        <f>HYPERLINK("https://media.licdn.com/dms/image/v2/D4E10AQF1EeKI9f176g/image-shrink_1280/B4EZlMi6ZZGUAQ-/0/1757925845460?e=2147483647&amp;v=beta&amp;t=FvzUMcKYpxsZqbl5rDmSb_4TAmuDRz68UBl3JGEXYFs","View Creative")</f>
        <v>View Creative</v>
      </c>
      <c r="L1147" s="4" t="s">
        <v>106</v>
      </c>
      <c r="M1147" s="4" t="s">
        <v>61</v>
      </c>
      <c r="O1147" s="4" t="s">
        <v>63</v>
      </c>
      <c r="P1147" s="4" t="s">
        <v>64</v>
      </c>
    </row>
    <row r="1148">
      <c r="A1148" s="4" t="s">
        <v>40</v>
      </c>
      <c r="B1148" s="4" t="s">
        <v>40</v>
      </c>
      <c r="C1148" s="4">
        <v>1146.0</v>
      </c>
      <c r="D1148" s="5" t="str">
        <f>HYPERLINK("https://www.linkedin.com/ad-library/detail/758613434","Open Ad")</f>
        <v>Open Ad</v>
      </c>
      <c r="E1148" s="4" t="s">
        <v>78</v>
      </c>
      <c r="F1148" s="4" t="s">
        <v>54</v>
      </c>
      <c r="G1148" s="4" t="s">
        <v>5263</v>
      </c>
      <c r="H1148" s="4" t="s">
        <v>49</v>
      </c>
      <c r="I1148" s="4" t="s">
        <v>661</v>
      </c>
      <c r="J1148" s="4" t="s">
        <v>78</v>
      </c>
      <c r="K1148" s="5" t="str">
        <f>HYPERLINK("https://media.licdn.com/dms/image/v2/D4E10AQFX-xFOhQDBxg/image-shrink_1280/B4EZlMi_ctIMAM-/0/1757925866476?e=2147483647&amp;v=beta&amp;t=ZNwtSNw09eVaKC46RXU8BVhrae1sr9EQH9AYX5Si75Y","View Creative")</f>
        <v>View Creative</v>
      </c>
      <c r="L1148" s="4" t="s">
        <v>106</v>
      </c>
      <c r="M1148" s="4" t="s">
        <v>61</v>
      </c>
      <c r="O1148" s="4" t="s">
        <v>63</v>
      </c>
      <c r="P1148" s="4" t="s">
        <v>64</v>
      </c>
    </row>
    <row r="1149">
      <c r="A1149" s="4" t="s">
        <v>40</v>
      </c>
      <c r="B1149" s="4" t="s">
        <v>40</v>
      </c>
      <c r="C1149" s="4">
        <v>1147.0</v>
      </c>
      <c r="D1149" s="5" t="str">
        <f>HYPERLINK("https://www.linkedin.com/ad-library/detail/758574154","Open Ad")</f>
        <v>Open Ad</v>
      </c>
      <c r="E1149" s="4" t="s">
        <v>78</v>
      </c>
      <c r="F1149" s="4" t="s">
        <v>54</v>
      </c>
      <c r="G1149" s="4" t="s">
        <v>5263</v>
      </c>
      <c r="H1149" s="4" t="s">
        <v>49</v>
      </c>
      <c r="I1149" s="4" t="s">
        <v>661</v>
      </c>
      <c r="J1149" s="4" t="s">
        <v>78</v>
      </c>
      <c r="K1149" s="5" t="str">
        <f>HYPERLINK("https://media.licdn.com/dms/image/v2/D4E10AQEsObXlWQLyGA/image-shrink_1280/B4EZlMi_jyKYAM-/0/1757925866928?e=2147483647&amp;v=beta&amp;t=SGEM9dkxWVXe3POAl2D5mqBhHk_r1A_JFGOMQ6HJlNs","View Creative")</f>
        <v>View Creative</v>
      </c>
      <c r="L1149" s="4" t="s">
        <v>106</v>
      </c>
      <c r="M1149" s="4" t="s">
        <v>61</v>
      </c>
      <c r="O1149" s="4" t="s">
        <v>63</v>
      </c>
      <c r="P1149" s="4" t="s">
        <v>64</v>
      </c>
    </row>
    <row r="1150">
      <c r="A1150" s="4" t="s">
        <v>40</v>
      </c>
      <c r="B1150" s="4" t="s">
        <v>40</v>
      </c>
      <c r="C1150" s="4">
        <v>1148.0</v>
      </c>
      <c r="D1150" s="5" t="str">
        <f>HYPERLINK("https://www.linkedin.com/ad-library/detail/758613424","Open Ad")</f>
        <v>Open Ad</v>
      </c>
      <c r="E1150" s="4" t="s">
        <v>78</v>
      </c>
      <c r="F1150" s="4" t="s">
        <v>54</v>
      </c>
      <c r="G1150" s="4" t="s">
        <v>5258</v>
      </c>
      <c r="H1150" s="4" t="s">
        <v>49</v>
      </c>
      <c r="I1150" s="4" t="s">
        <v>661</v>
      </c>
      <c r="J1150" s="4" t="s">
        <v>78</v>
      </c>
      <c r="K1150" s="5" t="str">
        <f>HYPERLINK("https://media.licdn.com/dms/image/v2/D4E10AQEHQJWbnGi_FQ/image-shrink_1280/B4EZlMi_grK0AM-/0/1757925866385?e=2147483647&amp;v=beta&amp;t=qiQIFK1ZT5leDxk82Sm9si1a4K9AmYfBca2QlYn0Gag","View Creative")</f>
        <v>View Creative</v>
      </c>
      <c r="L1150" s="4" t="s">
        <v>106</v>
      </c>
      <c r="M1150" s="4" t="s">
        <v>61</v>
      </c>
      <c r="O1150" s="4" t="s">
        <v>63</v>
      </c>
      <c r="P1150" s="4" t="s">
        <v>64</v>
      </c>
    </row>
    <row r="1151">
      <c r="A1151" s="4" t="s">
        <v>40</v>
      </c>
      <c r="B1151" s="4" t="s">
        <v>40</v>
      </c>
      <c r="C1151" s="4">
        <v>1149.0</v>
      </c>
      <c r="D1151" s="5" t="str">
        <f>HYPERLINK("https://www.linkedin.com/ad-library/detail/758652974","Open Ad")</f>
        <v>Open Ad</v>
      </c>
      <c r="E1151" s="4" t="s">
        <v>78</v>
      </c>
      <c r="F1151" s="4" t="s">
        <v>54</v>
      </c>
      <c r="G1151" s="4" t="s">
        <v>5263</v>
      </c>
      <c r="H1151" s="4" t="s">
        <v>49</v>
      </c>
      <c r="I1151" s="4" t="s">
        <v>661</v>
      </c>
      <c r="J1151" s="4" t="s">
        <v>78</v>
      </c>
      <c r="K1151" s="5" t="str">
        <f>HYPERLINK("https://media.licdn.com/dms/image/v2/D4E10AQFvnqPpTI8N5A/image-shrink_1280/B4EZlMi6W1GoAM-/0/1757925845645?e=2147483647&amp;v=beta&amp;t=OZp3k2cRA5L9nNWlgjz_3XxVm53_CLy-cWDZcIfCoz0","View Creative")</f>
        <v>View Creative</v>
      </c>
      <c r="L1151" s="4" t="s">
        <v>106</v>
      </c>
      <c r="M1151" s="4" t="s">
        <v>61</v>
      </c>
      <c r="O1151" s="4" t="s">
        <v>63</v>
      </c>
      <c r="P1151" s="4" t="s">
        <v>64</v>
      </c>
    </row>
    <row r="1152">
      <c r="A1152" s="4" t="s">
        <v>40</v>
      </c>
      <c r="B1152" s="4" t="s">
        <v>40</v>
      </c>
      <c r="C1152" s="4">
        <v>1150.0</v>
      </c>
      <c r="D1152" s="5" t="str">
        <f>HYPERLINK("https://www.linkedin.com/ad-library/detail/758613444","Open Ad")</f>
        <v>Open Ad</v>
      </c>
      <c r="E1152" s="4" t="s">
        <v>78</v>
      </c>
      <c r="F1152" s="4" t="s">
        <v>54</v>
      </c>
      <c r="G1152" s="4" t="s">
        <v>5258</v>
      </c>
      <c r="H1152" s="4" t="s">
        <v>49</v>
      </c>
      <c r="I1152" s="4" t="s">
        <v>661</v>
      </c>
      <c r="J1152" s="4" t="s">
        <v>78</v>
      </c>
      <c r="K1152" s="5" t="str">
        <f>HYPERLINK("https://media.licdn.com/dms/image/v2/D4E10AQFAVdtsw_q38w/image-shrink_1280/B4EZlMi_i4KQAQ-/0/1757925866766?e=2147483647&amp;v=beta&amp;t=b18EAAg8w44_t5MqLidDC5kcWJlCOh5zBRHIBbOAyBE","View Creative")</f>
        <v>View Creative</v>
      </c>
      <c r="L1152" s="4" t="s">
        <v>106</v>
      </c>
      <c r="M1152" s="4" t="s">
        <v>61</v>
      </c>
      <c r="O1152" s="4" t="s">
        <v>63</v>
      </c>
      <c r="P1152" s="4" t="s">
        <v>64</v>
      </c>
    </row>
    <row r="1153">
      <c r="A1153" s="4" t="s">
        <v>40</v>
      </c>
      <c r="B1153" s="4" t="s">
        <v>40</v>
      </c>
      <c r="C1153" s="4">
        <v>1151.0</v>
      </c>
      <c r="D1153" s="5" t="str">
        <f>HYPERLINK("https://www.linkedin.com/ad-library/detail/758652964","Open Ad")</f>
        <v>Open Ad</v>
      </c>
      <c r="E1153" s="4" t="s">
        <v>78</v>
      </c>
      <c r="F1153" s="4" t="s">
        <v>54</v>
      </c>
      <c r="G1153" s="4" t="s">
        <v>5258</v>
      </c>
      <c r="H1153" s="4" t="s">
        <v>49</v>
      </c>
      <c r="I1153" s="4" t="s">
        <v>661</v>
      </c>
      <c r="J1153" s="4" t="s">
        <v>78</v>
      </c>
      <c r="K1153" s="5" t="str">
        <f>HYPERLINK("https://media.licdn.com/dms/image/v2/D4E10AQEvN8JxZnDTzA/image-shrink_1280/B4EZlMi6XIGwAM-/0/1757925845190?e=2147483647&amp;v=beta&amp;t=h1kBuEHZIqAtwJFtzTuUsHsc7NssUavtqqCg_wLdYOM","View Creative")</f>
        <v>View Creative</v>
      </c>
      <c r="L1153" s="4" t="s">
        <v>106</v>
      </c>
      <c r="M1153" s="4" t="s">
        <v>61</v>
      </c>
      <c r="O1153" s="4" t="s">
        <v>63</v>
      </c>
      <c r="P1153" s="4" t="s">
        <v>64</v>
      </c>
    </row>
    <row r="1154">
      <c r="A1154" s="4" t="s">
        <v>40</v>
      </c>
      <c r="B1154" s="4" t="s">
        <v>40</v>
      </c>
      <c r="C1154" s="4">
        <v>1152.0</v>
      </c>
      <c r="D1154" s="5" t="str">
        <f>HYPERLINK("https://www.linkedin.com/ad-library/detail/758613384","Open Ad")</f>
        <v>Open Ad</v>
      </c>
      <c r="E1154" s="4" t="s">
        <v>78</v>
      </c>
      <c r="F1154" s="4" t="s">
        <v>54</v>
      </c>
      <c r="G1154" s="4" t="s">
        <v>5258</v>
      </c>
      <c r="H1154" s="4" t="s">
        <v>49</v>
      </c>
      <c r="I1154" s="4" t="s">
        <v>661</v>
      </c>
      <c r="J1154" s="4" t="s">
        <v>78</v>
      </c>
      <c r="K1154" s="5" t="str">
        <f>HYPERLINK("https://media.licdn.com/dms/image/v2/D4E10AQEcxkJnRUOY9Q/image-shrink_1280/B4EZlMi6PTIQAM-/0/1757925844826?e=2147483647&amp;v=beta&amp;t=Bh6CTpWmA1H7o9U_yUCwuzKvmYICJLijL_wXfRdTMKo","View Creative")</f>
        <v>View Creative</v>
      </c>
      <c r="L1154" s="4" t="s">
        <v>106</v>
      </c>
      <c r="M1154" s="4" t="s">
        <v>61</v>
      </c>
      <c r="O1154" s="4" t="s">
        <v>63</v>
      </c>
      <c r="P1154" s="4" t="s">
        <v>64</v>
      </c>
    </row>
    <row r="1155">
      <c r="A1155" s="4" t="s">
        <v>40</v>
      </c>
      <c r="B1155" s="4" t="s">
        <v>40</v>
      </c>
      <c r="C1155" s="4">
        <v>1153.0</v>
      </c>
      <c r="D1155" s="5" t="str">
        <f>HYPERLINK("https://www.linkedin.com/ad-library/detail/758633414","Open Ad")</f>
        <v>Open Ad</v>
      </c>
      <c r="E1155" s="4" t="s">
        <v>78</v>
      </c>
      <c r="F1155" s="4" t="s">
        <v>54</v>
      </c>
      <c r="G1155" s="4" t="s">
        <v>5263</v>
      </c>
      <c r="H1155" s="4" t="s">
        <v>49</v>
      </c>
      <c r="I1155" s="4" t="s">
        <v>661</v>
      </c>
      <c r="J1155" s="4" t="s">
        <v>78</v>
      </c>
      <c r="K1155" s="5" t="str">
        <f>HYPERLINK("https://media.licdn.com/dms/image/v2/D4E10AQHdwKyWv_CgXw/image-shrink_1280/B4EZlMivkFIQAM-/0/1757925800957?e=2147483647&amp;v=beta&amp;t=_Uanz_1COJHqiBAPzrd90iV7baEInnN5B1qTetUxzjg","View Creative")</f>
        <v>View Creative</v>
      </c>
      <c r="L1155" s="4" t="s">
        <v>106</v>
      </c>
      <c r="M1155" s="4" t="s">
        <v>61</v>
      </c>
      <c r="O1155" s="4" t="s">
        <v>63</v>
      </c>
      <c r="P1155" s="4" t="s">
        <v>64</v>
      </c>
    </row>
    <row r="1156">
      <c r="A1156" s="4" t="s">
        <v>40</v>
      </c>
      <c r="B1156" s="4" t="s">
        <v>40</v>
      </c>
      <c r="C1156" s="4">
        <v>1154.0</v>
      </c>
      <c r="D1156" s="5" t="str">
        <f>HYPERLINK("https://www.linkedin.com/ad-library/detail/758603694","Open Ad")</f>
        <v>Open Ad</v>
      </c>
      <c r="E1156" s="4" t="s">
        <v>78</v>
      </c>
      <c r="F1156" s="4" t="s">
        <v>54</v>
      </c>
      <c r="G1156" s="4" t="s">
        <v>5258</v>
      </c>
      <c r="H1156" s="4" t="s">
        <v>49</v>
      </c>
      <c r="I1156" s="4" t="s">
        <v>661</v>
      </c>
      <c r="J1156" s="4" t="s">
        <v>78</v>
      </c>
      <c r="K1156" s="5" t="str">
        <f>HYPERLINK("https://media.licdn.com/dms/image/v2/D4E10AQGHmiNVSvj_Fw/image-shrink_1280/B4EZlMioWCGoAM-/0/1757925772947?e=2147483647&amp;v=beta&amp;t=KCnyVrePwyS9fNYnGK1Bm-Y48n3wRYsniE5efmlDLBA","View Creative")</f>
        <v>View Creative</v>
      </c>
      <c r="L1156" s="4" t="s">
        <v>106</v>
      </c>
      <c r="M1156" s="4" t="s">
        <v>61</v>
      </c>
      <c r="O1156" s="4" t="s">
        <v>63</v>
      </c>
      <c r="P1156" s="4" t="s">
        <v>64</v>
      </c>
    </row>
    <row r="1157">
      <c r="A1157" s="4" t="s">
        <v>40</v>
      </c>
      <c r="B1157" s="4" t="s">
        <v>40</v>
      </c>
      <c r="C1157" s="4">
        <v>1155.0</v>
      </c>
      <c r="D1157" s="5" t="str">
        <f>HYPERLINK("https://www.linkedin.com/ad-library/detail/758633424","Open Ad")</f>
        <v>Open Ad</v>
      </c>
      <c r="E1157" s="4" t="s">
        <v>78</v>
      </c>
      <c r="F1157" s="4" t="s">
        <v>54</v>
      </c>
      <c r="G1157" s="4" t="s">
        <v>5263</v>
      </c>
      <c r="H1157" s="4" t="s">
        <v>49</v>
      </c>
      <c r="I1157" s="4" t="s">
        <v>661</v>
      </c>
      <c r="J1157" s="4" t="s">
        <v>78</v>
      </c>
      <c r="K1157" s="5" t="str">
        <f>HYPERLINK("https://media.licdn.com/dms/image/v2/D4E10AQElXhTQxEDOxw/image-shrink_1280/B4EZlMi1DsGcAM-/0/1757925823426?e=2147483647&amp;v=beta&amp;t=tA0Km4FUWyW-f3iHTTlNd2NCp-uRfJkUu4TlOnPgzrw","View Creative")</f>
        <v>View Creative</v>
      </c>
      <c r="L1157" s="4" t="s">
        <v>106</v>
      </c>
      <c r="M1157" s="4" t="s">
        <v>61</v>
      </c>
      <c r="O1157" s="4" t="s">
        <v>63</v>
      </c>
      <c r="P1157" s="4" t="s">
        <v>64</v>
      </c>
    </row>
    <row r="1158">
      <c r="A1158" s="4" t="s">
        <v>40</v>
      </c>
      <c r="B1158" s="4" t="s">
        <v>40</v>
      </c>
      <c r="C1158" s="4">
        <v>1156.0</v>
      </c>
      <c r="D1158" s="5" t="str">
        <f>HYPERLINK("https://www.linkedin.com/ad-library/detail/758574114","Open Ad")</f>
        <v>Open Ad</v>
      </c>
      <c r="E1158" s="4" t="s">
        <v>78</v>
      </c>
      <c r="F1158" s="4" t="s">
        <v>54</v>
      </c>
      <c r="G1158" s="4" t="s">
        <v>5258</v>
      </c>
      <c r="H1158" s="4" t="s">
        <v>49</v>
      </c>
      <c r="I1158" s="4" t="s">
        <v>661</v>
      </c>
      <c r="J1158" s="4" t="s">
        <v>78</v>
      </c>
      <c r="K1158" s="5" t="str">
        <f>HYPERLINK("https://media.licdn.com/dms/image/v2/D4E10AQENrKRD1HUFTQ/image-shrink_1280/B4EZlMipyzHEAM-/0/1757925777742?e=2147483647&amp;v=beta&amp;t=BrDjvRp4dmRByPLSIAlkXVys1ii3hIcitK3lzoXUjoc","View Creative")</f>
        <v>View Creative</v>
      </c>
      <c r="L1158" s="4" t="s">
        <v>106</v>
      </c>
      <c r="M1158" s="4" t="s">
        <v>61</v>
      </c>
      <c r="O1158" s="4" t="s">
        <v>63</v>
      </c>
      <c r="P1158" s="4" t="s">
        <v>64</v>
      </c>
    </row>
    <row r="1159">
      <c r="A1159" s="4" t="s">
        <v>40</v>
      </c>
      <c r="B1159" s="4" t="s">
        <v>40</v>
      </c>
      <c r="C1159" s="4">
        <v>1157.0</v>
      </c>
      <c r="D1159" s="5" t="str">
        <f>HYPERLINK("https://www.linkedin.com/ad-library/detail/758741104","Open Ad")</f>
        <v>Open Ad</v>
      </c>
      <c r="E1159" s="4" t="s">
        <v>78</v>
      </c>
      <c r="F1159" s="4" t="s">
        <v>54</v>
      </c>
      <c r="G1159" s="4" t="s">
        <v>5258</v>
      </c>
      <c r="H1159" s="4" t="s">
        <v>49</v>
      </c>
      <c r="I1159" s="4" t="s">
        <v>661</v>
      </c>
      <c r="J1159" s="4" t="s">
        <v>78</v>
      </c>
      <c r="K1159" s="5" t="str">
        <f>HYPERLINK("https://media.licdn.com/dms/image/v2/D4E10AQGN_tNMdTQsMA/image-shrink_1280/B4EZlMi0j7IoAM-/0/1757925821846?e=2147483647&amp;v=beta&amp;t=D17u4nQ8SqNIWT4-zHobDuZv6q8sPo2-0x4MrU9qwrU","View Creative")</f>
        <v>View Creative</v>
      </c>
      <c r="L1159" s="4" t="s">
        <v>106</v>
      </c>
      <c r="M1159" s="4" t="s">
        <v>61</v>
      </c>
      <c r="O1159" s="4" t="s">
        <v>63</v>
      </c>
      <c r="P1159" s="4" t="s">
        <v>64</v>
      </c>
    </row>
    <row r="1160">
      <c r="A1160" s="4" t="s">
        <v>40</v>
      </c>
      <c r="B1160" s="4" t="s">
        <v>40</v>
      </c>
      <c r="C1160" s="4">
        <v>1158.0</v>
      </c>
      <c r="D1160" s="5" t="str">
        <f>HYPERLINK("https://www.linkedin.com/ad-library/detail/758770404","Open Ad")</f>
        <v>Open Ad</v>
      </c>
      <c r="E1160" s="4" t="s">
        <v>78</v>
      </c>
      <c r="F1160" s="4" t="s">
        <v>54</v>
      </c>
      <c r="G1160" s="4" t="s">
        <v>5258</v>
      </c>
      <c r="H1160" s="4" t="s">
        <v>49</v>
      </c>
      <c r="I1160" s="4" t="s">
        <v>661</v>
      </c>
      <c r="J1160" s="4" t="s">
        <v>78</v>
      </c>
      <c r="K1160" s="5" t="str">
        <f>HYPERLINK("https://media.licdn.com/dms/image/v2/D4E10AQEyJNpWiiyuaQ/image-shrink_1280/B4EZlMi0l3IMAM-/0/1757925821852?e=2147483647&amp;v=beta&amp;t=0VNRWDvyM4GcWItYJW8RMI_BMKhrR1FsqdXFYY1eaPg","View Creative")</f>
        <v>View Creative</v>
      </c>
      <c r="L1160" s="4" t="s">
        <v>106</v>
      </c>
      <c r="M1160" s="4" t="s">
        <v>61</v>
      </c>
      <c r="O1160" s="4" t="s">
        <v>63</v>
      </c>
      <c r="P1160" s="4" t="s">
        <v>64</v>
      </c>
    </row>
    <row r="1161">
      <c r="A1161" s="4" t="s">
        <v>40</v>
      </c>
      <c r="B1161" s="4" t="s">
        <v>40</v>
      </c>
      <c r="C1161" s="4">
        <v>1159.0</v>
      </c>
      <c r="D1161" s="5" t="str">
        <f>HYPERLINK("https://www.linkedin.com/ad-library/detail/758623334","Open Ad")</f>
        <v>Open Ad</v>
      </c>
      <c r="E1161" s="4" t="s">
        <v>78</v>
      </c>
      <c r="F1161" s="4" t="s">
        <v>54</v>
      </c>
      <c r="G1161" s="4" t="s">
        <v>5258</v>
      </c>
      <c r="H1161" s="4" t="s">
        <v>49</v>
      </c>
      <c r="I1161" s="4" t="s">
        <v>661</v>
      </c>
      <c r="J1161" s="4" t="s">
        <v>78</v>
      </c>
      <c r="K1161" s="5" t="str">
        <f>HYPERLINK("https://media.licdn.com/dms/image/v2/D4E10AQESXNBtp-EYQQ/image-shrink_1280/B4EZlMi0jNKwAM-/0/1757925821668?e=2147483647&amp;v=beta&amp;t=yXkv-y2fAX-PcCo9_9_ZlmaWGgNB-trYLkaRJG27xj4","View Creative")</f>
        <v>View Creative</v>
      </c>
      <c r="L1161" s="4" t="s">
        <v>106</v>
      </c>
      <c r="M1161" s="4" t="s">
        <v>61</v>
      </c>
      <c r="O1161" s="4" t="s">
        <v>63</v>
      </c>
      <c r="P1161" s="4" t="s">
        <v>64</v>
      </c>
    </row>
    <row r="1162">
      <c r="A1162" s="4" t="s">
        <v>40</v>
      </c>
      <c r="B1162" s="4" t="s">
        <v>40</v>
      </c>
      <c r="C1162" s="4">
        <v>1160.0</v>
      </c>
      <c r="D1162" s="5" t="str">
        <f>HYPERLINK("https://www.linkedin.com/ad-library/detail/758683014","Open Ad")</f>
        <v>Open Ad</v>
      </c>
      <c r="E1162" s="4" t="s">
        <v>78</v>
      </c>
      <c r="F1162" s="4" t="s">
        <v>54</v>
      </c>
      <c r="G1162" s="4" t="s">
        <v>5263</v>
      </c>
      <c r="H1162" s="4" t="s">
        <v>49</v>
      </c>
      <c r="I1162" s="4" t="s">
        <v>661</v>
      </c>
      <c r="J1162" s="4" t="s">
        <v>78</v>
      </c>
      <c r="K1162" s="5" t="str">
        <f>HYPERLINK("https://media.licdn.com/dms/image/v2/D4E10AQENxibWweBYgQ/image-shrink_1280/B4EZlMiu.9KsAM-/0/1757925798956?e=2147483647&amp;v=beta&amp;t=jMJPB6vFoKcecCH8EFchtQinuqEShUJ5PtG1WTcwawg","View Creative")</f>
        <v>View Creative</v>
      </c>
      <c r="L1162" s="4" t="s">
        <v>106</v>
      </c>
      <c r="M1162" s="4" t="s">
        <v>61</v>
      </c>
      <c r="O1162" s="4" t="s">
        <v>63</v>
      </c>
      <c r="P1162" s="4" t="s">
        <v>64</v>
      </c>
    </row>
    <row r="1163">
      <c r="A1163" s="4" t="s">
        <v>40</v>
      </c>
      <c r="B1163" s="4" t="s">
        <v>40</v>
      </c>
      <c r="C1163" s="4">
        <v>1161.0</v>
      </c>
      <c r="D1163" s="5" t="str">
        <f>HYPERLINK("https://www.linkedin.com/ad-library/detail/758623324","Open Ad")</f>
        <v>Open Ad</v>
      </c>
      <c r="E1163" s="4" t="s">
        <v>78</v>
      </c>
      <c r="F1163" s="4" t="s">
        <v>54</v>
      </c>
      <c r="G1163" s="4" t="s">
        <v>5258</v>
      </c>
      <c r="H1163" s="4" t="s">
        <v>49</v>
      </c>
      <c r="I1163" s="4" t="s">
        <v>661</v>
      </c>
      <c r="J1163" s="4" t="s">
        <v>78</v>
      </c>
      <c r="K1163" s="5" t="str">
        <f>HYPERLINK("https://media.licdn.com/dms/image/v2/D4E10AQF2Op35xKa5CQ/image-shrink_1280/B4EZlMiu5XIQAI-/0/1757925798556?e=2147483647&amp;v=beta&amp;t=wFWdGEqboyvd-CbVIiX80MfzHnQ-t-Ac9xpjc0oKiuU","View Creative")</f>
        <v>View Creative</v>
      </c>
      <c r="L1163" s="4" t="s">
        <v>106</v>
      </c>
      <c r="M1163" s="4" t="s">
        <v>61</v>
      </c>
      <c r="O1163" s="4" t="s">
        <v>63</v>
      </c>
      <c r="P1163" s="4" t="s">
        <v>64</v>
      </c>
    </row>
    <row r="1164">
      <c r="A1164" s="4" t="s">
        <v>40</v>
      </c>
      <c r="B1164" s="4" t="s">
        <v>40</v>
      </c>
      <c r="C1164" s="4">
        <v>1162.0</v>
      </c>
      <c r="D1164" s="5" t="str">
        <f>HYPERLINK("https://www.linkedin.com/ad-library/detail/758702514","Open Ad")</f>
        <v>Open Ad</v>
      </c>
      <c r="E1164" s="4" t="s">
        <v>78</v>
      </c>
      <c r="F1164" s="4" t="s">
        <v>54</v>
      </c>
      <c r="G1164" s="4" t="s">
        <v>5258</v>
      </c>
      <c r="H1164" s="4" t="s">
        <v>49</v>
      </c>
      <c r="I1164" s="4" t="s">
        <v>661</v>
      </c>
      <c r="J1164" s="4" t="s">
        <v>78</v>
      </c>
      <c r="K1164" s="5" t="str">
        <f>HYPERLINK("https://media.licdn.com/dms/image/v2/D4E10AQHrDeyo9fXjmQ/image-shrink_1280/B4EZlMiu8hGYAM-/0/1757925798940?e=2147483647&amp;v=beta&amp;t=QnZAn4j_fDxRLOtiOLfumltJSrupXU1AAwgDE7Y5dYU","View Creative")</f>
        <v>View Creative</v>
      </c>
      <c r="L1164" s="4" t="s">
        <v>106</v>
      </c>
      <c r="M1164" s="4" t="s">
        <v>61</v>
      </c>
      <c r="O1164" s="4" t="s">
        <v>63</v>
      </c>
      <c r="P1164" s="4" t="s">
        <v>64</v>
      </c>
    </row>
    <row r="1165">
      <c r="A1165" s="4" t="s">
        <v>40</v>
      </c>
      <c r="B1165" s="4" t="s">
        <v>40</v>
      </c>
      <c r="C1165" s="4">
        <v>1163.0</v>
      </c>
      <c r="D1165" s="5" t="str">
        <f>HYPERLINK("https://www.linkedin.com/ad-library/detail/758554714","Open Ad")</f>
        <v>Open Ad</v>
      </c>
      <c r="E1165" s="4" t="s">
        <v>78</v>
      </c>
      <c r="F1165" s="4" t="s">
        <v>54</v>
      </c>
      <c r="G1165" s="4" t="s">
        <v>5263</v>
      </c>
      <c r="H1165" s="4" t="s">
        <v>49</v>
      </c>
      <c r="I1165" s="4" t="s">
        <v>661</v>
      </c>
      <c r="J1165" s="4" t="s">
        <v>78</v>
      </c>
      <c r="K1165" s="5" t="str">
        <f>HYPERLINK("https://media.licdn.com/dms/image/v2/D4E10AQHtQv_GorD4Bw/image-shrink_1280/B4EZlMi0poGwAM-/0/1757925822108?e=2147483647&amp;v=beta&amp;t=vI5FVMuvnm6kEWiJWTtgkZKDr6prj4J9WePE6-07BRU","View Creative")</f>
        <v>View Creative</v>
      </c>
      <c r="L1165" s="4" t="s">
        <v>106</v>
      </c>
      <c r="M1165" s="4" t="s">
        <v>61</v>
      </c>
      <c r="O1165" s="4" t="s">
        <v>63</v>
      </c>
      <c r="P1165" s="4" t="s">
        <v>64</v>
      </c>
    </row>
    <row r="1166">
      <c r="A1166" s="4" t="s">
        <v>40</v>
      </c>
      <c r="B1166" s="4" t="s">
        <v>40</v>
      </c>
      <c r="C1166" s="4">
        <v>1164.0</v>
      </c>
      <c r="D1166" s="5" t="str">
        <f>HYPERLINK("https://www.linkedin.com/ad-library/detail/758662574","Open Ad")</f>
        <v>Open Ad</v>
      </c>
      <c r="E1166" s="4" t="s">
        <v>78</v>
      </c>
      <c r="F1166" s="4" t="s">
        <v>54</v>
      </c>
      <c r="G1166" s="4" t="s">
        <v>5258</v>
      </c>
      <c r="H1166" s="4" t="s">
        <v>49</v>
      </c>
      <c r="I1166" s="4" t="s">
        <v>661</v>
      </c>
      <c r="J1166" s="4" t="s">
        <v>78</v>
      </c>
      <c r="K1166" s="5" t="str">
        <f>HYPERLINK("https://media.licdn.com/dms/image/v2/D4E10AQFNgjTzKeBUhA/image-shrink_1280/B4EZlMiu8EGYAM-/0/1757925799149?e=2147483647&amp;v=beta&amp;t=lzZ4R2ex9BTP_w5g3YBc1z3gcnCYBmyyr5E9g160-8s","View Creative")</f>
        <v>View Creative</v>
      </c>
      <c r="L1166" s="4" t="s">
        <v>106</v>
      </c>
      <c r="M1166" s="4" t="s">
        <v>61</v>
      </c>
      <c r="O1166" s="4" t="s">
        <v>63</v>
      </c>
      <c r="P1166" s="4" t="s">
        <v>64</v>
      </c>
    </row>
    <row r="1167">
      <c r="A1167" s="4" t="s">
        <v>40</v>
      </c>
      <c r="B1167" s="4" t="s">
        <v>40</v>
      </c>
      <c r="C1167" s="4">
        <v>1165.0</v>
      </c>
      <c r="D1167" s="5" t="str">
        <f>HYPERLINK("https://www.linkedin.com/ad-library/detail/758584094","Open Ad")</f>
        <v>Open Ad</v>
      </c>
      <c r="E1167" s="4" t="s">
        <v>78</v>
      </c>
      <c r="F1167" s="4" t="s">
        <v>54</v>
      </c>
      <c r="G1167" s="4" t="s">
        <v>5258</v>
      </c>
      <c r="H1167" s="4" t="s">
        <v>49</v>
      </c>
      <c r="I1167" s="4" t="s">
        <v>661</v>
      </c>
      <c r="J1167" s="4" t="s">
        <v>78</v>
      </c>
      <c r="K1167" s="5" t="str">
        <f>HYPERLINK("https://media.licdn.com/dms/image/v2/D4E10AQF8FO__ATwKBA/image-shrink_1280/B4EZlMivHKHEAM-/0/1757925799191?e=2147483647&amp;v=beta&amp;t=5Dj4jxnLW-HLsvspbXzvh_LIC9qPhocW7MEDWQMlS3c","View Creative")</f>
        <v>View Creative</v>
      </c>
      <c r="L1167" s="4" t="s">
        <v>106</v>
      </c>
      <c r="M1167" s="4" t="s">
        <v>61</v>
      </c>
      <c r="O1167" s="4" t="s">
        <v>63</v>
      </c>
      <c r="P1167" s="4" t="s">
        <v>64</v>
      </c>
    </row>
    <row r="1168">
      <c r="A1168" s="4" t="s">
        <v>40</v>
      </c>
      <c r="B1168" s="4" t="s">
        <v>40</v>
      </c>
      <c r="C1168" s="4">
        <v>1166.0</v>
      </c>
      <c r="D1168" s="5" t="str">
        <f>HYPERLINK("https://www.linkedin.com/ad-library/detail/758722054","Open Ad")</f>
        <v>Open Ad</v>
      </c>
      <c r="E1168" s="4" t="s">
        <v>78</v>
      </c>
      <c r="F1168" s="4" t="s">
        <v>54</v>
      </c>
      <c r="G1168" s="4" t="s">
        <v>5258</v>
      </c>
      <c r="H1168" s="4" t="s">
        <v>49</v>
      </c>
      <c r="I1168" s="4" t="s">
        <v>661</v>
      </c>
      <c r="J1168" s="4" t="s">
        <v>78</v>
      </c>
      <c r="K1168" s="5" t="str">
        <f>HYPERLINK("https://media.licdn.com/dms/image/v2/D4E10AQFStUOPTpj4YQ/image-shrink_1280/B4EZlMi1HaHEAM-/0/1757925823908?e=2147483647&amp;v=beta&amp;t=rqDl-08BLZjRjv9jGmRCVKz1hJ2xgsTKNr1CF54Prwg","View Creative")</f>
        <v>View Creative</v>
      </c>
      <c r="L1168" s="4" t="s">
        <v>106</v>
      </c>
      <c r="M1168" s="4" t="s">
        <v>61</v>
      </c>
      <c r="O1168" s="4" t="s">
        <v>63</v>
      </c>
      <c r="P1168" s="4" t="s">
        <v>64</v>
      </c>
    </row>
    <row r="1169">
      <c r="A1169" s="4" t="s">
        <v>40</v>
      </c>
      <c r="B1169" s="4" t="s">
        <v>40</v>
      </c>
      <c r="C1169" s="4">
        <v>1167.0</v>
      </c>
      <c r="D1169" s="5" t="str">
        <f>HYPERLINK("https://www.linkedin.com/ad-library/detail/758722034","Open Ad")</f>
        <v>Open Ad</v>
      </c>
      <c r="E1169" s="4" t="s">
        <v>78</v>
      </c>
      <c r="F1169" s="4" t="s">
        <v>54</v>
      </c>
      <c r="G1169" s="4" t="s">
        <v>5263</v>
      </c>
      <c r="H1169" s="4" t="s">
        <v>49</v>
      </c>
      <c r="I1169" s="4" t="s">
        <v>661</v>
      </c>
      <c r="J1169" s="4" t="s">
        <v>78</v>
      </c>
      <c r="K1169" s="5" t="str">
        <f>HYPERLINK("https://media.licdn.com/dms/image/v2/D4E10AQF-FKKtPIkTuw/image-shrink_1280/B4EZlMiu_7IUAM-/0/1757925798896?e=2147483647&amp;v=beta&amp;t=G8l0fNI6kSNG3UKyQ1cBx-7AHZ8OwBMhx3dlAPgOQus","View Creative")</f>
        <v>View Creative</v>
      </c>
      <c r="L1169" s="4" t="s">
        <v>106</v>
      </c>
      <c r="M1169" s="4" t="s">
        <v>61</v>
      </c>
      <c r="O1169" s="4" t="s">
        <v>63</v>
      </c>
      <c r="P1169" s="4" t="s">
        <v>64</v>
      </c>
    </row>
    <row r="1170">
      <c r="A1170" s="4" t="s">
        <v>40</v>
      </c>
      <c r="B1170" s="4" t="s">
        <v>40</v>
      </c>
      <c r="C1170" s="4">
        <v>1168.0</v>
      </c>
      <c r="D1170" s="5" t="str">
        <f>HYPERLINK("https://www.linkedin.com/ad-library/detail/758731654","Open Ad")</f>
        <v>Open Ad</v>
      </c>
      <c r="E1170" s="4" t="s">
        <v>78</v>
      </c>
      <c r="F1170" s="4" t="s">
        <v>54</v>
      </c>
      <c r="G1170" s="4" t="s">
        <v>5263</v>
      </c>
      <c r="H1170" s="4" t="s">
        <v>49</v>
      </c>
      <c r="I1170" s="4" t="s">
        <v>661</v>
      </c>
      <c r="J1170" s="4" t="s">
        <v>78</v>
      </c>
      <c r="K1170" s="5" t="str">
        <f>HYPERLINK("https://media.licdn.com/dms/image/v2/D4E10AQFvC2R2X01bCQ/image-shrink_1280/B4EZlMipjKKwAQ-/0/1757925776839?e=2147483647&amp;v=beta&amp;t=YCxiM_ODx0V-mncNhPpsj0SxNsOGW9edmskBaJjAVNU","View Creative")</f>
        <v>View Creative</v>
      </c>
      <c r="L1170" s="4" t="s">
        <v>106</v>
      </c>
      <c r="M1170" s="4" t="s">
        <v>61</v>
      </c>
      <c r="O1170" s="4" t="s">
        <v>63</v>
      </c>
      <c r="P1170" s="4" t="s">
        <v>64</v>
      </c>
    </row>
    <row r="1171">
      <c r="A1171" s="4" t="s">
        <v>40</v>
      </c>
      <c r="B1171" s="4" t="s">
        <v>40</v>
      </c>
      <c r="C1171" s="4">
        <v>1169.0</v>
      </c>
      <c r="D1171" s="5" t="str">
        <f>HYPERLINK("https://www.linkedin.com/ad-library/detail/758750924","Open Ad")</f>
        <v>Open Ad</v>
      </c>
      <c r="E1171" s="4" t="s">
        <v>78</v>
      </c>
      <c r="F1171" s="4" t="s">
        <v>54</v>
      </c>
      <c r="G1171" s="4" t="s">
        <v>5258</v>
      </c>
      <c r="H1171" s="4" t="s">
        <v>49</v>
      </c>
      <c r="I1171" s="4" t="s">
        <v>661</v>
      </c>
      <c r="J1171" s="4" t="s">
        <v>78</v>
      </c>
      <c r="K1171" s="5" t="str">
        <f>HYPERLINK("https://media.licdn.com/dms/image/v2/D4E10AQE6k0Ebe4HLwA/image-shrink_1280/B4EZlMioXSHEAQ-/0/1757925771702?e=2147483647&amp;v=beta&amp;t=fN2PtQXCguyPKAnoW2c265oBBNc4UUD_8RaH4GMBcZ0","View Creative")</f>
        <v>View Creative</v>
      </c>
      <c r="L1171" s="4" t="s">
        <v>106</v>
      </c>
      <c r="M1171" s="4" t="s">
        <v>61</v>
      </c>
      <c r="O1171" s="4" t="s">
        <v>63</v>
      </c>
      <c r="P1171" s="4" t="s">
        <v>64</v>
      </c>
    </row>
    <row r="1172">
      <c r="A1172" s="4" t="s">
        <v>40</v>
      </c>
      <c r="B1172" s="4" t="s">
        <v>40</v>
      </c>
      <c r="C1172" s="4">
        <v>1170.0</v>
      </c>
      <c r="D1172" s="5" t="str">
        <f>HYPERLINK("https://www.linkedin.com/ad-library/detail/758672674","Open Ad")</f>
        <v>Open Ad</v>
      </c>
      <c r="E1172" s="4" t="s">
        <v>78</v>
      </c>
      <c r="F1172" s="4" t="s">
        <v>54</v>
      </c>
      <c r="G1172" s="4" t="s">
        <v>5258</v>
      </c>
      <c r="H1172" s="4" t="s">
        <v>49</v>
      </c>
      <c r="I1172" s="4" t="s">
        <v>661</v>
      </c>
      <c r="J1172" s="4" t="s">
        <v>78</v>
      </c>
      <c r="K1172" s="5" t="str">
        <f>HYPERLINK("https://media.licdn.com/dms/image/v2/D4E10AQESm8hN4qLJeA/image-shrink_1280/B4EZlMiu71KoAM-/0/1757925798465?e=2147483647&amp;v=beta&amp;t=W2CzcBufDtbhTay9BuIBuj4VF3wdZA6htZ5XqsrRrug","View Creative")</f>
        <v>View Creative</v>
      </c>
      <c r="L1172" s="4" t="s">
        <v>106</v>
      </c>
      <c r="M1172" s="4" t="s">
        <v>61</v>
      </c>
      <c r="O1172" s="4" t="s">
        <v>63</v>
      </c>
      <c r="P1172" s="4" t="s">
        <v>64</v>
      </c>
    </row>
    <row r="1173">
      <c r="A1173" s="4" t="s">
        <v>40</v>
      </c>
      <c r="B1173" s="4" t="s">
        <v>40</v>
      </c>
      <c r="C1173" s="4">
        <v>1171.0</v>
      </c>
      <c r="D1173" s="5" t="str">
        <f>HYPERLINK("https://www.linkedin.com/ad-library/detail/758603714","Open Ad")</f>
        <v>Open Ad</v>
      </c>
      <c r="E1173" s="4" t="s">
        <v>78</v>
      </c>
      <c r="F1173" s="4" t="s">
        <v>54</v>
      </c>
      <c r="G1173" s="4" t="s">
        <v>5263</v>
      </c>
      <c r="H1173" s="4" t="s">
        <v>49</v>
      </c>
      <c r="I1173" s="4" t="s">
        <v>661</v>
      </c>
      <c r="J1173" s="4" t="s">
        <v>78</v>
      </c>
      <c r="K1173" s="5" t="str">
        <f>HYPERLINK("https://media.licdn.com/dms/image/v2/D4E10AQGatyHdpmBaeg/image-shrink_1280/B4EZlMi0jPGcAM-/0/1757925821814?e=2147483647&amp;v=beta&amp;t=peC2iWeROb43jFOwXEwO4N8_gWwFn6b0qHUXCY9qJOc","View Creative")</f>
        <v>View Creative</v>
      </c>
      <c r="L1173" s="4" t="s">
        <v>106</v>
      </c>
      <c r="M1173" s="4" t="s">
        <v>61</v>
      </c>
      <c r="O1173" s="4" t="s">
        <v>63</v>
      </c>
      <c r="P1173" s="4" t="s">
        <v>64</v>
      </c>
    </row>
    <row r="1174">
      <c r="A1174" s="4" t="s">
        <v>40</v>
      </c>
      <c r="B1174" s="4" t="s">
        <v>40</v>
      </c>
      <c r="C1174" s="4">
        <v>1172.0</v>
      </c>
      <c r="D1174" s="5" t="str">
        <f>HYPERLINK("https://www.linkedin.com/ad-library/detail/758741094","Open Ad")</f>
        <v>Open Ad</v>
      </c>
      <c r="E1174" s="4" t="s">
        <v>78</v>
      </c>
      <c r="F1174" s="4" t="s">
        <v>54</v>
      </c>
      <c r="G1174" s="4" t="s">
        <v>5258</v>
      </c>
      <c r="H1174" s="4" t="s">
        <v>49</v>
      </c>
      <c r="I1174" s="4" t="s">
        <v>661</v>
      </c>
      <c r="J1174" s="4" t="s">
        <v>78</v>
      </c>
      <c r="K1174" s="5" t="str">
        <f>HYPERLINK("https://media.licdn.com/dms/image/v2/D4E10AQF8-W6qNefA_A/image-shrink_1280/B4EZlMi0jBIUAM-/0/1757925821848?e=2147483647&amp;v=beta&amp;t=3TA9U-bwk1ule1K7rnTc7Hg-eebB2KPQpbwv1xTlWr4","View Creative")</f>
        <v>View Creative</v>
      </c>
      <c r="L1174" s="4" t="s">
        <v>106</v>
      </c>
      <c r="M1174" s="4" t="s">
        <v>61</v>
      </c>
      <c r="O1174" s="4" t="s">
        <v>63</v>
      </c>
      <c r="P1174" s="4" t="s">
        <v>64</v>
      </c>
    </row>
    <row r="1175">
      <c r="A1175" s="4" t="s">
        <v>40</v>
      </c>
      <c r="B1175" s="4" t="s">
        <v>40</v>
      </c>
      <c r="C1175" s="4">
        <v>1173.0</v>
      </c>
      <c r="D1175" s="5" t="str">
        <f>HYPERLINK("https://www.linkedin.com/ad-library/detail/758613364","Open Ad")</f>
        <v>Open Ad</v>
      </c>
      <c r="E1175" s="4" t="s">
        <v>78</v>
      </c>
      <c r="F1175" s="4" t="s">
        <v>54</v>
      </c>
      <c r="G1175" s="4" t="s">
        <v>5263</v>
      </c>
      <c r="H1175" s="4" t="s">
        <v>49</v>
      </c>
      <c r="I1175" s="4" t="s">
        <v>661</v>
      </c>
      <c r="J1175" s="4" t="s">
        <v>78</v>
      </c>
      <c r="K1175" s="5" t="str">
        <f>HYPERLINK("https://media.licdn.com/dms/image/v2/D4E10AQFb_HGbsH40ag/image-shrink_1280/B4EZlMioXnHEAM-/0/1757925772180?e=2147483647&amp;v=beta&amp;t=LJVsas-vZQ6W6mz3rqWdnYpO8ea6N1hsMn821ihp5Mk","View Creative")</f>
        <v>View Creative</v>
      </c>
      <c r="L1175" s="4" t="s">
        <v>106</v>
      </c>
      <c r="M1175" s="4" t="s">
        <v>61</v>
      </c>
      <c r="O1175" s="4" t="s">
        <v>63</v>
      </c>
      <c r="P1175" s="4" t="s">
        <v>64</v>
      </c>
    </row>
    <row r="1176">
      <c r="A1176" s="4" t="s">
        <v>40</v>
      </c>
      <c r="B1176" s="4" t="s">
        <v>40</v>
      </c>
      <c r="C1176" s="4">
        <v>1174.0</v>
      </c>
      <c r="D1176" s="5" t="str">
        <f>HYPERLINK("https://www.linkedin.com/ad-library/detail/758692724","Open Ad")</f>
        <v>Open Ad</v>
      </c>
      <c r="E1176" s="4" t="s">
        <v>78</v>
      </c>
      <c r="F1176" s="4" t="s">
        <v>54</v>
      </c>
      <c r="G1176" s="4" t="s">
        <v>5263</v>
      </c>
      <c r="H1176" s="4" t="s">
        <v>49</v>
      </c>
      <c r="I1176" s="4" t="s">
        <v>661</v>
      </c>
      <c r="J1176" s="4" t="s">
        <v>78</v>
      </c>
      <c r="K1176" s="5" t="str">
        <f>HYPERLINK("https://media.licdn.com/dms/image/v2/D4E10AQEQ5Op_MxJ1mg/image-shrink_1280/B4EZlMivB8KYAM-/0/1757925798801?e=2147483647&amp;v=beta&amp;t=3eZn3x2a5ZtKaFi1FAyP_CIgnzD3heQw4TX4X_YeKhk","View Creative")</f>
        <v>View Creative</v>
      </c>
      <c r="L1176" s="4" t="s">
        <v>106</v>
      </c>
      <c r="M1176" s="4" t="s">
        <v>61</v>
      </c>
      <c r="O1176" s="4" t="s">
        <v>63</v>
      </c>
      <c r="P1176" s="4" t="s">
        <v>64</v>
      </c>
    </row>
    <row r="1177">
      <c r="A1177" s="4" t="s">
        <v>40</v>
      </c>
      <c r="B1177" s="4" t="s">
        <v>40</v>
      </c>
      <c r="C1177" s="4">
        <v>1175.0</v>
      </c>
      <c r="D1177" s="5" t="str">
        <f>HYPERLINK("https://www.linkedin.com/ad-library/detail/758741084","Open Ad")</f>
        <v>Open Ad</v>
      </c>
      <c r="E1177" s="4" t="s">
        <v>78</v>
      </c>
      <c r="F1177" s="4" t="s">
        <v>54</v>
      </c>
      <c r="G1177" s="4" t="s">
        <v>5263</v>
      </c>
      <c r="H1177" s="4" t="s">
        <v>49</v>
      </c>
      <c r="I1177" s="4" t="s">
        <v>661</v>
      </c>
      <c r="J1177" s="4" t="s">
        <v>78</v>
      </c>
      <c r="K1177" s="5" t="str">
        <f>HYPERLINK("https://media.licdn.com/dms/image/v2/D4E10AQHkMggjkpeQPw/image-shrink_1280/B4EZlMioS3IIAM-/0/1757925772108?e=2147483647&amp;v=beta&amp;t=hy2j-0jQprU28N29IGHjO1JzLft-bx5Wx13Hnf5CkwE","View Creative")</f>
        <v>View Creative</v>
      </c>
      <c r="L1177" s="4" t="s">
        <v>106</v>
      </c>
      <c r="M1177" s="4" t="s">
        <v>61</v>
      </c>
      <c r="O1177" s="4" t="s">
        <v>63</v>
      </c>
      <c r="P1177" s="4" t="s">
        <v>64</v>
      </c>
    </row>
    <row r="1178">
      <c r="A1178" s="4" t="s">
        <v>40</v>
      </c>
      <c r="B1178" s="4" t="s">
        <v>40</v>
      </c>
      <c r="C1178" s="4">
        <v>1176.0</v>
      </c>
      <c r="D1178" s="5" t="str">
        <f>HYPERLINK("https://www.linkedin.com/ad-library/detail/758741074","Open Ad")</f>
        <v>Open Ad</v>
      </c>
      <c r="E1178" s="4" t="s">
        <v>78</v>
      </c>
      <c r="F1178" s="4" t="s">
        <v>54</v>
      </c>
      <c r="G1178" s="4" t="s">
        <v>5263</v>
      </c>
      <c r="H1178" s="4" t="s">
        <v>49</v>
      </c>
      <c r="I1178" s="4" t="s">
        <v>661</v>
      </c>
      <c r="J1178" s="4" t="s">
        <v>78</v>
      </c>
      <c r="K1178" s="5" t="str">
        <f>HYPERLINK("https://media.licdn.com/dms/image/v2/D4E10AQGVVfzIEWPIgw/image-shrink_1280/B4EZlMioW9HoAQ-/0/1757925771890?e=2147483647&amp;v=beta&amp;t=6qlA40L0FiK3fghJ1eBYg5RyRk5Y5oiZS0VmqZgm5o4","View Creative")</f>
        <v>View Creative</v>
      </c>
      <c r="L1178" s="4" t="s">
        <v>106</v>
      </c>
      <c r="M1178" s="4" t="s">
        <v>61</v>
      </c>
      <c r="O1178" s="4" t="s">
        <v>63</v>
      </c>
      <c r="P1178" s="4" t="s">
        <v>64</v>
      </c>
    </row>
    <row r="1179">
      <c r="A1179" s="4" t="s">
        <v>40</v>
      </c>
      <c r="B1179" s="4" t="s">
        <v>40</v>
      </c>
      <c r="C1179" s="4">
        <v>1177.0</v>
      </c>
      <c r="D1179" s="5" t="str">
        <f>HYPERLINK("https://www.linkedin.com/ad-library/detail/758492734","Open Ad")</f>
        <v>Open Ad</v>
      </c>
      <c r="E1179" s="4" t="s">
        <v>78</v>
      </c>
      <c r="F1179" s="4" t="s">
        <v>54</v>
      </c>
      <c r="G1179" s="4" t="s">
        <v>5680</v>
      </c>
      <c r="H1179" s="4" t="s">
        <v>49</v>
      </c>
      <c r="I1179" s="4" t="s">
        <v>661</v>
      </c>
      <c r="J1179" s="4" t="s">
        <v>78</v>
      </c>
      <c r="K1179" s="5" t="str">
        <f>HYPERLINK("https://media.licdn.com/dms/image/v2/D4E10AQF4ggeMK_TAWw/image-shrink_1280/B4EZjRB8XyHoAQ-/0/1755853606065/AIO-in-the-Wild-02png?e=2147483647&amp;v=beta&amp;t=BCdwRDROOzIVVOMDuSef9YisO2Yq9y7yy9g258cMayg","View Creative")</f>
        <v>View Creative</v>
      </c>
      <c r="L1179" s="4" t="s">
        <v>106</v>
      </c>
      <c r="M1179" s="4" t="s">
        <v>61</v>
      </c>
      <c r="O1179" s="4" t="s">
        <v>63</v>
      </c>
      <c r="P1179" s="4" t="s">
        <v>64</v>
      </c>
    </row>
    <row r="1180">
      <c r="A1180" s="4" t="s">
        <v>40</v>
      </c>
      <c r="B1180" s="4" t="s">
        <v>40</v>
      </c>
      <c r="C1180" s="4">
        <v>1178.0</v>
      </c>
      <c r="D1180" s="5" t="str">
        <f>HYPERLINK("https://www.linkedin.com/ad-library/detail/758413894","Open Ad")</f>
        <v>Open Ad</v>
      </c>
      <c r="E1180" s="4" t="s">
        <v>78</v>
      </c>
      <c r="F1180" s="4" t="s">
        <v>54</v>
      </c>
      <c r="G1180" s="4" t="s">
        <v>5466</v>
      </c>
      <c r="H1180" s="4" t="s">
        <v>49</v>
      </c>
      <c r="I1180" s="4" t="s">
        <v>661</v>
      </c>
      <c r="J1180" s="4" t="s">
        <v>78</v>
      </c>
      <c r="K1180" s="5" t="str">
        <f>HYPERLINK("https://media.licdn.com/dms/image/v2/D4E10AQEOrgQKhSJ_rA/image-shrink_1280/B4EZkZPlFsIQAM-/0/1757065139485/AIOintheWildpng?e=2147483647&amp;v=beta&amp;t=2d8iHGNlbh7t57PbJ_ehp-7hS2R0apHdzJLGmAcmioI","View Creative")</f>
        <v>View Creative</v>
      </c>
      <c r="L1180" s="4" t="s">
        <v>106</v>
      </c>
      <c r="M1180" s="4" t="s">
        <v>61</v>
      </c>
      <c r="O1180" s="4" t="s">
        <v>63</v>
      </c>
      <c r="P1180" s="4" t="s">
        <v>64</v>
      </c>
    </row>
    <row r="1181">
      <c r="A1181" s="4" t="s">
        <v>40</v>
      </c>
      <c r="B1181" s="4" t="s">
        <v>40</v>
      </c>
      <c r="C1181" s="4">
        <v>1179.0</v>
      </c>
      <c r="D1181" s="5" t="str">
        <f>HYPERLINK("https://www.linkedin.com/ad-library/detail/758432064","Open Ad")</f>
        <v>Open Ad</v>
      </c>
      <c r="E1181" s="4" t="s">
        <v>78</v>
      </c>
      <c r="F1181" s="4" t="s">
        <v>54</v>
      </c>
      <c r="G1181" s="4" t="s">
        <v>5682</v>
      </c>
      <c r="H1181" s="4" t="s">
        <v>49</v>
      </c>
      <c r="I1181" s="4" t="s">
        <v>661</v>
      </c>
      <c r="J1181" s="4" t="s">
        <v>78</v>
      </c>
      <c r="K1181" s="5" t="str">
        <f>HYPERLINK("https://media.licdn.com/dms/image/sync/v2/D4E27AQHtvTLKDEve2A/articleshare-shrink_1280_800/B4EZ7zpQh2HkAc-/0/1782204141490?e=2147483647&amp;v=beta&amp;t=pgFi6rhFs150TN5xgWezvs6tBThBp8e8_rhhK9oLb14","View Creative")</f>
        <v>View Creative</v>
      </c>
      <c r="L1181" s="4" t="s">
        <v>106</v>
      </c>
      <c r="M1181" s="4" t="s">
        <v>61</v>
      </c>
      <c r="O1181" s="4" t="s">
        <v>63</v>
      </c>
      <c r="P1181" s="4" t="s">
        <v>64</v>
      </c>
    </row>
    <row r="1182">
      <c r="A1182" s="4" t="s">
        <v>40</v>
      </c>
      <c r="B1182" s="4" t="s">
        <v>40</v>
      </c>
      <c r="C1182" s="4">
        <v>1180.0</v>
      </c>
      <c r="D1182" s="5" t="str">
        <f>HYPERLINK("https://www.linkedin.com/ad-library/detail/758325134","Open Ad")</f>
        <v>Open Ad</v>
      </c>
      <c r="E1182" s="4" t="s">
        <v>78</v>
      </c>
      <c r="F1182" s="4" t="s">
        <v>54</v>
      </c>
      <c r="G1182" s="4" t="s">
        <v>5684</v>
      </c>
      <c r="H1182" s="4" t="s">
        <v>49</v>
      </c>
      <c r="I1182" s="4" t="s">
        <v>661</v>
      </c>
      <c r="J1182" s="4" t="s">
        <v>78</v>
      </c>
      <c r="K1182" s="5" t="str">
        <f>HYPERLINK("https://media.licdn.com/dms/image/v2/D4E10AQF4ggeMK_TAWw/image-shrink_1280/B4EZjRB8XyHoAQ-/0/1755853606065/AIO-in-the-Wild-02png?e=2147483647&amp;v=beta&amp;t=BCdwRDROOzIVVOMDuSef9YisO2Yq9y7yy9g258cMayg","View Creative")</f>
        <v>View Creative</v>
      </c>
      <c r="L1182" s="4" t="s">
        <v>106</v>
      </c>
      <c r="M1182" s="4" t="s">
        <v>61</v>
      </c>
      <c r="O1182" s="4" t="s">
        <v>63</v>
      </c>
      <c r="P1182" s="4" t="s">
        <v>64</v>
      </c>
    </row>
    <row r="1183">
      <c r="A1183" s="4" t="s">
        <v>40</v>
      </c>
      <c r="B1183" s="4" t="s">
        <v>40</v>
      </c>
      <c r="C1183" s="4">
        <v>1181.0</v>
      </c>
      <c r="D1183" s="5" t="str">
        <f>HYPERLINK("https://www.linkedin.com/ad-library/detail/751045604","Open Ad")</f>
        <v>Open Ad</v>
      </c>
      <c r="E1183" s="4" t="s">
        <v>78</v>
      </c>
      <c r="F1183" s="4" t="s">
        <v>54</v>
      </c>
      <c r="G1183" s="4" t="s">
        <v>4818</v>
      </c>
      <c r="H1183" s="4" t="s">
        <v>49</v>
      </c>
      <c r="I1183" s="4" t="s">
        <v>661</v>
      </c>
      <c r="J1183" s="4" t="s">
        <v>78</v>
      </c>
      <c r="K1183" s="5" t="str">
        <f>HYPERLINK("https://media.licdn.com/dms/image/v2/D4E10AQG1kCKPklwrSg/image-shrink_1280/B4EZk4Cu1mGUAM-/0/1757581865596/NativeLeadGenLinkedInAssets1_1png?e=2147483647&amp;v=beta&amp;t=aH8vdb5b_rcCVHm8xHCUM1a-TW_EZuv36iffeHzlWmA","View Creative")</f>
        <v>View Creative</v>
      </c>
      <c r="L1183" s="4" t="s">
        <v>106</v>
      </c>
      <c r="M1183" s="4" t="s">
        <v>61</v>
      </c>
      <c r="O1183" s="4" t="s">
        <v>63</v>
      </c>
      <c r="P1183" s="4" t="s">
        <v>64</v>
      </c>
    </row>
    <row r="1184">
      <c r="A1184" s="4" t="s">
        <v>40</v>
      </c>
      <c r="B1184" s="4" t="s">
        <v>40</v>
      </c>
      <c r="C1184" s="4">
        <v>1182.0</v>
      </c>
      <c r="D1184" s="5" t="str">
        <f>HYPERLINK("https://www.linkedin.com/ad-library/detail/758702504","Open Ad")</f>
        <v>Open Ad</v>
      </c>
      <c r="E1184" s="4" t="s">
        <v>78</v>
      </c>
      <c r="F1184" s="4" t="s">
        <v>54</v>
      </c>
      <c r="G1184" s="4" t="s">
        <v>5258</v>
      </c>
      <c r="H1184" s="4" t="s">
        <v>49</v>
      </c>
      <c r="I1184" s="4" t="s">
        <v>661</v>
      </c>
      <c r="J1184" s="4" t="s">
        <v>78</v>
      </c>
      <c r="K1184" s="5" t="str">
        <f>HYPERLINK("https://media.licdn.com/dms/image/v2/D4E10AQFzVhwjBsprRQ/image-shrink_1280/B4EZlMioUdHoAQ-/0/1757925771282?e=2147483647&amp;v=beta&amp;t=0uBevmaEx3skyz-BmqlRDLQhUmkLlQtR0c__tpqIoEw","View Creative")</f>
        <v>View Creative</v>
      </c>
      <c r="L1184" s="4" t="s">
        <v>106</v>
      </c>
      <c r="M1184" s="4" t="s">
        <v>61</v>
      </c>
      <c r="O1184" s="4" t="s">
        <v>63</v>
      </c>
      <c r="P1184" s="4" t="s">
        <v>64</v>
      </c>
    </row>
    <row r="1185">
      <c r="A1185" s="4" t="s">
        <v>40</v>
      </c>
      <c r="B1185" s="4" t="s">
        <v>40</v>
      </c>
      <c r="C1185" s="4">
        <v>1183.0</v>
      </c>
      <c r="D1185" s="5" t="str">
        <f>HYPERLINK("https://www.linkedin.com/ad-library/detail/751115614","Open Ad")</f>
        <v>Open Ad</v>
      </c>
      <c r="E1185" s="4" t="s">
        <v>78</v>
      </c>
      <c r="F1185" s="4" t="s">
        <v>54</v>
      </c>
      <c r="G1185" s="4" t="s">
        <v>5684</v>
      </c>
      <c r="H1185" s="4" t="s">
        <v>49</v>
      </c>
      <c r="I1185" s="4" t="s">
        <v>661</v>
      </c>
      <c r="J1185" s="4" t="s">
        <v>78</v>
      </c>
      <c r="K1185" s="5" t="str">
        <f t="shared" ref="K1185:K1186" si="6">HYPERLINK("https://media.licdn.com/dms/image/v2/D4E10AQF4ggeMK_TAWw/image-shrink_1280/B4EZjRB8XyHoAQ-/0/1755853606065/AIO-in-the-Wild-02png?e=2147483647&amp;v=beta&amp;t=BCdwRDROOzIVVOMDuSef9YisO2Yq9y7yy9g258cMayg","View Creative")</f>
        <v>View Creative</v>
      </c>
      <c r="L1185" s="4" t="s">
        <v>106</v>
      </c>
      <c r="M1185" s="4" t="s">
        <v>61</v>
      </c>
      <c r="O1185" s="4" t="s">
        <v>63</v>
      </c>
      <c r="P1185" s="4" t="s">
        <v>64</v>
      </c>
    </row>
    <row r="1186">
      <c r="A1186" s="4" t="s">
        <v>40</v>
      </c>
      <c r="B1186" s="4" t="s">
        <v>40</v>
      </c>
      <c r="C1186" s="4">
        <v>1184.0</v>
      </c>
      <c r="D1186" s="5" t="str">
        <f>HYPERLINK("https://www.linkedin.com/ad-library/detail/758473374","Open Ad")</f>
        <v>Open Ad</v>
      </c>
      <c r="E1186" s="4" t="s">
        <v>78</v>
      </c>
      <c r="F1186" s="4" t="s">
        <v>54</v>
      </c>
      <c r="G1186" s="4" t="s">
        <v>2318</v>
      </c>
      <c r="H1186" s="4" t="s">
        <v>49</v>
      </c>
      <c r="I1186" s="4" t="s">
        <v>661</v>
      </c>
      <c r="J1186" s="4" t="s">
        <v>78</v>
      </c>
      <c r="K1186" s="5" t="str">
        <f t="shared" si="6"/>
        <v>View Creative</v>
      </c>
      <c r="L1186" s="4" t="s">
        <v>106</v>
      </c>
      <c r="M1186" s="4" t="s">
        <v>61</v>
      </c>
      <c r="O1186" s="4" t="s">
        <v>63</v>
      </c>
      <c r="P1186" s="4" t="s">
        <v>64</v>
      </c>
    </row>
    <row r="1187">
      <c r="A1187" s="4" t="s">
        <v>40</v>
      </c>
      <c r="B1187" s="4" t="s">
        <v>40</v>
      </c>
      <c r="C1187" s="4">
        <v>1185.0</v>
      </c>
      <c r="D1187" s="5" t="str">
        <f>HYPERLINK("https://www.linkedin.com/ad-library/detail/758453514","Open Ad")</f>
        <v>Open Ad</v>
      </c>
      <c r="E1187" s="4" t="s">
        <v>78</v>
      </c>
      <c r="F1187" s="4" t="s">
        <v>54</v>
      </c>
      <c r="G1187" s="4" t="s">
        <v>5348</v>
      </c>
      <c r="H1187" s="4" t="s">
        <v>49</v>
      </c>
      <c r="I1187" s="4" t="s">
        <v>661</v>
      </c>
      <c r="J1187" s="4" t="s">
        <v>78</v>
      </c>
      <c r="K1187" s="5" t="str">
        <f>HYPERLINK("https://media.licdn.com/dms/image/v2/D4E10AQEMvfwYpzHKSw/image-shrink_1080_1080/B4EZh6xK1lHEAs-/0/1754406368699?e=1789473600&amp;v=beta&amp;t=47Otvic-77W76kR4bYmK9KGrq2hRKznJlzVy8GpmhAA","View Creative")</f>
        <v>View Creative</v>
      </c>
      <c r="L1187" s="4" t="s">
        <v>106</v>
      </c>
      <c r="M1187" s="4" t="s">
        <v>61</v>
      </c>
      <c r="O1187" s="4" t="s">
        <v>63</v>
      </c>
      <c r="P1187" s="4" t="s">
        <v>64</v>
      </c>
    </row>
    <row r="1188">
      <c r="A1188" s="4" t="s">
        <v>40</v>
      </c>
      <c r="B1188" s="4" t="s">
        <v>40</v>
      </c>
      <c r="C1188" s="4">
        <v>1186.0</v>
      </c>
      <c r="D1188" s="5" t="str">
        <f>HYPERLINK("https://www.linkedin.com/ad-library/detail/758404004","Open Ad")</f>
        <v>Open Ad</v>
      </c>
      <c r="E1188" s="4" t="s">
        <v>78</v>
      </c>
      <c r="F1188" s="4" t="s">
        <v>54</v>
      </c>
      <c r="G1188" s="4" t="s">
        <v>5689</v>
      </c>
      <c r="H1188" s="4" t="s">
        <v>49</v>
      </c>
      <c r="I1188" s="4" t="s">
        <v>661</v>
      </c>
      <c r="J1188" s="4" t="s">
        <v>78</v>
      </c>
      <c r="K1188" s="5" t="str">
        <f t="shared" ref="K1188:K1189" si="7">HYPERLINK("https://media.licdn.com/dms/image/v2/D4E10AQF4ggeMK_TAWw/image-shrink_1280/B4EZjRB8XyHoAQ-/0/1755853606065/AIO-in-the-Wild-02png?e=2147483647&amp;v=beta&amp;t=BCdwRDROOzIVVOMDuSef9YisO2Yq9y7yy9g258cMayg","View Creative")</f>
        <v>View Creative</v>
      </c>
      <c r="L1188" s="4" t="s">
        <v>106</v>
      </c>
      <c r="M1188" s="4" t="s">
        <v>61</v>
      </c>
      <c r="O1188" s="4" t="s">
        <v>63</v>
      </c>
      <c r="P1188" s="4" t="s">
        <v>64</v>
      </c>
    </row>
    <row r="1189">
      <c r="A1189" s="4" t="s">
        <v>40</v>
      </c>
      <c r="B1189" s="4" t="s">
        <v>40</v>
      </c>
      <c r="C1189" s="4">
        <v>1187.0</v>
      </c>
      <c r="D1189" s="5" t="str">
        <f>HYPERLINK("https://www.linkedin.com/ad-library/detail/758214554","Open Ad")</f>
        <v>Open Ad</v>
      </c>
      <c r="E1189" s="4" t="s">
        <v>78</v>
      </c>
      <c r="F1189" s="4" t="s">
        <v>54</v>
      </c>
      <c r="G1189" s="4" t="s">
        <v>5689</v>
      </c>
      <c r="H1189" s="4" t="s">
        <v>49</v>
      </c>
      <c r="I1189" s="4" t="s">
        <v>661</v>
      </c>
      <c r="J1189" s="4" t="s">
        <v>78</v>
      </c>
      <c r="K1189" s="5" t="str">
        <f t="shared" si="7"/>
        <v>View Creative</v>
      </c>
      <c r="L1189" s="4" t="s">
        <v>106</v>
      </c>
      <c r="M1189" s="4" t="s">
        <v>61</v>
      </c>
      <c r="O1189" s="4" t="s">
        <v>63</v>
      </c>
      <c r="P1189" s="4" t="s">
        <v>64</v>
      </c>
    </row>
    <row r="1190">
      <c r="A1190" s="4" t="s">
        <v>40</v>
      </c>
      <c r="B1190" s="4" t="s">
        <v>40</v>
      </c>
      <c r="C1190" s="4">
        <v>1188.0</v>
      </c>
      <c r="D1190" s="5" t="str">
        <f>HYPERLINK("https://www.linkedin.com/ad-library/detail/758404034","Open Ad")</f>
        <v>Open Ad</v>
      </c>
      <c r="E1190" s="4" t="s">
        <v>78</v>
      </c>
      <c r="F1190" s="4" t="s">
        <v>54</v>
      </c>
      <c r="G1190" s="4" t="s">
        <v>5352</v>
      </c>
      <c r="H1190" s="4" t="s">
        <v>49</v>
      </c>
      <c r="I1190" s="4" t="s">
        <v>661</v>
      </c>
      <c r="J1190" s="4" t="s">
        <v>78</v>
      </c>
      <c r="K1190" s="5" t="str">
        <f>HYPERLINK("https://media.licdn.com/dms/image/v2/D4E10AQFBx4u-hDBS0Q/image-shrink_1080_1080/B4EZh66TusGYAo-/0/1754408764182?e=1789473600&amp;v=beta&amp;t=dvLByLhFpfBSh-Oa_cA7DmP4KoYPCtm5mjMJKzfTVy8","View Creative")</f>
        <v>View Creative</v>
      </c>
      <c r="L1190" s="4" t="s">
        <v>106</v>
      </c>
      <c r="M1190" s="4" t="s">
        <v>61</v>
      </c>
      <c r="O1190" s="4" t="s">
        <v>63</v>
      </c>
      <c r="P1190" s="4" t="s">
        <v>64</v>
      </c>
    </row>
    <row r="1191">
      <c r="A1191" s="4" t="s">
        <v>40</v>
      </c>
      <c r="B1191" s="4" t="s">
        <v>40</v>
      </c>
      <c r="C1191" s="4">
        <v>1189.0</v>
      </c>
      <c r="D1191" s="5" t="str">
        <f>HYPERLINK("https://www.linkedin.com/ad-library/detail/758343104","Open Ad")</f>
        <v>Open Ad</v>
      </c>
      <c r="E1191" s="4" t="s">
        <v>78</v>
      </c>
      <c r="F1191" s="4" t="s">
        <v>54</v>
      </c>
      <c r="G1191" s="4" t="s">
        <v>5692</v>
      </c>
      <c r="H1191" s="4" t="s">
        <v>49</v>
      </c>
      <c r="I1191" s="4" t="s">
        <v>661</v>
      </c>
      <c r="J1191" s="4" t="s">
        <v>78</v>
      </c>
      <c r="K1191" s="5" t="str">
        <f>HYPERLINK("https://media.licdn.com/dms/image/v2/D4E22AQErsxKofg9cCQ/feedshare-shrink_1280/B4EZka65jFIUAs-/0/1757093272416?e=2147483647&amp;v=beta&amp;t=3KYFlPnTgn8n1zb5l5oxazfX6Y6NUKcOCHs_Bhmki9s","View Creative")</f>
        <v>View Creative</v>
      </c>
      <c r="L1191" s="4" t="s">
        <v>106</v>
      </c>
      <c r="M1191" s="4" t="s">
        <v>61</v>
      </c>
      <c r="O1191" s="4" t="s">
        <v>63</v>
      </c>
      <c r="P1191" s="4" t="s">
        <v>64</v>
      </c>
    </row>
    <row r="1192">
      <c r="A1192" s="4" t="s">
        <v>40</v>
      </c>
      <c r="B1192" s="4" t="s">
        <v>40</v>
      </c>
      <c r="C1192" s="4">
        <v>1190.0</v>
      </c>
      <c r="D1192" s="5" t="str">
        <f>HYPERLINK("https://www.linkedin.com/ad-library/detail/751046884","Open Ad")</f>
        <v>Open Ad</v>
      </c>
      <c r="E1192" s="4" t="s">
        <v>78</v>
      </c>
      <c r="F1192" s="4" t="s">
        <v>54</v>
      </c>
      <c r="G1192" s="4" t="s">
        <v>5352</v>
      </c>
      <c r="H1192" s="4" t="s">
        <v>49</v>
      </c>
      <c r="I1192" s="4" t="s">
        <v>661</v>
      </c>
      <c r="J1192" s="4" t="s">
        <v>78</v>
      </c>
      <c r="K1192" s="5" t="str">
        <f>HYPERLINK("https://media.licdn.com/dms/image/v2/D4E10AQFBx4u-hDBS0Q/image-shrink_1080_1080/B4EZh66TusGYAo-/0/1754408764182?e=1789473600&amp;v=beta&amp;t=dvLByLhFpfBSh-Oa_cA7DmP4KoYPCtm5mjMJKzfTVy8","View Creative")</f>
        <v>View Creative</v>
      </c>
      <c r="L1192" s="4" t="s">
        <v>106</v>
      </c>
      <c r="M1192" s="4" t="s">
        <v>61</v>
      </c>
      <c r="O1192" s="4" t="s">
        <v>63</v>
      </c>
      <c r="P1192" s="4" t="s">
        <v>64</v>
      </c>
    </row>
    <row r="1193">
      <c r="A1193" s="4" t="s">
        <v>40</v>
      </c>
      <c r="B1193" s="4" t="s">
        <v>40</v>
      </c>
      <c r="C1193" s="4">
        <v>1191.0</v>
      </c>
      <c r="D1193" s="5" t="str">
        <f>HYPERLINK("https://www.linkedin.com/ad-library/detail/751066344","Open Ad")</f>
        <v>Open Ad</v>
      </c>
      <c r="E1193" s="4" t="s">
        <v>78</v>
      </c>
      <c r="F1193" s="4" t="s">
        <v>54</v>
      </c>
      <c r="G1193" s="4" t="s">
        <v>5469</v>
      </c>
      <c r="H1193" s="4" t="s">
        <v>49</v>
      </c>
      <c r="I1193" s="4" t="s">
        <v>661</v>
      </c>
      <c r="J1193" s="4" t="s">
        <v>78</v>
      </c>
      <c r="K1193" s="5" t="str">
        <f t="shared" ref="K1193:K1194" si="8">HYPERLINK("https://media.licdn.com/dms/image/v2/D4E10AQEOrgQKhSJ_rA/image-shrink_1280/B4EZkZPlFsIQAM-/0/1757065139485/AIOintheWildpng?e=2147483647&amp;v=beta&amp;t=2d8iHGNlbh7t57PbJ_ehp-7hS2R0apHdzJLGmAcmioI","View Creative")</f>
        <v>View Creative</v>
      </c>
      <c r="L1193" s="4" t="s">
        <v>106</v>
      </c>
      <c r="M1193" s="4" t="s">
        <v>61</v>
      </c>
      <c r="O1193" s="4" t="s">
        <v>63</v>
      </c>
      <c r="P1193" s="4" t="s">
        <v>64</v>
      </c>
    </row>
    <row r="1194">
      <c r="A1194" s="4" t="s">
        <v>40</v>
      </c>
      <c r="B1194" s="4" t="s">
        <v>40</v>
      </c>
      <c r="C1194" s="4">
        <v>1192.0</v>
      </c>
      <c r="D1194" s="5" t="str">
        <f>HYPERLINK("https://www.linkedin.com/ad-library/detail/751125784","Open Ad")</f>
        <v>Open Ad</v>
      </c>
      <c r="E1194" s="4" t="s">
        <v>78</v>
      </c>
      <c r="F1194" s="4" t="s">
        <v>54</v>
      </c>
      <c r="G1194" s="4" t="s">
        <v>5466</v>
      </c>
      <c r="H1194" s="4" t="s">
        <v>49</v>
      </c>
      <c r="I1194" s="4" t="s">
        <v>661</v>
      </c>
      <c r="J1194" s="4" t="s">
        <v>78</v>
      </c>
      <c r="K1194" s="5" t="str">
        <f t="shared" si="8"/>
        <v>View Creative</v>
      </c>
      <c r="L1194" s="4" t="s">
        <v>106</v>
      </c>
      <c r="M1194" s="4" t="s">
        <v>61</v>
      </c>
      <c r="O1194" s="4" t="s">
        <v>63</v>
      </c>
      <c r="P1194" s="4" t="s">
        <v>64</v>
      </c>
    </row>
    <row r="1195">
      <c r="A1195" s="4" t="s">
        <v>40</v>
      </c>
      <c r="B1195" s="4" t="s">
        <v>40</v>
      </c>
      <c r="C1195" s="4">
        <v>1193.0</v>
      </c>
      <c r="D1195" s="5" t="str">
        <f>HYPERLINK("https://www.linkedin.com/ad-library/detail/751105944","Open Ad")</f>
        <v>Open Ad</v>
      </c>
      <c r="E1195" s="4" t="s">
        <v>78</v>
      </c>
      <c r="F1195" s="4" t="s">
        <v>54</v>
      </c>
      <c r="G1195" s="4" t="s">
        <v>2405</v>
      </c>
      <c r="H1195" s="4" t="s">
        <v>49</v>
      </c>
      <c r="I1195" s="4" t="s">
        <v>661</v>
      </c>
      <c r="J1195" s="4" t="s">
        <v>78</v>
      </c>
      <c r="K1195" s="5" t="str">
        <f>HYPERLINK("https://media.licdn.com/dms/image/v2/D4E10AQF4ggeMK_TAWw/image-shrink_1280/B4EZjRB8XyHoAQ-/0/1755853606065/AIO-in-the-Wild-02png?e=2147483647&amp;v=beta&amp;t=BCdwRDROOzIVVOMDuSef9YisO2Yq9y7yy9g258cMayg","View Creative")</f>
        <v>View Creative</v>
      </c>
      <c r="L1195" s="4" t="s">
        <v>106</v>
      </c>
      <c r="M1195" s="4" t="s">
        <v>61</v>
      </c>
      <c r="O1195" s="4" t="s">
        <v>63</v>
      </c>
      <c r="P1195" s="4" t="s">
        <v>64</v>
      </c>
    </row>
    <row r="1196">
      <c r="A1196" s="4" t="s">
        <v>40</v>
      </c>
      <c r="B1196" s="4" t="s">
        <v>40</v>
      </c>
      <c r="C1196" s="4">
        <v>1194.0</v>
      </c>
      <c r="D1196" s="5" t="str">
        <f>HYPERLINK("https://www.linkedin.com/ad-library/detail/758750914","Open Ad")</f>
        <v>Open Ad</v>
      </c>
      <c r="E1196" s="4" t="s">
        <v>78</v>
      </c>
      <c r="F1196" s="4" t="s">
        <v>5257</v>
      </c>
      <c r="G1196" s="4" t="s">
        <v>5263</v>
      </c>
      <c r="H1196" s="4" t="s">
        <v>49</v>
      </c>
      <c r="I1196" s="4" t="s">
        <v>198</v>
      </c>
      <c r="J1196" s="4" t="s">
        <v>78</v>
      </c>
      <c r="K1196" s="5" t="str">
        <f>HYPERLINK("https://media.licdn.com/dms/image/v2/D4E10AQFpDt-46SuwLQ/image-shrink_1280/B4EZlMioVhKsAM-/0/1757925771685?e=2147483647&amp;v=beta&amp;t=bSIUJmG9GDd0CAnobvt-ErQG7j703gZDzkcWdmyiuns","View Creative")</f>
        <v>View Creative</v>
      </c>
      <c r="L1196" s="4" t="s">
        <v>60</v>
      </c>
      <c r="M1196" s="4" t="s">
        <v>61</v>
      </c>
      <c r="N1196" s="4" t="s">
        <v>5696</v>
      </c>
      <c r="O1196" s="4" t="s">
        <v>89</v>
      </c>
      <c r="P1196" s="4" t="s">
        <v>5697</v>
      </c>
    </row>
    <row r="1197">
      <c r="A1197" s="4" t="s">
        <v>40</v>
      </c>
      <c r="B1197" s="4" t="s">
        <v>40</v>
      </c>
      <c r="C1197" s="4">
        <v>1195.0</v>
      </c>
      <c r="D1197" s="5" t="str">
        <f>HYPERLINK("https://www.linkedin.com/ad-library/detail/751175244","Open Ad")</f>
        <v>Open Ad</v>
      </c>
      <c r="E1197" s="4" t="s">
        <v>78</v>
      </c>
      <c r="F1197" s="4" t="s">
        <v>54</v>
      </c>
      <c r="G1197" s="4" t="s">
        <v>5680</v>
      </c>
      <c r="H1197" s="4" t="s">
        <v>49</v>
      </c>
      <c r="I1197" s="4" t="s">
        <v>661</v>
      </c>
      <c r="J1197" s="4" t="s">
        <v>78</v>
      </c>
      <c r="K1197" s="5" t="str">
        <f>HYPERLINK("https://media.licdn.com/dms/image/v2/D4E10AQF4ggeMK_TAWw/image-shrink_1280/B4EZjRB8XyHoAQ-/0/1755853606065/AIO-in-the-Wild-02png?e=2147483647&amp;v=beta&amp;t=BCdwRDROOzIVVOMDuSef9YisO2Yq9y7yy9g258cMayg","View Creative")</f>
        <v>View Creative</v>
      </c>
      <c r="L1197" s="4" t="s">
        <v>106</v>
      </c>
      <c r="M1197" s="4" t="s">
        <v>61</v>
      </c>
      <c r="O1197" s="4" t="s">
        <v>63</v>
      </c>
      <c r="P1197" s="4" t="s">
        <v>64</v>
      </c>
    </row>
    <row r="1198">
      <c r="A1198" s="4" t="s">
        <v>40</v>
      </c>
      <c r="B1198" s="4" t="s">
        <v>40</v>
      </c>
      <c r="C1198" s="4">
        <v>1196.0</v>
      </c>
      <c r="D1198" s="5" t="str">
        <f>HYPERLINK("https://www.linkedin.com/ad-library/detail/758502054","Open Ad")</f>
        <v>Open Ad</v>
      </c>
      <c r="E1198" s="4" t="s">
        <v>78</v>
      </c>
      <c r="F1198" s="4" t="s">
        <v>54</v>
      </c>
      <c r="G1198" s="4" t="s">
        <v>5469</v>
      </c>
      <c r="H1198" s="4" t="s">
        <v>49</v>
      </c>
      <c r="I1198" s="4" t="s">
        <v>661</v>
      </c>
      <c r="J1198" s="4" t="s">
        <v>78</v>
      </c>
      <c r="K1198" s="5" t="str">
        <f>HYPERLINK("https://media.licdn.com/dms/image/v2/D4E10AQEOrgQKhSJ_rA/image-shrink_1280/B4EZkZPlFsIQAM-/0/1757065139485/AIOintheWildpng?e=2147483647&amp;v=beta&amp;t=2d8iHGNlbh7t57PbJ_ehp-7hS2R0apHdzJLGmAcmioI","View Creative")</f>
        <v>View Creative</v>
      </c>
      <c r="L1198" s="4" t="s">
        <v>106</v>
      </c>
      <c r="M1198" s="4" t="s">
        <v>61</v>
      </c>
      <c r="O1198" s="4" t="s">
        <v>63</v>
      </c>
      <c r="P1198" s="4" t="s">
        <v>64</v>
      </c>
    </row>
    <row r="1199">
      <c r="A1199" s="4" t="s">
        <v>40</v>
      </c>
      <c r="B1199" s="4" t="s">
        <v>40</v>
      </c>
      <c r="C1199" s="4">
        <v>1197.0</v>
      </c>
      <c r="D1199" s="5" t="str">
        <f>HYPERLINK("https://www.linkedin.com/ad-library/detail/758335084","Open Ad")</f>
        <v>Open Ad</v>
      </c>
      <c r="E1199" s="4" t="s">
        <v>78</v>
      </c>
      <c r="F1199" s="4" t="s">
        <v>54</v>
      </c>
      <c r="G1199" s="4" t="s">
        <v>2405</v>
      </c>
      <c r="H1199" s="4" t="s">
        <v>49</v>
      </c>
      <c r="I1199" s="4" t="s">
        <v>661</v>
      </c>
      <c r="J1199" s="4" t="s">
        <v>78</v>
      </c>
      <c r="K1199" s="5" t="str">
        <f>HYPERLINK("https://media.licdn.com/dms/image/v2/D4E10AQF4ggeMK_TAWw/image-shrink_1280/B4EZjRB8XyHoAQ-/0/1755853606065/AIO-in-the-Wild-02png?e=2147483647&amp;v=beta&amp;t=BCdwRDROOzIVVOMDuSef9YisO2Yq9y7yy9g258cMayg","View Creative")</f>
        <v>View Creative</v>
      </c>
      <c r="L1199" s="4" t="s">
        <v>106</v>
      </c>
      <c r="M1199" s="4" t="s">
        <v>61</v>
      </c>
      <c r="O1199" s="4" t="s">
        <v>63</v>
      </c>
      <c r="P1199" s="4" t="s">
        <v>64</v>
      </c>
    </row>
    <row r="1200">
      <c r="A1200" s="4" t="s">
        <v>40</v>
      </c>
      <c r="B1200" s="4" t="s">
        <v>40</v>
      </c>
      <c r="C1200" s="4">
        <v>1198.0</v>
      </c>
      <c r="D1200" s="5" t="str">
        <f>HYPERLINK("https://www.linkedin.com/ad-library/detail/751105874","Open Ad")</f>
        <v>Open Ad</v>
      </c>
      <c r="E1200" s="4" t="s">
        <v>78</v>
      </c>
      <c r="F1200" s="4" t="s">
        <v>54</v>
      </c>
      <c r="G1200" s="4" t="s">
        <v>5348</v>
      </c>
      <c r="H1200" s="4" t="s">
        <v>49</v>
      </c>
      <c r="I1200" s="4" t="s">
        <v>661</v>
      </c>
      <c r="J1200" s="4" t="s">
        <v>78</v>
      </c>
      <c r="K1200" s="5" t="str">
        <f>HYPERLINK("https://media.licdn.com/dms/image/v2/D4E10AQEMvfwYpzHKSw/image-shrink_1080_1080/B4EZh6xK1lHEAs-/0/1754406368699?e=1789473600&amp;v=beta&amp;t=47Otvic-77W76kR4bYmK9KGrq2hRKznJlzVy8GpmhAA","View Creative")</f>
        <v>View Creative</v>
      </c>
      <c r="L1200" s="4" t="s">
        <v>106</v>
      </c>
      <c r="M1200" s="4" t="s">
        <v>61</v>
      </c>
      <c r="O1200" s="4" t="s">
        <v>63</v>
      </c>
      <c r="P1200" s="4" t="s">
        <v>64</v>
      </c>
    </row>
    <row r="1201">
      <c r="A1201" s="4" t="s">
        <v>40</v>
      </c>
      <c r="B1201" s="4" t="s">
        <v>40</v>
      </c>
      <c r="C1201" s="4">
        <v>1199.0</v>
      </c>
      <c r="D1201" s="5" t="str">
        <f>HYPERLINK("https://www.linkedin.com/ad-library/detail/758750904","Open Ad")</f>
        <v>Open Ad</v>
      </c>
      <c r="E1201" s="4" t="s">
        <v>78</v>
      </c>
      <c r="F1201" s="4" t="s">
        <v>54</v>
      </c>
      <c r="G1201" s="4" t="s">
        <v>5258</v>
      </c>
      <c r="H1201" s="4" t="s">
        <v>49</v>
      </c>
      <c r="I1201" s="4" t="s">
        <v>661</v>
      </c>
      <c r="J1201" s="4" t="s">
        <v>78</v>
      </c>
      <c r="K1201" s="5" t="str">
        <f>HYPERLINK("https://media.licdn.com/dms/image/v2/D4E10AQERvUwgluB1Rw/image-shrink_1280/B4EZlMioU2IkAM-/0/1757925771574?e=2147483647&amp;v=beta&amp;t=ceDBf3GKx01YV1aeIXtexxii6DREwhsH6M-lrZdKI_c","View Creative")</f>
        <v>View Creative</v>
      </c>
      <c r="L1201" s="4" t="s">
        <v>106</v>
      </c>
      <c r="M1201" s="4" t="s">
        <v>61</v>
      </c>
      <c r="O1201" s="4" t="s">
        <v>63</v>
      </c>
      <c r="P1201" s="4" t="s">
        <v>64</v>
      </c>
    </row>
    <row r="1202">
      <c r="A1202" s="4" t="s">
        <v>40</v>
      </c>
      <c r="B1202" s="4" t="s">
        <v>40</v>
      </c>
      <c r="C1202" s="4">
        <v>1200.0</v>
      </c>
      <c r="D1202" s="5" t="str">
        <f>HYPERLINK("https://www.linkedin.com/ad-library/detail/758244884","Open Ad")</f>
        <v>Open Ad</v>
      </c>
      <c r="E1202" s="4" t="s">
        <v>78</v>
      </c>
      <c r="F1202" s="4" t="s">
        <v>54</v>
      </c>
      <c r="G1202" s="4" t="s">
        <v>2318</v>
      </c>
      <c r="H1202" s="4" t="s">
        <v>49</v>
      </c>
      <c r="I1202" s="4" t="s">
        <v>661</v>
      </c>
      <c r="J1202" s="4" t="s">
        <v>78</v>
      </c>
      <c r="K1202" s="5" t="str">
        <f>HYPERLINK("https://media.licdn.com/dms/image/v2/D4E10AQF4ggeMK_TAWw/image-shrink_1280/B4EZjRB8XyHoAQ-/0/1755853606065/AIO-in-the-Wild-02png?e=2147483647&amp;v=beta&amp;t=BCdwRDROOzIVVOMDuSef9YisO2Yq9y7yy9g258cMayg","View Creative")</f>
        <v>View Creative</v>
      </c>
      <c r="L1202" s="4" t="s">
        <v>106</v>
      </c>
      <c r="M1202" s="4" t="s">
        <v>61</v>
      </c>
      <c r="O1202" s="4" t="s">
        <v>63</v>
      </c>
      <c r="P1202" s="4" t="s">
        <v>64</v>
      </c>
    </row>
    <row r="1203">
      <c r="A1203" s="4" t="s">
        <v>40</v>
      </c>
      <c r="B1203" s="4" t="s">
        <v>40</v>
      </c>
      <c r="C1203" s="4">
        <v>1201.0</v>
      </c>
      <c r="D1203" s="5" t="str">
        <f>HYPERLINK("https://www.linkedin.com/ad-library/detail/758203844","Open Ad")</f>
        <v>Open Ad</v>
      </c>
      <c r="E1203" s="4" t="s">
        <v>78</v>
      </c>
      <c r="F1203" s="4" t="s">
        <v>54</v>
      </c>
      <c r="G1203" s="4" t="s">
        <v>5356</v>
      </c>
      <c r="H1203" s="4" t="s">
        <v>49</v>
      </c>
      <c r="I1203" s="4" t="s">
        <v>661</v>
      </c>
      <c r="J1203" s="4" t="s">
        <v>78</v>
      </c>
      <c r="K1203" s="5" t="str">
        <f>HYPERLINK("https://media.licdn.com/dms/image/v2/D4E10AQF0eatYKI3SeA/image-shrink_1280/B4EZk38UVqIMAM-/0/1757580184011/ProvenTacticspng?e=2147483647&amp;v=beta&amp;t=GPLWmyxbeiYw5LtsCepf0AN9Jga4gYFK7tz6pElLoFo","View Creative")</f>
        <v>View Creative</v>
      </c>
      <c r="L1203" s="4" t="s">
        <v>106</v>
      </c>
      <c r="M1203" s="4" t="s">
        <v>61</v>
      </c>
      <c r="O1203" s="4" t="s">
        <v>63</v>
      </c>
      <c r="P1203" s="4" t="s">
        <v>64</v>
      </c>
    </row>
    <row r="1204">
      <c r="A1204" s="4" t="s">
        <v>40</v>
      </c>
      <c r="B1204" s="4" t="s">
        <v>40</v>
      </c>
      <c r="C1204" s="4">
        <v>1202.0</v>
      </c>
      <c r="D1204" s="5" t="str">
        <f>HYPERLINK("https://www.linkedin.com/ad-library/detail/748063654","Open Ad")</f>
        <v>Open Ad</v>
      </c>
      <c r="E1204" s="4" t="s">
        <v>78</v>
      </c>
      <c r="F1204" s="4" t="s">
        <v>54</v>
      </c>
      <c r="G1204" s="4" t="s">
        <v>5258</v>
      </c>
      <c r="H1204" s="4" t="s">
        <v>49</v>
      </c>
      <c r="I1204" s="4" t="s">
        <v>661</v>
      </c>
      <c r="J1204" s="4" t="s">
        <v>78</v>
      </c>
      <c r="K1204" s="5" t="str">
        <f>HYPERLINK("https://media.licdn.com/dms/image/v2/D4E10AQHdJgf3mtrvVA/image-shrink_1280/B4EZka5FrEIsAM-/0/1757092798592?e=2147483647&amp;v=beta&amp;t=otyCUZ0uW4pTtBwQ_flJqkWoh0HiFwHvRzGYqemcnU8","View Creative")</f>
        <v>View Creative</v>
      </c>
      <c r="L1204" s="4" t="s">
        <v>106</v>
      </c>
      <c r="M1204" s="4" t="s">
        <v>61</v>
      </c>
      <c r="O1204" s="4" t="s">
        <v>63</v>
      </c>
      <c r="P1204" s="4" t="s">
        <v>64</v>
      </c>
    </row>
    <row r="1205">
      <c r="A1205" s="4" t="s">
        <v>40</v>
      </c>
      <c r="B1205" s="4" t="s">
        <v>40</v>
      </c>
      <c r="C1205" s="4">
        <v>1203.0</v>
      </c>
      <c r="D1205" s="5" t="str">
        <f>HYPERLINK("https://www.linkedin.com/ad-library/detail/748063674","Open Ad")</f>
        <v>Open Ad</v>
      </c>
      <c r="E1205" s="4" t="s">
        <v>78</v>
      </c>
      <c r="F1205" s="4" t="s">
        <v>54</v>
      </c>
      <c r="G1205" s="4" t="s">
        <v>5263</v>
      </c>
      <c r="H1205" s="4" t="s">
        <v>49</v>
      </c>
      <c r="I1205" s="4" t="s">
        <v>661</v>
      </c>
      <c r="J1205" s="4" t="s">
        <v>78</v>
      </c>
      <c r="K1205" s="5" t="str">
        <f>HYPERLINK("https://media.licdn.com/dms/image/v2/D4E10AQH-cCpWQ0yqyQ/image-shrink_1280/B4EZka5GXuGwAM-/0/1757092800589?e=2147483647&amp;v=beta&amp;t=ta0_mYCs0zvy41dfnaUSwcScbyC49zmV8rn4ktzalbI","View Creative")</f>
        <v>View Creative</v>
      </c>
      <c r="L1205" s="4" t="s">
        <v>106</v>
      </c>
      <c r="M1205" s="4" t="s">
        <v>61</v>
      </c>
      <c r="O1205" s="4" t="s">
        <v>63</v>
      </c>
      <c r="P1205" s="4" t="s">
        <v>64</v>
      </c>
    </row>
    <row r="1206">
      <c r="A1206" s="4" t="s">
        <v>40</v>
      </c>
      <c r="B1206" s="4" t="s">
        <v>40</v>
      </c>
      <c r="C1206" s="4">
        <v>1204.0</v>
      </c>
      <c r="D1206" s="5" t="str">
        <f>HYPERLINK("https://www.linkedin.com/ad-library/detail/748063664","Open Ad")</f>
        <v>Open Ad</v>
      </c>
      <c r="E1206" s="4" t="s">
        <v>78</v>
      </c>
      <c r="F1206" s="4" t="s">
        <v>54</v>
      </c>
      <c r="G1206" s="4" t="s">
        <v>5263</v>
      </c>
      <c r="H1206" s="4" t="s">
        <v>49</v>
      </c>
      <c r="I1206" s="4" t="s">
        <v>661</v>
      </c>
      <c r="J1206" s="4" t="s">
        <v>78</v>
      </c>
      <c r="K1206" s="5" t="str">
        <f>HYPERLINK("https://media.licdn.com/dms/image/v2/D4E10AQFETr31LG9K3Q/image-shrink_1280/B4EZka5GDHIUAY-/0/1757092800098?e=2147483647&amp;v=beta&amp;t=Whtr5can2MWI4asS1FHLJ4X6fmB3nmRicbOkiaCWFLM","View Creative")</f>
        <v>View Creative</v>
      </c>
      <c r="L1206" s="4" t="s">
        <v>106</v>
      </c>
      <c r="M1206" s="4" t="s">
        <v>61</v>
      </c>
      <c r="O1206" s="4" t="s">
        <v>63</v>
      </c>
      <c r="P1206" s="4" t="s">
        <v>64</v>
      </c>
    </row>
    <row r="1207">
      <c r="A1207" s="4" t="s">
        <v>40</v>
      </c>
      <c r="B1207" s="4" t="s">
        <v>40</v>
      </c>
      <c r="C1207" s="4">
        <v>1205.0</v>
      </c>
      <c r="D1207" s="5" t="str">
        <f>HYPERLINK("https://www.linkedin.com/ad-library/detail/758291564","Open Ad")</f>
        <v>Open Ad</v>
      </c>
      <c r="E1207" s="4" t="s">
        <v>78</v>
      </c>
      <c r="F1207" s="4" t="s">
        <v>54</v>
      </c>
      <c r="G1207" s="4" t="s">
        <v>5396</v>
      </c>
      <c r="H1207" s="4" t="s">
        <v>49</v>
      </c>
      <c r="I1207" s="4" t="s">
        <v>661</v>
      </c>
      <c r="J1207" s="4" t="s">
        <v>78</v>
      </c>
      <c r="K1207" s="5" t="str">
        <f t="shared" ref="K1207:K1208" si="9">HYPERLINK("https://media.licdn.com/dms/image/v2/D4E10AQH5gEL4u93U3g/image-shrink_1280/B4EZk4BIlVKoAE-/0/1757581445574?e=1789473600&amp;v=beta&amp;t=Z_I-5cBzy8oU-jXpFp0O1s_peFU9_Y5QmBsjfJZC8Pk","View Creative")</f>
        <v>View Creative</v>
      </c>
      <c r="L1207" s="4" t="s">
        <v>106</v>
      </c>
      <c r="M1207" s="4" t="s">
        <v>61</v>
      </c>
      <c r="O1207" s="4" t="s">
        <v>63</v>
      </c>
      <c r="P1207" s="4" t="s">
        <v>64</v>
      </c>
    </row>
    <row r="1208">
      <c r="A1208" s="4" t="s">
        <v>40</v>
      </c>
      <c r="B1208" s="4" t="s">
        <v>40</v>
      </c>
      <c r="C1208" s="4">
        <v>1206.0</v>
      </c>
      <c r="D1208" s="5" t="str">
        <f>HYPERLINK("https://www.linkedin.com/ad-library/detail/758213284","Open Ad")</f>
        <v>Open Ad</v>
      </c>
      <c r="E1208" s="4" t="s">
        <v>78</v>
      </c>
      <c r="F1208" s="4" t="s">
        <v>54</v>
      </c>
      <c r="G1208" s="4" t="s">
        <v>5396</v>
      </c>
      <c r="H1208" s="4" t="s">
        <v>49</v>
      </c>
      <c r="I1208" s="4" t="s">
        <v>661</v>
      </c>
      <c r="J1208" s="4" t="s">
        <v>78</v>
      </c>
      <c r="K1208" s="5" t="str">
        <f t="shared" si="9"/>
        <v>View Creative</v>
      </c>
      <c r="L1208" s="4" t="s">
        <v>106</v>
      </c>
      <c r="M1208" s="4" t="s">
        <v>61</v>
      </c>
      <c r="O1208" s="4" t="s">
        <v>63</v>
      </c>
      <c r="P1208" s="4" t="s">
        <v>64</v>
      </c>
    </row>
    <row r="1209">
      <c r="A1209" s="4" t="s">
        <v>40</v>
      </c>
      <c r="B1209" s="4" t="s">
        <v>40</v>
      </c>
      <c r="C1209" s="4">
        <v>1207.0</v>
      </c>
      <c r="D1209" s="5" t="str">
        <f>HYPERLINK("https://www.linkedin.com/ad-library/detail/747975174","Open Ad")</f>
        <v>Open Ad</v>
      </c>
      <c r="E1209" s="4" t="s">
        <v>78</v>
      </c>
      <c r="F1209" s="4" t="s">
        <v>54</v>
      </c>
      <c r="G1209" s="4" t="s">
        <v>5263</v>
      </c>
      <c r="H1209" s="4" t="s">
        <v>49</v>
      </c>
      <c r="I1209" s="4" t="s">
        <v>661</v>
      </c>
      <c r="J1209" s="4" t="s">
        <v>78</v>
      </c>
      <c r="K1209" s="5" t="str">
        <f>HYPERLINK("https://media.licdn.com/dms/image/v2/D4E10AQGHb2odLydkfA/image-shrink_1280/B4EZka5F8eIUAU-/0/1757092798974?e=2147483647&amp;v=beta&amp;t=byVq1XZN3d5RPw3SML71bSr7fBtaKyd8UxYj8BOcdXw","View Creative")</f>
        <v>View Creative</v>
      </c>
      <c r="L1209" s="4" t="s">
        <v>106</v>
      </c>
      <c r="M1209" s="4" t="s">
        <v>61</v>
      </c>
      <c r="O1209" s="4" t="s">
        <v>63</v>
      </c>
      <c r="P1209" s="4" t="s">
        <v>64</v>
      </c>
    </row>
    <row r="1210">
      <c r="A1210" s="4" t="s">
        <v>40</v>
      </c>
      <c r="B1210" s="4" t="s">
        <v>40</v>
      </c>
      <c r="C1210" s="4">
        <v>1208.0</v>
      </c>
      <c r="D1210" s="5" t="str">
        <f>HYPERLINK("https://www.linkedin.com/ad-library/detail/758213254","Open Ad")</f>
        <v>Open Ad</v>
      </c>
      <c r="E1210" s="4" t="s">
        <v>78</v>
      </c>
      <c r="F1210" s="4" t="s">
        <v>54</v>
      </c>
      <c r="G1210" s="4" t="s">
        <v>5705</v>
      </c>
      <c r="H1210" s="4" t="s">
        <v>49</v>
      </c>
      <c r="I1210" s="4" t="s">
        <v>661</v>
      </c>
      <c r="J1210" s="4" t="s">
        <v>78</v>
      </c>
      <c r="K1210" s="5" t="str">
        <f>HYPERLINK("https://media.licdn.com/dms/image/v2/D4E10AQEgYXlW0P7JCw/image-shrink_1280/B4EZk38nswIkAQ-/0/1757580263241/instantwinningpng?e=2147483647&amp;v=beta&amp;t=R7lHwYhHhgSXTU7pq7-xt9X8hgQzU1pqNf7A_0eHitg","View Creative")</f>
        <v>View Creative</v>
      </c>
      <c r="L1210" s="4" t="s">
        <v>106</v>
      </c>
      <c r="M1210" s="4" t="s">
        <v>61</v>
      </c>
      <c r="O1210" s="4" t="s">
        <v>63</v>
      </c>
      <c r="P1210" s="4" t="s">
        <v>64</v>
      </c>
    </row>
    <row r="1211">
      <c r="A1211" s="4" t="s">
        <v>40</v>
      </c>
      <c r="B1211" s="4" t="s">
        <v>40</v>
      </c>
      <c r="C1211" s="4">
        <v>1209.0</v>
      </c>
      <c r="D1211" s="5" t="str">
        <f>HYPERLINK("https://www.linkedin.com/ad-library/detail/747925804","Open Ad")</f>
        <v>Open Ad</v>
      </c>
      <c r="E1211" s="4" t="s">
        <v>78</v>
      </c>
      <c r="F1211" s="4" t="s">
        <v>54</v>
      </c>
      <c r="G1211" s="4" t="s">
        <v>5258</v>
      </c>
      <c r="H1211" s="4" t="s">
        <v>49</v>
      </c>
      <c r="I1211" s="4" t="s">
        <v>661</v>
      </c>
      <c r="J1211" s="4" t="s">
        <v>78</v>
      </c>
      <c r="K1211" s="5" t="str">
        <f>HYPERLINK("https://media.licdn.com/dms/image/v2/D4E10AQHd2hetg14L3A/image-shrink_1280/B4EZka5GHmIMAQ-/0/1757092799786?e=2147483647&amp;v=beta&amp;t=evgxle94UA1SLEMVqo1TM_u-xMB1OeGMMMt8hd8hOYg","View Creative")</f>
        <v>View Creative</v>
      </c>
      <c r="L1211" s="4" t="s">
        <v>106</v>
      </c>
      <c r="M1211" s="4" t="s">
        <v>61</v>
      </c>
      <c r="O1211" s="4" t="s">
        <v>63</v>
      </c>
      <c r="P1211" s="4" t="s">
        <v>64</v>
      </c>
    </row>
    <row r="1212">
      <c r="A1212" s="4" t="s">
        <v>40</v>
      </c>
      <c r="B1212" s="4" t="s">
        <v>40</v>
      </c>
      <c r="C1212" s="4">
        <v>1210.0</v>
      </c>
      <c r="D1212" s="5" t="str">
        <f>HYPERLINK("https://www.linkedin.com/ad-library/detail/751114204","Open Ad")</f>
        <v>Open Ad</v>
      </c>
      <c r="E1212" s="4" t="s">
        <v>78</v>
      </c>
      <c r="F1212" s="4" t="s">
        <v>54</v>
      </c>
      <c r="G1212" s="4" t="s">
        <v>5356</v>
      </c>
      <c r="H1212" s="4" t="s">
        <v>49</v>
      </c>
      <c r="I1212" s="4" t="s">
        <v>661</v>
      </c>
      <c r="J1212" s="4" t="s">
        <v>78</v>
      </c>
      <c r="K1212" s="5" t="str">
        <f t="shared" ref="K1212:K1213" si="10">HYPERLINK("https://media.licdn.com/dms/image/v2/D4E10AQH5gEL4u93U3g/image-shrink_1280/B4EZk4BIlVKoAE-/0/1757581445574?e=1789473600&amp;v=beta&amp;t=Z_I-5cBzy8oU-jXpFp0O1s_peFU9_Y5QmBsjfJZC8Pk","View Creative")</f>
        <v>View Creative</v>
      </c>
      <c r="L1212" s="4" t="s">
        <v>106</v>
      </c>
      <c r="M1212" s="4" t="s">
        <v>61</v>
      </c>
      <c r="O1212" s="4" t="s">
        <v>63</v>
      </c>
      <c r="P1212" s="4" t="s">
        <v>64</v>
      </c>
    </row>
    <row r="1213">
      <c r="A1213" s="4" t="s">
        <v>40</v>
      </c>
      <c r="B1213" s="4" t="s">
        <v>40</v>
      </c>
      <c r="C1213" s="4">
        <v>1211.0</v>
      </c>
      <c r="D1213" s="5" t="str">
        <f>HYPERLINK("https://www.linkedin.com/ad-library/detail/758291544","Open Ad")</f>
        <v>Open Ad</v>
      </c>
      <c r="E1213" s="4" t="s">
        <v>78</v>
      </c>
      <c r="F1213" s="4" t="s">
        <v>54</v>
      </c>
      <c r="G1213" s="4" t="s">
        <v>5356</v>
      </c>
      <c r="H1213" s="4" t="s">
        <v>49</v>
      </c>
      <c r="I1213" s="4" t="s">
        <v>661</v>
      </c>
      <c r="J1213" s="4" t="s">
        <v>78</v>
      </c>
      <c r="K1213" s="5" t="str">
        <f t="shared" si="10"/>
        <v>View Creative</v>
      </c>
      <c r="L1213" s="4" t="s">
        <v>106</v>
      </c>
      <c r="M1213" s="4" t="s">
        <v>61</v>
      </c>
      <c r="O1213" s="4" t="s">
        <v>63</v>
      </c>
      <c r="P1213" s="4" t="s">
        <v>64</v>
      </c>
    </row>
    <row r="1214">
      <c r="A1214" s="4" t="s">
        <v>40</v>
      </c>
      <c r="B1214" s="4" t="s">
        <v>40</v>
      </c>
      <c r="C1214" s="4">
        <v>1212.0</v>
      </c>
      <c r="D1214" s="5" t="str">
        <f>HYPERLINK("https://www.linkedin.com/ad-library/detail/758291434","Open Ad")</f>
        <v>Open Ad</v>
      </c>
      <c r="E1214" s="4" t="s">
        <v>78</v>
      </c>
      <c r="F1214" s="4" t="s">
        <v>54</v>
      </c>
      <c r="G1214" s="4" t="s">
        <v>5705</v>
      </c>
      <c r="H1214" s="4" t="s">
        <v>49</v>
      </c>
      <c r="I1214" s="4" t="s">
        <v>661</v>
      </c>
      <c r="J1214" s="4" t="s">
        <v>78</v>
      </c>
      <c r="K1214" s="5" t="str">
        <f>HYPERLINK("https://media.licdn.com/dms/image/v2/D4E10AQEgYXlW0P7JCw/image-shrink_1280/B4EZk38nswIkAQ-/0/1757580263241/instantwinningpng?e=2147483647&amp;v=beta&amp;t=R7lHwYhHhgSXTU7pq7-xt9X8hgQzU1pqNf7A_0eHitg","View Creative")</f>
        <v>View Creative</v>
      </c>
      <c r="L1214" s="4" t="s">
        <v>106</v>
      </c>
      <c r="M1214" s="4" t="s">
        <v>61</v>
      </c>
      <c r="O1214" s="4" t="s">
        <v>63</v>
      </c>
      <c r="P1214" s="4" t="s">
        <v>64</v>
      </c>
    </row>
    <row r="1215">
      <c r="A1215" s="4" t="s">
        <v>40</v>
      </c>
      <c r="B1215" s="4" t="s">
        <v>40</v>
      </c>
      <c r="C1215" s="4">
        <v>1213.0</v>
      </c>
      <c r="D1215" s="5" t="str">
        <f>HYPERLINK("https://www.linkedin.com/ad-library/detail/751075364","Open Ad")</f>
        <v>Open Ad</v>
      </c>
      <c r="E1215" s="4" t="s">
        <v>78</v>
      </c>
      <c r="F1215" s="4" t="s">
        <v>54</v>
      </c>
      <c r="G1215" s="4" t="s">
        <v>5396</v>
      </c>
      <c r="H1215" s="4" t="s">
        <v>49</v>
      </c>
      <c r="I1215" s="4" t="s">
        <v>661</v>
      </c>
      <c r="J1215" s="4" t="s">
        <v>78</v>
      </c>
      <c r="K1215" s="5" t="str">
        <f t="shared" ref="K1215:K1216" si="11">HYPERLINK("https://media.licdn.com/dms/image/v2/D4E10AQGhpSDOYVJoow/image-shrink_1280/B4EZk3752tKwAM-/0/1757580075766/Definitiveblueprintpng?e=2147483647&amp;v=beta&amp;t=3p5cUi2kSkpx0UttLNNjc5RHchFjelyM8kJg4KA0T2Q","View Creative")</f>
        <v>View Creative</v>
      </c>
      <c r="L1215" s="4" t="s">
        <v>106</v>
      </c>
      <c r="M1215" s="4" t="s">
        <v>61</v>
      </c>
      <c r="O1215" s="4" t="s">
        <v>63</v>
      </c>
      <c r="P1215" s="4" t="s">
        <v>64</v>
      </c>
    </row>
    <row r="1216">
      <c r="A1216" s="4" t="s">
        <v>40</v>
      </c>
      <c r="B1216" s="4" t="s">
        <v>40</v>
      </c>
      <c r="C1216" s="4">
        <v>1214.0</v>
      </c>
      <c r="D1216" s="5" t="str">
        <f>HYPERLINK("https://www.linkedin.com/ad-library/detail/758213234","Open Ad")</f>
        <v>Open Ad</v>
      </c>
      <c r="E1216" s="4" t="s">
        <v>78</v>
      </c>
      <c r="F1216" s="4" t="s">
        <v>54</v>
      </c>
      <c r="G1216" s="4" t="s">
        <v>5396</v>
      </c>
      <c r="H1216" s="4" t="s">
        <v>49</v>
      </c>
      <c r="I1216" s="4" t="s">
        <v>661</v>
      </c>
      <c r="J1216" s="4" t="s">
        <v>78</v>
      </c>
      <c r="K1216" s="5" t="str">
        <f t="shared" si="11"/>
        <v>View Creative</v>
      </c>
      <c r="L1216" s="4" t="s">
        <v>106</v>
      </c>
      <c r="M1216" s="4" t="s">
        <v>61</v>
      </c>
      <c r="O1216" s="4" t="s">
        <v>63</v>
      </c>
      <c r="P1216" s="4" t="s">
        <v>64</v>
      </c>
    </row>
    <row r="1217">
      <c r="A1217" s="4" t="s">
        <v>40</v>
      </c>
      <c r="B1217" s="4" t="s">
        <v>40</v>
      </c>
      <c r="C1217" s="4">
        <v>1215.0</v>
      </c>
      <c r="D1217" s="5" t="str">
        <f>HYPERLINK("https://www.linkedin.com/ad-library/detail/747965064","Open Ad")</f>
        <v>Open Ad</v>
      </c>
      <c r="E1217" s="4" t="s">
        <v>78</v>
      </c>
      <c r="F1217" s="4" t="s">
        <v>54</v>
      </c>
      <c r="G1217" s="4" t="s">
        <v>5263</v>
      </c>
      <c r="H1217" s="4" t="s">
        <v>49</v>
      </c>
      <c r="I1217" s="4" t="s">
        <v>661</v>
      </c>
      <c r="J1217" s="4" t="s">
        <v>78</v>
      </c>
      <c r="K1217" s="5" t="str">
        <f>HYPERLINK("https://media.licdn.com/dms/image/v2/D4E10AQGRNeRnxWIh2w/image-shrink_1280/B4EZka5F9EGwAM-/0/1757092799092?e=2147483647&amp;v=beta&amp;t=NBAJnzvtsXfIAFW-UMg0Mz1ZGLQDudRgft9VA_76WXI","View Creative")</f>
        <v>View Creative</v>
      </c>
      <c r="L1217" s="4" t="s">
        <v>106</v>
      </c>
      <c r="M1217" s="4" t="s">
        <v>61</v>
      </c>
      <c r="O1217" s="4" t="s">
        <v>63</v>
      </c>
      <c r="P1217" s="4" t="s">
        <v>64</v>
      </c>
    </row>
    <row r="1218">
      <c r="A1218" s="4" t="s">
        <v>40</v>
      </c>
      <c r="B1218" s="4" t="s">
        <v>40</v>
      </c>
      <c r="C1218" s="4">
        <v>1216.0</v>
      </c>
      <c r="D1218" s="5" t="str">
        <f>HYPERLINK("https://www.linkedin.com/ad-library/detail/751134164","Open Ad")</f>
        <v>Open Ad</v>
      </c>
      <c r="E1218" s="4" t="s">
        <v>78</v>
      </c>
      <c r="F1218" s="4" t="s">
        <v>54</v>
      </c>
      <c r="G1218" s="4" t="s">
        <v>5396</v>
      </c>
      <c r="H1218" s="4" t="s">
        <v>49</v>
      </c>
      <c r="I1218" s="4" t="s">
        <v>661</v>
      </c>
      <c r="J1218" s="4" t="s">
        <v>78</v>
      </c>
      <c r="K1218" s="5" t="str">
        <f>HYPERLINK("https://media.licdn.com/dms/image/v2/D4E10AQGhpSDOYVJoow/image-shrink_1280/B4EZk3752tKwAM-/0/1757580075766/Definitiveblueprintpng?e=2147483647&amp;v=beta&amp;t=3p5cUi2kSkpx0UttLNNjc5RHchFjelyM8kJg4KA0T2Q","View Creative")</f>
        <v>View Creative</v>
      </c>
      <c r="L1218" s="4" t="s">
        <v>106</v>
      </c>
      <c r="M1218" s="4" t="s">
        <v>61</v>
      </c>
      <c r="O1218" s="4" t="s">
        <v>63</v>
      </c>
      <c r="P1218" s="4" t="s">
        <v>64</v>
      </c>
    </row>
    <row r="1219">
      <c r="A1219" s="4" t="s">
        <v>40</v>
      </c>
      <c r="B1219" s="4" t="s">
        <v>40</v>
      </c>
      <c r="C1219" s="4">
        <v>1217.0</v>
      </c>
      <c r="D1219" s="5" t="str">
        <f>HYPERLINK("https://www.linkedin.com/ad-library/detail/747995094","Open Ad")</f>
        <v>Open Ad</v>
      </c>
      <c r="E1219" s="4" t="s">
        <v>78</v>
      </c>
      <c r="F1219" s="4" t="s">
        <v>54</v>
      </c>
      <c r="G1219" s="4" t="s">
        <v>5263</v>
      </c>
      <c r="H1219" s="4" t="s">
        <v>49</v>
      </c>
      <c r="I1219" s="4" t="s">
        <v>661</v>
      </c>
      <c r="J1219" s="4" t="s">
        <v>78</v>
      </c>
      <c r="K1219" s="5" t="str">
        <f>HYPERLINK("https://media.licdn.com/dms/image/v2/D4E10AQHTkV102U8FDg/image-shrink_1280/B4EZka5GPKGYAM-/0/1757092800039?e=2147483647&amp;v=beta&amp;t=ZVslvMeSYjrj6pWt9mGvMb_7XcLVUCjhGWQd-KO6cXc","View Creative")</f>
        <v>View Creative</v>
      </c>
      <c r="L1219" s="4" t="s">
        <v>106</v>
      </c>
      <c r="M1219" s="4" t="s">
        <v>61</v>
      </c>
      <c r="O1219" s="4" t="s">
        <v>63</v>
      </c>
      <c r="P1219" s="4" t="s">
        <v>64</v>
      </c>
    </row>
    <row r="1220">
      <c r="A1220" s="4" t="s">
        <v>40</v>
      </c>
      <c r="B1220" s="4" t="s">
        <v>40</v>
      </c>
      <c r="C1220" s="4">
        <v>1218.0</v>
      </c>
      <c r="D1220" s="5" t="str">
        <f>HYPERLINK("https://www.linkedin.com/ad-library/detail/747985284","Open Ad")</f>
        <v>Open Ad</v>
      </c>
      <c r="E1220" s="4" t="s">
        <v>78</v>
      </c>
      <c r="F1220" s="4" t="s">
        <v>54</v>
      </c>
      <c r="G1220" s="4" t="s">
        <v>5258</v>
      </c>
      <c r="H1220" s="4" t="s">
        <v>49</v>
      </c>
      <c r="I1220" s="4" t="s">
        <v>661</v>
      </c>
      <c r="J1220" s="4" t="s">
        <v>78</v>
      </c>
      <c r="K1220" s="5" t="str">
        <f>HYPERLINK("https://media.licdn.com/dms/image/v2/D4E10AQETiAKJXzuA8Q/image-shrink_1280/B4EZka5F6iGYAM-/0/1757092799007?e=2147483647&amp;v=beta&amp;t=abA4sGp-ebOxgxGK3T1gwQyW3nQvz2StF6nvQLVztGk","View Creative")</f>
        <v>View Creative</v>
      </c>
      <c r="L1220" s="4" t="s">
        <v>106</v>
      </c>
      <c r="M1220" s="4" t="s">
        <v>61</v>
      </c>
      <c r="O1220" s="4" t="s">
        <v>63</v>
      </c>
      <c r="P1220" s="4" t="s">
        <v>64</v>
      </c>
    </row>
    <row r="1221">
      <c r="A1221" s="4" t="s">
        <v>40</v>
      </c>
      <c r="B1221" s="4" t="s">
        <v>40</v>
      </c>
      <c r="C1221" s="4">
        <v>1219.0</v>
      </c>
      <c r="D1221" s="5" t="str">
        <f>HYPERLINK("https://www.linkedin.com/ad-library/detail/751104614","Open Ad")</f>
        <v>Open Ad</v>
      </c>
      <c r="E1221" s="4" t="s">
        <v>78</v>
      </c>
      <c r="F1221" s="4" t="s">
        <v>54</v>
      </c>
      <c r="G1221" s="4" t="s">
        <v>5396</v>
      </c>
      <c r="H1221" s="4" t="s">
        <v>49</v>
      </c>
      <c r="I1221" s="4" t="s">
        <v>661</v>
      </c>
      <c r="J1221" s="4" t="s">
        <v>78</v>
      </c>
      <c r="K1221" s="5" t="str">
        <f>HYPERLINK("https://media.licdn.com/dms/image/v2/D4E10AQH5gEL4u93U3g/image-shrink_1280/B4EZk4BIlVKoAE-/0/1757581445574?e=1789473600&amp;v=beta&amp;t=Z_I-5cBzy8oU-jXpFp0O1s_peFU9_Y5QmBsjfJZC8Pk","View Creative")</f>
        <v>View Creative</v>
      </c>
      <c r="L1221" s="4" t="s">
        <v>106</v>
      </c>
      <c r="M1221" s="4" t="s">
        <v>61</v>
      </c>
      <c r="O1221" s="4" t="s">
        <v>63</v>
      </c>
      <c r="P1221" s="4" t="s">
        <v>64</v>
      </c>
    </row>
    <row r="1222">
      <c r="A1222" s="4" t="s">
        <v>40</v>
      </c>
      <c r="B1222" s="4" t="s">
        <v>40</v>
      </c>
      <c r="C1222" s="4">
        <v>1220.0</v>
      </c>
      <c r="D1222" s="5" t="str">
        <f>HYPERLINK("https://www.linkedin.com/ad-library/detail/758243584","Open Ad")</f>
        <v>Open Ad</v>
      </c>
      <c r="E1222" s="4" t="s">
        <v>78</v>
      </c>
      <c r="F1222" s="4" t="s">
        <v>54</v>
      </c>
      <c r="G1222" s="4" t="s">
        <v>4818</v>
      </c>
      <c r="H1222" s="4" t="s">
        <v>49</v>
      </c>
      <c r="I1222" s="4" t="s">
        <v>661</v>
      </c>
      <c r="J1222" s="4" t="s">
        <v>78</v>
      </c>
      <c r="K1222" s="5" t="str">
        <f>HYPERLINK("https://media.licdn.com/dms/image/v2/D4E10AQG1kCKPklwrSg/image-shrink_1280/B4EZk4Cu1mGUAM-/0/1757581865596/NativeLeadGenLinkedInAssets1_1png?e=2147483647&amp;v=beta&amp;t=aH8vdb5b_rcCVHm8xHCUM1a-TW_EZuv36iffeHzlWmA","View Creative")</f>
        <v>View Creative</v>
      </c>
      <c r="L1222" s="4" t="s">
        <v>106</v>
      </c>
      <c r="M1222" s="4" t="s">
        <v>61</v>
      </c>
      <c r="O1222" s="4" t="s">
        <v>63</v>
      </c>
      <c r="P1222" s="4" t="s">
        <v>64</v>
      </c>
    </row>
    <row r="1223">
      <c r="A1223" s="4" t="s">
        <v>40</v>
      </c>
      <c r="B1223" s="4" t="s">
        <v>40</v>
      </c>
      <c r="C1223" s="4">
        <v>1221.0</v>
      </c>
      <c r="D1223" s="5" t="str">
        <f>HYPERLINK("https://www.linkedin.com/ad-library/detail/751124324","Open Ad")</f>
        <v>Open Ad</v>
      </c>
      <c r="E1223" s="4" t="s">
        <v>78</v>
      </c>
      <c r="F1223" s="4" t="s">
        <v>54</v>
      </c>
      <c r="G1223" s="4" t="s">
        <v>5705</v>
      </c>
      <c r="H1223" s="4" t="s">
        <v>49</v>
      </c>
      <c r="I1223" s="4" t="s">
        <v>661</v>
      </c>
      <c r="J1223" s="4" t="s">
        <v>78</v>
      </c>
      <c r="K1223" s="5" t="str">
        <f>HYPERLINK("https://media.licdn.com/dms/image/v2/D4E10AQEgYXlW0P7JCw/image-shrink_1280/B4EZk38nswIkAQ-/0/1757580263241/instantwinningpng?e=2147483647&amp;v=beta&amp;t=R7lHwYhHhgSXTU7pq7-xt9X8hgQzU1pqNf7A_0eHitg","View Creative")</f>
        <v>View Creative</v>
      </c>
      <c r="L1223" s="4" t="s">
        <v>106</v>
      </c>
      <c r="M1223" s="4" t="s">
        <v>61</v>
      </c>
      <c r="O1223" s="4" t="s">
        <v>63</v>
      </c>
      <c r="P1223" s="4" t="s">
        <v>64</v>
      </c>
    </row>
    <row r="1224">
      <c r="A1224" s="4" t="s">
        <v>40</v>
      </c>
      <c r="B1224" s="4" t="s">
        <v>40</v>
      </c>
      <c r="C1224" s="4">
        <v>1222.0</v>
      </c>
      <c r="D1224" s="5" t="str">
        <f>HYPERLINK("https://www.linkedin.com/ad-library/detail/751154194","Open Ad")</f>
        <v>Open Ad</v>
      </c>
      <c r="E1224" s="4" t="s">
        <v>78</v>
      </c>
      <c r="F1224" s="4" t="s">
        <v>54</v>
      </c>
      <c r="G1224" s="4" t="s">
        <v>5356</v>
      </c>
      <c r="H1224" s="4" t="s">
        <v>49</v>
      </c>
      <c r="I1224" s="4" t="s">
        <v>661</v>
      </c>
      <c r="J1224" s="4" t="s">
        <v>78</v>
      </c>
      <c r="K1224" s="5" t="str">
        <f>HYPERLINK("https://media.licdn.com/dms/image/v2/D4E10AQH5gEL4u93U3g/image-shrink_1280/B4EZk4BIlVKoAE-/0/1757581445574?e=1789473600&amp;v=beta&amp;t=Z_I-5cBzy8oU-jXpFp0O1s_peFU9_Y5QmBsjfJZC8Pk","View Creative")</f>
        <v>View Creative</v>
      </c>
      <c r="L1224" s="4" t="s">
        <v>106</v>
      </c>
      <c r="M1224" s="4" t="s">
        <v>61</v>
      </c>
      <c r="O1224" s="4" t="s">
        <v>63</v>
      </c>
      <c r="P1224" s="4" t="s">
        <v>64</v>
      </c>
    </row>
    <row r="1225">
      <c r="A1225" s="4" t="s">
        <v>40</v>
      </c>
      <c r="B1225" s="4" t="s">
        <v>40</v>
      </c>
      <c r="C1225" s="4">
        <v>1223.0</v>
      </c>
      <c r="D1225" s="5" t="str">
        <f>HYPERLINK("https://www.linkedin.com/ad-library/detail/751124314","Open Ad")</f>
        <v>Open Ad</v>
      </c>
      <c r="E1225" s="4" t="s">
        <v>78</v>
      </c>
      <c r="F1225" s="4" t="s">
        <v>54</v>
      </c>
      <c r="G1225" s="4" t="s">
        <v>5356</v>
      </c>
      <c r="H1225" s="4" t="s">
        <v>49</v>
      </c>
      <c r="I1225" s="4" t="s">
        <v>661</v>
      </c>
      <c r="J1225" s="4" t="s">
        <v>78</v>
      </c>
      <c r="K1225" s="5" t="str">
        <f t="shared" ref="K1225:K1226" si="12">HYPERLINK("https://media.licdn.com/dms/image/v2/D4E10AQF0eatYKI3SeA/image-shrink_1280/B4EZk38UVqIMAM-/0/1757580184011/ProvenTacticspng?e=2147483647&amp;v=beta&amp;t=GPLWmyxbeiYw5LtsCepf0AN9Jga4gYFK7tz6pElLoFo","View Creative")</f>
        <v>View Creative</v>
      </c>
      <c r="L1225" s="4" t="s">
        <v>106</v>
      </c>
      <c r="M1225" s="4" t="s">
        <v>61</v>
      </c>
      <c r="O1225" s="4" t="s">
        <v>63</v>
      </c>
      <c r="P1225" s="4" t="s">
        <v>64</v>
      </c>
    </row>
    <row r="1226">
      <c r="A1226" s="4" t="s">
        <v>40</v>
      </c>
      <c r="B1226" s="4" t="s">
        <v>40</v>
      </c>
      <c r="C1226" s="4">
        <v>1224.0</v>
      </c>
      <c r="D1226" s="5" t="str">
        <f>HYPERLINK("https://www.linkedin.com/ad-library/detail/758281544","Open Ad")</f>
        <v>Open Ad</v>
      </c>
      <c r="E1226" s="4" t="s">
        <v>78</v>
      </c>
      <c r="F1226" s="4" t="s">
        <v>54</v>
      </c>
      <c r="G1226" s="4" t="s">
        <v>5356</v>
      </c>
      <c r="H1226" s="4" t="s">
        <v>49</v>
      </c>
      <c r="I1226" s="4" t="s">
        <v>661</v>
      </c>
      <c r="J1226" s="4" t="s">
        <v>78</v>
      </c>
      <c r="K1226" s="5" t="str">
        <f t="shared" si="12"/>
        <v>View Creative</v>
      </c>
      <c r="L1226" s="4" t="s">
        <v>106</v>
      </c>
      <c r="M1226" s="4" t="s">
        <v>61</v>
      </c>
      <c r="O1226" s="4" t="s">
        <v>63</v>
      </c>
      <c r="P1226" s="4" t="s">
        <v>64</v>
      </c>
    </row>
    <row r="1227">
      <c r="A1227" s="4" t="s">
        <v>40</v>
      </c>
      <c r="B1227" s="4" t="s">
        <v>40</v>
      </c>
      <c r="C1227" s="4">
        <v>1225.0</v>
      </c>
      <c r="D1227" s="5" t="str">
        <f>HYPERLINK("https://www.linkedin.com/ad-library/detail/748014834","Open Ad")</f>
        <v>Open Ad</v>
      </c>
      <c r="E1227" s="4" t="s">
        <v>78</v>
      </c>
      <c r="F1227" s="4" t="s">
        <v>54</v>
      </c>
      <c r="G1227" s="4" t="s">
        <v>5258</v>
      </c>
      <c r="H1227" s="4" t="s">
        <v>49</v>
      </c>
      <c r="I1227" s="4" t="s">
        <v>661</v>
      </c>
      <c r="J1227" s="4" t="s">
        <v>78</v>
      </c>
      <c r="K1227" s="5" t="str">
        <f>HYPERLINK("https://media.licdn.com/dms/image/v2/D4E10AQFpI0AiDviLAg/image-shrink_1280/B4EZka5FxoIwAM-/0/1757092798821?e=2147483647&amp;v=beta&amp;t=LITUssnjEyM-CrGAaVfzuMO6Tohu7RNq4rpa50bJ8sQ","View Creative")</f>
        <v>View Creative</v>
      </c>
      <c r="L1227" s="4" t="s">
        <v>106</v>
      </c>
      <c r="M1227" s="4" t="s">
        <v>61</v>
      </c>
      <c r="O1227" s="4" t="s">
        <v>63</v>
      </c>
      <c r="P1227" s="4" t="s">
        <v>64</v>
      </c>
    </row>
    <row r="1228">
      <c r="A1228" s="4" t="s">
        <v>40</v>
      </c>
      <c r="B1228" s="4" t="s">
        <v>40</v>
      </c>
      <c r="C1228" s="4">
        <v>1226.0</v>
      </c>
      <c r="D1228" s="5" t="str">
        <f>HYPERLINK("https://www.linkedin.com/ad-library/detail/747955174","Open Ad")</f>
        <v>Open Ad</v>
      </c>
      <c r="E1228" s="4" t="s">
        <v>78</v>
      </c>
      <c r="F1228" s="4" t="s">
        <v>54</v>
      </c>
      <c r="G1228" s="4" t="s">
        <v>5263</v>
      </c>
      <c r="H1228" s="4" t="s">
        <v>49</v>
      </c>
      <c r="I1228" s="4" t="s">
        <v>661</v>
      </c>
      <c r="J1228" s="4" t="s">
        <v>78</v>
      </c>
      <c r="K1228" s="5" t="str">
        <f>HYPERLINK("https://media.licdn.com/dms/image/v2/D4E10AQG2Q_xfBkZTww/image-shrink_1280/B4EZka40IoIkAc-/0/1757092726108?e=2147483647&amp;v=beta&amp;t=yMFwJyMHe6Hzsnhq8yfiPuYt6zuxS1Zt2Ey087kwK3s","View Creative")</f>
        <v>View Creative</v>
      </c>
      <c r="L1228" s="4" t="s">
        <v>106</v>
      </c>
      <c r="M1228" s="4" t="s">
        <v>61</v>
      </c>
      <c r="O1228" s="4" t="s">
        <v>63</v>
      </c>
      <c r="P1228" s="4" t="s">
        <v>64</v>
      </c>
    </row>
    <row r="1229">
      <c r="A1229" s="4" t="s">
        <v>40</v>
      </c>
      <c r="B1229" s="4" t="s">
        <v>40</v>
      </c>
      <c r="C1229" s="4">
        <v>1227.0</v>
      </c>
      <c r="D1229" s="5" t="str">
        <f>HYPERLINK("https://www.linkedin.com/ad-library/detail/748014824","Open Ad")</f>
        <v>Open Ad</v>
      </c>
      <c r="E1229" s="4" t="s">
        <v>78</v>
      </c>
      <c r="F1229" s="4" t="s">
        <v>54</v>
      </c>
      <c r="G1229" s="4" t="s">
        <v>5258</v>
      </c>
      <c r="H1229" s="4" t="s">
        <v>49</v>
      </c>
      <c r="I1229" s="4" t="s">
        <v>661</v>
      </c>
      <c r="J1229" s="4" t="s">
        <v>78</v>
      </c>
      <c r="K1229" s="5" t="str">
        <f>HYPERLINK("https://media.licdn.com/dms/image/v2/D4E10AQHesqscmgmShw/image-shrink_1280/B4EZka45fXGwAM-/0/1757092748366?e=2147483647&amp;v=beta&amp;t=iM4m6E9EcD7yAbD3JbTidqqjscWeJSum0PAaFqXLP8E","View Creative")</f>
        <v>View Creative</v>
      </c>
      <c r="L1229" s="4" t="s">
        <v>106</v>
      </c>
      <c r="M1229" s="4" t="s">
        <v>61</v>
      </c>
      <c r="O1229" s="4" t="s">
        <v>63</v>
      </c>
      <c r="P1229" s="4" t="s">
        <v>64</v>
      </c>
    </row>
    <row r="1230">
      <c r="A1230" s="4" t="s">
        <v>40</v>
      </c>
      <c r="B1230" s="4" t="s">
        <v>40</v>
      </c>
      <c r="C1230" s="4">
        <v>1228.0</v>
      </c>
      <c r="D1230" s="5" t="str">
        <f>HYPERLINK("https://www.linkedin.com/ad-library/detail/748063634","Open Ad")</f>
        <v>Open Ad</v>
      </c>
      <c r="E1230" s="4" t="s">
        <v>78</v>
      </c>
      <c r="F1230" s="4" t="s">
        <v>54</v>
      </c>
      <c r="G1230" s="4" t="s">
        <v>5263</v>
      </c>
      <c r="H1230" s="4" t="s">
        <v>49</v>
      </c>
      <c r="I1230" s="4" t="s">
        <v>661</v>
      </c>
      <c r="J1230" s="4" t="s">
        <v>78</v>
      </c>
      <c r="K1230" s="5" t="str">
        <f>HYPERLINK("https://media.licdn.com/dms/image/v2/D4E10AQFWg5JoJ9Lpzw/image-shrink_1280/B4EZka4_GlGwAM-/0/1757092770898?e=2147483647&amp;v=beta&amp;t=AsjWmExzN4IMGbvqYNQ8DL_PCAieNSW5Fz16hJoiMAw","View Creative")</f>
        <v>View Creative</v>
      </c>
      <c r="L1230" s="4" t="s">
        <v>106</v>
      </c>
      <c r="M1230" s="4" t="s">
        <v>61</v>
      </c>
      <c r="O1230" s="4" t="s">
        <v>63</v>
      </c>
      <c r="P1230" s="4" t="s">
        <v>64</v>
      </c>
    </row>
    <row r="1231">
      <c r="A1231" s="4" t="s">
        <v>40</v>
      </c>
      <c r="B1231" s="4" t="s">
        <v>40</v>
      </c>
      <c r="C1231" s="4">
        <v>1229.0</v>
      </c>
      <c r="D1231" s="5" t="str">
        <f>HYPERLINK("https://www.linkedin.com/ad-library/detail/748014814","Open Ad")</f>
        <v>Open Ad</v>
      </c>
      <c r="E1231" s="4" t="s">
        <v>78</v>
      </c>
      <c r="F1231" s="4" t="s">
        <v>54</v>
      </c>
      <c r="G1231" s="4" t="s">
        <v>5263</v>
      </c>
      <c r="H1231" s="4" t="s">
        <v>49</v>
      </c>
      <c r="I1231" s="4" t="s">
        <v>661</v>
      </c>
      <c r="J1231" s="4" t="s">
        <v>78</v>
      </c>
      <c r="K1231" s="5" t="str">
        <f>HYPERLINK("https://media.licdn.com/dms/image/v2/D4E10AQE8XY5kifp8ag/image-shrink_1280/B4EZka45P7HoAQ-/0/1757092747096?e=2147483647&amp;v=beta&amp;t=Z8qfpLKAki7R8AzEap2v4_fZn2B_eawSi0jxJaTFvqg","View Creative")</f>
        <v>View Creative</v>
      </c>
      <c r="L1231" s="4" t="s">
        <v>106</v>
      </c>
      <c r="M1231" s="4" t="s">
        <v>61</v>
      </c>
      <c r="O1231" s="4" t="s">
        <v>63</v>
      </c>
      <c r="P1231" s="4" t="s">
        <v>64</v>
      </c>
    </row>
    <row r="1232">
      <c r="A1232" s="4" t="s">
        <v>40</v>
      </c>
      <c r="B1232" s="4" t="s">
        <v>40</v>
      </c>
      <c r="C1232" s="4">
        <v>1230.0</v>
      </c>
      <c r="D1232" s="5" t="str">
        <f>HYPERLINK("https://www.linkedin.com/ad-library/detail/747955184","Open Ad")</f>
        <v>Open Ad</v>
      </c>
      <c r="E1232" s="4" t="s">
        <v>78</v>
      </c>
      <c r="F1232" s="4" t="s">
        <v>54</v>
      </c>
      <c r="G1232" s="4" t="s">
        <v>5258</v>
      </c>
      <c r="H1232" s="4" t="s">
        <v>49</v>
      </c>
      <c r="I1232" s="4" t="s">
        <v>661</v>
      </c>
      <c r="J1232" s="4" t="s">
        <v>78</v>
      </c>
      <c r="K1232" s="5" t="str">
        <f>HYPERLINK("https://media.licdn.com/dms/image/v2/D4E10AQFEulel1tGQvg/image-shrink_1280/B4EZka4_eCGwAQ-/0/1757092772516?e=2147483647&amp;v=beta&amp;t=MVoHWbCqtbQYWuVw57a_Xe-uhloSqyc1mOvSopJAcq8","View Creative")</f>
        <v>View Creative</v>
      </c>
      <c r="L1232" s="4" t="s">
        <v>106</v>
      </c>
      <c r="M1232" s="4" t="s">
        <v>61</v>
      </c>
      <c r="O1232" s="4" t="s">
        <v>63</v>
      </c>
      <c r="P1232" s="4" t="s">
        <v>64</v>
      </c>
    </row>
    <row r="1233">
      <c r="A1233" s="4" t="s">
        <v>40</v>
      </c>
      <c r="B1233" s="4" t="s">
        <v>40</v>
      </c>
      <c r="C1233" s="4">
        <v>1231.0</v>
      </c>
      <c r="D1233" s="5" t="str">
        <f>HYPERLINK("https://www.linkedin.com/ad-library/detail/748034534","Open Ad")</f>
        <v>Open Ad</v>
      </c>
      <c r="E1233" s="4" t="s">
        <v>78</v>
      </c>
      <c r="F1233" s="4" t="s">
        <v>54</v>
      </c>
      <c r="G1233" s="4" t="s">
        <v>5263</v>
      </c>
      <c r="H1233" s="4" t="s">
        <v>49</v>
      </c>
      <c r="I1233" s="4" t="s">
        <v>661</v>
      </c>
      <c r="J1233" s="4" t="s">
        <v>78</v>
      </c>
      <c r="K1233" s="5" t="str">
        <f>HYPERLINK("https://media.licdn.com/dms/image/v2/D4E10AQGDTFOz4_sEOw/image-shrink_1280/B4EZka45PyGwAM-/0/1757092747295?e=2147483647&amp;v=beta&amp;t=H7DuW_gkMxZ_U-rHHfC5XHQw5nnmAdHd0df7EKjUSV8","View Creative")</f>
        <v>View Creative</v>
      </c>
      <c r="L1233" s="4" t="s">
        <v>106</v>
      </c>
      <c r="M1233" s="4" t="s">
        <v>61</v>
      </c>
      <c r="O1233" s="4" t="s">
        <v>63</v>
      </c>
      <c r="P1233" s="4" t="s">
        <v>64</v>
      </c>
    </row>
    <row r="1234">
      <c r="A1234" s="4" t="s">
        <v>40</v>
      </c>
      <c r="B1234" s="4" t="s">
        <v>40</v>
      </c>
      <c r="C1234" s="4">
        <v>1232.0</v>
      </c>
      <c r="D1234" s="5" t="str">
        <f>HYPERLINK("https://www.linkedin.com/ad-library/detail/747975154","Open Ad")</f>
        <v>Open Ad</v>
      </c>
      <c r="E1234" s="4" t="s">
        <v>78</v>
      </c>
      <c r="F1234" s="4" t="s">
        <v>54</v>
      </c>
      <c r="G1234" s="4" t="s">
        <v>5258</v>
      </c>
      <c r="H1234" s="4" t="s">
        <v>49</v>
      </c>
      <c r="I1234" s="4" t="s">
        <v>661</v>
      </c>
      <c r="J1234" s="4" t="s">
        <v>78</v>
      </c>
      <c r="K1234" s="5" t="str">
        <f>HYPERLINK("https://media.licdn.com/dms/image/v2/D4E10AQGxXvpO2T1pZw/image-shrink_1280/B4EZka45SfGwAQ-/0/1757092747276?e=2147483647&amp;v=beta&amp;t=ymLkXRdi1k64HtP1DHDTvRNBrIMb0NQZ3u7EWG7vVQk","View Creative")</f>
        <v>View Creative</v>
      </c>
      <c r="L1234" s="4" t="s">
        <v>106</v>
      </c>
      <c r="M1234" s="4" t="s">
        <v>61</v>
      </c>
      <c r="O1234" s="4" t="s">
        <v>63</v>
      </c>
      <c r="P1234" s="4" t="s">
        <v>64</v>
      </c>
    </row>
    <row r="1235">
      <c r="A1235" s="4" t="s">
        <v>40</v>
      </c>
      <c r="B1235" s="4" t="s">
        <v>40</v>
      </c>
      <c r="C1235" s="4">
        <v>1233.0</v>
      </c>
      <c r="D1235" s="5" t="str">
        <f>HYPERLINK("https://www.linkedin.com/ad-library/detail/747975144","Open Ad")</f>
        <v>Open Ad</v>
      </c>
      <c r="E1235" s="4" t="s">
        <v>78</v>
      </c>
      <c r="F1235" s="4" t="s">
        <v>54</v>
      </c>
      <c r="G1235" s="4" t="s">
        <v>5263</v>
      </c>
      <c r="H1235" s="4" t="s">
        <v>49</v>
      </c>
      <c r="I1235" s="4" t="s">
        <v>661</v>
      </c>
      <c r="J1235" s="4" t="s">
        <v>78</v>
      </c>
      <c r="K1235" s="5" t="str">
        <f>HYPERLINK("https://media.licdn.com/dms/image/v2/D4E10AQHXoOumrGbp8Q/image-shrink_1280/B4EZka4t8tIsAM-/0/1757092701177?e=2147483647&amp;v=beta&amp;t=EllDmLeRm4w3CT0pPwVZl4rY3law-EKTC8yHG-r9bjY","View Creative")</f>
        <v>View Creative</v>
      </c>
      <c r="L1235" s="4" t="s">
        <v>106</v>
      </c>
      <c r="M1235" s="4" t="s">
        <v>61</v>
      </c>
      <c r="O1235" s="4" t="s">
        <v>63</v>
      </c>
      <c r="P1235" s="4" t="s">
        <v>64</v>
      </c>
    </row>
    <row r="1236">
      <c r="A1236" s="4" t="s">
        <v>40</v>
      </c>
      <c r="B1236" s="4" t="s">
        <v>40</v>
      </c>
      <c r="C1236" s="4">
        <v>1234.0</v>
      </c>
      <c r="D1236" s="5" t="str">
        <f>HYPERLINK("https://www.linkedin.com/ad-library/detail/747975164","Open Ad")</f>
        <v>Open Ad</v>
      </c>
      <c r="E1236" s="4" t="s">
        <v>78</v>
      </c>
      <c r="F1236" s="4" t="s">
        <v>54</v>
      </c>
      <c r="G1236" s="4" t="s">
        <v>5258</v>
      </c>
      <c r="H1236" s="4" t="s">
        <v>49</v>
      </c>
      <c r="I1236" s="4" t="s">
        <v>661</v>
      </c>
      <c r="J1236" s="4" t="s">
        <v>78</v>
      </c>
      <c r="K1236" s="5" t="str">
        <f>HYPERLINK("https://media.licdn.com/dms/image/v2/D4E10AQF7f17bkefR8g/image-shrink_1280/B4EZka45QzIIAQ-/0/1757092747710?e=2147483647&amp;v=beta&amp;t=19VqgoSoclKrkXnbm5_uvtp7aUyDv8VdalPdzVv2v-4","View Creative")</f>
        <v>View Creative</v>
      </c>
      <c r="L1236" s="4" t="s">
        <v>106</v>
      </c>
      <c r="M1236" s="4" t="s">
        <v>61</v>
      </c>
      <c r="O1236" s="4" t="s">
        <v>63</v>
      </c>
      <c r="P1236" s="4" t="s">
        <v>64</v>
      </c>
    </row>
    <row r="1237">
      <c r="A1237" s="4" t="s">
        <v>40</v>
      </c>
      <c r="B1237" s="4" t="s">
        <v>40</v>
      </c>
      <c r="C1237" s="4">
        <v>1235.0</v>
      </c>
      <c r="D1237" s="5" t="str">
        <f>HYPERLINK("https://www.linkedin.com/ad-library/detail/748054504","Open Ad")</f>
        <v>Open Ad</v>
      </c>
      <c r="E1237" s="4" t="s">
        <v>78</v>
      </c>
      <c r="F1237" s="4" t="s">
        <v>54</v>
      </c>
      <c r="G1237" s="4" t="s">
        <v>5258</v>
      </c>
      <c r="H1237" s="4" t="s">
        <v>49</v>
      </c>
      <c r="I1237" s="4" t="s">
        <v>661</v>
      </c>
      <c r="J1237" s="4" t="s">
        <v>78</v>
      </c>
      <c r="K1237" s="5" t="str">
        <f>HYPERLINK("https://media.licdn.com/dms/image/v2/D4E10AQGlhJb3d5Lyfw/image-shrink_1280/B4EZka4_faHoAU-/0/1757092773126?e=2147483647&amp;v=beta&amp;t=6tbzs8bGfn_CbkNVKvO9oqTrEXcoTUNxOOZJFBR7_hs","View Creative")</f>
        <v>View Creative</v>
      </c>
      <c r="L1237" s="4" t="s">
        <v>106</v>
      </c>
      <c r="M1237" s="4" t="s">
        <v>61</v>
      </c>
      <c r="O1237" s="4" t="s">
        <v>63</v>
      </c>
      <c r="P1237" s="4" t="s">
        <v>64</v>
      </c>
    </row>
    <row r="1238">
      <c r="A1238" s="4" t="s">
        <v>40</v>
      </c>
      <c r="B1238" s="4" t="s">
        <v>40</v>
      </c>
      <c r="C1238" s="4">
        <v>1236.0</v>
      </c>
      <c r="D1238" s="5" t="str">
        <f>HYPERLINK("https://www.linkedin.com/ad-library/detail/748034524","Open Ad")</f>
        <v>Open Ad</v>
      </c>
      <c r="E1238" s="4" t="s">
        <v>78</v>
      </c>
      <c r="F1238" s="4" t="s">
        <v>54</v>
      </c>
      <c r="G1238" s="4" t="s">
        <v>5263</v>
      </c>
      <c r="H1238" s="4" t="s">
        <v>49</v>
      </c>
      <c r="I1238" s="4" t="s">
        <v>661</v>
      </c>
      <c r="J1238" s="4" t="s">
        <v>78</v>
      </c>
      <c r="K1238" s="5" t="str">
        <f>HYPERLINK("https://media.licdn.com/dms/image/v2/D4E10AQGHbbHStDV32A/image-shrink_1280/B4EZka45OcIkAM-/0/1757092747018?e=2147483647&amp;v=beta&amp;t=dP0vfb5-olV3TnRcZwwc57XqlghQPPh-aDSi328VAMw","View Creative")</f>
        <v>View Creative</v>
      </c>
      <c r="L1238" s="4" t="s">
        <v>106</v>
      </c>
      <c r="M1238" s="4" t="s">
        <v>61</v>
      </c>
      <c r="O1238" s="4" t="s">
        <v>63</v>
      </c>
      <c r="P1238" s="4" t="s">
        <v>64</v>
      </c>
    </row>
    <row r="1239">
      <c r="A1239" s="4" t="s">
        <v>40</v>
      </c>
      <c r="B1239" s="4" t="s">
        <v>40</v>
      </c>
      <c r="C1239" s="4">
        <v>1237.0</v>
      </c>
      <c r="D1239" s="5" t="str">
        <f>HYPERLINK("https://www.linkedin.com/ad-library/detail/748024774","Open Ad")</f>
        <v>Open Ad</v>
      </c>
      <c r="E1239" s="4" t="s">
        <v>78</v>
      </c>
      <c r="F1239" s="4" t="s">
        <v>54</v>
      </c>
      <c r="G1239" s="4" t="s">
        <v>5258</v>
      </c>
      <c r="H1239" s="4" t="s">
        <v>49</v>
      </c>
      <c r="I1239" s="4" t="s">
        <v>661</v>
      </c>
      <c r="J1239" s="4" t="s">
        <v>78</v>
      </c>
      <c r="K1239" s="5" t="str">
        <f>HYPERLINK("https://media.licdn.com/dms/image/v2/D4E10AQHlB-kBXbsHzA/image-shrink_1280/B4EZka4yVaIwAQ-/0/1757092718624?e=2147483647&amp;v=beta&amp;t=a8FOPERCoRtlHK5pKgEi70nwragZ0Y3GgswqxXf0EBA","View Creative")</f>
        <v>View Creative</v>
      </c>
      <c r="L1239" s="4" t="s">
        <v>106</v>
      </c>
      <c r="M1239" s="4" t="s">
        <v>61</v>
      </c>
      <c r="O1239" s="4" t="s">
        <v>63</v>
      </c>
      <c r="P1239" s="4" t="s">
        <v>64</v>
      </c>
    </row>
    <row r="1240">
      <c r="A1240" s="4" t="s">
        <v>40</v>
      </c>
      <c r="B1240" s="4" t="s">
        <v>40</v>
      </c>
      <c r="C1240" s="4">
        <v>1238.0</v>
      </c>
      <c r="D1240" s="5" t="str">
        <f>HYPERLINK("https://www.linkedin.com/ad-library/detail/747945664","Open Ad")</f>
        <v>Open Ad</v>
      </c>
      <c r="E1240" s="4" t="s">
        <v>78</v>
      </c>
      <c r="F1240" s="4" t="s">
        <v>54</v>
      </c>
      <c r="G1240" s="4" t="s">
        <v>5258</v>
      </c>
      <c r="H1240" s="4" t="s">
        <v>49</v>
      </c>
      <c r="I1240" s="4" t="s">
        <v>661</v>
      </c>
      <c r="J1240" s="4" t="s">
        <v>78</v>
      </c>
      <c r="K1240" s="5" t="str">
        <f>HYPERLINK("https://media.licdn.com/dms/image/v2/D4E10AQHx9L_ulyJKxQ/image-shrink_1280/B4EZka4_XAGYAM-/0/1757092771862?e=2147483647&amp;v=beta&amp;t=VINpjwHyKE6ur_xVjblORYz1KdGqTdDu6lqw0Dj6fRY","View Creative")</f>
        <v>View Creative</v>
      </c>
      <c r="L1240" s="4" t="s">
        <v>106</v>
      </c>
      <c r="M1240" s="4" t="s">
        <v>61</v>
      </c>
      <c r="O1240" s="4" t="s">
        <v>63</v>
      </c>
      <c r="P1240" s="4" t="s">
        <v>64</v>
      </c>
    </row>
    <row r="1241">
      <c r="A1241" s="4" t="s">
        <v>40</v>
      </c>
      <c r="B1241" s="4" t="s">
        <v>40</v>
      </c>
      <c r="C1241" s="4">
        <v>1239.0</v>
      </c>
      <c r="D1241" s="5" t="str">
        <f>HYPERLINK("https://www.linkedin.com/ad-library/detail/747945654","Open Ad")</f>
        <v>Open Ad</v>
      </c>
      <c r="E1241" s="4" t="s">
        <v>78</v>
      </c>
      <c r="F1241" s="4" t="s">
        <v>54</v>
      </c>
      <c r="G1241" s="4" t="s">
        <v>5258</v>
      </c>
      <c r="H1241" s="4" t="s">
        <v>49</v>
      </c>
      <c r="I1241" s="4" t="s">
        <v>661</v>
      </c>
      <c r="J1241" s="4" t="s">
        <v>78</v>
      </c>
      <c r="K1241" s="5" t="str">
        <f>HYPERLINK("https://media.licdn.com/dms/image/v2/D4E10AQHR1e-oeKdjIw/image-shrink_1280/B4EZka45RUGcAQ-/0/1757092747382?e=2147483647&amp;v=beta&amp;t=73i27hBxnnzy2D34WSR7ODMlNsoqTdhgu21UN_SC8b4","View Creative")</f>
        <v>View Creative</v>
      </c>
      <c r="L1241" s="4" t="s">
        <v>106</v>
      </c>
      <c r="M1241" s="4" t="s">
        <v>61</v>
      </c>
      <c r="O1241" s="4" t="s">
        <v>63</v>
      </c>
      <c r="P1241" s="4" t="s">
        <v>64</v>
      </c>
    </row>
    <row r="1242">
      <c r="A1242" s="4" t="s">
        <v>40</v>
      </c>
      <c r="B1242" s="4" t="s">
        <v>40</v>
      </c>
      <c r="C1242" s="4">
        <v>1240.0</v>
      </c>
      <c r="D1242" s="5" t="str">
        <f>HYPERLINK("https://www.linkedin.com/ad-library/detail/747935914","Open Ad")</f>
        <v>Open Ad</v>
      </c>
      <c r="E1242" s="4" t="s">
        <v>78</v>
      </c>
      <c r="F1242" s="4" t="s">
        <v>54</v>
      </c>
      <c r="G1242" s="4" t="s">
        <v>5263</v>
      </c>
      <c r="H1242" s="4" t="s">
        <v>49</v>
      </c>
      <c r="I1242" s="4" t="s">
        <v>661</v>
      </c>
      <c r="J1242" s="4" t="s">
        <v>78</v>
      </c>
      <c r="K1242" s="5" t="str">
        <f>HYPERLINK("https://media.licdn.com/dms/image/v2/D4E10AQErhQLPbtJE_A/image-shrink_1280/B4EZka46SNIoAQ-/0/1757092751216?e=2147483647&amp;v=beta&amp;t=SXYcqn_2XYk_WQOv_LntJ3gW6WMHFNyR7FaTBXgCUCg","View Creative")</f>
        <v>View Creative</v>
      </c>
      <c r="L1242" s="4" t="s">
        <v>106</v>
      </c>
      <c r="M1242" s="4" t="s">
        <v>61</v>
      </c>
      <c r="O1242" s="4" t="s">
        <v>63</v>
      </c>
      <c r="P1242" s="4" t="s">
        <v>64</v>
      </c>
    </row>
    <row r="1243">
      <c r="A1243" s="4" t="s">
        <v>40</v>
      </c>
      <c r="B1243" s="4" t="s">
        <v>40</v>
      </c>
      <c r="C1243" s="4">
        <v>1241.0</v>
      </c>
      <c r="D1243" s="5" t="str">
        <f>HYPERLINK("https://www.linkedin.com/ad-library/detail/747935934","Open Ad")</f>
        <v>Open Ad</v>
      </c>
      <c r="E1243" s="4" t="s">
        <v>78</v>
      </c>
      <c r="F1243" s="4" t="s">
        <v>54</v>
      </c>
      <c r="G1243" s="4" t="s">
        <v>5263</v>
      </c>
      <c r="H1243" s="4" t="s">
        <v>49</v>
      </c>
      <c r="I1243" s="4" t="s">
        <v>661</v>
      </c>
      <c r="J1243" s="4" t="s">
        <v>78</v>
      </c>
      <c r="K1243" s="5" t="str">
        <f>HYPERLINK("https://media.licdn.com/dms/image/v2/D4E10AQHK6CdwsORPFQ/image-shrink_1280/B4EZka4_68GwAM-/0/1757092774357?e=2147483647&amp;v=beta&amp;t=LSEx1MVx80vAESXlpJ3UfpYviuz4uaDr5HC1kfsJN3U","View Creative")</f>
        <v>View Creative</v>
      </c>
      <c r="L1243" s="4" t="s">
        <v>106</v>
      </c>
      <c r="M1243" s="4" t="s">
        <v>61</v>
      </c>
      <c r="O1243" s="4" t="s">
        <v>63</v>
      </c>
      <c r="P1243" s="4" t="s">
        <v>64</v>
      </c>
    </row>
    <row r="1244">
      <c r="A1244" s="4" t="s">
        <v>40</v>
      </c>
      <c r="B1244" s="4" t="s">
        <v>40</v>
      </c>
      <c r="C1244" s="4">
        <v>1242.0</v>
      </c>
      <c r="D1244" s="5" t="str">
        <f>HYPERLINK("https://www.linkedin.com/ad-library/detail/748004574","Open Ad")</f>
        <v>Open Ad</v>
      </c>
      <c r="E1244" s="4" t="s">
        <v>78</v>
      </c>
      <c r="F1244" s="4" t="s">
        <v>54</v>
      </c>
      <c r="G1244" s="4" t="s">
        <v>5263</v>
      </c>
      <c r="H1244" s="4" t="s">
        <v>49</v>
      </c>
      <c r="I1244" s="4" t="s">
        <v>661</v>
      </c>
      <c r="J1244" s="4" t="s">
        <v>78</v>
      </c>
      <c r="K1244" s="5" t="str">
        <f>HYPERLINK("https://media.licdn.com/dms/image/v2/D4E10AQGfrs_3YXUeiQ/image-shrink_1280/B4EZka4_I6HEAQ-/0/1757092771392?e=2147483647&amp;v=beta&amp;t=czuvxnC2jolOB3vQjMlElW9Cp2_lXAVAPXLhDQH1iNQ","View Creative")</f>
        <v>View Creative</v>
      </c>
      <c r="L1244" s="4" t="s">
        <v>106</v>
      </c>
      <c r="M1244" s="4" t="s">
        <v>61</v>
      </c>
      <c r="O1244" s="4" t="s">
        <v>63</v>
      </c>
      <c r="P1244" s="4" t="s">
        <v>64</v>
      </c>
    </row>
    <row r="1245">
      <c r="A1245" s="4" t="s">
        <v>40</v>
      </c>
      <c r="B1245" s="4" t="s">
        <v>40</v>
      </c>
      <c r="C1245" s="4">
        <v>1243.0</v>
      </c>
      <c r="D1245" s="5" t="str">
        <f>HYPERLINK("https://www.linkedin.com/ad-library/detail/747925794","Open Ad")</f>
        <v>Open Ad</v>
      </c>
      <c r="E1245" s="4" t="s">
        <v>78</v>
      </c>
      <c r="F1245" s="4" t="s">
        <v>54</v>
      </c>
      <c r="G1245" s="4" t="s">
        <v>5258</v>
      </c>
      <c r="H1245" s="4" t="s">
        <v>49</v>
      </c>
      <c r="I1245" s="4" t="s">
        <v>661</v>
      </c>
      <c r="J1245" s="4" t="s">
        <v>78</v>
      </c>
      <c r="K1245" s="5" t="str">
        <f>HYPERLINK("https://media.licdn.com/dms/image/v2/D4E10AQFY2SoEv4e2Iw/image-shrink_1280/B4EZka4_1PIwAM-/0/1757092773863?e=2147483647&amp;v=beta&amp;t=PpqRIWN8BqkyIFs-XUHejvS8n9vj2Xpgh6EVkxT8jB4","View Creative")</f>
        <v>View Creative</v>
      </c>
      <c r="L1245" s="4" t="s">
        <v>106</v>
      </c>
      <c r="M1245" s="4" t="s">
        <v>61</v>
      </c>
      <c r="O1245" s="4" t="s">
        <v>63</v>
      </c>
      <c r="P1245" s="4" t="s">
        <v>64</v>
      </c>
    </row>
    <row r="1246">
      <c r="A1246" s="4" t="s">
        <v>40</v>
      </c>
      <c r="B1246" s="4" t="s">
        <v>40</v>
      </c>
      <c r="C1246" s="4">
        <v>1244.0</v>
      </c>
      <c r="D1246" s="5" t="str">
        <f>HYPERLINK("https://www.linkedin.com/ad-library/detail/748004564","Open Ad")</f>
        <v>Open Ad</v>
      </c>
      <c r="E1246" s="4" t="s">
        <v>78</v>
      </c>
      <c r="F1246" s="4" t="s">
        <v>54</v>
      </c>
      <c r="G1246" s="4" t="s">
        <v>5263</v>
      </c>
      <c r="H1246" s="4" t="s">
        <v>49</v>
      </c>
      <c r="I1246" s="4" t="s">
        <v>661</v>
      </c>
      <c r="J1246" s="4" t="s">
        <v>78</v>
      </c>
      <c r="K1246" s="5" t="str">
        <f>HYPERLINK("https://media.licdn.com/dms/image/v2/D4E10AQEfBfhyIOAIoQ/image-shrink_1280/B4EZka45S1GYAM-/0/1757092747307?e=2147483647&amp;v=beta&amp;t=TIeVB9b0u8SCQEPghe6loRU63Q4GqGaKFClRxSxtuZ0","View Creative")</f>
        <v>View Creative</v>
      </c>
      <c r="L1246" s="4" t="s">
        <v>106</v>
      </c>
      <c r="M1246" s="4" t="s">
        <v>61</v>
      </c>
      <c r="O1246" s="4" t="s">
        <v>63</v>
      </c>
      <c r="P1246" s="4" t="s">
        <v>64</v>
      </c>
    </row>
    <row r="1247">
      <c r="A1247" s="4" t="s">
        <v>40</v>
      </c>
      <c r="B1247" s="4" t="s">
        <v>40</v>
      </c>
      <c r="C1247" s="4">
        <v>1245.0</v>
      </c>
      <c r="D1247" s="5" t="str">
        <f>HYPERLINK("https://www.linkedin.com/ad-library/detail/747985254","Open Ad")</f>
        <v>Open Ad</v>
      </c>
      <c r="E1247" s="4" t="s">
        <v>78</v>
      </c>
      <c r="F1247" s="4" t="s">
        <v>54</v>
      </c>
      <c r="G1247" s="4" t="s">
        <v>5263</v>
      </c>
      <c r="H1247" s="4" t="s">
        <v>49</v>
      </c>
      <c r="I1247" s="4" t="s">
        <v>661</v>
      </c>
      <c r="J1247" s="4" t="s">
        <v>78</v>
      </c>
      <c r="K1247" s="5" t="str">
        <f>HYPERLINK("https://media.licdn.com/dms/image/v2/D4E10AQFrQsM6iIbQCg/image-shrink_1280/B4EZka4_ZQGcAM-/0/1757092772189?e=2147483647&amp;v=beta&amp;t=R3oe3MT4XoXC_odyNbDS-K1L004XymUIB5GDXsaczNo","View Creative")</f>
        <v>View Creative</v>
      </c>
      <c r="L1247" s="4" t="s">
        <v>106</v>
      </c>
      <c r="M1247" s="4" t="s">
        <v>61</v>
      </c>
      <c r="O1247" s="4" t="s">
        <v>63</v>
      </c>
      <c r="P1247" s="4" t="s">
        <v>64</v>
      </c>
    </row>
    <row r="1248">
      <c r="A1248" s="4" t="s">
        <v>40</v>
      </c>
      <c r="B1248" s="4" t="s">
        <v>40</v>
      </c>
      <c r="C1248" s="4">
        <v>1246.0</v>
      </c>
      <c r="D1248" s="5" t="str">
        <f>HYPERLINK("https://www.linkedin.com/ad-library/detail/747965054","Open Ad")</f>
        <v>Open Ad</v>
      </c>
      <c r="E1248" s="4" t="s">
        <v>78</v>
      </c>
      <c r="F1248" s="4" t="s">
        <v>54</v>
      </c>
      <c r="G1248" s="4" t="s">
        <v>5263</v>
      </c>
      <c r="H1248" s="4" t="s">
        <v>49</v>
      </c>
      <c r="I1248" s="4" t="s">
        <v>661</v>
      </c>
      <c r="J1248" s="4" t="s">
        <v>78</v>
      </c>
      <c r="K1248" s="5" t="str">
        <f>HYPERLINK("https://media.licdn.com/dms/image/v2/D4E10AQGCMQ8Ubsdneg/image-shrink_1280/B4EZka4_WvHoAQ-/0/1757092771909?e=2147483647&amp;v=beta&amp;t=Y0IA0Fda4DypDNm_b8xyJO4LfNrawQrZK0JiQpmqyFI","View Creative")</f>
        <v>View Creative</v>
      </c>
      <c r="L1248" s="4" t="s">
        <v>106</v>
      </c>
      <c r="M1248" s="4" t="s">
        <v>61</v>
      </c>
      <c r="O1248" s="4" t="s">
        <v>63</v>
      </c>
      <c r="P1248" s="4" t="s">
        <v>64</v>
      </c>
    </row>
    <row r="1249">
      <c r="A1249" s="4" t="s">
        <v>40</v>
      </c>
      <c r="B1249" s="4" t="s">
        <v>40</v>
      </c>
      <c r="C1249" s="4">
        <v>1247.0</v>
      </c>
      <c r="D1249" s="5" t="str">
        <f>HYPERLINK("https://www.linkedin.com/ad-library/detail/747985244","Open Ad")</f>
        <v>Open Ad</v>
      </c>
      <c r="E1249" s="4" t="s">
        <v>78</v>
      </c>
      <c r="F1249" s="4" t="s">
        <v>54</v>
      </c>
      <c r="G1249" s="4" t="s">
        <v>5258</v>
      </c>
      <c r="H1249" s="4" t="s">
        <v>49</v>
      </c>
      <c r="I1249" s="4" t="s">
        <v>661</v>
      </c>
      <c r="J1249" s="4" t="s">
        <v>78</v>
      </c>
      <c r="K1249" s="5" t="str">
        <f>HYPERLINK("https://media.licdn.com/dms/image/v2/D4E10AQFZi72FcWD3ZQ/image-shrink_1280/B4EZka4_IPGwAU-/0/1757092771727?e=2147483647&amp;v=beta&amp;t=5WDP2ZCzoePYMWkUfCNsLkcrVNAlECGRkWLGBYA69To","View Creative")</f>
        <v>View Creative</v>
      </c>
      <c r="L1249" s="4" t="s">
        <v>106</v>
      </c>
      <c r="M1249" s="4" t="s">
        <v>61</v>
      </c>
      <c r="O1249" s="4" t="s">
        <v>63</v>
      </c>
      <c r="P1249" s="4" t="s">
        <v>64</v>
      </c>
    </row>
    <row r="1250">
      <c r="A1250" s="4" t="s">
        <v>40</v>
      </c>
      <c r="B1250" s="4" t="s">
        <v>40</v>
      </c>
      <c r="C1250" s="4">
        <v>1248.0</v>
      </c>
      <c r="D1250" s="5" t="str">
        <f>HYPERLINK("https://www.linkedin.com/ad-library/detail/747965044","Open Ad")</f>
        <v>Open Ad</v>
      </c>
      <c r="E1250" s="4" t="s">
        <v>78</v>
      </c>
      <c r="F1250" s="4" t="s">
        <v>54</v>
      </c>
      <c r="G1250" s="4" t="s">
        <v>5258</v>
      </c>
      <c r="H1250" s="4" t="s">
        <v>49</v>
      </c>
      <c r="I1250" s="4" t="s">
        <v>661</v>
      </c>
      <c r="J1250" s="4" t="s">
        <v>78</v>
      </c>
      <c r="K1250" s="5" t="str">
        <f>HYPERLINK("https://media.licdn.com/dms/image/v2/D4E10AQH-aI09yANkjA/image-shrink_1280/B4EZka45PvIMAQ-/0/1757092747048?e=2147483647&amp;v=beta&amp;t=yAEnMMsq6msfft5J0l0SOjwJd3pvMpQ0TeqPj_PExYs","View Creative")</f>
        <v>View Creative</v>
      </c>
      <c r="L1250" s="4" t="s">
        <v>106</v>
      </c>
      <c r="M1250" s="4" t="s">
        <v>61</v>
      </c>
      <c r="O1250" s="4" t="s">
        <v>63</v>
      </c>
      <c r="P1250" s="4" t="s">
        <v>64</v>
      </c>
    </row>
    <row r="1251">
      <c r="A1251" s="4" t="s">
        <v>40</v>
      </c>
      <c r="B1251" s="4" t="s">
        <v>40</v>
      </c>
      <c r="C1251" s="4">
        <v>1249.0</v>
      </c>
      <c r="D1251" s="5" t="str">
        <f>HYPERLINK("https://www.linkedin.com/ad-library/detail/748063614","Open Ad")</f>
        <v>Open Ad</v>
      </c>
      <c r="E1251" s="4" t="s">
        <v>78</v>
      </c>
      <c r="F1251" s="4" t="s">
        <v>54</v>
      </c>
      <c r="G1251" s="4" t="s">
        <v>5258</v>
      </c>
      <c r="H1251" s="4" t="s">
        <v>49</v>
      </c>
      <c r="I1251" s="4" t="s">
        <v>661</v>
      </c>
      <c r="J1251" s="4" t="s">
        <v>78</v>
      </c>
      <c r="K1251" s="5" t="str">
        <f>HYPERLINK("https://media.licdn.com/dms/image/v2/D4E10AQEzAlf3_MLxrQ/image-shrink_1280/B4EZka4t9tGcAQ-/0/1757092700839?e=2147483647&amp;v=beta&amp;t=41v_xVARntPsz_HgL21aJhqdb_XQBee5nligjpxhnlQ","View Creative")</f>
        <v>View Creative</v>
      </c>
      <c r="L1251" s="4" t="s">
        <v>106</v>
      </c>
      <c r="M1251" s="4" t="s">
        <v>61</v>
      </c>
      <c r="O1251" s="4" t="s">
        <v>63</v>
      </c>
      <c r="P1251" s="4" t="s">
        <v>64</v>
      </c>
    </row>
    <row r="1252">
      <c r="A1252" s="4" t="s">
        <v>40</v>
      </c>
      <c r="B1252" s="4" t="s">
        <v>40</v>
      </c>
      <c r="C1252" s="4">
        <v>1250.0</v>
      </c>
      <c r="D1252" s="5" t="str">
        <f>HYPERLINK("https://www.linkedin.com/ad-library/detail/747985214","Open Ad")</f>
        <v>Open Ad</v>
      </c>
      <c r="E1252" s="4" t="s">
        <v>78</v>
      </c>
      <c r="F1252" s="4" t="s">
        <v>54</v>
      </c>
      <c r="G1252" s="4" t="s">
        <v>5258</v>
      </c>
      <c r="H1252" s="4" t="s">
        <v>49</v>
      </c>
      <c r="I1252" s="4" t="s">
        <v>661</v>
      </c>
      <c r="J1252" s="4" t="s">
        <v>78</v>
      </c>
      <c r="K1252" s="5" t="str">
        <f>HYPERLINK("https://media.licdn.com/dms/image/v2/D4E10AQHjyecGSLSJJw/image-shrink_1280/B4EZka4mBlIsAQ-/0/1757092668299?e=2147483647&amp;v=beta&amp;t=IMJVYzUuSSCiBvmxKwQ6v66b6NUP0arx4QvBNEhsv1U","View Creative")</f>
        <v>View Creative</v>
      </c>
      <c r="L1252" s="4" t="s">
        <v>106</v>
      </c>
      <c r="M1252" s="4" t="s">
        <v>61</v>
      </c>
      <c r="O1252" s="4" t="s">
        <v>63</v>
      </c>
      <c r="P1252" s="4" t="s">
        <v>64</v>
      </c>
    </row>
    <row r="1253">
      <c r="A1253" s="4" t="s">
        <v>40</v>
      </c>
      <c r="B1253" s="4" t="s">
        <v>40</v>
      </c>
      <c r="C1253" s="4">
        <v>1251.0</v>
      </c>
      <c r="D1253" s="5" t="str">
        <f>HYPERLINK("https://www.linkedin.com/ad-library/detail/748063604","Open Ad")</f>
        <v>Open Ad</v>
      </c>
      <c r="E1253" s="4" t="s">
        <v>78</v>
      </c>
      <c r="F1253" s="4" t="s">
        <v>54</v>
      </c>
      <c r="G1253" s="4" t="s">
        <v>5263</v>
      </c>
      <c r="H1253" s="4" t="s">
        <v>49</v>
      </c>
      <c r="I1253" s="4" t="s">
        <v>661</v>
      </c>
      <c r="J1253" s="4" t="s">
        <v>78</v>
      </c>
      <c r="K1253" s="5" t="str">
        <f>HYPERLINK("https://media.licdn.com/dms/image/v2/D4E10AQGafJ6z4STExg/image-shrink_1280/B4EZka4mWHIQAM-/0/1757092669441?e=2147483647&amp;v=beta&amp;t=nMRcQl0npLG7Wih8nD2Yd_-ssSsiF-W-XH_8Xfl-S9A","View Creative")</f>
        <v>View Creative</v>
      </c>
      <c r="L1253" s="4" t="s">
        <v>106</v>
      </c>
      <c r="M1253" s="4" t="s">
        <v>61</v>
      </c>
      <c r="O1253" s="4" t="s">
        <v>63</v>
      </c>
      <c r="P1253" s="4" t="s">
        <v>64</v>
      </c>
    </row>
    <row r="1254">
      <c r="A1254" s="4" t="s">
        <v>40</v>
      </c>
      <c r="B1254" s="4" t="s">
        <v>40</v>
      </c>
      <c r="C1254" s="4">
        <v>1252.0</v>
      </c>
      <c r="D1254" s="5" t="str">
        <f>HYPERLINK("https://www.linkedin.com/ad-library/detail/747955164","Open Ad")</f>
        <v>Open Ad</v>
      </c>
      <c r="E1254" s="4" t="s">
        <v>78</v>
      </c>
      <c r="F1254" s="4" t="s">
        <v>54</v>
      </c>
      <c r="G1254" s="4" t="s">
        <v>5258</v>
      </c>
      <c r="H1254" s="4" t="s">
        <v>49</v>
      </c>
      <c r="I1254" s="4" t="s">
        <v>661</v>
      </c>
      <c r="J1254" s="4" t="s">
        <v>78</v>
      </c>
      <c r="K1254" s="5" t="str">
        <f>HYPERLINK("https://media.licdn.com/dms/image/v2/D4E10AQGRMucq_-BBjA/image-shrink_1280/B4EZka4l7GIwAQ-/0/1757092667912?e=2147483647&amp;v=beta&amp;t=t0Qx8Xfr7N-KzWwLZPCV540YCtQ_t77pB8SQIhrGFnc","View Creative")</f>
        <v>View Creative</v>
      </c>
      <c r="L1254" s="4" t="s">
        <v>106</v>
      </c>
      <c r="M1254" s="4" t="s">
        <v>61</v>
      </c>
      <c r="O1254" s="4" t="s">
        <v>63</v>
      </c>
      <c r="P1254" s="4" t="s">
        <v>64</v>
      </c>
    </row>
    <row r="1255">
      <c r="A1255" s="4" t="s">
        <v>40</v>
      </c>
      <c r="B1255" s="4" t="s">
        <v>40</v>
      </c>
      <c r="C1255" s="4">
        <v>1253.0</v>
      </c>
      <c r="D1255" s="5" t="str">
        <f>HYPERLINK("https://www.linkedin.com/ad-library/detail/747985204","Open Ad")</f>
        <v>Open Ad</v>
      </c>
      <c r="E1255" s="4" t="s">
        <v>78</v>
      </c>
      <c r="F1255" s="4" t="s">
        <v>54</v>
      </c>
      <c r="G1255" s="4" t="s">
        <v>5263</v>
      </c>
      <c r="H1255" s="4" t="s">
        <v>49</v>
      </c>
      <c r="I1255" s="4" t="s">
        <v>661</v>
      </c>
      <c r="J1255" s="4" t="s">
        <v>78</v>
      </c>
      <c r="K1255" s="5" t="str">
        <f>HYPERLINK("https://media.licdn.com/dms/image/v2/D4E10AQHJTWYhmBwvCA/image-shrink_1280/B4EZka4l67IoAQ-/0/1757092667871?e=2147483647&amp;v=beta&amp;t=OEty6mu49-0v78uO4lcRVO0WmHjQaSd8Rsywmw06-jM","View Creative")</f>
        <v>View Creative</v>
      </c>
      <c r="L1255" s="4" t="s">
        <v>106</v>
      </c>
      <c r="M1255" s="4" t="s">
        <v>61</v>
      </c>
      <c r="O1255" s="4" t="s">
        <v>63</v>
      </c>
      <c r="P1255" s="4" t="s">
        <v>64</v>
      </c>
    </row>
    <row r="1256">
      <c r="A1256" s="4" t="s">
        <v>40</v>
      </c>
      <c r="B1256" s="4" t="s">
        <v>40</v>
      </c>
      <c r="C1256" s="4">
        <v>1254.0</v>
      </c>
      <c r="D1256" s="5" t="str">
        <f>HYPERLINK("https://www.linkedin.com/ad-library/detail/748054484","Open Ad")</f>
        <v>Open Ad</v>
      </c>
      <c r="E1256" s="4" t="s">
        <v>78</v>
      </c>
      <c r="F1256" s="4" t="s">
        <v>54</v>
      </c>
      <c r="G1256" s="4" t="s">
        <v>5258</v>
      </c>
      <c r="H1256" s="4" t="s">
        <v>49</v>
      </c>
      <c r="I1256" s="4" t="s">
        <v>661</v>
      </c>
      <c r="J1256" s="4" t="s">
        <v>78</v>
      </c>
      <c r="K1256" s="5" t="str">
        <f>HYPERLINK("https://media.licdn.com/dms/image/v2/D4E10AQHEwacyLTySGw/image-shrink_1280/B4EZka4mA8IwAQ-/0/1757092668086?e=2147483647&amp;v=beta&amp;t=7XbIAKMZye0LpPHn7MCtIwtFYcGJItwJzcNbECn8Qts","View Creative")</f>
        <v>View Creative</v>
      </c>
      <c r="L1256" s="4" t="s">
        <v>106</v>
      </c>
      <c r="M1256" s="4" t="s">
        <v>61</v>
      </c>
      <c r="O1256" s="4" t="s">
        <v>63</v>
      </c>
      <c r="P1256" s="4" t="s">
        <v>64</v>
      </c>
    </row>
    <row r="1257">
      <c r="A1257" s="4" t="s">
        <v>40</v>
      </c>
      <c r="B1257" s="4" t="s">
        <v>40</v>
      </c>
      <c r="C1257" s="4">
        <v>1255.0</v>
      </c>
      <c r="D1257" s="5" t="str">
        <f>HYPERLINK("https://www.linkedin.com/ad-library/detail/748014794","Open Ad")</f>
        <v>Open Ad</v>
      </c>
      <c r="E1257" s="4" t="s">
        <v>78</v>
      </c>
      <c r="F1257" s="4" t="s">
        <v>54</v>
      </c>
      <c r="G1257" s="4" t="s">
        <v>5263</v>
      </c>
      <c r="H1257" s="4" t="s">
        <v>49</v>
      </c>
      <c r="I1257" s="4" t="s">
        <v>661</v>
      </c>
      <c r="J1257" s="4" t="s">
        <v>78</v>
      </c>
      <c r="K1257" s="5" t="str">
        <f>HYPERLINK("https://media.licdn.com/dms/image/v2/D4E10AQFkosrLrGwMZg/image-shrink_1280/B4EZka4mCHHgAQ-/0/1757092668256?e=2147483647&amp;v=beta&amp;t=b4ox-Hm-qRL9L5AFuWRC_QdFOAv7qurYBI-YSvo5k9I","View Creative")</f>
        <v>View Creative</v>
      </c>
      <c r="L1257" s="4" t="s">
        <v>106</v>
      </c>
      <c r="M1257" s="4" t="s">
        <v>61</v>
      </c>
      <c r="O1257" s="4" t="s">
        <v>63</v>
      </c>
      <c r="P1257" s="4" t="s">
        <v>64</v>
      </c>
    </row>
    <row r="1258">
      <c r="A1258" s="4" t="s">
        <v>40</v>
      </c>
      <c r="B1258" s="4" t="s">
        <v>40</v>
      </c>
      <c r="C1258" s="4">
        <v>1256.0</v>
      </c>
      <c r="D1258" s="5" t="str">
        <f>HYPERLINK("https://www.linkedin.com/ad-library/detail/748014784","Open Ad")</f>
        <v>Open Ad</v>
      </c>
      <c r="E1258" s="4" t="s">
        <v>78</v>
      </c>
      <c r="F1258" s="4" t="s">
        <v>54</v>
      </c>
      <c r="G1258" s="4" t="s">
        <v>5263</v>
      </c>
      <c r="H1258" s="4" t="s">
        <v>49</v>
      </c>
      <c r="I1258" s="4" t="s">
        <v>661</v>
      </c>
      <c r="J1258" s="4" t="s">
        <v>78</v>
      </c>
      <c r="K1258" s="5" t="str">
        <f>HYPERLINK("https://media.licdn.com/dms/image/v2/D4E10AQFE_kaxkjucDA/image-shrink_1280/B4EZka4l_GIkAQ-/0/1757092668228?e=2147483647&amp;v=beta&amp;t=n1Ln2rUahMEcnRgvnCOXybAgP1wHjwDaaxuDUfT57xE","View Creative")</f>
        <v>View Creative</v>
      </c>
      <c r="L1258" s="4" t="s">
        <v>106</v>
      </c>
      <c r="M1258" s="4" t="s">
        <v>61</v>
      </c>
      <c r="O1258" s="4" t="s">
        <v>63</v>
      </c>
      <c r="P1258" s="4" t="s">
        <v>64</v>
      </c>
    </row>
    <row r="1259">
      <c r="A1259" s="4" t="s">
        <v>40</v>
      </c>
      <c r="B1259" s="4" t="s">
        <v>40</v>
      </c>
      <c r="C1259" s="4">
        <v>1257.0</v>
      </c>
      <c r="D1259" s="5" t="str">
        <f>HYPERLINK("https://www.linkedin.com/ad-library/detail/748014774","Open Ad")</f>
        <v>Open Ad</v>
      </c>
      <c r="E1259" s="4" t="s">
        <v>78</v>
      </c>
      <c r="F1259" s="4" t="s">
        <v>54</v>
      </c>
      <c r="G1259" s="4" t="s">
        <v>5258</v>
      </c>
      <c r="H1259" s="4" t="s">
        <v>49</v>
      </c>
      <c r="I1259" s="4" t="s">
        <v>661</v>
      </c>
      <c r="J1259" s="4" t="s">
        <v>78</v>
      </c>
      <c r="K1259" s="5" t="str">
        <f>HYPERLINK("https://media.licdn.com/dms/image/v2/D4E10AQFu72G-L-87sw/image-shrink_1280/B4EZka4g.bIsAQ-/0/1757092647507?e=2147483647&amp;v=beta&amp;t=WF-bl68-KErhv9gRb7tcAMlintlGdQaOeG1YweO-o88","View Creative")</f>
        <v>View Creative</v>
      </c>
      <c r="L1259" s="4" t="s">
        <v>106</v>
      </c>
      <c r="M1259" s="4" t="s">
        <v>61</v>
      </c>
      <c r="O1259" s="4" t="s">
        <v>63</v>
      </c>
      <c r="P1259" s="4" t="s">
        <v>64</v>
      </c>
    </row>
    <row r="1260">
      <c r="A1260" s="4" t="s">
        <v>40</v>
      </c>
      <c r="B1260" s="4" t="s">
        <v>40</v>
      </c>
      <c r="C1260" s="4">
        <v>1258.0</v>
      </c>
      <c r="D1260" s="5" t="str">
        <f>HYPERLINK("https://www.linkedin.com/ad-library/detail/748063594","Open Ad")</f>
        <v>Open Ad</v>
      </c>
      <c r="E1260" s="4" t="s">
        <v>78</v>
      </c>
      <c r="F1260" s="4" t="s">
        <v>54</v>
      </c>
      <c r="G1260" s="4" t="s">
        <v>5258</v>
      </c>
      <c r="H1260" s="4" t="s">
        <v>49</v>
      </c>
      <c r="I1260" s="4" t="s">
        <v>661</v>
      </c>
      <c r="J1260" s="4" t="s">
        <v>78</v>
      </c>
      <c r="K1260" s="5" t="str">
        <f>HYPERLINK("https://media.licdn.com/dms/image/v2/D4E10AQHplksnnvgivg/image-shrink_1280/B4EZka4emJGwAM-/0/1757092638318?e=2147483647&amp;v=beta&amp;t=UfeSIf5QAFfBW7vaPwHBToqeeYD6wxifS-_1y-F-rf4","View Creative")</f>
        <v>View Creative</v>
      </c>
      <c r="L1260" s="4" t="s">
        <v>106</v>
      </c>
      <c r="M1260" s="4" t="s">
        <v>61</v>
      </c>
      <c r="O1260" s="4" t="s">
        <v>63</v>
      </c>
      <c r="P1260" s="4" t="s">
        <v>64</v>
      </c>
    </row>
    <row r="1261">
      <c r="A1261" s="4" t="s">
        <v>40</v>
      </c>
      <c r="B1261" s="4" t="s">
        <v>40</v>
      </c>
      <c r="C1261" s="4">
        <v>1259.0</v>
      </c>
      <c r="D1261" s="5" t="str">
        <f>HYPERLINK("https://www.linkedin.com/ad-library/detail/747955134","Open Ad")</f>
        <v>Open Ad</v>
      </c>
      <c r="E1261" s="4" t="s">
        <v>78</v>
      </c>
      <c r="F1261" s="4" t="s">
        <v>54</v>
      </c>
      <c r="G1261" s="4" t="s">
        <v>5263</v>
      </c>
      <c r="H1261" s="4" t="s">
        <v>49</v>
      </c>
      <c r="I1261" s="4" t="s">
        <v>661</v>
      </c>
      <c r="J1261" s="4" t="s">
        <v>78</v>
      </c>
      <c r="K1261" s="5" t="str">
        <f>HYPERLINK("https://media.licdn.com/dms/image/v2/D4E10AQEVghX2eVF68Q/image-shrink_1280/B4EZka4eriGcAM-/0/1757092638351?e=2147483647&amp;v=beta&amp;t=DZEnFI54UiSpLpxp2X9B40_WHbrTnqICMWH_DXebrAk","View Creative")</f>
        <v>View Creative</v>
      </c>
      <c r="L1261" s="4" t="s">
        <v>106</v>
      </c>
      <c r="M1261" s="4" t="s">
        <v>61</v>
      </c>
      <c r="O1261" s="4" t="s">
        <v>63</v>
      </c>
      <c r="P1261" s="4" t="s">
        <v>64</v>
      </c>
    </row>
    <row r="1262">
      <c r="A1262" s="4" t="s">
        <v>40</v>
      </c>
      <c r="B1262" s="4" t="s">
        <v>40</v>
      </c>
      <c r="C1262" s="4">
        <v>1260.0</v>
      </c>
      <c r="D1262" s="5" t="str">
        <f>HYPERLINK("https://www.linkedin.com/ad-library/detail/748014754","Open Ad")</f>
        <v>Open Ad</v>
      </c>
      <c r="E1262" s="4" t="s">
        <v>78</v>
      </c>
      <c r="F1262" s="4" t="s">
        <v>54</v>
      </c>
      <c r="G1262" s="4" t="s">
        <v>5263</v>
      </c>
      <c r="H1262" s="4" t="s">
        <v>49</v>
      </c>
      <c r="I1262" s="4" t="s">
        <v>661</v>
      </c>
      <c r="J1262" s="4" t="s">
        <v>78</v>
      </c>
      <c r="K1262" s="5" t="str">
        <f>HYPERLINK("https://media.licdn.com/dms/image/v2/D4E10AQEr3OZ6WdTzdQ/image-shrink_1280/B4EZka4f17HEAM-/0/1757092642897?e=2147483647&amp;v=beta&amp;t=iIPdVFNHfYgMnnagXfdULmBvE_QRbwqM8E0Z5eJeXEc","View Creative")</f>
        <v>View Creative</v>
      </c>
      <c r="L1262" s="4" t="s">
        <v>106</v>
      </c>
      <c r="M1262" s="4" t="s">
        <v>61</v>
      </c>
      <c r="O1262" s="4" t="s">
        <v>63</v>
      </c>
      <c r="P1262" s="4" t="s">
        <v>64</v>
      </c>
    </row>
    <row r="1263">
      <c r="A1263" s="4" t="s">
        <v>40</v>
      </c>
      <c r="B1263" s="4" t="s">
        <v>40</v>
      </c>
      <c r="C1263" s="4">
        <v>1261.0</v>
      </c>
      <c r="D1263" s="5" t="str">
        <f>HYPERLINK("https://www.linkedin.com/ad-library/detail/747975134","Open Ad")</f>
        <v>Open Ad</v>
      </c>
      <c r="E1263" s="4" t="s">
        <v>78</v>
      </c>
      <c r="F1263" s="4" t="s">
        <v>54</v>
      </c>
      <c r="G1263" s="4" t="s">
        <v>5263</v>
      </c>
      <c r="H1263" s="4" t="s">
        <v>49</v>
      </c>
      <c r="I1263" s="4" t="s">
        <v>661</v>
      </c>
      <c r="J1263" s="4" t="s">
        <v>78</v>
      </c>
      <c r="K1263" s="5" t="str">
        <f>HYPERLINK("https://media.licdn.com/dms/image/v2/D4E10AQGB0Ma0ZwhfCA/image-shrink_1280/B4EZka4twPIsAQ-/0/1757092699990?e=2147483647&amp;v=beta&amp;t=t2rEZK8YhAMAyu2RN3V4ZPetgKKapB7UMsPpbjCr7Do","View Creative")</f>
        <v>View Creative</v>
      </c>
      <c r="L1263" s="4" t="s">
        <v>106</v>
      </c>
      <c r="M1263" s="4" t="s">
        <v>61</v>
      </c>
      <c r="O1263" s="4" t="s">
        <v>63</v>
      </c>
      <c r="P1263" s="4" t="s">
        <v>64</v>
      </c>
    </row>
    <row r="1264">
      <c r="A1264" s="4" t="s">
        <v>40</v>
      </c>
      <c r="B1264" s="4" t="s">
        <v>40</v>
      </c>
      <c r="C1264" s="4">
        <v>1262.0</v>
      </c>
      <c r="D1264" s="5" t="str">
        <f>HYPERLINK("https://www.linkedin.com/ad-library/detail/747955144","Open Ad")</f>
        <v>Open Ad</v>
      </c>
      <c r="E1264" s="4" t="s">
        <v>78</v>
      </c>
      <c r="F1264" s="4" t="s">
        <v>54</v>
      </c>
      <c r="G1264" s="4" t="s">
        <v>5258</v>
      </c>
      <c r="H1264" s="4" t="s">
        <v>49</v>
      </c>
      <c r="I1264" s="4" t="s">
        <v>661</v>
      </c>
      <c r="J1264" s="4" t="s">
        <v>78</v>
      </c>
      <c r="K1264" s="5" t="str">
        <f>HYPERLINK("https://media.licdn.com/dms/image/v2/D4E10AQF3du4kqj75qA/image-shrink_1280/B4EZka4ev9GwAM-/0/1757092638328?e=2147483647&amp;v=beta&amp;t=LbNPlXHym1sV2jSroo-YPAoSIx3FJT55pjQa7DexonU","View Creative")</f>
        <v>View Creative</v>
      </c>
      <c r="L1264" s="4" t="s">
        <v>106</v>
      </c>
      <c r="M1264" s="4" t="s">
        <v>61</v>
      </c>
      <c r="O1264" s="4" t="s">
        <v>63</v>
      </c>
      <c r="P1264" s="4" t="s">
        <v>64</v>
      </c>
    </row>
    <row r="1265">
      <c r="A1265" s="4" t="s">
        <v>40</v>
      </c>
      <c r="B1265" s="4" t="s">
        <v>40</v>
      </c>
      <c r="C1265" s="4">
        <v>1263.0</v>
      </c>
      <c r="D1265" s="5" t="str">
        <f>HYPERLINK("https://www.linkedin.com/ad-library/detail/748045054","Open Ad")</f>
        <v>Open Ad</v>
      </c>
      <c r="E1265" s="4" t="s">
        <v>78</v>
      </c>
      <c r="F1265" s="4" t="s">
        <v>54</v>
      </c>
      <c r="G1265" s="4" t="s">
        <v>5258</v>
      </c>
      <c r="H1265" s="4" t="s">
        <v>49</v>
      </c>
      <c r="I1265" s="4" t="s">
        <v>661</v>
      </c>
      <c r="J1265" s="4" t="s">
        <v>78</v>
      </c>
      <c r="K1265" s="5" t="str">
        <f>HYPERLINK("https://media.licdn.com/dms/image/v2/D4E10AQE_-w3rZCjNAA/image-shrink_1280/B4EZka4tumGYAM-/0/1757092700307?e=2147483647&amp;v=beta&amp;t=I2ZzOKWKa1JuN8l0MKyQZW5iKp6YyCXQoBleo3XBxbc","View Creative")</f>
        <v>View Creative</v>
      </c>
      <c r="L1265" s="4" t="s">
        <v>106</v>
      </c>
      <c r="M1265" s="4" t="s">
        <v>61</v>
      </c>
      <c r="O1265" s="4" t="s">
        <v>63</v>
      </c>
      <c r="P1265" s="4" t="s">
        <v>64</v>
      </c>
    </row>
    <row r="1266">
      <c r="A1266" s="4" t="s">
        <v>40</v>
      </c>
      <c r="B1266" s="4" t="s">
        <v>40</v>
      </c>
      <c r="C1266" s="4">
        <v>1264.0</v>
      </c>
      <c r="D1266" s="5" t="str">
        <f>HYPERLINK("https://www.linkedin.com/ad-library/detail/748024764","Open Ad")</f>
        <v>Open Ad</v>
      </c>
      <c r="E1266" s="4" t="s">
        <v>78</v>
      </c>
      <c r="F1266" s="4" t="s">
        <v>54</v>
      </c>
      <c r="G1266" s="4" t="s">
        <v>5258</v>
      </c>
      <c r="H1266" s="4" t="s">
        <v>49</v>
      </c>
      <c r="I1266" s="4" t="s">
        <v>661</v>
      </c>
      <c r="J1266" s="4" t="s">
        <v>78</v>
      </c>
      <c r="K1266" s="5" t="str">
        <f>HYPERLINK("https://media.licdn.com/dms/image/v2/D4E10AQGHv0nfMQo6RQ/image-shrink_1280/B4EZka4tqqIwAM-/0/1757092699651?e=2147483647&amp;v=beta&amp;t=VeMIyDGgb2NeRZT1yXoK5Hk9JXJqci0EnSm27oCGfwc","View Creative")</f>
        <v>View Creative</v>
      </c>
      <c r="L1266" s="4" t="s">
        <v>106</v>
      </c>
      <c r="M1266" s="4" t="s">
        <v>61</v>
      </c>
      <c r="O1266" s="4" t="s">
        <v>63</v>
      </c>
      <c r="P1266" s="4" t="s">
        <v>64</v>
      </c>
    </row>
    <row r="1267">
      <c r="A1267" s="4" t="s">
        <v>40</v>
      </c>
      <c r="B1267" s="4" t="s">
        <v>40</v>
      </c>
      <c r="C1267" s="4">
        <v>1265.0</v>
      </c>
      <c r="D1267" s="5" t="str">
        <f>HYPERLINK("https://www.linkedin.com/ad-library/detail/747925784","Open Ad")</f>
        <v>Open Ad</v>
      </c>
      <c r="E1267" s="4" t="s">
        <v>78</v>
      </c>
      <c r="F1267" s="4" t="s">
        <v>54</v>
      </c>
      <c r="G1267" s="4" t="s">
        <v>5263</v>
      </c>
      <c r="H1267" s="4" t="s">
        <v>49</v>
      </c>
      <c r="I1267" s="4" t="s">
        <v>661</v>
      </c>
      <c r="J1267" s="4" t="s">
        <v>78</v>
      </c>
      <c r="K1267" s="5" t="str">
        <f>HYPERLINK("https://media.licdn.com/dms/image/v2/D4E10AQECIrHUSKMxOQ/image-shrink_1280/B4EZka4tuJIUAM-/0/1757092699825?e=2147483647&amp;v=beta&amp;t=Lx544Lmbx_-sU3zMYj933RwDLezWmoD8rpDBJ3GApT0","View Creative")</f>
        <v>View Creative</v>
      </c>
      <c r="L1267" s="4" t="s">
        <v>106</v>
      </c>
      <c r="M1267" s="4" t="s">
        <v>61</v>
      </c>
      <c r="O1267" s="4" t="s">
        <v>63</v>
      </c>
      <c r="P1267" s="4" t="s">
        <v>64</v>
      </c>
    </row>
    <row r="1268">
      <c r="A1268" s="4" t="s">
        <v>40</v>
      </c>
      <c r="B1268" s="4" t="s">
        <v>40</v>
      </c>
      <c r="C1268" s="4">
        <v>1266.0</v>
      </c>
      <c r="D1268" s="5" t="str">
        <f>HYPERLINK("https://www.linkedin.com/ad-library/detail/747925774","Open Ad")</f>
        <v>Open Ad</v>
      </c>
      <c r="E1268" s="4" t="s">
        <v>78</v>
      </c>
      <c r="F1268" s="4" t="s">
        <v>54</v>
      </c>
      <c r="G1268" s="4" t="s">
        <v>5258</v>
      </c>
      <c r="H1268" s="4" t="s">
        <v>49</v>
      </c>
      <c r="I1268" s="4" t="s">
        <v>661</v>
      </c>
      <c r="J1268" s="4" t="s">
        <v>78</v>
      </c>
      <c r="K1268" s="5" t="str">
        <f>HYPERLINK("https://media.licdn.com/dms/image/v2/D4E10AQHc2qr0Y1XMcQ/image-shrink_1280/B4EZka4esZIIAQ-/0/1757092638715?e=2147483647&amp;v=beta&amp;t=bxu90Lo-Fwe_PRHDkW8--kbBEYdpeSd5FLULVfjKQDc","View Creative")</f>
        <v>View Creative</v>
      </c>
      <c r="L1268" s="4" t="s">
        <v>106</v>
      </c>
      <c r="M1268" s="4" t="s">
        <v>61</v>
      </c>
      <c r="O1268" s="4" t="s">
        <v>63</v>
      </c>
      <c r="P1268" s="4" t="s">
        <v>64</v>
      </c>
    </row>
    <row r="1269">
      <c r="A1269" s="4" t="s">
        <v>40</v>
      </c>
      <c r="B1269" s="4" t="s">
        <v>40</v>
      </c>
      <c r="C1269" s="4">
        <v>1267.0</v>
      </c>
      <c r="D1269" s="5" t="str">
        <f>HYPERLINK("https://www.linkedin.com/ad-library/detail/747985194","Open Ad")</f>
        <v>Open Ad</v>
      </c>
      <c r="E1269" s="4" t="s">
        <v>78</v>
      </c>
      <c r="F1269" s="4" t="s">
        <v>54</v>
      </c>
      <c r="G1269" s="4" t="s">
        <v>5263</v>
      </c>
      <c r="H1269" s="4" t="s">
        <v>49</v>
      </c>
      <c r="I1269" s="4" t="s">
        <v>661</v>
      </c>
      <c r="J1269" s="4" t="s">
        <v>78</v>
      </c>
      <c r="K1269" s="5" t="str">
        <f>HYPERLINK("https://media.licdn.com/dms/image/v2/D4E10AQHgB0yRBYLkgQ/image-shrink_1280/B4EZka4eo7HEAQ-/0/1757092638269?e=2147483647&amp;v=beta&amp;t=zlap1nZSXPMZXQ87I3P4DrtNWOr-hGt4uEv7XMCxgv0","View Creative")</f>
        <v>View Creative</v>
      </c>
      <c r="L1269" s="4" t="s">
        <v>106</v>
      </c>
      <c r="M1269" s="4" t="s">
        <v>61</v>
      </c>
      <c r="O1269" s="4" t="s">
        <v>63</v>
      </c>
      <c r="P1269" s="4" t="s">
        <v>64</v>
      </c>
    </row>
    <row r="1270">
      <c r="A1270" s="4" t="s">
        <v>40</v>
      </c>
      <c r="B1270" s="4" t="s">
        <v>40</v>
      </c>
      <c r="C1270" s="4">
        <v>1268.0</v>
      </c>
      <c r="D1270" s="5" t="str">
        <f>HYPERLINK("https://www.linkedin.com/ad-library/detail/748004554","Open Ad")</f>
        <v>Open Ad</v>
      </c>
      <c r="E1270" s="4" t="s">
        <v>78</v>
      </c>
      <c r="F1270" s="4" t="s">
        <v>54</v>
      </c>
      <c r="G1270" s="4" t="s">
        <v>5263</v>
      </c>
      <c r="H1270" s="4" t="s">
        <v>49</v>
      </c>
      <c r="I1270" s="4" t="s">
        <v>661</v>
      </c>
      <c r="J1270" s="4" t="s">
        <v>78</v>
      </c>
      <c r="K1270" s="5" t="str">
        <f>HYPERLINK("https://media.licdn.com/dms/image/v2/D4E10AQFJfBjELPXRsQ/image-shrink_1280/B4EZka4oyMIQAM-/0/1757092679495?e=2147483647&amp;v=beta&amp;t=8BFM5h4iF2vFpAQoP8lkWwoshOrJFsBiuBw7SOvL7ek","View Creative")</f>
        <v>View Creative</v>
      </c>
      <c r="L1270" s="4" t="s">
        <v>106</v>
      </c>
      <c r="M1270" s="4" t="s">
        <v>61</v>
      </c>
      <c r="O1270" s="4" t="s">
        <v>63</v>
      </c>
      <c r="P1270" s="4" t="s">
        <v>64</v>
      </c>
    </row>
    <row r="1271">
      <c r="A1271" s="4" t="s">
        <v>40</v>
      </c>
      <c r="B1271" s="4" t="s">
        <v>40</v>
      </c>
      <c r="C1271" s="4">
        <v>1269.0</v>
      </c>
      <c r="D1271" s="5" t="str">
        <f>HYPERLINK("https://www.linkedin.com/ad-library/detail/747935904","Open Ad")</f>
        <v>Open Ad</v>
      </c>
      <c r="E1271" s="4" t="s">
        <v>78</v>
      </c>
      <c r="F1271" s="4" t="s">
        <v>54</v>
      </c>
      <c r="G1271" s="4" t="s">
        <v>5263</v>
      </c>
      <c r="H1271" s="4" t="s">
        <v>49</v>
      </c>
      <c r="I1271" s="4" t="s">
        <v>661</v>
      </c>
      <c r="J1271" s="4" t="s">
        <v>78</v>
      </c>
      <c r="K1271" s="5" t="str">
        <f>HYPERLINK("https://media.licdn.com/dms/image/v2/D4E10AQG5ZuZQR2Smvw/image-shrink_1280/B4EZka4t4BHoAM-/0/1757092700402?e=2147483647&amp;v=beta&amp;t=rQ5x10eCF5JPbvrlZcPuyKl7Xbka9XF8OcCOg4BRTyw","View Creative")</f>
        <v>View Creative</v>
      </c>
      <c r="L1271" s="4" t="s">
        <v>106</v>
      </c>
      <c r="M1271" s="4" t="s">
        <v>61</v>
      </c>
      <c r="O1271" s="4" t="s">
        <v>63</v>
      </c>
      <c r="P1271" s="4" t="s">
        <v>64</v>
      </c>
    </row>
    <row r="1272">
      <c r="A1272" s="4" t="s">
        <v>40</v>
      </c>
      <c r="B1272" s="4" t="s">
        <v>40</v>
      </c>
      <c r="C1272" s="4">
        <v>1270.0</v>
      </c>
      <c r="D1272" s="5" t="str">
        <f>HYPERLINK("https://www.linkedin.com/ad-library/detail/747985234","Open Ad")</f>
        <v>Open Ad</v>
      </c>
      <c r="E1272" s="4" t="s">
        <v>78</v>
      </c>
      <c r="F1272" s="4" t="s">
        <v>54</v>
      </c>
      <c r="G1272" s="4" t="s">
        <v>5258</v>
      </c>
      <c r="H1272" s="4" t="s">
        <v>49</v>
      </c>
      <c r="I1272" s="4" t="s">
        <v>661</v>
      </c>
      <c r="J1272" s="4" t="s">
        <v>78</v>
      </c>
      <c r="K1272" s="5" t="str">
        <f>HYPERLINK("https://media.licdn.com/dms/image/v2/D4E10AQG213zXx-WfDA/image-shrink_1280/B4EZka4t9MHoAM-/0/1757092700813?e=2147483647&amp;v=beta&amp;t=6QQ-4WhqvSR-5v_JbrIxVH2ohafvenBsnI1_PD_CfUc","View Creative")</f>
        <v>View Creative</v>
      </c>
      <c r="L1272" s="4" t="s">
        <v>106</v>
      </c>
      <c r="M1272" s="4" t="s">
        <v>61</v>
      </c>
      <c r="O1272" s="4" t="s">
        <v>63</v>
      </c>
      <c r="P1272" s="4" t="s">
        <v>64</v>
      </c>
    </row>
    <row r="1273">
      <c r="A1273" s="4" t="s">
        <v>40</v>
      </c>
      <c r="B1273" s="4" t="s">
        <v>40</v>
      </c>
      <c r="C1273" s="4">
        <v>1271.0</v>
      </c>
      <c r="D1273" s="5" t="str">
        <f>HYPERLINK("https://www.linkedin.com/ad-library/detail/747965034","Open Ad")</f>
        <v>Open Ad</v>
      </c>
      <c r="E1273" s="4" t="s">
        <v>78</v>
      </c>
      <c r="F1273" s="4" t="s">
        <v>54</v>
      </c>
      <c r="G1273" s="4" t="s">
        <v>5258</v>
      </c>
      <c r="H1273" s="4" t="s">
        <v>49</v>
      </c>
      <c r="I1273" s="4" t="s">
        <v>661</v>
      </c>
      <c r="J1273" s="4" t="s">
        <v>78</v>
      </c>
      <c r="K1273" s="5" t="str">
        <f>HYPERLINK("https://media.licdn.com/dms/image/v2/D4E10AQGMit0Uu0aYIg/image-shrink_1280/B4EZka4l.aGwAQ-/0/1757092668031?e=2147483647&amp;v=beta&amp;t=CirDYHgbq6DuJuD4YB5T68cDaZGGXSdv6pFPzC4W0Ec","View Creative")</f>
        <v>View Creative</v>
      </c>
      <c r="L1273" s="4" t="s">
        <v>106</v>
      </c>
      <c r="M1273" s="4" t="s">
        <v>61</v>
      </c>
      <c r="O1273" s="4" t="s">
        <v>63</v>
      </c>
      <c r="P1273" s="4" t="s">
        <v>64</v>
      </c>
    </row>
    <row r="1274">
      <c r="A1274" s="4" t="s">
        <v>40</v>
      </c>
      <c r="B1274" s="4" t="s">
        <v>40</v>
      </c>
      <c r="C1274" s="4">
        <v>1272.0</v>
      </c>
      <c r="D1274" s="5" t="str">
        <f>HYPERLINK("https://www.linkedin.com/ad-library/detail/747985224","Open Ad")</f>
        <v>Open Ad</v>
      </c>
      <c r="E1274" s="4" t="s">
        <v>78</v>
      </c>
      <c r="F1274" s="4" t="s">
        <v>54</v>
      </c>
      <c r="G1274" s="4" t="s">
        <v>5258</v>
      </c>
      <c r="H1274" s="4" t="s">
        <v>49</v>
      </c>
      <c r="I1274" s="4" t="s">
        <v>661</v>
      </c>
      <c r="J1274" s="4" t="s">
        <v>78</v>
      </c>
      <c r="K1274" s="5" t="str">
        <f>HYPERLINK("https://media.licdn.com/dms/image/v2/D4E10AQFqikxP6ZjopA/image-shrink_1280/B4EZka4mCgIIAU-/0/1757092668413?e=2147483647&amp;v=beta&amp;t=w6CaMAIoGvhmhXK8hI0i74Gy2qcQgwJJoRsaAM50JpY","View Creative")</f>
        <v>View Creative</v>
      </c>
      <c r="L1274" s="4" t="s">
        <v>106</v>
      </c>
      <c r="M1274" s="4" t="s">
        <v>61</v>
      </c>
      <c r="O1274" s="4" t="s">
        <v>63</v>
      </c>
      <c r="P1274" s="4" t="s">
        <v>64</v>
      </c>
    </row>
    <row r="1275">
      <c r="A1275" s="4" t="s">
        <v>40</v>
      </c>
      <c r="B1275" s="4" t="s">
        <v>40</v>
      </c>
      <c r="C1275" s="4">
        <v>1273.0</v>
      </c>
      <c r="D1275" s="5" t="str">
        <f>HYPERLINK("https://www.linkedin.com/ad-library/detail/747930394","Open Ad")</f>
        <v>Open Ad</v>
      </c>
      <c r="E1275" s="4" t="s">
        <v>78</v>
      </c>
      <c r="F1275" s="4" t="s">
        <v>54</v>
      </c>
      <c r="G1275" s="4" t="s">
        <v>5466</v>
      </c>
      <c r="H1275" s="4" t="s">
        <v>49</v>
      </c>
      <c r="I1275" s="4" t="s">
        <v>661</v>
      </c>
      <c r="J1275" s="4" t="s">
        <v>78</v>
      </c>
      <c r="K1275" s="5" t="str">
        <f>HYPERLINK("https://media.licdn.com/dms/image/v2/D4E10AQFz-AcbW1f2tw/image-shrink_1280/B4EZkZqhKmIUAM-/0/1757072201665?e=2147483647&amp;v=beta&amp;t=K63NZ-hJO1dSgOWzl9iW3J0UH_XbheSOYlytjCm1xYY","View Creative")</f>
        <v>View Creative</v>
      </c>
      <c r="L1275" s="4" t="s">
        <v>106</v>
      </c>
      <c r="M1275" s="4" t="s">
        <v>61</v>
      </c>
      <c r="O1275" s="4" t="s">
        <v>63</v>
      </c>
      <c r="P1275" s="4" t="s">
        <v>64</v>
      </c>
    </row>
    <row r="1276">
      <c r="A1276" s="4" t="s">
        <v>40</v>
      </c>
      <c r="B1276" s="4" t="s">
        <v>40</v>
      </c>
      <c r="C1276" s="4">
        <v>1274.0</v>
      </c>
      <c r="D1276" s="5" t="str">
        <f>HYPERLINK("https://www.linkedin.com/ad-library/detail/747935894","Open Ad")</f>
        <v>Open Ad</v>
      </c>
      <c r="E1276" s="4" t="s">
        <v>78</v>
      </c>
      <c r="F1276" s="4" t="s">
        <v>54</v>
      </c>
      <c r="G1276" s="4" t="s">
        <v>5263</v>
      </c>
      <c r="H1276" s="4" t="s">
        <v>49</v>
      </c>
      <c r="I1276" s="4" t="s">
        <v>661</v>
      </c>
      <c r="J1276" s="4" t="s">
        <v>78</v>
      </c>
      <c r="K1276" s="5" t="str">
        <f>HYPERLINK("https://media.licdn.com/dms/image/v2/D4E10AQExDm0mEnf-gg/image-shrink_1280/B4EZka4eojGwAQ-/0/1757092638007?e=2147483647&amp;v=beta&amp;t=R6f9kMu8lFHm72yh-0KBPQhh7Zbw1_UWRXxkKVUZLUs","View Creative")</f>
        <v>View Creative</v>
      </c>
      <c r="L1276" s="4" t="s">
        <v>106</v>
      </c>
      <c r="M1276" s="4" t="s">
        <v>61</v>
      </c>
      <c r="O1276" s="4" t="s">
        <v>63</v>
      </c>
      <c r="P1276" s="4" t="s">
        <v>64</v>
      </c>
    </row>
    <row r="1277">
      <c r="A1277" s="4" t="s">
        <v>40</v>
      </c>
      <c r="B1277" s="4" t="s">
        <v>40</v>
      </c>
      <c r="C1277" s="4">
        <v>1275.0</v>
      </c>
      <c r="D1277" s="5" t="str">
        <f>HYPERLINK("https://www.linkedin.com/ad-library/detail/748034274","Open Ad")</f>
        <v>Open Ad</v>
      </c>
      <c r="E1277" s="4" t="s">
        <v>121</v>
      </c>
      <c r="F1277" s="4" t="s">
        <v>54</v>
      </c>
      <c r="G1277" s="4" t="s">
        <v>5379</v>
      </c>
      <c r="H1277" s="4" t="s">
        <v>49</v>
      </c>
      <c r="I1277" s="4" t="s">
        <v>661</v>
      </c>
      <c r="J1277" s="4" t="s">
        <v>121</v>
      </c>
      <c r="K1277" s="5" t="str">
        <f>HYPERLINK("https://dms.licdn.com/playlist/vid/v2/D4E10AQH2du-lVhXf1A/mp4-640p-30fp-crf28/B4EZkUDrb0GUBg-/0/1756978147128/261_AI_Search_Picked_Its_Winners_AIVisibilityIndex_1080x1920mp4?e=2147483647&amp;v=beta&amp;t=QsgNlVgTifnC64EKxCSaWu6maFSm-jLXjp4P2FGc2rI","View Creative")</f>
        <v>View Creative</v>
      </c>
      <c r="L1277" s="4" t="s">
        <v>106</v>
      </c>
      <c r="M1277" s="4" t="s">
        <v>61</v>
      </c>
      <c r="O1277" s="4" t="s">
        <v>63</v>
      </c>
      <c r="P1277" s="4" t="s">
        <v>64</v>
      </c>
    </row>
    <row r="1278">
      <c r="A1278" s="4" t="s">
        <v>40</v>
      </c>
      <c r="B1278" s="4" t="s">
        <v>40</v>
      </c>
      <c r="C1278" s="4">
        <v>1276.0</v>
      </c>
      <c r="D1278" s="5" t="str">
        <f>HYPERLINK("https://www.linkedin.com/ad-library/detail/747984734","Open Ad")</f>
        <v>Open Ad</v>
      </c>
      <c r="E1278" s="4" t="s">
        <v>78</v>
      </c>
      <c r="F1278" s="4" t="s">
        <v>54</v>
      </c>
      <c r="G1278" s="4" t="s">
        <v>5379</v>
      </c>
      <c r="H1278" s="4" t="s">
        <v>49</v>
      </c>
      <c r="I1278" s="4" t="s">
        <v>661</v>
      </c>
      <c r="J1278" s="4" t="s">
        <v>78</v>
      </c>
      <c r="K1278" s="5" t="str">
        <f>HYPERLINK("https://media.licdn.com/dms/image/v2/D4E10AQHFFMiUzmjyaA/image-shrink_1280/B4EZkUZbXcIkAM-/0/1756983834207?e=1789473600&amp;v=beta&amp;t=UzORqOyHF7Np4gYge2QzwZo3GUJL76nxTo4hcFKxwn4","View Creative")</f>
        <v>View Creative</v>
      </c>
      <c r="L1278" s="4" t="s">
        <v>106</v>
      </c>
      <c r="M1278" s="4" t="s">
        <v>61</v>
      </c>
      <c r="O1278" s="4" t="s">
        <v>63</v>
      </c>
      <c r="P1278" s="4" t="s">
        <v>64</v>
      </c>
    </row>
    <row r="1279">
      <c r="A1279" s="4" t="s">
        <v>40</v>
      </c>
      <c r="B1279" s="4" t="s">
        <v>40</v>
      </c>
      <c r="C1279" s="4">
        <v>1277.0</v>
      </c>
      <c r="D1279" s="5" t="str">
        <f>HYPERLINK("https://www.linkedin.com/ad-library/detail/747909314","Open Ad")</f>
        <v>Open Ad</v>
      </c>
      <c r="E1279" s="4" t="s">
        <v>78</v>
      </c>
      <c r="F1279" s="4" t="s">
        <v>54</v>
      </c>
      <c r="G1279" s="4" t="s">
        <v>5472</v>
      </c>
      <c r="H1279" s="4" t="s">
        <v>49</v>
      </c>
      <c r="I1279" s="4" t="s">
        <v>661</v>
      </c>
      <c r="J1279" s="4" t="s">
        <v>78</v>
      </c>
      <c r="K1279" s="5" t="str">
        <f>HYPERLINK("https://media.licdn.com/dms/image/v2/D4E10AQH9k66tuNtGrg/image-shrink_1280/B4EZkZqnCkIsAM-/0/1757072226835?e=2147483647&amp;v=beta&amp;t=JU1EnYbmpZzb8eHPj4Dytj2_LSGGa5hgD1vkYrjXHz8","View Creative")</f>
        <v>View Creative</v>
      </c>
      <c r="L1279" s="4" t="s">
        <v>106</v>
      </c>
      <c r="M1279" s="4" t="s">
        <v>61</v>
      </c>
      <c r="O1279" s="4" t="s">
        <v>63</v>
      </c>
      <c r="P1279" s="4" t="s">
        <v>64</v>
      </c>
    </row>
    <row r="1280">
      <c r="A1280" s="4" t="s">
        <v>40</v>
      </c>
      <c r="B1280" s="4" t="s">
        <v>40</v>
      </c>
      <c r="C1280" s="4">
        <v>1278.0</v>
      </c>
      <c r="D1280" s="5" t="str">
        <f>HYPERLINK("https://www.linkedin.com/ad-library/detail/747918604","Open Ad")</f>
        <v>Open Ad</v>
      </c>
      <c r="E1280" s="4" t="s">
        <v>78</v>
      </c>
      <c r="F1280" s="4" t="s">
        <v>54</v>
      </c>
      <c r="G1280" s="4" t="s">
        <v>5469</v>
      </c>
      <c r="H1280" s="4" t="s">
        <v>49</v>
      </c>
      <c r="I1280" s="4" t="s">
        <v>661</v>
      </c>
      <c r="J1280" s="4" t="s">
        <v>78</v>
      </c>
      <c r="K1280" s="5" t="str">
        <f>HYPERLINK("https://media.licdn.com/dms/image/v2/D4E10AQHB7pohO-JPBA/image-shrink_1280/B4EZkZqhdrIIAQ-/0/1757072202270?e=2147483647&amp;v=beta&amp;t=dbsr_LExpffdxJO4RGFmPg41L6Fpz3v4YEYtap7UTW4","View Creative")</f>
        <v>View Creative</v>
      </c>
      <c r="L1280" s="4" t="s">
        <v>106</v>
      </c>
      <c r="M1280" s="4" t="s">
        <v>61</v>
      </c>
      <c r="O1280" s="4" t="s">
        <v>63</v>
      </c>
      <c r="P1280" s="4" t="s">
        <v>64</v>
      </c>
    </row>
    <row r="1281">
      <c r="A1281" s="4" t="s">
        <v>40</v>
      </c>
      <c r="B1281" s="4" t="s">
        <v>40</v>
      </c>
      <c r="C1281" s="4">
        <v>1279.0</v>
      </c>
      <c r="D1281" s="5" t="str">
        <f>HYPERLINK("https://www.linkedin.com/ad-library/detail/748054234","Open Ad")</f>
        <v>Open Ad</v>
      </c>
      <c r="E1281" s="4" t="s">
        <v>121</v>
      </c>
      <c r="F1281" s="4" t="s">
        <v>54</v>
      </c>
      <c r="G1281" s="4" t="s">
        <v>5379</v>
      </c>
      <c r="H1281" s="4" t="s">
        <v>49</v>
      </c>
      <c r="I1281" s="4" t="s">
        <v>661</v>
      </c>
      <c r="J1281" s="4" t="s">
        <v>121</v>
      </c>
      <c r="K1281" s="5" t="str">
        <f>HYPERLINK("https://dms.licdn.com/playlist/vid/v2/D4E10AQH2du-lVhXf1A/mp4-640p-30fp-crf28/B4EZkUDrb0GUBg-/0/1756978147128/261_AI_Search_Picked_Its_Winners_AIVisibilityIndex_1080x1920mp4?e=2147483647&amp;v=beta&amp;t=QsgNlVgTifnC64EKxCSaWu6maFSm-jLXjp4P2FGc2rI","View Creative")</f>
        <v>View Creative</v>
      </c>
      <c r="L1281" s="4" t="s">
        <v>106</v>
      </c>
      <c r="M1281" s="4" t="s">
        <v>61</v>
      </c>
      <c r="O1281" s="4" t="s">
        <v>63</v>
      </c>
      <c r="P1281" s="4" t="s">
        <v>64</v>
      </c>
    </row>
    <row r="1282">
      <c r="A1282" s="4" t="s">
        <v>40</v>
      </c>
      <c r="B1282" s="4" t="s">
        <v>40</v>
      </c>
      <c r="C1282" s="4">
        <v>1280.0</v>
      </c>
      <c r="D1282" s="5" t="str">
        <f>HYPERLINK("https://www.linkedin.com/ad-library/detail/747950164","Open Ad")</f>
        <v>Open Ad</v>
      </c>
      <c r="E1282" s="4" t="s">
        <v>78</v>
      </c>
      <c r="F1282" s="4" t="s">
        <v>54</v>
      </c>
      <c r="G1282" s="4" t="s">
        <v>5469</v>
      </c>
      <c r="H1282" s="4" t="s">
        <v>49</v>
      </c>
      <c r="I1282" s="4" t="s">
        <v>661</v>
      </c>
      <c r="J1282" s="4" t="s">
        <v>78</v>
      </c>
      <c r="K1282" s="5" t="str">
        <f>HYPERLINK("https://media.licdn.com/dms/image/v2/D4E10AQFie8ptmUwHWg/image-shrink_1280/B4EZkZqnF3GwAM-/0/1757072225760?e=2147483647&amp;v=beta&amp;t=mxVYWuVtsayp6txGiGBq-NB-6Ll_Zp-MzpuR8KnDbiw","View Creative")</f>
        <v>View Creative</v>
      </c>
      <c r="L1282" s="4" t="s">
        <v>106</v>
      </c>
      <c r="M1282" s="4" t="s">
        <v>61</v>
      </c>
      <c r="O1282" s="4" t="s">
        <v>63</v>
      </c>
      <c r="P1282" s="4" t="s">
        <v>64</v>
      </c>
    </row>
    <row r="1283">
      <c r="A1283" s="4" t="s">
        <v>40</v>
      </c>
      <c r="B1283" s="4" t="s">
        <v>40</v>
      </c>
      <c r="C1283" s="4">
        <v>1281.0</v>
      </c>
      <c r="D1283" s="5" t="str">
        <f>HYPERLINK("https://www.linkedin.com/ad-library/detail/747979864","Open Ad")</f>
        <v>Open Ad</v>
      </c>
      <c r="E1283" s="4" t="s">
        <v>78</v>
      </c>
      <c r="F1283" s="4" t="s">
        <v>54</v>
      </c>
      <c r="G1283" s="4" t="s">
        <v>5466</v>
      </c>
      <c r="H1283" s="4" t="s">
        <v>49</v>
      </c>
      <c r="I1283" s="4" t="s">
        <v>661</v>
      </c>
      <c r="J1283" s="4" t="s">
        <v>78</v>
      </c>
      <c r="K1283" s="5" t="str">
        <f>HYPERLINK("https://media.licdn.com/dms/image/v2/D4E10AQEYzF-2YhHVwA/image-shrink_1280/B4EZkZqnA5IUAY-/0/1757072225801?e=2147483647&amp;v=beta&amp;t=LNHfargG6QOwDcvem0_EM9r2TZBGfeiMkDYnJOeYEkw","View Creative")</f>
        <v>View Creative</v>
      </c>
      <c r="L1283" s="4" t="s">
        <v>106</v>
      </c>
      <c r="M1283" s="4" t="s">
        <v>61</v>
      </c>
      <c r="O1283" s="4" t="s">
        <v>63</v>
      </c>
      <c r="P1283" s="4" t="s">
        <v>64</v>
      </c>
    </row>
    <row r="1284">
      <c r="A1284" s="4" t="s">
        <v>40</v>
      </c>
      <c r="B1284" s="4" t="s">
        <v>40</v>
      </c>
      <c r="C1284" s="4">
        <v>1282.0</v>
      </c>
      <c r="D1284" s="5" t="str">
        <f>HYPERLINK("https://www.linkedin.com/ad-library/detail/747869564","Open Ad")</f>
        <v>Open Ad</v>
      </c>
      <c r="E1284" s="4" t="s">
        <v>78</v>
      </c>
      <c r="F1284" s="4" t="s">
        <v>54</v>
      </c>
      <c r="G1284" s="4" t="s">
        <v>5472</v>
      </c>
      <c r="H1284" s="4" t="s">
        <v>49</v>
      </c>
      <c r="I1284" s="4" t="s">
        <v>661</v>
      </c>
      <c r="J1284" s="4" t="s">
        <v>78</v>
      </c>
      <c r="K1284" s="5" t="str">
        <f>HYPERLINK("https://media.licdn.com/dms/image/v2/D4E10AQGWHs5EuPkh2w/image-shrink_1280/B4EZkZqhMjIwAM-/0/1757072202068?e=2147483647&amp;v=beta&amp;t=cc9u_yhRMT1hgH-K1mJQlaDpY0eigS2LbQX8idznMHk","View Creative")</f>
        <v>View Creative</v>
      </c>
      <c r="L1284" s="4" t="s">
        <v>106</v>
      </c>
      <c r="M1284" s="4" t="s">
        <v>61</v>
      </c>
      <c r="O1284" s="4" t="s">
        <v>63</v>
      </c>
      <c r="P1284" s="4" t="s">
        <v>64</v>
      </c>
    </row>
    <row r="1285">
      <c r="A1285" s="4" t="s">
        <v>40</v>
      </c>
      <c r="B1285" s="4" t="s">
        <v>40</v>
      </c>
      <c r="C1285" s="4">
        <v>1283.0</v>
      </c>
      <c r="D1285" s="5" t="str">
        <f>HYPERLINK("https://www.linkedin.com/ad-library/detail/747950144","Open Ad")</f>
        <v>Open Ad</v>
      </c>
      <c r="E1285" s="4" t="s">
        <v>78</v>
      </c>
      <c r="F1285" s="4" t="s">
        <v>54</v>
      </c>
      <c r="G1285" s="4" t="s">
        <v>5472</v>
      </c>
      <c r="H1285" s="4" t="s">
        <v>49</v>
      </c>
      <c r="I1285" s="4" t="s">
        <v>661</v>
      </c>
      <c r="J1285" s="4" t="s">
        <v>78</v>
      </c>
      <c r="K1285" s="5" t="str">
        <f>HYPERLINK("https://media.licdn.com/dms/image/v2/D4E10AQHcDorIr5657g/image-shrink_1280/B4EZkZqhroGoAQ-/0/1757072203349?e=2147483647&amp;v=beta&amp;t=vJUKaUOZTOWXCZ_iOiC3rBNjtVkJA4-S0U-yd07YZ88","View Creative")</f>
        <v>View Creative</v>
      </c>
      <c r="L1285" s="4" t="s">
        <v>106</v>
      </c>
      <c r="M1285" s="4" t="s">
        <v>61</v>
      </c>
      <c r="O1285" s="4" t="s">
        <v>63</v>
      </c>
      <c r="P1285" s="4" t="s">
        <v>64</v>
      </c>
    </row>
    <row r="1286">
      <c r="A1286" s="4" t="s">
        <v>40</v>
      </c>
      <c r="B1286" s="4" t="s">
        <v>40</v>
      </c>
      <c r="C1286" s="4">
        <v>1284.0</v>
      </c>
      <c r="D1286" s="5" t="str">
        <f>HYPERLINK("https://www.linkedin.com/ad-library/detail/747979844","Open Ad")</f>
        <v>Open Ad</v>
      </c>
      <c r="E1286" s="4" t="s">
        <v>78</v>
      </c>
      <c r="F1286" s="4" t="s">
        <v>54</v>
      </c>
      <c r="G1286" s="4" t="s">
        <v>5466</v>
      </c>
      <c r="H1286" s="4" t="s">
        <v>49</v>
      </c>
      <c r="I1286" s="4" t="s">
        <v>661</v>
      </c>
      <c r="J1286" s="4" t="s">
        <v>78</v>
      </c>
      <c r="K1286" s="5" t="str">
        <f>HYPERLINK("https://media.licdn.com/dms/image/v2/D4E10AQHQZQROGD01YA/image-shrink_1280/B4EZkZqhG9HoAM-/0/1757072201038?e=2147483647&amp;v=beta&amp;t=54cDcm8sUUATfHNs5YTJ_6hVBqo7gnKEMTFkhRTJOUg","View Creative")</f>
        <v>View Creative</v>
      </c>
      <c r="L1286" s="4" t="s">
        <v>106</v>
      </c>
      <c r="M1286" s="4" t="s">
        <v>61</v>
      </c>
      <c r="O1286" s="4" t="s">
        <v>63</v>
      </c>
      <c r="P1286" s="4" t="s">
        <v>64</v>
      </c>
    </row>
    <row r="1287">
      <c r="A1287" s="4" t="s">
        <v>40</v>
      </c>
      <c r="B1287" s="4" t="s">
        <v>40</v>
      </c>
      <c r="C1287" s="4">
        <v>1285.0</v>
      </c>
      <c r="D1287" s="5" t="str">
        <f>HYPERLINK("https://www.linkedin.com/ad-library/detail/747849544","Open Ad")</f>
        <v>Open Ad</v>
      </c>
      <c r="E1287" s="4" t="s">
        <v>78</v>
      </c>
      <c r="F1287" s="4" t="s">
        <v>54</v>
      </c>
      <c r="G1287" s="4" t="s">
        <v>5466</v>
      </c>
      <c r="H1287" s="4" t="s">
        <v>49</v>
      </c>
      <c r="I1287" s="4" t="s">
        <v>661</v>
      </c>
      <c r="J1287" s="4" t="s">
        <v>78</v>
      </c>
      <c r="K1287" s="5" t="str">
        <f>HYPERLINK("https://media.licdn.com/dms/image/v2/D4E10AQG4iQ-YlcSMIw/image-shrink_1280/B4EZkZqnG7IUAM-/0/1757072225419?e=2147483647&amp;v=beta&amp;t=JLZq12Lc1hNDbQ2eDzFwPUcjHWnjjay3xOhe41oKYug","View Creative")</f>
        <v>View Creative</v>
      </c>
      <c r="L1287" s="4" t="s">
        <v>106</v>
      </c>
      <c r="M1287" s="4" t="s">
        <v>61</v>
      </c>
      <c r="O1287" s="4" t="s">
        <v>63</v>
      </c>
      <c r="P1287" s="4" t="s">
        <v>64</v>
      </c>
    </row>
    <row r="1288">
      <c r="A1288" s="4" t="s">
        <v>40</v>
      </c>
      <c r="B1288" s="4" t="s">
        <v>40</v>
      </c>
      <c r="C1288" s="4">
        <v>1286.0</v>
      </c>
      <c r="D1288" s="5" t="str">
        <f>HYPERLINK("https://www.linkedin.com/ad-library/detail/747849554","Open Ad")</f>
        <v>Open Ad</v>
      </c>
      <c r="E1288" s="4" t="s">
        <v>78</v>
      </c>
      <c r="F1288" s="4" t="s">
        <v>54</v>
      </c>
      <c r="G1288" s="4" t="s">
        <v>5472</v>
      </c>
      <c r="H1288" s="4" t="s">
        <v>49</v>
      </c>
      <c r="I1288" s="4" t="s">
        <v>661</v>
      </c>
      <c r="J1288" s="4" t="s">
        <v>78</v>
      </c>
      <c r="K1288" s="5" t="str">
        <f>HYPERLINK("https://media.licdn.com/dms/image/v2/D4E10AQF5GxmC61wItw/image-shrink_1280/B4EZkZqnDsGwAQ-/0/1757072225274?e=2147483647&amp;v=beta&amp;t=L7SJgU31p47TrSq51M3yPO4MnSqYxR03RyVqc-oenSU","View Creative")</f>
        <v>View Creative</v>
      </c>
      <c r="L1288" s="4" t="s">
        <v>106</v>
      </c>
      <c r="M1288" s="4" t="s">
        <v>61</v>
      </c>
      <c r="O1288" s="4" t="s">
        <v>63</v>
      </c>
      <c r="P1288" s="4" t="s">
        <v>64</v>
      </c>
    </row>
    <row r="1289">
      <c r="A1289" s="4" t="s">
        <v>40</v>
      </c>
      <c r="B1289" s="4" t="s">
        <v>40</v>
      </c>
      <c r="C1289" s="4">
        <v>1287.0</v>
      </c>
      <c r="D1289" s="5" t="str">
        <f>HYPERLINK("https://www.linkedin.com/ad-library/detail/747899084","Open Ad")</f>
        <v>Open Ad</v>
      </c>
      <c r="E1289" s="4" t="s">
        <v>78</v>
      </c>
      <c r="F1289" s="4" t="s">
        <v>54</v>
      </c>
      <c r="G1289" s="4" t="s">
        <v>5466</v>
      </c>
      <c r="H1289" s="4" t="s">
        <v>49</v>
      </c>
      <c r="I1289" s="4" t="s">
        <v>661</v>
      </c>
      <c r="J1289" s="4" t="s">
        <v>78</v>
      </c>
      <c r="K1289" s="5" t="str">
        <f>HYPERLINK("https://media.licdn.com/dms/image/v2/D4E10AQHeqUfgICBAHA/image-shrink_1280/B4EZkZqh0FHgAM-/0/1757072204338?e=2147483647&amp;v=beta&amp;t=BhhtvkP1De_1OQJOCx_0U-7PGAhjfugeXLD7dunOKQ4","View Creative")</f>
        <v>View Creative</v>
      </c>
      <c r="L1289" s="4" t="s">
        <v>106</v>
      </c>
      <c r="M1289" s="4" t="s">
        <v>61</v>
      </c>
      <c r="O1289" s="4" t="s">
        <v>63</v>
      </c>
      <c r="P1289" s="4" t="s">
        <v>64</v>
      </c>
    </row>
    <row r="1290">
      <c r="A1290" s="4" t="s">
        <v>40</v>
      </c>
      <c r="B1290" s="4" t="s">
        <v>40</v>
      </c>
      <c r="C1290" s="4">
        <v>1288.0</v>
      </c>
      <c r="D1290" s="5" t="str">
        <f>HYPERLINK("https://www.linkedin.com/ad-library/detail/747979874","Open Ad")</f>
        <v>Open Ad</v>
      </c>
      <c r="E1290" s="4" t="s">
        <v>78</v>
      </c>
      <c r="F1290" s="4" t="s">
        <v>54</v>
      </c>
      <c r="G1290" s="4" t="s">
        <v>5472</v>
      </c>
      <c r="H1290" s="4" t="s">
        <v>49</v>
      </c>
      <c r="I1290" s="4" t="s">
        <v>661</v>
      </c>
      <c r="J1290" s="4" t="s">
        <v>78</v>
      </c>
      <c r="K1290" s="5" t="str">
        <f>HYPERLINK("https://media.licdn.com/dms/image/v2/D4E10AQEnjirnM7_oRg/image-shrink_1280/B4EZkZqnJGIkAM-/0/1757072225618?e=2147483647&amp;v=beta&amp;t=t53SNvhBUH2MuhdbStylgCa1O120umnCg0NbqlI3luk","View Creative")</f>
        <v>View Creative</v>
      </c>
      <c r="L1290" s="4" t="s">
        <v>106</v>
      </c>
      <c r="M1290" s="4" t="s">
        <v>61</v>
      </c>
      <c r="O1290" s="4" t="s">
        <v>63</v>
      </c>
      <c r="P1290" s="4" t="s">
        <v>64</v>
      </c>
    </row>
    <row r="1291">
      <c r="A1291" s="4" t="s">
        <v>40</v>
      </c>
      <c r="B1291" s="4" t="s">
        <v>40</v>
      </c>
      <c r="C1291" s="4">
        <v>1289.0</v>
      </c>
      <c r="D1291" s="5" t="str">
        <f>HYPERLINK("https://www.linkedin.com/ad-library/detail/747920704","Open Ad")</f>
        <v>Open Ad</v>
      </c>
      <c r="E1291" s="4" t="s">
        <v>78</v>
      </c>
      <c r="F1291" s="4" t="s">
        <v>54</v>
      </c>
      <c r="G1291" s="4" t="s">
        <v>5469</v>
      </c>
      <c r="H1291" s="4" t="s">
        <v>49</v>
      </c>
      <c r="I1291" s="4" t="s">
        <v>661</v>
      </c>
      <c r="J1291" s="4" t="s">
        <v>78</v>
      </c>
      <c r="K1291" s="5" t="str">
        <f>HYPERLINK("https://media.licdn.com/dms/image/v2/D4E10AQHSCTow4KN1SA/image-shrink_1280/B4EZkZqnFSIkAQ-/0/1757072225485?e=2147483647&amp;v=beta&amp;t=vDo4lXz-0QnPOtQyxuU99iS1G1nuOzrubHWib1QMhQQ","View Creative")</f>
        <v>View Creative</v>
      </c>
      <c r="L1291" s="4" t="s">
        <v>106</v>
      </c>
      <c r="M1291" s="4" t="s">
        <v>61</v>
      </c>
      <c r="O1291" s="4" t="s">
        <v>63</v>
      </c>
      <c r="P1291" s="4" t="s">
        <v>64</v>
      </c>
    </row>
    <row r="1292">
      <c r="A1292" s="4" t="s">
        <v>40</v>
      </c>
      <c r="B1292" s="4" t="s">
        <v>40</v>
      </c>
      <c r="C1292" s="4">
        <v>1290.0</v>
      </c>
      <c r="D1292" s="5" t="str">
        <f>HYPERLINK("https://www.linkedin.com/ad-library/detail/747995044","Open Ad")</f>
        <v>Open Ad</v>
      </c>
      <c r="E1292" s="4" t="s">
        <v>78</v>
      </c>
      <c r="F1292" s="4" t="s">
        <v>54</v>
      </c>
      <c r="G1292" s="4" t="s">
        <v>5258</v>
      </c>
      <c r="H1292" s="4" t="s">
        <v>49</v>
      </c>
      <c r="I1292" s="4" t="s">
        <v>661</v>
      </c>
      <c r="J1292" s="4" t="s">
        <v>78</v>
      </c>
      <c r="K1292" s="5" t="str">
        <f>HYPERLINK("https://media.licdn.com/dms/image/v2/D4E10AQG-rsMHlGVpEA/image-shrink_1280/B4EZka4ej9GcAU-/0/1757092637880?e=2147483647&amp;v=beta&amp;t=TRWWA72UTNTSSB4TdOR0XbvUD8haLLIChpaR6fLwOeA","View Creative")</f>
        <v>View Creative</v>
      </c>
      <c r="L1292" s="4" t="s">
        <v>106</v>
      </c>
      <c r="M1292" s="4" t="s">
        <v>61</v>
      </c>
      <c r="O1292" s="4" t="s">
        <v>63</v>
      </c>
      <c r="P1292" s="4" t="s">
        <v>64</v>
      </c>
    </row>
    <row r="1293">
      <c r="A1293" s="4" t="s">
        <v>40</v>
      </c>
      <c r="B1293" s="4" t="s">
        <v>40</v>
      </c>
      <c r="C1293" s="4">
        <v>1291.0</v>
      </c>
      <c r="D1293" s="5" t="str">
        <f>HYPERLINK("https://www.linkedin.com/ad-library/detail/747925564","Open Ad")</f>
        <v>Open Ad</v>
      </c>
      <c r="E1293" s="4" t="s">
        <v>121</v>
      </c>
      <c r="F1293" s="4" t="s">
        <v>54</v>
      </c>
      <c r="G1293" s="4" t="s">
        <v>5379</v>
      </c>
      <c r="H1293" s="4" t="s">
        <v>49</v>
      </c>
      <c r="I1293" s="4" t="s">
        <v>661</v>
      </c>
      <c r="J1293" s="4" t="s">
        <v>121</v>
      </c>
      <c r="K1293" s="5" t="str">
        <f>HYPERLINK("https://dms.licdn.com/playlist/vid/v2/D4E10AQEbV8_FjQpUmw/mp4-360p-30fp-crf28/B4EZkUD3StIMCI-/0/1756978195183/261_AI_Search_Picked_Its_Winners_AIVisibilityIndex_1920x1080mp4?e=2147483647&amp;v=beta&amp;t=gleDHFBe1B2foBML0teYteFNnn0YTs0ruyzJpHSord0","View Creative")</f>
        <v>View Creative</v>
      </c>
      <c r="L1293" s="4" t="s">
        <v>106</v>
      </c>
      <c r="M1293" s="4" t="s">
        <v>61</v>
      </c>
      <c r="O1293" s="4" t="s">
        <v>63</v>
      </c>
      <c r="P1293" s="4" t="s">
        <v>64</v>
      </c>
    </row>
    <row r="1294">
      <c r="A1294" s="4" t="s">
        <v>40</v>
      </c>
      <c r="B1294" s="4" t="s">
        <v>40</v>
      </c>
      <c r="C1294" s="4">
        <v>1292.0</v>
      </c>
      <c r="D1294" s="5" t="str">
        <f>HYPERLINK("https://www.linkedin.com/ad-library/detail/747945634","Open Ad")</f>
        <v>Open Ad</v>
      </c>
      <c r="E1294" s="4" t="s">
        <v>78</v>
      </c>
      <c r="F1294" s="4" t="s">
        <v>54</v>
      </c>
      <c r="G1294" s="4" t="s">
        <v>5263</v>
      </c>
      <c r="H1294" s="4" t="s">
        <v>49</v>
      </c>
      <c r="I1294" s="4" t="s">
        <v>661</v>
      </c>
      <c r="J1294" s="4" t="s">
        <v>78</v>
      </c>
      <c r="K1294" s="5" t="str">
        <f>HYPERLINK("https://media.licdn.com/dms/image/v2/D4E10AQHRKvcicc1QUQ/image-shrink_1280/B4EZka4emSIkAQ-/0/1757092637907?e=2147483647&amp;v=beta&amp;t=K0_MJTQHQzsUsOuEgXsv0h39reF6hTrEhst7IIgGQ_s","View Creative")</f>
        <v>View Creative</v>
      </c>
      <c r="L1294" s="4" t="s">
        <v>106</v>
      </c>
      <c r="M1294" s="4" t="s">
        <v>61</v>
      </c>
      <c r="O1294" s="4" t="s">
        <v>63</v>
      </c>
      <c r="P1294" s="4" t="s">
        <v>64</v>
      </c>
    </row>
    <row r="1295">
      <c r="A1295" s="4" t="s">
        <v>40</v>
      </c>
      <c r="B1295" s="4" t="s">
        <v>40</v>
      </c>
      <c r="C1295" s="4">
        <v>1293.0</v>
      </c>
      <c r="D1295" s="5" t="str">
        <f>HYPERLINK("https://www.linkedin.com/ad-library/detail/748034084","Open Ad")</f>
        <v>Open Ad</v>
      </c>
      <c r="E1295" s="4" t="s">
        <v>78</v>
      </c>
      <c r="F1295" s="4" t="s">
        <v>54</v>
      </c>
      <c r="G1295" s="4" t="s">
        <v>5379</v>
      </c>
      <c r="H1295" s="4" t="s">
        <v>49</v>
      </c>
      <c r="I1295" s="4" t="s">
        <v>661</v>
      </c>
      <c r="J1295" s="4" t="s">
        <v>78</v>
      </c>
      <c r="K1295" s="5" t="str">
        <f>HYPERLINK("https://media.licdn.com/dms/image/v2/D4E10AQHnf2L5oGFDIg/image-shrink_1280/B4EZkUZbWZIMAU-/0/1756983834139?e=1789473600&amp;v=beta&amp;t=duxSGZjj_W8XhuhKLO90vMa9leGT2dMZHmF9jD32CfY","View Creative")</f>
        <v>View Creative</v>
      </c>
      <c r="L1295" s="4" t="s">
        <v>106</v>
      </c>
      <c r="M1295" s="4" t="s">
        <v>61</v>
      </c>
      <c r="O1295" s="4" t="s">
        <v>63</v>
      </c>
      <c r="P1295" s="4" t="s">
        <v>64</v>
      </c>
    </row>
    <row r="1296">
      <c r="A1296" s="4" t="s">
        <v>40</v>
      </c>
      <c r="B1296" s="4" t="s">
        <v>40</v>
      </c>
      <c r="C1296" s="4">
        <v>1294.0</v>
      </c>
      <c r="D1296" s="5" t="str">
        <f>HYPERLINK("https://www.linkedin.com/ad-library/detail/748034284","Open Ad")</f>
        <v>Open Ad</v>
      </c>
      <c r="E1296" s="4" t="s">
        <v>121</v>
      </c>
      <c r="F1296" s="4" t="s">
        <v>54</v>
      </c>
      <c r="G1296" s="4" t="s">
        <v>5379</v>
      </c>
      <c r="H1296" s="4" t="s">
        <v>49</v>
      </c>
      <c r="I1296" s="4" t="s">
        <v>661</v>
      </c>
      <c r="J1296" s="4" t="s">
        <v>121</v>
      </c>
      <c r="K1296" s="5" t="str">
        <f>HYPERLINK("https://dms.licdn.com/playlist/vid/v2/D4E10AQH2iA-3CyS5yQ/mp4-640p-30fp-crf28/B4EZkUDw.rIIBc-/0/1756978173882/261_AI_Search_Picked_Its_Winners_AIVisibilityIndex_1200x1200mp4?e=2147483647&amp;v=beta&amp;t=b28ThZtrfdzt4df1iiv1EJmlE0OqRcRLZ-C7jDCpvkM","View Creative")</f>
        <v>View Creative</v>
      </c>
      <c r="L1296" s="4" t="s">
        <v>106</v>
      </c>
      <c r="M1296" s="4" t="s">
        <v>61</v>
      </c>
      <c r="O1296" s="4" t="s">
        <v>63</v>
      </c>
      <c r="P1296" s="4" t="s">
        <v>64</v>
      </c>
    </row>
    <row r="1297">
      <c r="A1297" s="4" t="s">
        <v>40</v>
      </c>
      <c r="B1297" s="4" t="s">
        <v>40</v>
      </c>
      <c r="C1297" s="4">
        <v>1295.0</v>
      </c>
      <c r="D1297" s="5" t="str">
        <f>HYPERLINK("https://www.linkedin.com/ad-library/detail/747859234","Open Ad")</f>
        <v>Open Ad</v>
      </c>
      <c r="E1297" s="4" t="s">
        <v>78</v>
      </c>
      <c r="F1297" s="4" t="s">
        <v>54</v>
      </c>
      <c r="G1297" s="4" t="s">
        <v>5472</v>
      </c>
      <c r="H1297" s="4" t="s">
        <v>49</v>
      </c>
      <c r="I1297" s="4" t="s">
        <v>661</v>
      </c>
      <c r="J1297" s="4" t="s">
        <v>78</v>
      </c>
      <c r="K1297" s="5" t="str">
        <f>HYPERLINK("https://media.licdn.com/dms/image/v2/D4E10AQEdunFKzC7s0A/image-shrink_1280/B4EZkZqhI4HoAU-/0/1757072202637?e=2147483647&amp;v=beta&amp;t=_rl57yjHgj0MnnxWc5Qkr_33LfSDhGtQiQsZwgLQcno","View Creative")</f>
        <v>View Creative</v>
      </c>
      <c r="L1297" s="4" t="s">
        <v>106</v>
      </c>
      <c r="M1297" s="4" t="s">
        <v>61</v>
      </c>
      <c r="O1297" s="4" t="s">
        <v>63</v>
      </c>
      <c r="P1297" s="4" t="s">
        <v>64</v>
      </c>
    </row>
    <row r="1298">
      <c r="A1298" s="4" t="s">
        <v>40</v>
      </c>
      <c r="B1298" s="4" t="s">
        <v>40</v>
      </c>
      <c r="C1298" s="4">
        <v>1296.0</v>
      </c>
      <c r="D1298" s="5" t="str">
        <f>HYPERLINK("https://www.linkedin.com/ad-library/detail/747940394","Open Ad")</f>
        <v>Open Ad</v>
      </c>
      <c r="E1298" s="4" t="s">
        <v>78</v>
      </c>
      <c r="F1298" s="4" t="s">
        <v>54</v>
      </c>
      <c r="G1298" s="4" t="s">
        <v>5466</v>
      </c>
      <c r="H1298" s="4" t="s">
        <v>49</v>
      </c>
      <c r="I1298" s="4" t="s">
        <v>661</v>
      </c>
      <c r="J1298" s="4" t="s">
        <v>78</v>
      </c>
      <c r="K1298" s="5" t="str">
        <f>HYPERLINK("https://media.licdn.com/dms/image/v2/D4E10AQH8AT_KWyqTcw/image-shrink_1280/B4EZkZqnIyGwAM-/0/1757072225756?e=2147483647&amp;v=beta&amp;t=2T5zLP9Coqym2qbkPBUG47zLul1rBVNSmwB0VCHnRok","View Creative")</f>
        <v>View Creative</v>
      </c>
      <c r="L1298" s="4" t="s">
        <v>106</v>
      </c>
      <c r="M1298" s="4" t="s">
        <v>61</v>
      </c>
      <c r="O1298" s="4" t="s">
        <v>63</v>
      </c>
      <c r="P1298" s="4" t="s">
        <v>64</v>
      </c>
    </row>
    <row r="1299">
      <c r="A1299" s="4" t="s">
        <v>40</v>
      </c>
      <c r="B1299" s="4" t="s">
        <v>40</v>
      </c>
      <c r="C1299" s="4">
        <v>1297.0</v>
      </c>
      <c r="D1299" s="5" t="str">
        <f>HYPERLINK("https://www.linkedin.com/ad-library/detail/747960214","Open Ad")</f>
        <v>Open Ad</v>
      </c>
      <c r="E1299" s="4" t="s">
        <v>78</v>
      </c>
      <c r="F1299" s="4" t="s">
        <v>54</v>
      </c>
      <c r="G1299" s="4" t="s">
        <v>5472</v>
      </c>
      <c r="H1299" s="4" t="s">
        <v>49</v>
      </c>
      <c r="I1299" s="4" t="s">
        <v>661</v>
      </c>
      <c r="J1299" s="4" t="s">
        <v>78</v>
      </c>
      <c r="K1299" s="5" t="str">
        <f>HYPERLINK("https://media.licdn.com/dms/image/v2/D4E10AQHOsFivGrVeyA/image-shrink_1280/B4EZkZqU5zGwAQ-/0/1757072151022?e=2147483647&amp;v=beta&amp;t=YB3nibaaypHC57TavnpdedSrgpTqchgSbUJlT1DaXeU","View Creative")</f>
        <v>View Creative</v>
      </c>
      <c r="L1299" s="4" t="s">
        <v>106</v>
      </c>
      <c r="M1299" s="4" t="s">
        <v>61</v>
      </c>
      <c r="O1299" s="4" t="s">
        <v>63</v>
      </c>
      <c r="P1299" s="4" t="s">
        <v>64</v>
      </c>
    </row>
    <row r="1300">
      <c r="A1300" s="4" t="s">
        <v>40</v>
      </c>
      <c r="B1300" s="4" t="s">
        <v>40</v>
      </c>
      <c r="C1300" s="4">
        <v>1298.0</v>
      </c>
      <c r="D1300" s="5" t="str">
        <f>HYPERLINK("https://www.linkedin.com/ad-library/detail/747849484","Open Ad")</f>
        <v>Open Ad</v>
      </c>
      <c r="E1300" s="4" t="s">
        <v>78</v>
      </c>
      <c r="F1300" s="4" t="s">
        <v>54</v>
      </c>
      <c r="G1300" s="4" t="s">
        <v>5466</v>
      </c>
      <c r="H1300" s="4" t="s">
        <v>49</v>
      </c>
      <c r="I1300" s="4" t="s">
        <v>661</v>
      </c>
      <c r="J1300" s="4" t="s">
        <v>78</v>
      </c>
      <c r="K1300" s="5" t="str">
        <f>HYPERLINK("https://media.licdn.com/dms/image/v2/D4E10AQGV0aI_pwr1_g/image-shrink_1280/B4EZkZqO9CIUAM-/0/1757072127189?e=2147483647&amp;v=beta&amp;t=YT20WfvbuGCemREd31FPjRjHX7-DxmNGr9IQPefyNuI","View Creative")</f>
        <v>View Creative</v>
      </c>
      <c r="L1300" s="4" t="s">
        <v>106</v>
      </c>
      <c r="M1300" s="4" t="s">
        <v>61</v>
      </c>
      <c r="O1300" s="4" t="s">
        <v>63</v>
      </c>
      <c r="P1300" s="4" t="s">
        <v>64</v>
      </c>
    </row>
    <row r="1301">
      <c r="A1301" s="4" t="s">
        <v>40</v>
      </c>
      <c r="B1301" s="4" t="s">
        <v>40</v>
      </c>
      <c r="C1301" s="4">
        <v>1299.0</v>
      </c>
      <c r="D1301" s="5" t="str">
        <f>HYPERLINK("https://www.linkedin.com/ad-library/detail/747930384","Open Ad")</f>
        <v>Open Ad</v>
      </c>
      <c r="E1301" s="4" t="s">
        <v>78</v>
      </c>
      <c r="F1301" s="4" t="s">
        <v>54</v>
      </c>
      <c r="G1301" s="4" t="s">
        <v>5472</v>
      </c>
      <c r="H1301" s="4" t="s">
        <v>49</v>
      </c>
      <c r="I1301" s="4" t="s">
        <v>661</v>
      </c>
      <c r="J1301" s="4" t="s">
        <v>78</v>
      </c>
      <c r="K1301" s="5" t="str">
        <f>HYPERLINK("https://media.licdn.com/dms/image/v2/D4E10AQHJ70rxGAfg6A/image-shrink_1280/B4EZkZqU2IGYAM-/0/1757072152343?e=2147483647&amp;v=beta&amp;t=WLuRytPZj2q_APZbijrzW4ia8x5HMnVvA8eERtSTCWU","View Creative")</f>
        <v>View Creative</v>
      </c>
      <c r="L1301" s="4" t="s">
        <v>106</v>
      </c>
      <c r="M1301" s="4" t="s">
        <v>61</v>
      </c>
      <c r="O1301" s="4" t="s">
        <v>63</v>
      </c>
      <c r="P1301" s="4" t="s">
        <v>64</v>
      </c>
    </row>
    <row r="1302">
      <c r="A1302" s="4" t="s">
        <v>40</v>
      </c>
      <c r="B1302" s="4" t="s">
        <v>40</v>
      </c>
      <c r="C1302" s="4">
        <v>1300.0</v>
      </c>
      <c r="D1302" s="5" t="str">
        <f>HYPERLINK("https://www.linkedin.com/ad-library/detail/747930374","Open Ad")</f>
        <v>Open Ad</v>
      </c>
      <c r="E1302" s="4" t="s">
        <v>78</v>
      </c>
      <c r="F1302" s="4" t="s">
        <v>54</v>
      </c>
      <c r="G1302" s="4" t="s">
        <v>5472</v>
      </c>
      <c r="H1302" s="4" t="s">
        <v>49</v>
      </c>
      <c r="I1302" s="4" t="s">
        <v>661</v>
      </c>
      <c r="J1302" s="4" t="s">
        <v>78</v>
      </c>
      <c r="K1302" s="5" t="str">
        <f>HYPERLINK("https://media.licdn.com/dms/image/v2/D4E10AQH29zQ_D9DLUg/image-shrink_1280/B4EZkZqO4nHoAM-/0/1757072126647?e=2147483647&amp;v=beta&amp;t=FHncUHS8fHCb2b0kEYB0tfkOxfu0tSxTR8FDhdkf_vk","View Creative")</f>
        <v>View Creative</v>
      </c>
      <c r="L1302" s="4" t="s">
        <v>106</v>
      </c>
      <c r="M1302" s="4" t="s">
        <v>61</v>
      </c>
      <c r="O1302" s="4" t="s">
        <v>63</v>
      </c>
      <c r="P1302" s="4" t="s">
        <v>64</v>
      </c>
    </row>
    <row r="1303">
      <c r="A1303" s="4" t="s">
        <v>40</v>
      </c>
      <c r="B1303" s="4" t="s">
        <v>40</v>
      </c>
      <c r="C1303" s="4">
        <v>1301.0</v>
      </c>
      <c r="D1303" s="5" t="str">
        <f>HYPERLINK("https://www.linkedin.com/ad-library/detail/747930364","Open Ad")</f>
        <v>Open Ad</v>
      </c>
      <c r="E1303" s="4" t="s">
        <v>78</v>
      </c>
      <c r="F1303" s="4" t="s">
        <v>54</v>
      </c>
      <c r="G1303" s="4" t="s">
        <v>5469</v>
      </c>
      <c r="H1303" s="4" t="s">
        <v>49</v>
      </c>
      <c r="I1303" s="4" t="s">
        <v>661</v>
      </c>
      <c r="J1303" s="4" t="s">
        <v>78</v>
      </c>
      <c r="K1303" s="5" t="str">
        <f>HYPERLINK("https://media.licdn.com/dms/image/v2/D4E10AQEEwR2MgGbqMg/image-shrink_1280/B4EZkZqO6HIwAM-/0/1757072126466?e=2147483647&amp;v=beta&amp;t=UDS2mCImOzyx21QirQIraZl1jJl4sKPi6jUMmNDVECA","View Creative")</f>
        <v>View Creative</v>
      </c>
      <c r="L1303" s="4" t="s">
        <v>106</v>
      </c>
      <c r="M1303" s="4" t="s">
        <v>61</v>
      </c>
      <c r="O1303" s="4" t="s">
        <v>63</v>
      </c>
      <c r="P1303" s="4" t="s">
        <v>64</v>
      </c>
    </row>
    <row r="1304">
      <c r="A1304" s="4" t="s">
        <v>40</v>
      </c>
      <c r="B1304" s="4" t="s">
        <v>40</v>
      </c>
      <c r="C1304" s="4">
        <v>1302.0</v>
      </c>
      <c r="D1304" s="5" t="str">
        <f>HYPERLINK("https://www.linkedin.com/ad-library/detail/747940314","Open Ad")</f>
        <v>Open Ad</v>
      </c>
      <c r="E1304" s="4" t="s">
        <v>78</v>
      </c>
      <c r="F1304" s="4" t="s">
        <v>54</v>
      </c>
      <c r="G1304" s="4" t="s">
        <v>5466</v>
      </c>
      <c r="H1304" s="4" t="s">
        <v>49</v>
      </c>
      <c r="I1304" s="4" t="s">
        <v>661</v>
      </c>
      <c r="J1304" s="4" t="s">
        <v>78</v>
      </c>
      <c r="K1304" s="5" t="str">
        <f>HYPERLINK("https://media.licdn.com/dms/image/v2/D4E10AQEBNDBhYCofxg/image-shrink_1280/B4EZkZqJAsIUAU-/0/1757072104327?e=2147483647&amp;v=beta&amp;t=3Z3565g6BorquMtVZIIDji3CZedLRQaHsKMNQbNTUlQ","View Creative")</f>
        <v>View Creative</v>
      </c>
      <c r="L1304" s="4" t="s">
        <v>106</v>
      </c>
      <c r="M1304" s="4" t="s">
        <v>61</v>
      </c>
      <c r="O1304" s="4" t="s">
        <v>63</v>
      </c>
      <c r="P1304" s="4" t="s">
        <v>64</v>
      </c>
    </row>
    <row r="1305">
      <c r="A1305" s="4" t="s">
        <v>40</v>
      </c>
      <c r="B1305" s="4" t="s">
        <v>40</v>
      </c>
      <c r="C1305" s="4">
        <v>1303.0</v>
      </c>
      <c r="D1305" s="5" t="str">
        <f>HYPERLINK("https://www.linkedin.com/ad-library/detail/747849494","Open Ad")</f>
        <v>Open Ad</v>
      </c>
      <c r="E1305" s="4" t="s">
        <v>78</v>
      </c>
      <c r="F1305" s="4" t="s">
        <v>54</v>
      </c>
      <c r="G1305" s="4" t="s">
        <v>5472</v>
      </c>
      <c r="H1305" s="4" t="s">
        <v>49</v>
      </c>
      <c r="I1305" s="4" t="s">
        <v>661</v>
      </c>
      <c r="J1305" s="4" t="s">
        <v>78</v>
      </c>
      <c r="K1305" s="5" t="str">
        <f>HYPERLINK("https://media.licdn.com/dms/image/v2/D4E10AQHMsIn3eI4V1A/image-shrink_1280/B4EZkZqO7tIIAQ-/0/1757072126800?e=2147483647&amp;v=beta&amp;t=7raOg-BN0j0dxNcf2EuaKBhQ6jRSKLNi6bJdsy7SlmI","View Creative")</f>
        <v>View Creative</v>
      </c>
      <c r="L1305" s="4" t="s">
        <v>106</v>
      </c>
      <c r="M1305" s="4" t="s">
        <v>61</v>
      </c>
      <c r="O1305" s="4" t="s">
        <v>63</v>
      </c>
      <c r="P1305" s="4" t="s">
        <v>64</v>
      </c>
    </row>
    <row r="1306">
      <c r="A1306" s="4" t="s">
        <v>40</v>
      </c>
      <c r="B1306" s="4" t="s">
        <v>40</v>
      </c>
      <c r="C1306" s="4">
        <v>1304.0</v>
      </c>
      <c r="D1306" s="5" t="str">
        <f>HYPERLINK("https://www.linkedin.com/ad-library/detail/747909304","Open Ad")</f>
        <v>Open Ad</v>
      </c>
      <c r="E1306" s="4" t="s">
        <v>78</v>
      </c>
      <c r="F1306" s="4" t="s">
        <v>54</v>
      </c>
      <c r="G1306" s="4" t="s">
        <v>5466</v>
      </c>
      <c r="H1306" s="4" t="s">
        <v>49</v>
      </c>
      <c r="I1306" s="4" t="s">
        <v>661</v>
      </c>
      <c r="J1306" s="4" t="s">
        <v>78</v>
      </c>
      <c r="K1306" s="5" t="str">
        <f>HYPERLINK("https://media.licdn.com/dms/image/v2/D4E10AQEmSNLeLnThMg/image-shrink_1280/B4EZkZqba.IkAM-/0/1757072177973?e=2147483647&amp;v=beta&amp;t=8fk4JXssVXX07XINRX8yJ80qH7NgJ6-lJq8EuFZxrh8","View Creative")</f>
        <v>View Creative</v>
      </c>
      <c r="L1306" s="4" t="s">
        <v>106</v>
      </c>
      <c r="M1306" s="4" t="s">
        <v>61</v>
      </c>
      <c r="O1306" s="4" t="s">
        <v>63</v>
      </c>
      <c r="P1306" s="4" t="s">
        <v>64</v>
      </c>
    </row>
    <row r="1307">
      <c r="A1307" s="4" t="s">
        <v>40</v>
      </c>
      <c r="B1307" s="4" t="s">
        <v>40</v>
      </c>
      <c r="C1307" s="4">
        <v>1305.0</v>
      </c>
      <c r="D1307" s="5" t="str">
        <f>HYPERLINK("https://www.linkedin.com/ad-library/detail/747849514","Open Ad")</f>
        <v>Open Ad</v>
      </c>
      <c r="E1307" s="4" t="s">
        <v>78</v>
      </c>
      <c r="F1307" s="4" t="s">
        <v>54</v>
      </c>
      <c r="G1307" s="4" t="s">
        <v>5466</v>
      </c>
      <c r="H1307" s="4" t="s">
        <v>49</v>
      </c>
      <c r="I1307" s="4" t="s">
        <v>661</v>
      </c>
      <c r="J1307" s="4" t="s">
        <v>78</v>
      </c>
      <c r="K1307" s="5" t="str">
        <f>HYPERLINK("https://media.licdn.com/dms/image/v2/D4E10AQECrPKmTmHNPQ/image-shrink_1280/B4EZkZqU9NGwAM-/0/1757072151078?e=2147483647&amp;v=beta&amp;t=tTf7JNBDKrJz4JgmPWU-edtUf_svz-eN7IEp4NBKRbs","View Creative")</f>
        <v>View Creative</v>
      </c>
      <c r="L1307" s="4" t="s">
        <v>106</v>
      </c>
      <c r="M1307" s="4" t="s">
        <v>61</v>
      </c>
      <c r="O1307" s="4" t="s">
        <v>63</v>
      </c>
      <c r="P1307" s="4" t="s">
        <v>64</v>
      </c>
    </row>
    <row r="1308">
      <c r="A1308" s="4" t="s">
        <v>40</v>
      </c>
      <c r="B1308" s="4" t="s">
        <v>40</v>
      </c>
      <c r="C1308" s="4">
        <v>1306.0</v>
      </c>
      <c r="D1308" s="5" t="str">
        <f>HYPERLINK("https://www.linkedin.com/ad-library/detail/747918554","Open Ad")</f>
        <v>Open Ad</v>
      </c>
      <c r="E1308" s="4" t="s">
        <v>78</v>
      </c>
      <c r="F1308" s="4" t="s">
        <v>54</v>
      </c>
      <c r="G1308" s="4" t="s">
        <v>5472</v>
      </c>
      <c r="H1308" s="4" t="s">
        <v>49</v>
      </c>
      <c r="I1308" s="4" t="s">
        <v>661</v>
      </c>
      <c r="J1308" s="4" t="s">
        <v>78</v>
      </c>
      <c r="K1308" s="5" t="str">
        <f>HYPERLINK("https://media.licdn.com/dms/image/v2/D4E10AQH77mKXn7L3xA/image-shrink_1280/B4EZkZqO7LHoAM-/0/1757072126577?e=2147483647&amp;v=beta&amp;t=jZEetk4lZPz163028U4wOPed0WUrnaLHljvO_WwXaIc","View Creative")</f>
        <v>View Creative</v>
      </c>
      <c r="L1308" s="4" t="s">
        <v>106</v>
      </c>
      <c r="M1308" s="4" t="s">
        <v>61</v>
      </c>
      <c r="O1308" s="4" t="s">
        <v>63</v>
      </c>
      <c r="P1308" s="4" t="s">
        <v>64</v>
      </c>
    </row>
    <row r="1309">
      <c r="A1309" s="4" t="s">
        <v>40</v>
      </c>
      <c r="B1309" s="4" t="s">
        <v>40</v>
      </c>
      <c r="C1309" s="4">
        <v>1307.0</v>
      </c>
      <c r="D1309" s="5" t="str">
        <f>HYPERLINK("https://www.linkedin.com/ad-library/detail/747979834","Open Ad")</f>
        <v>Open Ad</v>
      </c>
      <c r="E1309" s="4" t="s">
        <v>78</v>
      </c>
      <c r="F1309" s="4" t="s">
        <v>54</v>
      </c>
      <c r="G1309" s="4" t="s">
        <v>5472</v>
      </c>
      <c r="H1309" s="4" t="s">
        <v>49</v>
      </c>
      <c r="I1309" s="4" t="s">
        <v>661</v>
      </c>
      <c r="J1309" s="4" t="s">
        <v>78</v>
      </c>
      <c r="K1309" s="5" t="str">
        <f>HYPERLINK("https://media.licdn.com/dms/image/v2/D4E10AQFbYmTEMIn7FQ/image-shrink_1280/B4EZkZqb8bGYAM-/0/1757072179878?e=2147483647&amp;v=beta&amp;t=jRCHDqOxjkDjoJ9yfD39fcuIm4vq1K3N7u-7wkzR0xo","View Creative")</f>
        <v>View Creative</v>
      </c>
      <c r="L1309" s="4" t="s">
        <v>106</v>
      </c>
      <c r="M1309" s="4" t="s">
        <v>61</v>
      </c>
      <c r="O1309" s="4" t="s">
        <v>63</v>
      </c>
      <c r="P1309" s="4" t="s">
        <v>64</v>
      </c>
    </row>
    <row r="1310">
      <c r="A1310" s="4" t="s">
        <v>40</v>
      </c>
      <c r="B1310" s="4" t="s">
        <v>40</v>
      </c>
      <c r="C1310" s="4">
        <v>1308.0</v>
      </c>
      <c r="D1310" s="5" t="str">
        <f>HYPERLINK("https://www.linkedin.com/ad-library/detail/747869554","Open Ad")</f>
        <v>Open Ad</v>
      </c>
      <c r="E1310" s="4" t="s">
        <v>78</v>
      </c>
      <c r="F1310" s="4" t="s">
        <v>54</v>
      </c>
      <c r="G1310" s="4" t="s">
        <v>5466</v>
      </c>
      <c r="H1310" s="4" t="s">
        <v>49</v>
      </c>
      <c r="I1310" s="4" t="s">
        <v>661</v>
      </c>
      <c r="J1310" s="4" t="s">
        <v>78</v>
      </c>
      <c r="K1310" s="5" t="str">
        <f>HYPERLINK("https://media.licdn.com/dms/image/v2/D4E10AQEsnsnwzSGb4w/image-shrink_1280/B4EZkZqbqPIUAU-/0/1757072178660?e=2147483647&amp;v=beta&amp;t=kNBqbVUQS4myuHv90jKe8CdtE5AOhxWvNZU-SHIjLDk","View Creative")</f>
        <v>View Creative</v>
      </c>
      <c r="L1310" s="4" t="s">
        <v>106</v>
      </c>
      <c r="M1310" s="4" t="s">
        <v>61</v>
      </c>
      <c r="O1310" s="4" t="s">
        <v>63</v>
      </c>
      <c r="P1310" s="4" t="s">
        <v>64</v>
      </c>
    </row>
    <row r="1311">
      <c r="A1311" s="4" t="s">
        <v>40</v>
      </c>
      <c r="B1311" s="4" t="s">
        <v>40</v>
      </c>
      <c r="C1311" s="4">
        <v>1309.0</v>
      </c>
      <c r="D1311" s="5" t="str">
        <f>HYPERLINK("https://www.linkedin.com/ad-library/detail/747918584","Open Ad")</f>
        <v>Open Ad</v>
      </c>
      <c r="E1311" s="4" t="s">
        <v>78</v>
      </c>
      <c r="F1311" s="4" t="s">
        <v>54</v>
      </c>
      <c r="G1311" s="4" t="s">
        <v>5469</v>
      </c>
      <c r="H1311" s="4" t="s">
        <v>49</v>
      </c>
      <c r="I1311" s="4" t="s">
        <v>661</v>
      </c>
      <c r="J1311" s="4" t="s">
        <v>78</v>
      </c>
      <c r="K1311" s="5" t="str">
        <f>HYPERLINK("https://media.licdn.com/dms/image/v2/D4E10AQHSG7zQ0VopcA/image-shrink_1280/B4EZkZqbaJGwAM-/0/1757072177511?e=2147483647&amp;v=beta&amp;t=nkx8DIDFRxdICy5L-8OZ1AnejZl4tage_p7qJyh-s7w","View Creative")</f>
        <v>View Creative</v>
      </c>
      <c r="L1311" s="4" t="s">
        <v>106</v>
      </c>
      <c r="M1311" s="4" t="s">
        <v>61</v>
      </c>
      <c r="O1311" s="4" t="s">
        <v>63</v>
      </c>
      <c r="P1311" s="4" t="s">
        <v>64</v>
      </c>
    </row>
    <row r="1312">
      <c r="A1312" s="4" t="s">
        <v>40</v>
      </c>
      <c r="B1312" s="4" t="s">
        <v>40</v>
      </c>
      <c r="C1312" s="4">
        <v>1310.0</v>
      </c>
      <c r="D1312" s="5" t="str">
        <f>HYPERLINK("https://www.linkedin.com/ad-library/detail/747918594","Open Ad")</f>
        <v>Open Ad</v>
      </c>
      <c r="E1312" s="4" t="s">
        <v>78</v>
      </c>
      <c r="F1312" s="4" t="s">
        <v>54</v>
      </c>
      <c r="G1312" s="4" t="s">
        <v>5466</v>
      </c>
      <c r="H1312" s="4" t="s">
        <v>49</v>
      </c>
      <c r="I1312" s="4" t="s">
        <v>661</v>
      </c>
      <c r="J1312" s="4" t="s">
        <v>78</v>
      </c>
      <c r="K1312" s="5" t="str">
        <f>HYPERLINK("https://media.licdn.com/dms/image/v2/D4E10AQF-8G1bxNEHIQ/image-shrink_1280/B4EZkZqblFGoAU-/0/1757072178374?e=2147483647&amp;v=beta&amp;t=9MHWppqxvTriGfrcoKUcokAwn6-hchAWBpDxQux8CKo","View Creative")</f>
        <v>View Creative</v>
      </c>
      <c r="L1312" s="4" t="s">
        <v>106</v>
      </c>
      <c r="M1312" s="4" t="s">
        <v>61</v>
      </c>
      <c r="O1312" s="4" t="s">
        <v>63</v>
      </c>
      <c r="P1312" s="4" t="s">
        <v>64</v>
      </c>
    </row>
    <row r="1313">
      <c r="A1313" s="4" t="s">
        <v>40</v>
      </c>
      <c r="B1313" s="4" t="s">
        <v>40</v>
      </c>
      <c r="C1313" s="4">
        <v>1311.0</v>
      </c>
      <c r="D1313" s="5" t="str">
        <f>HYPERLINK("https://www.linkedin.com/ad-library/detail/747920664","Open Ad")</f>
        <v>Open Ad</v>
      </c>
      <c r="E1313" s="4" t="s">
        <v>78</v>
      </c>
      <c r="F1313" s="4" t="s">
        <v>54</v>
      </c>
      <c r="G1313" s="4" t="s">
        <v>5466</v>
      </c>
      <c r="H1313" s="4" t="s">
        <v>49</v>
      </c>
      <c r="I1313" s="4" t="s">
        <v>661</v>
      </c>
      <c r="J1313" s="4" t="s">
        <v>78</v>
      </c>
      <c r="K1313" s="5" t="str">
        <f>HYPERLINK("https://media.licdn.com/dms/image/v2/D4E10AQHv-hb3mmZREQ/image-shrink_1280/B4EZkZqO9AIIAM-/0/1757072128984?e=2147483647&amp;v=beta&amp;t=M3aovDpH5tX0RWMlNy9HNJHm73R62dAs3iuoeBule48","View Creative")</f>
        <v>View Creative</v>
      </c>
      <c r="L1313" s="4" t="s">
        <v>106</v>
      </c>
      <c r="M1313" s="4" t="s">
        <v>61</v>
      </c>
      <c r="O1313" s="4" t="s">
        <v>63</v>
      </c>
      <c r="P1313" s="4" t="s">
        <v>64</v>
      </c>
    </row>
    <row r="1314">
      <c r="A1314" s="4" t="s">
        <v>40</v>
      </c>
      <c r="B1314" s="4" t="s">
        <v>40</v>
      </c>
      <c r="C1314" s="4">
        <v>1312.0</v>
      </c>
      <c r="D1314" s="5" t="str">
        <f>HYPERLINK("https://www.linkedin.com/ad-library/detail/747940354","Open Ad")</f>
        <v>Open Ad</v>
      </c>
      <c r="E1314" s="4" t="s">
        <v>78</v>
      </c>
      <c r="F1314" s="4" t="s">
        <v>54</v>
      </c>
      <c r="G1314" s="4" t="s">
        <v>5466</v>
      </c>
      <c r="H1314" s="4" t="s">
        <v>49</v>
      </c>
      <c r="I1314" s="4" t="s">
        <v>661</v>
      </c>
      <c r="J1314" s="4" t="s">
        <v>78</v>
      </c>
      <c r="K1314" s="5" t="str">
        <f>HYPERLINK("https://media.licdn.com/dms/image/v2/D4E10AQGCxrp94yy3xA/image-shrink_1280/B4EZkZqVLfHEAM-/0/1757072152610?e=2147483647&amp;v=beta&amp;t=JR8IdtFP0weebxYp3fpa5iNRL4ziyUoZCC176rbpsAs","View Creative")</f>
        <v>View Creative</v>
      </c>
      <c r="L1314" s="4" t="s">
        <v>106</v>
      </c>
      <c r="M1314" s="4" t="s">
        <v>61</v>
      </c>
      <c r="O1314" s="4" t="s">
        <v>63</v>
      </c>
      <c r="P1314" s="4" t="s">
        <v>64</v>
      </c>
    </row>
    <row r="1315">
      <c r="A1315" s="4" t="s">
        <v>40</v>
      </c>
      <c r="B1315" s="4" t="s">
        <v>40</v>
      </c>
      <c r="C1315" s="4">
        <v>1313.0</v>
      </c>
      <c r="D1315" s="5" t="str">
        <f>HYPERLINK("https://www.linkedin.com/ad-library/detail/747889294","Open Ad")</f>
        <v>Open Ad</v>
      </c>
      <c r="E1315" s="4" t="s">
        <v>78</v>
      </c>
      <c r="F1315" s="4" t="s">
        <v>54</v>
      </c>
      <c r="G1315" s="4" t="s">
        <v>5469</v>
      </c>
      <c r="H1315" s="4" t="s">
        <v>49</v>
      </c>
      <c r="I1315" s="4" t="s">
        <v>661</v>
      </c>
      <c r="J1315" s="4" t="s">
        <v>78</v>
      </c>
      <c r="K1315" s="5" t="str">
        <f>HYPERLINK("https://media.licdn.com/dms/image/v2/D4E10AQFlWDSPu0cXEg/image-shrink_1280/B4EZkZqU9UHoAM-/0/1757072151177?e=2147483647&amp;v=beta&amp;t=KkEJymivhEG0vS8mRG8CpAO-xqmrJVuARtXb-Fpbdlc","View Creative")</f>
        <v>View Creative</v>
      </c>
      <c r="L1315" s="4" t="s">
        <v>106</v>
      </c>
      <c r="M1315" s="4" t="s">
        <v>61</v>
      </c>
      <c r="O1315" s="4" t="s">
        <v>63</v>
      </c>
      <c r="P1315" s="4" t="s">
        <v>64</v>
      </c>
    </row>
    <row r="1316">
      <c r="A1316" s="4" t="s">
        <v>40</v>
      </c>
      <c r="B1316" s="4" t="s">
        <v>40</v>
      </c>
      <c r="C1316" s="4">
        <v>1314.0</v>
      </c>
      <c r="D1316" s="5" t="str">
        <f>HYPERLINK("https://www.linkedin.com/ad-library/detail/747940344","Open Ad")</f>
        <v>Open Ad</v>
      </c>
      <c r="E1316" s="4" t="s">
        <v>78</v>
      </c>
      <c r="F1316" s="4" t="s">
        <v>54</v>
      </c>
      <c r="G1316" s="4" t="s">
        <v>5466</v>
      </c>
      <c r="H1316" s="4" t="s">
        <v>49</v>
      </c>
      <c r="I1316" s="4" t="s">
        <v>661</v>
      </c>
      <c r="J1316" s="4" t="s">
        <v>78</v>
      </c>
      <c r="K1316" s="5" t="str">
        <f>HYPERLINK("https://media.licdn.com/dms/image/v2/D4E10AQFtpn9sHKPoeA/image-shrink_1280/B4EZkZqO9wIwAM-/0/1757072126674?e=2147483647&amp;v=beta&amp;t=Ay-G3SMSog55zLoNNhlx6sO5tjQJn-PteUP2fsS55xY","View Creative")</f>
        <v>View Creative</v>
      </c>
      <c r="L1316" s="4" t="s">
        <v>106</v>
      </c>
      <c r="M1316" s="4" t="s">
        <v>61</v>
      </c>
      <c r="O1316" s="4" t="s">
        <v>63</v>
      </c>
      <c r="P1316" s="4" t="s">
        <v>64</v>
      </c>
    </row>
    <row r="1317">
      <c r="A1317" s="4" t="s">
        <v>40</v>
      </c>
      <c r="B1317" s="4" t="s">
        <v>40</v>
      </c>
      <c r="C1317" s="4">
        <v>1315.0</v>
      </c>
      <c r="D1317" s="5" t="str">
        <f>HYPERLINK("https://www.linkedin.com/ad-library/detail/747940374","Open Ad")</f>
        <v>Open Ad</v>
      </c>
      <c r="E1317" s="4" t="s">
        <v>78</v>
      </c>
      <c r="F1317" s="4" t="s">
        <v>54</v>
      </c>
      <c r="G1317" s="4" t="s">
        <v>5469</v>
      </c>
      <c r="H1317" s="4" t="s">
        <v>49</v>
      </c>
      <c r="I1317" s="4" t="s">
        <v>661</v>
      </c>
      <c r="J1317" s="4" t="s">
        <v>78</v>
      </c>
      <c r="K1317" s="5" t="str">
        <f>HYPERLINK("https://media.licdn.com/dms/image/v2/D4E10AQEw-lMuoWTsWQ/image-shrink_1280/B4EZkZqhISIIAM-/0/1757072200943?e=2147483647&amp;v=beta&amp;t=-c6ax-_xihiE0NaIV24BmjHDln1W2eTXI0D8Sa_J-3A","View Creative")</f>
        <v>View Creative</v>
      </c>
      <c r="L1317" s="4" t="s">
        <v>106</v>
      </c>
      <c r="M1317" s="4" t="s">
        <v>61</v>
      </c>
      <c r="O1317" s="4" t="s">
        <v>63</v>
      </c>
      <c r="P1317" s="4" t="s">
        <v>64</v>
      </c>
    </row>
    <row r="1318">
      <c r="A1318" s="4" t="s">
        <v>40</v>
      </c>
      <c r="B1318" s="4" t="s">
        <v>40</v>
      </c>
      <c r="C1318" s="4">
        <v>1316.0</v>
      </c>
      <c r="D1318" s="5" t="str">
        <f>HYPERLINK("https://www.linkedin.com/ad-library/detail/747940364","Open Ad")</f>
        <v>Open Ad</v>
      </c>
      <c r="E1318" s="4" t="s">
        <v>78</v>
      </c>
      <c r="F1318" s="4" t="s">
        <v>54</v>
      </c>
      <c r="G1318" s="4" t="s">
        <v>5472</v>
      </c>
      <c r="H1318" s="4" t="s">
        <v>49</v>
      </c>
      <c r="I1318" s="4" t="s">
        <v>661</v>
      </c>
      <c r="J1318" s="4" t="s">
        <v>78</v>
      </c>
      <c r="K1318" s="5" t="str">
        <f>HYPERLINK("https://media.licdn.com/dms/image/v2/D4E10AQFBBIurD_C4Mw/image-shrink_1280/B4EZkZqbZzIsAM-/0/1757072177391?e=2147483647&amp;v=beta&amp;t=MgVeTCd01FHJmScYum4sxcdrHBTGuJxLnXrj7qQ-okQ","View Creative")</f>
        <v>View Creative</v>
      </c>
      <c r="L1318" s="4" t="s">
        <v>106</v>
      </c>
      <c r="M1318" s="4" t="s">
        <v>61</v>
      </c>
      <c r="O1318" s="4" t="s">
        <v>63</v>
      </c>
      <c r="P1318" s="4" t="s">
        <v>64</v>
      </c>
    </row>
    <row r="1319">
      <c r="A1319" s="4" t="s">
        <v>40</v>
      </c>
      <c r="B1319" s="4" t="s">
        <v>40</v>
      </c>
      <c r="C1319" s="4">
        <v>1317.0</v>
      </c>
      <c r="D1319" s="5" t="str">
        <f>HYPERLINK("https://www.linkedin.com/ad-library/detail/747889284","Open Ad")</f>
        <v>Open Ad</v>
      </c>
      <c r="E1319" s="4" t="s">
        <v>78</v>
      </c>
      <c r="F1319" s="4" t="s">
        <v>54</v>
      </c>
      <c r="G1319" s="4" t="s">
        <v>5469</v>
      </c>
      <c r="H1319" s="4" t="s">
        <v>49</v>
      </c>
      <c r="I1319" s="4" t="s">
        <v>661</v>
      </c>
      <c r="J1319" s="4" t="s">
        <v>78</v>
      </c>
      <c r="K1319" s="5" t="str">
        <f>HYPERLINK("https://media.licdn.com/dms/image/v2/D4E10AQHoqjW_UjSa1Q/image-shrink_1280/B4EZkZqU9EGcAU-/0/1757072151097?e=2147483647&amp;v=beta&amp;t=BxPdWJHpcv1LignZisglmvBvsKK4KIo93EiP5sJuRiw","View Creative")</f>
        <v>View Creative</v>
      </c>
      <c r="L1319" s="4" t="s">
        <v>106</v>
      </c>
      <c r="M1319" s="4" t="s">
        <v>61</v>
      </c>
      <c r="O1319" s="4" t="s">
        <v>63</v>
      </c>
      <c r="P1319" s="4" t="s">
        <v>64</v>
      </c>
    </row>
    <row r="1320">
      <c r="A1320" s="4" t="s">
        <v>40</v>
      </c>
      <c r="B1320" s="4" t="s">
        <v>40</v>
      </c>
      <c r="C1320" s="4">
        <v>1318.0</v>
      </c>
      <c r="D1320" s="5" t="str">
        <f>HYPERLINK("https://www.linkedin.com/ad-library/detail/747839614","Open Ad")</f>
        <v>Open Ad</v>
      </c>
      <c r="E1320" s="4" t="s">
        <v>78</v>
      </c>
      <c r="F1320" s="4" t="s">
        <v>54</v>
      </c>
      <c r="G1320" s="4" t="s">
        <v>5469</v>
      </c>
      <c r="H1320" s="4" t="s">
        <v>49</v>
      </c>
      <c r="I1320" s="4" t="s">
        <v>661</v>
      </c>
      <c r="J1320" s="4" t="s">
        <v>78</v>
      </c>
      <c r="K1320" s="5" t="str">
        <f>HYPERLINK("https://media.licdn.com/dms/image/v2/D4E10AQE_-JMS-2kTeA/image-shrink_1280/B4EZkZqO9oHoAM-/0/1757072126584?e=2147483647&amp;v=beta&amp;t=V4tvm_1oa4v1ktZkCcCyJWAO8-YEfkMhFwj4qgWfHMk","View Creative")</f>
        <v>View Creative</v>
      </c>
      <c r="L1320" s="4" t="s">
        <v>106</v>
      </c>
      <c r="M1320" s="4" t="s">
        <v>61</v>
      </c>
      <c r="O1320" s="4" t="s">
        <v>63</v>
      </c>
      <c r="P1320" s="4" t="s">
        <v>64</v>
      </c>
    </row>
    <row r="1321">
      <c r="A1321" s="4" t="s">
        <v>40</v>
      </c>
      <c r="B1321" s="4" t="s">
        <v>40</v>
      </c>
      <c r="C1321" s="4">
        <v>1319.0</v>
      </c>
      <c r="D1321" s="5" t="str">
        <f>HYPERLINK("https://www.linkedin.com/ad-library/detail/747909294","Open Ad")</f>
        <v>Open Ad</v>
      </c>
      <c r="E1321" s="4" t="s">
        <v>78</v>
      </c>
      <c r="F1321" s="4" t="s">
        <v>54</v>
      </c>
      <c r="G1321" s="4" t="s">
        <v>5472</v>
      </c>
      <c r="H1321" s="4" t="s">
        <v>49</v>
      </c>
      <c r="I1321" s="4" t="s">
        <v>661</v>
      </c>
      <c r="J1321" s="4" t="s">
        <v>78</v>
      </c>
      <c r="K1321" s="5" t="str">
        <f>HYPERLINK("https://media.licdn.com/dms/image/v2/D4E10AQFtJ84Ux2W81A/image-shrink_1280/B4EZkZqU4CIwAM-/0/1757072151426?e=2147483647&amp;v=beta&amp;t=oAGIe6VrLhmAeektVeleiBv_JLtG-7oNgK0mlOkulpo","View Creative")</f>
        <v>View Creative</v>
      </c>
      <c r="L1321" s="4" t="s">
        <v>106</v>
      </c>
      <c r="M1321" s="4" t="s">
        <v>61</v>
      </c>
      <c r="O1321" s="4" t="s">
        <v>63</v>
      </c>
      <c r="P1321" s="4" t="s">
        <v>64</v>
      </c>
    </row>
    <row r="1322">
      <c r="A1322" s="4" t="s">
        <v>40</v>
      </c>
      <c r="B1322" s="4" t="s">
        <v>40</v>
      </c>
      <c r="C1322" s="4">
        <v>1320.0</v>
      </c>
      <c r="D1322" s="5" t="str">
        <f>HYPERLINK("https://www.linkedin.com/ad-library/detail/747839654","Open Ad")</f>
        <v>Open Ad</v>
      </c>
      <c r="E1322" s="4" t="s">
        <v>78</v>
      </c>
      <c r="F1322" s="4" t="s">
        <v>54</v>
      </c>
      <c r="G1322" s="4" t="s">
        <v>5469</v>
      </c>
      <c r="H1322" s="4" t="s">
        <v>49</v>
      </c>
      <c r="I1322" s="4" t="s">
        <v>661</v>
      </c>
      <c r="J1322" s="4" t="s">
        <v>78</v>
      </c>
      <c r="K1322" s="5" t="str">
        <f>HYPERLINK("https://media.licdn.com/dms/image/v2/D4E10AQH3IgsdE5mQMg/image-shrink_1280/B4EZkZqbftIoAM-/0/1757072178100?e=2147483647&amp;v=beta&amp;t=DFXJqqoUXSmTacfjrAeXr7W8DaGLabOlVgQ2MZnnu58","View Creative")</f>
        <v>View Creative</v>
      </c>
      <c r="L1322" s="4" t="s">
        <v>106</v>
      </c>
      <c r="M1322" s="4" t="s">
        <v>61</v>
      </c>
      <c r="O1322" s="4" t="s">
        <v>63</v>
      </c>
      <c r="P1322" s="4" t="s">
        <v>64</v>
      </c>
    </row>
    <row r="1323">
      <c r="A1323" s="4" t="s">
        <v>40</v>
      </c>
      <c r="B1323" s="4" t="s">
        <v>40</v>
      </c>
      <c r="C1323" s="4">
        <v>1321.0</v>
      </c>
      <c r="D1323" s="5" t="str">
        <f>HYPERLINK("https://www.linkedin.com/ad-library/detail/747960114","Open Ad")</f>
        <v>Open Ad</v>
      </c>
      <c r="E1323" s="4" t="s">
        <v>78</v>
      </c>
      <c r="F1323" s="4" t="s">
        <v>54</v>
      </c>
      <c r="G1323" s="4" t="s">
        <v>5472</v>
      </c>
      <c r="H1323" s="4" t="s">
        <v>49</v>
      </c>
      <c r="I1323" s="4" t="s">
        <v>661</v>
      </c>
      <c r="J1323" s="4" t="s">
        <v>78</v>
      </c>
      <c r="K1323" s="5" t="str">
        <f>HYPERLINK("https://media.licdn.com/dms/image/v2/D4E10AQEOB4F1rETACA/image-shrink_1280/B4EZkZqDNfIQAc-/0/1757072078923?e=2147483647&amp;v=beta&amp;t=BN2FIf7TtJYOGhXOn_QmGp14G7-t9mlPyiTN6Cw3dwI","View Creative")</f>
        <v>View Creative</v>
      </c>
      <c r="L1323" s="4" t="s">
        <v>106</v>
      </c>
      <c r="M1323" s="4" t="s">
        <v>61</v>
      </c>
      <c r="O1323" s="4" t="s">
        <v>63</v>
      </c>
      <c r="P1323" s="4" t="s">
        <v>64</v>
      </c>
    </row>
    <row r="1324">
      <c r="A1324" s="4" t="s">
        <v>40</v>
      </c>
      <c r="B1324" s="4" t="s">
        <v>40</v>
      </c>
      <c r="C1324" s="4">
        <v>1322.0</v>
      </c>
      <c r="D1324" s="5" t="str">
        <f>HYPERLINK("https://www.linkedin.com/ad-library/detail/747930284","Open Ad")</f>
        <v>Open Ad</v>
      </c>
      <c r="E1324" s="4" t="s">
        <v>78</v>
      </c>
      <c r="F1324" s="4" t="s">
        <v>54</v>
      </c>
      <c r="G1324" s="4" t="s">
        <v>5472</v>
      </c>
      <c r="H1324" s="4" t="s">
        <v>49</v>
      </c>
      <c r="I1324" s="4" t="s">
        <v>661</v>
      </c>
      <c r="J1324" s="4" t="s">
        <v>78</v>
      </c>
      <c r="K1324" s="5" t="str">
        <f>HYPERLINK("https://media.licdn.com/dms/image/v2/D4E10AQFaI-Ic7Rj3mA/image-shrink_1280/B4EZkZp9sWIoAQ-/0/1757072055934?e=2147483647&amp;v=beta&amp;t=vVgBntsVvhtHAW0bvbofGtzgJ4d11idVbBJFj-AI_H0","View Creative")</f>
        <v>View Creative</v>
      </c>
      <c r="L1324" s="4" t="s">
        <v>106</v>
      </c>
      <c r="M1324" s="4" t="s">
        <v>61</v>
      </c>
      <c r="O1324" s="4" t="s">
        <v>63</v>
      </c>
      <c r="P1324" s="4" t="s">
        <v>64</v>
      </c>
    </row>
    <row r="1325">
      <c r="A1325" s="4" t="s">
        <v>40</v>
      </c>
      <c r="B1325" s="4" t="s">
        <v>40</v>
      </c>
      <c r="C1325" s="4">
        <v>1323.0</v>
      </c>
      <c r="D1325" s="5" t="str">
        <f>HYPERLINK("https://www.linkedin.com/ad-library/detail/747909234","Open Ad")</f>
        <v>Open Ad</v>
      </c>
      <c r="E1325" s="4" t="s">
        <v>78</v>
      </c>
      <c r="F1325" s="4" t="s">
        <v>54</v>
      </c>
      <c r="G1325" s="4" t="s">
        <v>5472</v>
      </c>
      <c r="H1325" s="4" t="s">
        <v>49</v>
      </c>
      <c r="I1325" s="4" t="s">
        <v>661</v>
      </c>
      <c r="J1325" s="4" t="s">
        <v>78</v>
      </c>
      <c r="K1325" s="5" t="str">
        <f>HYPERLINK("https://media.licdn.com/dms/image/v2/D4E10AQFLl7aZIKlUsw/image-shrink_1280/B4EZkZqI4nIwAY-/0/1757072101591?e=2147483647&amp;v=beta&amp;t=2DOWKbJBzPBcqJM4fjp5wxujkkTnGYnPOIVi_vsbq0o","View Creative")</f>
        <v>View Creative</v>
      </c>
      <c r="L1325" s="4" t="s">
        <v>106</v>
      </c>
      <c r="M1325" s="4" t="s">
        <v>61</v>
      </c>
      <c r="O1325" s="4" t="s">
        <v>63</v>
      </c>
      <c r="P1325" s="4" t="s">
        <v>64</v>
      </c>
    </row>
    <row r="1326">
      <c r="A1326" s="4" t="s">
        <v>40</v>
      </c>
      <c r="B1326" s="4" t="s">
        <v>40</v>
      </c>
      <c r="C1326" s="4">
        <v>1324.0</v>
      </c>
      <c r="D1326" s="5" t="str">
        <f>HYPERLINK("https://www.linkedin.com/ad-library/detail/747898984","Open Ad")</f>
        <v>Open Ad</v>
      </c>
      <c r="E1326" s="4" t="s">
        <v>78</v>
      </c>
      <c r="F1326" s="4" t="s">
        <v>54</v>
      </c>
      <c r="G1326" s="4" t="s">
        <v>5472</v>
      </c>
      <c r="H1326" s="4" t="s">
        <v>49</v>
      </c>
      <c r="I1326" s="4" t="s">
        <v>661</v>
      </c>
      <c r="J1326" s="4" t="s">
        <v>78</v>
      </c>
      <c r="K1326" s="5" t="str">
        <f>HYPERLINK("https://media.licdn.com/dms/image/v2/D4E10AQFlen4qufaZ9g/image-shrink_1280/B4EZkZqDUUHgAQ-/0/1757072079236?e=2147483647&amp;v=beta&amp;t=O_0-ZLwE9gwq6p_FegviEyAG5xM0XqLF_wG1OwFDerA","View Creative")</f>
        <v>View Creative</v>
      </c>
      <c r="L1326" s="4" t="s">
        <v>106</v>
      </c>
      <c r="M1326" s="4" t="s">
        <v>61</v>
      </c>
      <c r="O1326" s="4" t="s">
        <v>63</v>
      </c>
      <c r="P1326" s="4" t="s">
        <v>64</v>
      </c>
    </row>
    <row r="1327">
      <c r="A1327" s="4" t="s">
        <v>40</v>
      </c>
      <c r="B1327" s="4" t="s">
        <v>40</v>
      </c>
      <c r="C1327" s="4">
        <v>1325.0</v>
      </c>
      <c r="D1327" s="5" t="str">
        <f>HYPERLINK("https://www.linkedin.com/ad-library/detail/747930354","Open Ad")</f>
        <v>Open Ad</v>
      </c>
      <c r="E1327" s="4" t="s">
        <v>78</v>
      </c>
      <c r="F1327" s="4" t="s">
        <v>54</v>
      </c>
      <c r="G1327" s="4" t="s">
        <v>5469</v>
      </c>
      <c r="H1327" s="4" t="s">
        <v>49</v>
      </c>
      <c r="I1327" s="4" t="s">
        <v>661</v>
      </c>
      <c r="J1327" s="4" t="s">
        <v>78</v>
      </c>
      <c r="K1327" s="5" t="str">
        <f>HYPERLINK("https://media.licdn.com/dms/image/v2/D4E10AQG6dRKTd1n03g/image-shrink_1280/B4EZkZqI4uIMAQ-/0/1757072102186?e=2147483647&amp;v=beta&amp;t=Z2znfR2Uud5BPnJEpWMRLcrvnAW4pG5beHF2_Jrx5u8","View Creative")</f>
        <v>View Creative</v>
      </c>
      <c r="L1327" s="4" t="s">
        <v>106</v>
      </c>
      <c r="M1327" s="4" t="s">
        <v>61</v>
      </c>
      <c r="O1327" s="4" t="s">
        <v>63</v>
      </c>
      <c r="P1327" s="4" t="s">
        <v>64</v>
      </c>
    </row>
    <row r="1328">
      <c r="A1328" s="4" t="s">
        <v>40</v>
      </c>
      <c r="B1328" s="4" t="s">
        <v>40</v>
      </c>
      <c r="C1328" s="4">
        <v>1326.0</v>
      </c>
      <c r="D1328" s="5" t="str">
        <f>HYPERLINK("https://www.linkedin.com/ad-library/detail/747918514","Open Ad")</f>
        <v>Open Ad</v>
      </c>
      <c r="E1328" s="4" t="s">
        <v>78</v>
      </c>
      <c r="F1328" s="4" t="s">
        <v>54</v>
      </c>
      <c r="G1328" s="4" t="s">
        <v>5466</v>
      </c>
      <c r="H1328" s="4" t="s">
        <v>49</v>
      </c>
      <c r="I1328" s="4" t="s">
        <v>661</v>
      </c>
      <c r="J1328" s="4" t="s">
        <v>78</v>
      </c>
      <c r="K1328" s="5" t="str">
        <f>HYPERLINK("https://media.licdn.com/dms/image/v2/D4E10AQHhfhPJekWNpw/image-shrink_1280/B4EZkZp90UIIAU-/0/1757072058214?e=2147483647&amp;v=beta&amp;t=h7NpK54TD3Ao9VxgT-XhbBCgcSWlkH49FDkq0kbq4qY","View Creative")</f>
        <v>View Creative</v>
      </c>
      <c r="L1328" s="4" t="s">
        <v>106</v>
      </c>
      <c r="M1328" s="4" t="s">
        <v>61</v>
      </c>
      <c r="O1328" s="4" t="s">
        <v>63</v>
      </c>
      <c r="P1328" s="4" t="s">
        <v>64</v>
      </c>
    </row>
    <row r="1329">
      <c r="A1329" s="4" t="s">
        <v>40</v>
      </c>
      <c r="B1329" s="4" t="s">
        <v>40</v>
      </c>
      <c r="C1329" s="4">
        <v>1327.0</v>
      </c>
      <c r="D1329" s="5" t="str">
        <f>HYPERLINK("https://www.linkedin.com/ad-library/detail/747869534","Open Ad")</f>
        <v>Open Ad</v>
      </c>
      <c r="E1329" s="4" t="s">
        <v>78</v>
      </c>
      <c r="F1329" s="4" t="s">
        <v>54</v>
      </c>
      <c r="G1329" s="4" t="s">
        <v>5472</v>
      </c>
      <c r="H1329" s="4" t="s">
        <v>49</v>
      </c>
      <c r="I1329" s="4" t="s">
        <v>661</v>
      </c>
      <c r="J1329" s="4" t="s">
        <v>78</v>
      </c>
      <c r="K1329" s="5" t="str">
        <f>HYPERLINK("https://media.licdn.com/dms/image/v2/D4E10AQG6Y7Zt7rKWtQ/image-shrink_1280/B4EZkZqI8UIwAM-/0/1757072102091?e=2147483647&amp;v=beta&amp;t=kgJa7iRJMcuHzkW65gVStaHML993IlpCbCDyu_6UfyQ","View Creative")</f>
        <v>View Creative</v>
      </c>
      <c r="L1329" s="4" t="s">
        <v>106</v>
      </c>
      <c r="M1329" s="4" t="s">
        <v>61</v>
      </c>
      <c r="O1329" s="4" t="s">
        <v>63</v>
      </c>
      <c r="P1329" s="4" t="s">
        <v>64</v>
      </c>
    </row>
    <row r="1330">
      <c r="A1330" s="4" t="s">
        <v>40</v>
      </c>
      <c r="B1330" s="4" t="s">
        <v>40</v>
      </c>
      <c r="C1330" s="4">
        <v>1328.0</v>
      </c>
      <c r="D1330" s="5" t="str">
        <f>HYPERLINK("https://www.linkedin.com/ad-library/detail/747920604","Open Ad")</f>
        <v>Open Ad</v>
      </c>
      <c r="E1330" s="4" t="s">
        <v>78</v>
      </c>
      <c r="F1330" s="4" t="s">
        <v>54</v>
      </c>
      <c r="G1330" s="4" t="s">
        <v>5472</v>
      </c>
      <c r="H1330" s="4" t="s">
        <v>49</v>
      </c>
      <c r="I1330" s="4" t="s">
        <v>661</v>
      </c>
      <c r="J1330" s="4" t="s">
        <v>78</v>
      </c>
      <c r="K1330" s="5" t="str">
        <f>HYPERLINK("https://media.licdn.com/dms/image/v2/D4E10AQEZui9pfktELA/image-shrink_1280/B4EZkZpydrIsAM-/0/1757072011154?e=2147483647&amp;v=beta&amp;t=0ALe1iwIVL_e3b_frcITwY2TdAGhM0GEzjPQjTBnxRI","View Creative")</f>
        <v>View Creative</v>
      </c>
      <c r="L1330" s="4" t="s">
        <v>106</v>
      </c>
      <c r="M1330" s="4" t="s">
        <v>61</v>
      </c>
      <c r="O1330" s="4" t="s">
        <v>63</v>
      </c>
      <c r="P1330" s="4" t="s">
        <v>64</v>
      </c>
    </row>
    <row r="1331">
      <c r="A1331" s="4" t="s">
        <v>40</v>
      </c>
      <c r="B1331" s="4" t="s">
        <v>40</v>
      </c>
      <c r="C1331" s="4">
        <v>1329.0</v>
      </c>
      <c r="D1331" s="5" t="str">
        <f>HYPERLINK("https://www.linkedin.com/ad-library/detail/747918494","Open Ad")</f>
        <v>Open Ad</v>
      </c>
      <c r="E1331" s="4" t="s">
        <v>78</v>
      </c>
      <c r="F1331" s="4" t="s">
        <v>54</v>
      </c>
      <c r="G1331" s="4" t="s">
        <v>5469</v>
      </c>
      <c r="H1331" s="4" t="s">
        <v>49</v>
      </c>
      <c r="I1331" s="4" t="s">
        <v>661</v>
      </c>
      <c r="J1331" s="4" t="s">
        <v>78</v>
      </c>
      <c r="K1331" s="5" t="str">
        <f>HYPERLINK("https://media.licdn.com/dms/image/v2/D4E10AQFyPDAigYaMVw/image-shrink_1280/B4EZkZp4AxIMAQ-/0/1757072033095?e=2147483647&amp;v=beta&amp;t=TN-iloT0alh27oK_0VMDTchZZJSR1ezAn0PKC1_UIpk","View Creative")</f>
        <v>View Creative</v>
      </c>
      <c r="L1331" s="4" t="s">
        <v>106</v>
      </c>
      <c r="M1331" s="4" t="s">
        <v>61</v>
      </c>
      <c r="O1331" s="4" t="s">
        <v>63</v>
      </c>
      <c r="P1331" s="4" t="s">
        <v>64</v>
      </c>
    </row>
    <row r="1332">
      <c r="A1332" s="4" t="s">
        <v>40</v>
      </c>
      <c r="B1332" s="4" t="s">
        <v>40</v>
      </c>
      <c r="C1332" s="4">
        <v>1330.0</v>
      </c>
      <c r="D1332" s="5" t="str">
        <f>HYPERLINK("https://www.linkedin.com/ad-library/detail/747839554","Open Ad")</f>
        <v>Open Ad</v>
      </c>
      <c r="E1332" s="4" t="s">
        <v>78</v>
      </c>
      <c r="F1332" s="4" t="s">
        <v>54</v>
      </c>
      <c r="G1332" s="4" t="s">
        <v>5472</v>
      </c>
      <c r="H1332" s="4" t="s">
        <v>49</v>
      </c>
      <c r="I1332" s="4" t="s">
        <v>661</v>
      </c>
      <c r="J1332" s="4" t="s">
        <v>78</v>
      </c>
      <c r="K1332" s="5" t="str">
        <f>HYPERLINK("https://media.licdn.com/dms/image/v2/D4E10AQH6UxAmzmqrJA/image-shrink_1280/B4EZkZp4CmHEAU-/0/1757072033172?e=2147483647&amp;v=beta&amp;t=D21vZto0nK3m5wvBnJMAffsAK1hgFM-x_iFOQOPHDSo","View Creative")</f>
        <v>View Creative</v>
      </c>
      <c r="L1332" s="4" t="s">
        <v>106</v>
      </c>
      <c r="M1332" s="4" t="s">
        <v>61</v>
      </c>
      <c r="O1332" s="4" t="s">
        <v>63</v>
      </c>
      <c r="P1332" s="4" t="s">
        <v>64</v>
      </c>
    </row>
    <row r="1333">
      <c r="A1333" s="4" t="s">
        <v>40</v>
      </c>
      <c r="B1333" s="4" t="s">
        <v>40</v>
      </c>
      <c r="C1333" s="4">
        <v>1331.0</v>
      </c>
      <c r="D1333" s="5" t="str">
        <f>HYPERLINK("https://www.linkedin.com/ad-library/detail/747889224","Open Ad")</f>
        <v>Open Ad</v>
      </c>
      <c r="E1333" s="4" t="s">
        <v>78</v>
      </c>
      <c r="F1333" s="4" t="s">
        <v>54</v>
      </c>
      <c r="G1333" s="4" t="s">
        <v>5472</v>
      </c>
      <c r="H1333" s="4" t="s">
        <v>49</v>
      </c>
      <c r="I1333" s="4" t="s">
        <v>661</v>
      </c>
      <c r="J1333" s="4" t="s">
        <v>78</v>
      </c>
      <c r="K1333" s="5" t="str">
        <f>HYPERLINK("https://media.licdn.com/dms/image/v2/D4E10AQGkM82_Ne7aEQ/image-shrink_1280/B4EZkZp9tdIIAM-/0/1757072056447?e=2147483647&amp;v=beta&amp;t=HgsX1zGejWjyFMhMW6tn9DtZp6g_V1g3FQHO-kcPXkA","View Creative")</f>
        <v>View Creative</v>
      </c>
      <c r="L1333" s="4" t="s">
        <v>106</v>
      </c>
      <c r="M1333" s="4" t="s">
        <v>61</v>
      </c>
      <c r="O1333" s="4" t="s">
        <v>63</v>
      </c>
      <c r="P1333" s="4" t="s">
        <v>64</v>
      </c>
    </row>
    <row r="1334">
      <c r="A1334" s="4" t="s">
        <v>40</v>
      </c>
      <c r="B1334" s="4" t="s">
        <v>40</v>
      </c>
      <c r="C1334" s="4">
        <v>1332.0</v>
      </c>
      <c r="D1334" s="5" t="str">
        <f>HYPERLINK("https://www.linkedin.com/ad-library/detail/747839564","Open Ad")</f>
        <v>Open Ad</v>
      </c>
      <c r="E1334" s="4" t="s">
        <v>78</v>
      </c>
      <c r="F1334" s="4" t="s">
        <v>54</v>
      </c>
      <c r="G1334" s="4" t="s">
        <v>5469</v>
      </c>
      <c r="H1334" s="4" t="s">
        <v>49</v>
      </c>
      <c r="I1334" s="4" t="s">
        <v>661</v>
      </c>
      <c r="J1334" s="4" t="s">
        <v>78</v>
      </c>
      <c r="K1334" s="5" t="str">
        <f>HYPERLINK("https://media.licdn.com/dms/image/v2/D4E10AQH-BPamvjv8ZA/image-shrink_1280/B4EZkZp9zWIkAM-/0/1757072056357?e=2147483647&amp;v=beta&amp;t=wGGv8-al5D17m64aMFKrj3ie2oM3apNMxh3oUhvu5tY","View Creative")</f>
        <v>View Creative</v>
      </c>
      <c r="L1334" s="4" t="s">
        <v>106</v>
      </c>
      <c r="M1334" s="4" t="s">
        <v>61</v>
      </c>
      <c r="O1334" s="4" t="s">
        <v>63</v>
      </c>
      <c r="P1334" s="4" t="s">
        <v>64</v>
      </c>
    </row>
    <row r="1335">
      <c r="A1335" s="4" t="s">
        <v>40</v>
      </c>
      <c r="B1335" s="4" t="s">
        <v>40</v>
      </c>
      <c r="C1335" s="4">
        <v>1333.0</v>
      </c>
      <c r="D1335" s="5" t="str">
        <f>HYPERLINK("https://www.linkedin.com/ad-library/detail/747979804","Open Ad")</f>
        <v>Open Ad</v>
      </c>
      <c r="E1335" s="4" t="s">
        <v>78</v>
      </c>
      <c r="F1335" s="4" t="s">
        <v>54</v>
      </c>
      <c r="G1335" s="4" t="s">
        <v>5466</v>
      </c>
      <c r="H1335" s="4" t="s">
        <v>49</v>
      </c>
      <c r="I1335" s="4" t="s">
        <v>661</v>
      </c>
      <c r="J1335" s="4" t="s">
        <v>78</v>
      </c>
      <c r="K1335" s="5" t="str">
        <f>HYPERLINK("https://media.licdn.com/dms/image/v2/D4E10AQFwb-6roybl8A/image-shrink_1280/B4EZkZqJB6IUAQ-/0/1757072102999?e=2147483647&amp;v=beta&amp;t=vFBWpiR-PBdwgVo7I5miCdUVbvWFy3t1gue9tVDX3rs","View Creative")</f>
        <v>View Creative</v>
      </c>
      <c r="L1335" s="4" t="s">
        <v>106</v>
      </c>
      <c r="M1335" s="4" t="s">
        <v>61</v>
      </c>
      <c r="O1335" s="4" t="s">
        <v>63</v>
      </c>
      <c r="P1335" s="4" t="s">
        <v>64</v>
      </c>
    </row>
    <row r="1336">
      <c r="A1336" s="4" t="s">
        <v>40</v>
      </c>
      <c r="B1336" s="4" t="s">
        <v>40</v>
      </c>
      <c r="C1336" s="4">
        <v>1334.0</v>
      </c>
      <c r="D1336" s="5" t="str">
        <f>HYPERLINK("https://www.linkedin.com/ad-library/detail/747889234","Open Ad")</f>
        <v>Open Ad</v>
      </c>
      <c r="E1336" s="4" t="s">
        <v>78</v>
      </c>
      <c r="F1336" s="4" t="s">
        <v>54</v>
      </c>
      <c r="G1336" s="4" t="s">
        <v>5472</v>
      </c>
      <c r="H1336" s="4" t="s">
        <v>49</v>
      </c>
      <c r="I1336" s="4" t="s">
        <v>661</v>
      </c>
      <c r="J1336" s="4" t="s">
        <v>78</v>
      </c>
      <c r="K1336" s="5" t="str">
        <f>HYPERLINK("https://media.licdn.com/dms/image/v2/D4E10AQEwTjhHphoN3Q/image-shrink_1280/B4EZkZp.QQGYAM-/0/1757072058059?e=2147483647&amp;v=beta&amp;t=OY3u6-hOqGmY699NRgw6wYcz8NaX80HcjUu6zkObi5A","View Creative")</f>
        <v>View Creative</v>
      </c>
      <c r="L1336" s="4" t="s">
        <v>106</v>
      </c>
      <c r="M1336" s="4" t="s">
        <v>61</v>
      </c>
      <c r="O1336" s="4" t="s">
        <v>63</v>
      </c>
      <c r="P1336" s="4" t="s">
        <v>64</v>
      </c>
    </row>
    <row r="1337">
      <c r="A1337" s="4" t="s">
        <v>40</v>
      </c>
      <c r="B1337" s="4" t="s">
        <v>40</v>
      </c>
      <c r="C1337" s="4">
        <v>1335.0</v>
      </c>
      <c r="D1337" s="5" t="str">
        <f>HYPERLINK("https://www.linkedin.com/ad-library/detail/747960084","Open Ad")</f>
        <v>Open Ad</v>
      </c>
      <c r="E1337" s="4" t="s">
        <v>78</v>
      </c>
      <c r="F1337" s="4" t="s">
        <v>54</v>
      </c>
      <c r="G1337" s="4" t="s">
        <v>5466</v>
      </c>
      <c r="H1337" s="4" t="s">
        <v>49</v>
      </c>
      <c r="I1337" s="4" t="s">
        <v>661</v>
      </c>
      <c r="J1337" s="4" t="s">
        <v>78</v>
      </c>
      <c r="K1337" s="5" t="str">
        <f>HYPERLINK("https://media.licdn.com/dms/image/v2/D4E10AQEXLwu1J_5WCw/image-shrink_1280/B4EZkZp9mZIsAM-/0/1757072056107?e=2147483647&amp;v=beta&amp;t=00BwMHUG6OjUc4VycnIkWleMT1kJYQfcEvk_OmKsHws","View Creative")</f>
        <v>View Creative</v>
      </c>
      <c r="L1337" s="4" t="s">
        <v>106</v>
      </c>
      <c r="M1337" s="4" t="s">
        <v>61</v>
      </c>
      <c r="O1337" s="4" t="s">
        <v>63</v>
      </c>
      <c r="P1337" s="4" t="s">
        <v>64</v>
      </c>
    </row>
    <row r="1338">
      <c r="A1338" s="4" t="s">
        <v>40</v>
      </c>
      <c r="B1338" s="4" t="s">
        <v>40</v>
      </c>
      <c r="C1338" s="4">
        <v>1336.0</v>
      </c>
      <c r="D1338" s="5" t="str">
        <f>HYPERLINK("https://www.linkedin.com/ad-library/detail/747930314","Open Ad")</f>
        <v>Open Ad</v>
      </c>
      <c r="E1338" s="4" t="s">
        <v>78</v>
      </c>
      <c r="F1338" s="4" t="s">
        <v>54</v>
      </c>
      <c r="G1338" s="4" t="s">
        <v>5466</v>
      </c>
      <c r="H1338" s="4" t="s">
        <v>49</v>
      </c>
      <c r="I1338" s="4" t="s">
        <v>661</v>
      </c>
      <c r="J1338" s="4" t="s">
        <v>78</v>
      </c>
      <c r="K1338" s="5" t="str">
        <f>HYPERLINK("https://media.licdn.com/dms/image/v2/D4E10AQEprVZRYCDttA/image-shrink_1280/B4EZkZqDQQGYAM-/0/1757072078654?e=2147483647&amp;v=beta&amp;t=yehGDfyNfVqi7Cp6vZ2ke6VBvxNA0KHqRKShjGD78pk","View Creative")</f>
        <v>View Creative</v>
      </c>
      <c r="L1338" s="4" t="s">
        <v>106</v>
      </c>
      <c r="M1338" s="4" t="s">
        <v>61</v>
      </c>
      <c r="O1338" s="4" t="s">
        <v>63</v>
      </c>
      <c r="P1338" s="4" t="s">
        <v>64</v>
      </c>
    </row>
    <row r="1339">
      <c r="A1339" s="4" t="s">
        <v>40</v>
      </c>
      <c r="B1339" s="4" t="s">
        <v>40</v>
      </c>
      <c r="C1339" s="4">
        <v>1337.0</v>
      </c>
      <c r="D1339" s="5" t="str">
        <f>HYPERLINK("https://www.linkedin.com/ad-library/detail/747909194","Open Ad")</f>
        <v>Open Ad</v>
      </c>
      <c r="E1339" s="4" t="s">
        <v>78</v>
      </c>
      <c r="F1339" s="4" t="s">
        <v>54</v>
      </c>
      <c r="G1339" s="4" t="s">
        <v>5472</v>
      </c>
      <c r="H1339" s="4" t="s">
        <v>49</v>
      </c>
      <c r="I1339" s="4" t="s">
        <v>661</v>
      </c>
      <c r="J1339" s="4" t="s">
        <v>78</v>
      </c>
      <c r="K1339" s="5" t="str">
        <f>HYPERLINK("https://media.licdn.com/dms/image/v2/D4E10AQGFZpVIMo-Ekg/image-shrink_1280/B4EZkZqDY7IMAQ-/0/1757072079749?e=2147483647&amp;v=beta&amp;t=F-_omQug2mPDo5s7doTSV3qp5KaDzqoKWJH0-0ZvBYw","View Creative")</f>
        <v>View Creative</v>
      </c>
      <c r="L1339" s="4" t="s">
        <v>106</v>
      </c>
      <c r="M1339" s="4" t="s">
        <v>61</v>
      </c>
      <c r="O1339" s="4" t="s">
        <v>63</v>
      </c>
      <c r="P1339" s="4" t="s">
        <v>64</v>
      </c>
    </row>
    <row r="1340">
      <c r="A1340" s="4" t="s">
        <v>40</v>
      </c>
      <c r="B1340" s="4" t="s">
        <v>40</v>
      </c>
      <c r="C1340" s="4">
        <v>1338.0</v>
      </c>
      <c r="D1340" s="5" t="str">
        <f>HYPERLINK("https://www.linkedin.com/ad-library/detail/747898964","Open Ad")</f>
        <v>Open Ad</v>
      </c>
      <c r="E1340" s="4" t="s">
        <v>78</v>
      </c>
      <c r="F1340" s="4" t="s">
        <v>54</v>
      </c>
      <c r="G1340" s="4" t="s">
        <v>5472</v>
      </c>
      <c r="H1340" s="4" t="s">
        <v>49</v>
      </c>
      <c r="I1340" s="4" t="s">
        <v>661</v>
      </c>
      <c r="J1340" s="4" t="s">
        <v>78</v>
      </c>
      <c r="K1340" s="5" t="str">
        <f>HYPERLINK("https://media.licdn.com/dms/image/v2/D4E10AQHwZSlhuJigJA/image-shrink_1280/B4EZkZp39xHoAM-/0/1757072032992?e=2147483647&amp;v=beta&amp;t=wPuWwWSCDY4XHaOHq685T0TgsckapWitxAA4Y4nGGC8","View Creative")</f>
        <v>View Creative</v>
      </c>
      <c r="L1340" s="4" t="s">
        <v>106</v>
      </c>
      <c r="M1340" s="4" t="s">
        <v>61</v>
      </c>
      <c r="O1340" s="4" t="s">
        <v>63</v>
      </c>
      <c r="P1340" s="4" t="s">
        <v>64</v>
      </c>
    </row>
    <row r="1341">
      <c r="A1341" s="4" t="s">
        <v>40</v>
      </c>
      <c r="B1341" s="4" t="s">
        <v>40</v>
      </c>
      <c r="C1341" s="4">
        <v>1339.0</v>
      </c>
      <c r="D1341" s="5" t="str">
        <f>HYPERLINK("https://www.linkedin.com/ad-library/detail/747960094","Open Ad")</f>
        <v>Open Ad</v>
      </c>
      <c r="E1341" s="4" t="s">
        <v>78</v>
      </c>
      <c r="F1341" s="4" t="s">
        <v>54</v>
      </c>
      <c r="G1341" s="4" t="s">
        <v>5466</v>
      </c>
      <c r="H1341" s="4" t="s">
        <v>49</v>
      </c>
      <c r="I1341" s="4" t="s">
        <v>661</v>
      </c>
      <c r="J1341" s="4" t="s">
        <v>78</v>
      </c>
      <c r="K1341" s="5" t="str">
        <f>HYPERLINK("https://media.licdn.com/dms/image/v2/D4E10AQEzNXcybSEI3w/image-shrink_1280/B4EZkZp9wDHEAU-/0/1757072056696?e=2147483647&amp;v=beta&amp;t=pgS9x-a6bYBt5vrjxEeYeTjQOk-q0kLyztHOtYAtO7E","View Creative")</f>
        <v>View Creative</v>
      </c>
      <c r="L1341" s="4" t="s">
        <v>106</v>
      </c>
      <c r="M1341" s="4" t="s">
        <v>61</v>
      </c>
      <c r="O1341" s="4" t="s">
        <v>63</v>
      </c>
      <c r="P1341" s="4" t="s">
        <v>64</v>
      </c>
    </row>
    <row r="1342">
      <c r="A1342" s="4" t="s">
        <v>40</v>
      </c>
      <c r="B1342" s="4" t="s">
        <v>40</v>
      </c>
      <c r="C1342" s="4">
        <v>1340.0</v>
      </c>
      <c r="D1342" s="5" t="str">
        <f>HYPERLINK("https://www.linkedin.com/ad-library/detail/747940284","Open Ad")</f>
        <v>Open Ad</v>
      </c>
      <c r="E1342" s="4" t="s">
        <v>78</v>
      </c>
      <c r="F1342" s="4" t="s">
        <v>54</v>
      </c>
      <c r="G1342" s="4" t="s">
        <v>5469</v>
      </c>
      <c r="H1342" s="4" t="s">
        <v>49</v>
      </c>
      <c r="I1342" s="4" t="s">
        <v>661</v>
      </c>
      <c r="J1342" s="4" t="s">
        <v>78</v>
      </c>
      <c r="K1342" s="5" t="str">
        <f>HYPERLINK("https://media.licdn.com/dms/image/v2/D4E10AQHU3tQhWFXSCw/image-shrink_1280/B4EZkZp4DRIQAQ-/0/1757072032978?e=2147483647&amp;v=beta&amp;t=lISmlGPlDpWPLHXYZRIzewJmAyMVfjI_DIGJaLIbXNM","View Creative")</f>
        <v>View Creative</v>
      </c>
      <c r="L1342" s="4" t="s">
        <v>106</v>
      </c>
      <c r="M1342" s="4" t="s">
        <v>61</v>
      </c>
      <c r="O1342" s="4" t="s">
        <v>63</v>
      </c>
      <c r="P1342" s="4" t="s">
        <v>64</v>
      </c>
    </row>
    <row r="1343">
      <c r="A1343" s="4" t="s">
        <v>40</v>
      </c>
      <c r="B1343" s="4" t="s">
        <v>40</v>
      </c>
      <c r="C1343" s="4">
        <v>1341.0</v>
      </c>
      <c r="D1343" s="5" t="str">
        <f>HYPERLINK("https://www.linkedin.com/ad-library/detail/747909184","Open Ad")</f>
        <v>Open Ad</v>
      </c>
      <c r="E1343" s="4" t="s">
        <v>78</v>
      </c>
      <c r="F1343" s="4" t="s">
        <v>54</v>
      </c>
      <c r="G1343" s="4" t="s">
        <v>5466</v>
      </c>
      <c r="H1343" s="4" t="s">
        <v>49</v>
      </c>
      <c r="I1343" s="4" t="s">
        <v>661</v>
      </c>
      <c r="J1343" s="4" t="s">
        <v>78</v>
      </c>
      <c r="K1343" s="5" t="str">
        <f>HYPERLINK("https://media.licdn.com/dms/image/v2/D4E10AQECg6xAa5PpaA/image-shrink_1280/B4EZkZqDOkIQAU-/0/1757072079325?e=2147483647&amp;v=beta&amp;t=gUFw-JQk6_oXulFJrNlw46dfAFu55snHuQU0SoZPFfQ","View Creative")</f>
        <v>View Creative</v>
      </c>
      <c r="L1343" s="4" t="s">
        <v>106</v>
      </c>
      <c r="M1343" s="4" t="s">
        <v>61</v>
      </c>
      <c r="O1343" s="4" t="s">
        <v>63</v>
      </c>
      <c r="P1343" s="4" t="s">
        <v>64</v>
      </c>
    </row>
    <row r="1344">
      <c r="A1344" s="4" t="s">
        <v>40</v>
      </c>
      <c r="B1344" s="4" t="s">
        <v>40</v>
      </c>
      <c r="C1344" s="4">
        <v>1342.0</v>
      </c>
      <c r="D1344" s="5" t="str">
        <f>HYPERLINK("https://www.linkedin.com/ad-library/detail/747960164","Open Ad")</f>
        <v>Open Ad</v>
      </c>
      <c r="E1344" s="4" t="s">
        <v>78</v>
      </c>
      <c r="F1344" s="4" t="s">
        <v>54</v>
      </c>
      <c r="G1344" s="4" t="s">
        <v>5466</v>
      </c>
      <c r="H1344" s="4" t="s">
        <v>49</v>
      </c>
      <c r="I1344" s="4" t="s">
        <v>661</v>
      </c>
      <c r="J1344" s="4" t="s">
        <v>78</v>
      </c>
      <c r="K1344" s="5" t="str">
        <f>HYPERLINK("https://media.licdn.com/dms/image/v2/D4E10AQEFecN-lYY7aQ/image-shrink_1280/B4EZkZqI6rGoAM-/0/1757072101964?e=2147483647&amp;v=beta&amp;t=6GFwiwwc2RVzEpf7wu1labDehY91nsD-5Z0lh19CJbg","View Creative")</f>
        <v>View Creative</v>
      </c>
      <c r="L1344" s="4" t="s">
        <v>106</v>
      </c>
      <c r="M1344" s="4" t="s">
        <v>61</v>
      </c>
      <c r="O1344" s="4" t="s">
        <v>63</v>
      </c>
      <c r="P1344" s="4" t="s">
        <v>64</v>
      </c>
    </row>
    <row r="1345">
      <c r="A1345" s="4" t="s">
        <v>40</v>
      </c>
      <c r="B1345" s="4" t="s">
        <v>40</v>
      </c>
      <c r="C1345" s="4">
        <v>1343.0</v>
      </c>
      <c r="D1345" s="5" t="str">
        <f>HYPERLINK("https://www.linkedin.com/ad-library/detail/747940294","Open Ad")</f>
        <v>Open Ad</v>
      </c>
      <c r="E1345" s="4" t="s">
        <v>78</v>
      </c>
      <c r="F1345" s="4" t="s">
        <v>54</v>
      </c>
      <c r="G1345" s="4" t="s">
        <v>5466</v>
      </c>
      <c r="H1345" s="4" t="s">
        <v>49</v>
      </c>
      <c r="I1345" s="4" t="s">
        <v>661</v>
      </c>
      <c r="J1345" s="4" t="s">
        <v>78</v>
      </c>
      <c r="K1345" s="5" t="str">
        <f>HYPERLINK("https://media.licdn.com/dms/image/v2/D4E10AQHeavuVTh98ww/image-shrink_1280/B4EZkZp4EhIMAY-/0/1757072033290?e=2147483647&amp;v=beta&amp;t=tTZ4noX0lfQHnkHWJwZO8R75-GsaABspUqLkxG_iVFQ","View Creative")</f>
        <v>View Creative</v>
      </c>
      <c r="L1345" s="4" t="s">
        <v>106</v>
      </c>
      <c r="M1345" s="4" t="s">
        <v>61</v>
      </c>
      <c r="O1345" s="4" t="s">
        <v>63</v>
      </c>
      <c r="P1345" s="4" t="s">
        <v>64</v>
      </c>
    </row>
    <row r="1346">
      <c r="A1346" s="4" t="s">
        <v>40</v>
      </c>
      <c r="B1346" s="4" t="s">
        <v>40</v>
      </c>
      <c r="C1346" s="4">
        <v>1344.0</v>
      </c>
      <c r="D1346" s="5" t="str">
        <f>HYPERLINK("https://www.linkedin.com/ad-library/detail/747909164","Open Ad")</f>
        <v>Open Ad</v>
      </c>
      <c r="E1346" s="4" t="s">
        <v>78</v>
      </c>
      <c r="F1346" s="4" t="s">
        <v>54</v>
      </c>
      <c r="G1346" s="4" t="s">
        <v>5469</v>
      </c>
      <c r="H1346" s="4" t="s">
        <v>49</v>
      </c>
      <c r="I1346" s="4" t="s">
        <v>661</v>
      </c>
      <c r="J1346" s="4" t="s">
        <v>78</v>
      </c>
      <c r="K1346" s="5" t="str">
        <f>HYPERLINK("https://media.licdn.com/dms/image/v2/D4E10AQFPJQLHs_I0Dw/image-shrink_1280/B4EZkZpy_qIsAQ-/0/1757072012702?e=2147483647&amp;v=beta&amp;t=3HTJOJ2zFNbI-89klXsyt9FV2_BvyF4s1dMX2t_h_CI","View Creative")</f>
        <v>View Creative</v>
      </c>
      <c r="L1346" s="4" t="s">
        <v>106</v>
      </c>
      <c r="M1346" s="4" t="s">
        <v>61</v>
      </c>
      <c r="O1346" s="4" t="s">
        <v>63</v>
      </c>
      <c r="P1346" s="4" t="s">
        <v>64</v>
      </c>
    </row>
    <row r="1347">
      <c r="A1347" s="4" t="s">
        <v>40</v>
      </c>
      <c r="B1347" s="4" t="s">
        <v>40</v>
      </c>
      <c r="C1347" s="4">
        <v>1345.0</v>
      </c>
      <c r="D1347" s="5" t="str">
        <f>HYPERLINK("https://www.linkedin.com/ad-library/detail/747829744","Open Ad")</f>
        <v>Open Ad</v>
      </c>
      <c r="E1347" s="4" t="s">
        <v>78</v>
      </c>
      <c r="F1347" s="4" t="s">
        <v>54</v>
      </c>
      <c r="G1347" s="4" t="s">
        <v>5472</v>
      </c>
      <c r="H1347" s="4" t="s">
        <v>49</v>
      </c>
      <c r="I1347" s="4" t="s">
        <v>661</v>
      </c>
      <c r="J1347" s="4" t="s">
        <v>78</v>
      </c>
      <c r="K1347" s="5" t="str">
        <f>HYPERLINK("https://media.licdn.com/dms/image/v2/D4E10AQE0jSdvIsNCuw/image-shrink_1280/B4EZkZpm2RIUAU-/0/1757071962306?e=2147483647&amp;v=beta&amp;t=z05ATrt4IR3mGTGvKrbfeac4ymw0IfZWrbljww6CZls","View Creative")</f>
        <v>View Creative</v>
      </c>
      <c r="L1347" s="4" t="s">
        <v>106</v>
      </c>
      <c r="M1347" s="4" t="s">
        <v>61</v>
      </c>
      <c r="O1347" s="4" t="s">
        <v>63</v>
      </c>
      <c r="P1347" s="4" t="s">
        <v>64</v>
      </c>
    </row>
    <row r="1348">
      <c r="A1348" s="4" t="s">
        <v>40</v>
      </c>
      <c r="B1348" s="4" t="s">
        <v>40</v>
      </c>
      <c r="C1348" s="4">
        <v>1346.0</v>
      </c>
      <c r="D1348" s="5" t="str">
        <f>HYPERLINK("https://www.linkedin.com/ad-library/detail/747849374","Open Ad")</f>
        <v>Open Ad</v>
      </c>
      <c r="E1348" s="4" t="s">
        <v>78</v>
      </c>
      <c r="F1348" s="4" t="s">
        <v>54</v>
      </c>
      <c r="G1348" s="4" t="s">
        <v>5472</v>
      </c>
      <c r="H1348" s="4" t="s">
        <v>49</v>
      </c>
      <c r="I1348" s="4" t="s">
        <v>661</v>
      </c>
      <c r="J1348" s="4" t="s">
        <v>78</v>
      </c>
      <c r="K1348" s="5" t="str">
        <f>HYPERLINK("https://media.licdn.com/dms/image/v2/D4E10AQF7uVxY-aVZWQ/image-shrink_1280/B4EZkZphhXGYAQ-/0/1757071940920?e=2147483647&amp;v=beta&amp;t=DDW9TXnPeDGoEf6j8fXksVN0WVBvduT7EiBdiPH45MQ","View Creative")</f>
        <v>View Creative</v>
      </c>
      <c r="L1348" s="4" t="s">
        <v>106</v>
      </c>
      <c r="M1348" s="4" t="s">
        <v>61</v>
      </c>
      <c r="O1348" s="4" t="s">
        <v>63</v>
      </c>
      <c r="P1348" s="4" t="s">
        <v>64</v>
      </c>
    </row>
    <row r="1349">
      <c r="A1349" s="4" t="s">
        <v>40</v>
      </c>
      <c r="B1349" s="4" t="s">
        <v>40</v>
      </c>
      <c r="C1349" s="4">
        <v>1347.0</v>
      </c>
      <c r="D1349" s="5" t="str">
        <f>HYPERLINK("https://www.linkedin.com/ad-library/detail/747930264","Open Ad")</f>
        <v>Open Ad</v>
      </c>
      <c r="E1349" s="4" t="s">
        <v>78</v>
      </c>
      <c r="F1349" s="4" t="s">
        <v>54</v>
      </c>
      <c r="G1349" s="4" t="s">
        <v>5472</v>
      </c>
      <c r="H1349" s="4" t="s">
        <v>49</v>
      </c>
      <c r="I1349" s="4" t="s">
        <v>661</v>
      </c>
      <c r="J1349" s="4" t="s">
        <v>78</v>
      </c>
      <c r="K1349" s="5" t="str">
        <f>HYPERLINK("https://media.licdn.com/dms/image/v2/D4E10AQGB17Uyx6exZA/image-shrink_1280/B4EZkZpyXTGoAU-/0/1757072009520?e=2147483647&amp;v=beta&amp;t=vLkD5wwxMdssTLCuO8zYvZcNokErv7c62rPIhXL6oNM","View Creative")</f>
        <v>View Creative</v>
      </c>
      <c r="L1349" s="4" t="s">
        <v>106</v>
      </c>
      <c r="M1349" s="4" t="s">
        <v>61</v>
      </c>
      <c r="O1349" s="4" t="s">
        <v>63</v>
      </c>
      <c r="P1349" s="4" t="s">
        <v>64</v>
      </c>
    </row>
    <row r="1350">
      <c r="A1350" s="4" t="s">
        <v>40</v>
      </c>
      <c r="B1350" s="4" t="s">
        <v>40</v>
      </c>
      <c r="C1350" s="4">
        <v>1348.0</v>
      </c>
      <c r="D1350" s="5" t="str">
        <f>HYPERLINK("https://www.linkedin.com/ad-library/detail/747909124","Open Ad")</f>
        <v>Open Ad</v>
      </c>
      <c r="E1350" s="4" t="s">
        <v>78</v>
      </c>
      <c r="F1350" s="4" t="s">
        <v>54</v>
      </c>
      <c r="G1350" s="4" t="s">
        <v>5466</v>
      </c>
      <c r="H1350" s="4" t="s">
        <v>49</v>
      </c>
      <c r="I1350" s="4" t="s">
        <v>661</v>
      </c>
      <c r="J1350" s="4" t="s">
        <v>78</v>
      </c>
      <c r="K1350" s="5" t="str">
        <f>HYPERLINK("https://media.licdn.com/dms/image/v2/D4E10AQEX0weHVy2AHg/image-shrink_1280/B4EZkZpsYVIkAQ-/0/1757071985055?e=2147483647&amp;v=beta&amp;t=p2KgYbOXaLAxiuRk5OF-TjafPkZ1iUzDrclnlMm7i5w","View Creative")</f>
        <v>View Creative</v>
      </c>
      <c r="L1350" s="4" t="s">
        <v>106</v>
      </c>
      <c r="M1350" s="4" t="s">
        <v>61</v>
      </c>
      <c r="O1350" s="4" t="s">
        <v>63</v>
      </c>
      <c r="P1350" s="4" t="s">
        <v>64</v>
      </c>
    </row>
    <row r="1351">
      <c r="A1351" s="4" t="s">
        <v>40</v>
      </c>
      <c r="B1351" s="4" t="s">
        <v>40</v>
      </c>
      <c r="C1351" s="4">
        <v>1349.0</v>
      </c>
      <c r="D1351" s="5" t="str">
        <f>HYPERLINK("https://www.linkedin.com/ad-library/detail/747960014","Open Ad")</f>
        <v>Open Ad</v>
      </c>
      <c r="E1351" s="4" t="s">
        <v>78</v>
      </c>
      <c r="F1351" s="4" t="s">
        <v>54</v>
      </c>
      <c r="G1351" s="4" t="s">
        <v>5472</v>
      </c>
      <c r="H1351" s="4" t="s">
        <v>49</v>
      </c>
      <c r="I1351" s="4" t="s">
        <v>661</v>
      </c>
      <c r="J1351" s="4" t="s">
        <v>78</v>
      </c>
      <c r="K1351" s="5" t="str">
        <f>HYPERLINK("https://media.licdn.com/dms/image/v2/D4E10AQEfd3CFij82QQ/image-shrink_1280/B4EZkZpm3MIQAQ-/0/1757071962668?e=2147483647&amp;v=beta&amp;t=hcFaXg0RXvUGfgjaSMfc-xW2hiTs2MZC0S0diktKRHI","View Creative")</f>
        <v>View Creative</v>
      </c>
      <c r="L1351" s="4" t="s">
        <v>106</v>
      </c>
      <c r="M1351" s="4" t="s">
        <v>61</v>
      </c>
      <c r="O1351" s="4" t="s">
        <v>63</v>
      </c>
      <c r="P1351" s="4" t="s">
        <v>64</v>
      </c>
    </row>
    <row r="1352">
      <c r="A1352" s="4" t="s">
        <v>40</v>
      </c>
      <c r="B1352" s="4" t="s">
        <v>40</v>
      </c>
      <c r="C1352" s="4">
        <v>1350.0</v>
      </c>
      <c r="D1352" s="5" t="str">
        <f>HYPERLINK("https://www.linkedin.com/ad-library/detail/747849354","Open Ad")</f>
        <v>Open Ad</v>
      </c>
      <c r="E1352" s="4" t="s">
        <v>78</v>
      </c>
      <c r="F1352" s="4" t="s">
        <v>54</v>
      </c>
      <c r="G1352" s="4" t="s">
        <v>5469</v>
      </c>
      <c r="H1352" s="4" t="s">
        <v>49</v>
      </c>
      <c r="I1352" s="4" t="s">
        <v>661</v>
      </c>
      <c r="J1352" s="4" t="s">
        <v>78</v>
      </c>
      <c r="K1352" s="5" t="str">
        <f>HYPERLINK("https://media.licdn.com/dms/image/v2/D4E10AQF9Vz4aJoWvuw/image-shrink_1280/B4EZkZpcCYIMAQ-/0/1757071917905?e=2147483647&amp;v=beta&amp;t=9I8iYLl4-ckik5SVC-DqNQ-3p3N2UG0-laBpFj12qQA","View Creative")</f>
        <v>View Creative</v>
      </c>
      <c r="L1352" s="4" t="s">
        <v>106</v>
      </c>
      <c r="M1352" s="4" t="s">
        <v>61</v>
      </c>
      <c r="O1352" s="4" t="s">
        <v>63</v>
      </c>
      <c r="P1352" s="4" t="s">
        <v>64</v>
      </c>
    </row>
    <row r="1353">
      <c r="A1353" s="4" t="s">
        <v>40</v>
      </c>
      <c r="B1353" s="4" t="s">
        <v>40</v>
      </c>
      <c r="C1353" s="4">
        <v>1351.0</v>
      </c>
      <c r="D1353" s="5" t="str">
        <f>HYPERLINK("https://www.linkedin.com/ad-library/detail/747930254","Open Ad")</f>
        <v>Open Ad</v>
      </c>
      <c r="E1353" s="4" t="s">
        <v>78</v>
      </c>
      <c r="F1353" s="4" t="s">
        <v>54</v>
      </c>
      <c r="G1353" s="4" t="s">
        <v>5466</v>
      </c>
      <c r="H1353" s="4" t="s">
        <v>49</v>
      </c>
      <c r="I1353" s="4" t="s">
        <v>661</v>
      </c>
      <c r="J1353" s="4" t="s">
        <v>78</v>
      </c>
      <c r="K1353" s="5" t="str">
        <f>HYPERLINK("https://media.licdn.com/dms/image/v2/D4E10AQEUOBV8GqY2ag/image-shrink_1280/B4EZkZph3kIsAM-/0/1757071941849?e=2147483647&amp;v=beta&amp;t=M89S6HvLLysqRBKV3QgcUnB923v9oynF0FCcWxqEiu8","View Creative")</f>
        <v>View Creative</v>
      </c>
      <c r="L1353" s="4" t="s">
        <v>106</v>
      </c>
      <c r="M1353" s="4" t="s">
        <v>61</v>
      </c>
      <c r="O1353" s="4" t="s">
        <v>63</v>
      </c>
      <c r="P1353" s="4" t="s">
        <v>64</v>
      </c>
    </row>
    <row r="1354">
      <c r="A1354" s="4" t="s">
        <v>40</v>
      </c>
      <c r="B1354" s="4" t="s">
        <v>40</v>
      </c>
      <c r="C1354" s="4">
        <v>1352.0</v>
      </c>
      <c r="D1354" s="5" t="str">
        <f>HYPERLINK("https://www.linkedin.com/ad-library/detail/747898894","Open Ad")</f>
        <v>Open Ad</v>
      </c>
      <c r="E1354" s="4" t="s">
        <v>78</v>
      </c>
      <c r="F1354" s="4" t="s">
        <v>54</v>
      </c>
      <c r="G1354" s="4" t="s">
        <v>5466</v>
      </c>
      <c r="H1354" s="4" t="s">
        <v>49</v>
      </c>
      <c r="I1354" s="4" t="s">
        <v>661</v>
      </c>
      <c r="J1354" s="4" t="s">
        <v>78</v>
      </c>
      <c r="K1354" s="5" t="str">
        <f>HYPERLINK("https://media.licdn.com/dms/image/v2/D4E10AQGNRoAbPVR9sg/image-shrink_1280/B4EZkZphbZIwAM-/0/1757071940797?e=2147483647&amp;v=beta&amp;t=KdhySobHY4FYnQCS1mqif4JBIsADOZG_rRYLraDNfXs","View Creative")</f>
        <v>View Creative</v>
      </c>
      <c r="L1354" s="4" t="s">
        <v>106</v>
      </c>
      <c r="M1354" s="4" t="s">
        <v>61</v>
      </c>
      <c r="O1354" s="4" t="s">
        <v>63</v>
      </c>
      <c r="P1354" s="4" t="s">
        <v>64</v>
      </c>
    </row>
    <row r="1355">
      <c r="A1355" s="4" t="s">
        <v>40</v>
      </c>
      <c r="B1355" s="4" t="s">
        <v>40</v>
      </c>
      <c r="C1355" s="4">
        <v>1353.0</v>
      </c>
      <c r="D1355" s="5" t="str">
        <f>HYPERLINK("https://www.linkedin.com/ad-library/detail/747849394","Open Ad")</f>
        <v>Open Ad</v>
      </c>
      <c r="E1355" s="4" t="s">
        <v>78</v>
      </c>
      <c r="F1355" s="4" t="s">
        <v>54</v>
      </c>
      <c r="G1355" s="4" t="s">
        <v>5466</v>
      </c>
      <c r="H1355" s="4" t="s">
        <v>49</v>
      </c>
      <c r="I1355" s="4" t="s">
        <v>661</v>
      </c>
      <c r="J1355" s="4" t="s">
        <v>78</v>
      </c>
      <c r="K1355" s="5" t="str">
        <f>HYPERLINK("https://media.licdn.com/dms/image/v2/D4E10AQG5YxHrlaJohQ/image-shrink_1280/B4EZkZpnW1IsAM-/0/1757071964550?e=2147483647&amp;v=beta&amp;t=DbjfkLsxGCZd4slG-bvj3Ge44PfcgT4cQZGcPixZh3w","View Creative")</f>
        <v>View Creative</v>
      </c>
      <c r="L1355" s="4" t="s">
        <v>106</v>
      </c>
      <c r="M1355" s="4" t="s">
        <v>61</v>
      </c>
      <c r="O1355" s="4" t="s">
        <v>63</v>
      </c>
      <c r="P1355" s="4" t="s">
        <v>64</v>
      </c>
    </row>
    <row r="1356">
      <c r="A1356" s="4" t="s">
        <v>40</v>
      </c>
      <c r="B1356" s="4" t="s">
        <v>40</v>
      </c>
      <c r="C1356" s="4">
        <v>1354.0</v>
      </c>
      <c r="D1356" s="5" t="str">
        <f>HYPERLINK("https://www.linkedin.com/ad-library/detail/747918464","Open Ad")</f>
        <v>Open Ad</v>
      </c>
      <c r="E1356" s="4" t="s">
        <v>78</v>
      </c>
      <c r="F1356" s="4" t="s">
        <v>54</v>
      </c>
      <c r="G1356" s="4" t="s">
        <v>5472</v>
      </c>
      <c r="H1356" s="4" t="s">
        <v>49</v>
      </c>
      <c r="I1356" s="4" t="s">
        <v>661</v>
      </c>
      <c r="J1356" s="4" t="s">
        <v>78</v>
      </c>
      <c r="K1356" s="5" t="str">
        <f>HYPERLINK("https://media.licdn.com/dms/image/v2/D4E10AQHwyxYW2yKk0g/image-shrink_1280/B4EZkZpsQnHoAM-/0/1757071984790?e=2147483647&amp;v=beta&amp;t=2cagaizo4tkgaFUNYeCXgOs53aqKRzskKSKU1TU3I9M","View Creative")</f>
        <v>View Creative</v>
      </c>
      <c r="L1356" s="4" t="s">
        <v>106</v>
      </c>
      <c r="M1356" s="4" t="s">
        <v>61</v>
      </c>
      <c r="O1356" s="4" t="s">
        <v>63</v>
      </c>
      <c r="P1356" s="4" t="s">
        <v>64</v>
      </c>
    </row>
    <row r="1357">
      <c r="A1357" s="4" t="s">
        <v>40</v>
      </c>
      <c r="B1357" s="4" t="s">
        <v>40</v>
      </c>
      <c r="C1357" s="4">
        <v>1355.0</v>
      </c>
      <c r="D1357" s="5" t="str">
        <f>HYPERLINK("https://www.linkedin.com/ad-library/detail/747950014","Open Ad")</f>
        <v>Open Ad</v>
      </c>
      <c r="E1357" s="4" t="s">
        <v>78</v>
      </c>
      <c r="F1357" s="4" t="s">
        <v>54</v>
      </c>
      <c r="G1357" s="4" t="s">
        <v>5469</v>
      </c>
      <c r="H1357" s="4" t="s">
        <v>49</v>
      </c>
      <c r="I1357" s="4" t="s">
        <v>661</v>
      </c>
      <c r="J1357" s="4" t="s">
        <v>78</v>
      </c>
      <c r="K1357" s="5" t="str">
        <f>HYPERLINK("https://media.licdn.com/dms/image/v2/D4E10AQGpfRENKuO0Jw/image-shrink_1280/B4EZkZpsYyGoAM-/0/1757071984977?e=2147483647&amp;v=beta&amp;t=SgH9kixDcma0__lobbu2MdjyAa-yguLuKQafwuz7CGY","View Creative")</f>
        <v>View Creative</v>
      </c>
      <c r="L1357" s="4" t="s">
        <v>106</v>
      </c>
      <c r="M1357" s="4" t="s">
        <v>61</v>
      </c>
      <c r="O1357" s="4" t="s">
        <v>63</v>
      </c>
      <c r="P1357" s="4" t="s">
        <v>64</v>
      </c>
    </row>
    <row r="1358">
      <c r="A1358" s="4" t="s">
        <v>40</v>
      </c>
      <c r="B1358" s="4" t="s">
        <v>40</v>
      </c>
      <c r="C1358" s="4">
        <v>1356.0</v>
      </c>
      <c r="D1358" s="5" t="str">
        <f>HYPERLINK("https://www.linkedin.com/ad-library/detail/747859144","Open Ad")</f>
        <v>Open Ad</v>
      </c>
      <c r="E1358" s="4" t="s">
        <v>78</v>
      </c>
      <c r="F1358" s="4" t="s">
        <v>54</v>
      </c>
      <c r="G1358" s="4" t="s">
        <v>5472</v>
      </c>
      <c r="H1358" s="4" t="s">
        <v>49</v>
      </c>
      <c r="I1358" s="4" t="s">
        <v>661</v>
      </c>
      <c r="J1358" s="4" t="s">
        <v>78</v>
      </c>
      <c r="K1358" s="5" t="str">
        <f>HYPERLINK("https://media.licdn.com/dms/image/v2/D4E10AQG5gef5O4yjBA/image-shrink_1280/B4EZkZpmxTIsAQ-/0/1757071962600?e=2147483647&amp;v=beta&amp;t=RdO70M02QTn2ZuYGwez3NThSyvUC5ddniVi-m_ehhqE","View Creative")</f>
        <v>View Creative</v>
      </c>
      <c r="L1358" s="4" t="s">
        <v>106</v>
      </c>
      <c r="M1358" s="4" t="s">
        <v>61</v>
      </c>
      <c r="O1358" s="4" t="s">
        <v>63</v>
      </c>
      <c r="P1358" s="4" t="s">
        <v>64</v>
      </c>
    </row>
    <row r="1359">
      <c r="A1359" s="4" t="s">
        <v>40</v>
      </c>
      <c r="B1359" s="4" t="s">
        <v>40</v>
      </c>
      <c r="C1359" s="4">
        <v>1357.0</v>
      </c>
      <c r="D1359" s="5" t="str">
        <f>HYPERLINK("https://www.linkedin.com/ad-library/detail/747889184","Open Ad")</f>
        <v>Open Ad</v>
      </c>
      <c r="E1359" s="4" t="s">
        <v>78</v>
      </c>
      <c r="F1359" s="4" t="s">
        <v>54</v>
      </c>
      <c r="G1359" s="4" t="s">
        <v>5469</v>
      </c>
      <c r="H1359" s="4" t="s">
        <v>49</v>
      </c>
      <c r="I1359" s="4" t="s">
        <v>661</v>
      </c>
      <c r="J1359" s="4" t="s">
        <v>78</v>
      </c>
      <c r="K1359" s="5" t="str">
        <f>HYPERLINK("https://media.licdn.com/dms/image/v2/D4E10AQFA83R1URyG7Q/image-shrink_1280/B4EZkZpsQnGwAU-/0/1757071985144?e=2147483647&amp;v=beta&amp;t=pkxcp3HIC7FSmkCeNImcVqAQcVwTR_FTZyM15SNk7aw","View Creative")</f>
        <v>View Creative</v>
      </c>
      <c r="L1359" s="4" t="s">
        <v>106</v>
      </c>
      <c r="M1359" s="4" t="s">
        <v>61</v>
      </c>
      <c r="O1359" s="4" t="s">
        <v>63</v>
      </c>
      <c r="P1359" s="4" t="s">
        <v>64</v>
      </c>
    </row>
    <row r="1360">
      <c r="A1360" s="4" t="s">
        <v>40</v>
      </c>
      <c r="B1360" s="4" t="s">
        <v>40</v>
      </c>
      <c r="C1360" s="4">
        <v>1358.0</v>
      </c>
      <c r="D1360" s="5" t="str">
        <f>HYPERLINK("https://www.linkedin.com/ad-library/detail/747969834","Open Ad")</f>
        <v>Open Ad</v>
      </c>
      <c r="E1360" s="4" t="s">
        <v>78</v>
      </c>
      <c r="F1360" s="4" t="s">
        <v>54</v>
      </c>
      <c r="G1360" s="4" t="s">
        <v>5466</v>
      </c>
      <c r="H1360" s="4" t="s">
        <v>49</v>
      </c>
      <c r="I1360" s="4" t="s">
        <v>661</v>
      </c>
      <c r="J1360" s="4" t="s">
        <v>78</v>
      </c>
      <c r="K1360" s="5" t="str">
        <f>HYPERLINK("https://media.licdn.com/dms/image/v2/D4E10AQGLjIKZxki4tw/image-shrink_1280/B4EZkZpb7VHgAM-/0/1757071919961?e=2147483647&amp;v=beta&amp;t=3p5PP_3vTD1aXwHWYEzyLMuF8wsiP-WOW1mKOy2okFM","View Creative")</f>
        <v>View Creative</v>
      </c>
      <c r="L1360" s="4" t="s">
        <v>106</v>
      </c>
      <c r="M1360" s="4" t="s">
        <v>61</v>
      </c>
      <c r="O1360" s="4" t="s">
        <v>63</v>
      </c>
      <c r="P1360" s="4" t="s">
        <v>64</v>
      </c>
    </row>
    <row r="1361">
      <c r="A1361" s="4" t="s">
        <v>40</v>
      </c>
      <c r="B1361" s="4" t="s">
        <v>40</v>
      </c>
      <c r="C1361" s="4">
        <v>1359.0</v>
      </c>
      <c r="D1361" s="5" t="str">
        <f>HYPERLINK("https://www.linkedin.com/ad-library/detail/747940234","Open Ad")</f>
        <v>Open Ad</v>
      </c>
      <c r="E1361" s="4" t="s">
        <v>78</v>
      </c>
      <c r="F1361" s="4" t="s">
        <v>54</v>
      </c>
      <c r="G1361" s="4" t="s">
        <v>5469</v>
      </c>
      <c r="H1361" s="4" t="s">
        <v>49</v>
      </c>
      <c r="I1361" s="4" t="s">
        <v>661</v>
      </c>
      <c r="J1361" s="4" t="s">
        <v>78</v>
      </c>
      <c r="K1361" s="5" t="str">
        <f>HYPERLINK("https://media.licdn.com/dms/image/v2/D4E10AQEllrC8F1_5dQ/image-shrink_1280/B4EZkZpsvQIkAQ-/0/1757071987214?e=2147483647&amp;v=beta&amp;t=d1XaDTdmMj7cyG4qPMO4BItD8FZPNEvP8ifYd4uX1wc","View Creative")</f>
        <v>View Creative</v>
      </c>
      <c r="L1361" s="4" t="s">
        <v>106</v>
      </c>
      <c r="M1361" s="4" t="s">
        <v>61</v>
      </c>
      <c r="O1361" s="4" t="s">
        <v>63</v>
      </c>
      <c r="P1361" s="4" t="s">
        <v>64</v>
      </c>
    </row>
    <row r="1362">
      <c r="A1362" s="4" t="s">
        <v>40</v>
      </c>
      <c r="B1362" s="4" t="s">
        <v>40</v>
      </c>
      <c r="C1362" s="4">
        <v>1360.0</v>
      </c>
      <c r="D1362" s="5" t="str">
        <f>HYPERLINK("https://www.linkedin.com/ad-library/detail/747940264","Open Ad")</f>
        <v>Open Ad</v>
      </c>
      <c r="E1362" s="4" t="s">
        <v>78</v>
      </c>
      <c r="F1362" s="4" t="s">
        <v>54</v>
      </c>
      <c r="G1362" s="4" t="s">
        <v>5472</v>
      </c>
      <c r="H1362" s="4" t="s">
        <v>49</v>
      </c>
      <c r="I1362" s="4" t="s">
        <v>661</v>
      </c>
      <c r="J1362" s="4" t="s">
        <v>78</v>
      </c>
      <c r="K1362" s="5" t="str">
        <f>HYPERLINK("https://media.licdn.com/dms/image/v2/D4E10AQGY3GcDMyAAjg/image-shrink_1280/B4EZkZpyfzHgAQ-/0/1757072009853?e=2147483647&amp;v=beta&amp;t=9VYiWoupogwV9Y6ecC99796NbDk8GPQ8_SkzNFKuB50","View Creative")</f>
        <v>View Creative</v>
      </c>
      <c r="L1362" s="4" t="s">
        <v>106</v>
      </c>
      <c r="M1362" s="4" t="s">
        <v>61</v>
      </c>
      <c r="O1362" s="4" t="s">
        <v>63</v>
      </c>
      <c r="P1362" s="4" t="s">
        <v>64</v>
      </c>
    </row>
    <row r="1363">
      <c r="A1363" s="4" t="s">
        <v>40</v>
      </c>
      <c r="B1363" s="4" t="s">
        <v>40</v>
      </c>
      <c r="C1363" s="4">
        <v>1361.0</v>
      </c>
      <c r="D1363" s="5" t="str">
        <f>HYPERLINK("https://www.linkedin.com/ad-library/detail/747889164","Open Ad")</f>
        <v>Open Ad</v>
      </c>
      <c r="E1363" s="4" t="s">
        <v>78</v>
      </c>
      <c r="F1363" s="4" t="s">
        <v>54</v>
      </c>
      <c r="G1363" s="4" t="s">
        <v>5472</v>
      </c>
      <c r="H1363" s="4" t="s">
        <v>49</v>
      </c>
      <c r="I1363" s="4" t="s">
        <v>661</v>
      </c>
      <c r="J1363" s="4" t="s">
        <v>78</v>
      </c>
      <c r="K1363" s="5" t="str">
        <f>HYPERLINK("https://media.licdn.com/dms/image/v2/D4E10AQEoG_RsOaDAlQ/image-shrink_1280/B4EZkZphcdIIAU-/0/1757071940733?e=2147483647&amp;v=beta&amp;t=U9HUYLuzs_RhW1evnt761u0mb6v0jYajVlr702TNIWk","View Creative")</f>
        <v>View Creative</v>
      </c>
      <c r="L1363" s="4" t="s">
        <v>106</v>
      </c>
      <c r="M1363" s="4" t="s">
        <v>61</v>
      </c>
      <c r="O1363" s="4" t="s">
        <v>63</v>
      </c>
      <c r="P1363" s="4" t="s">
        <v>64</v>
      </c>
    </row>
    <row r="1364">
      <c r="A1364" s="4" t="s">
        <v>40</v>
      </c>
      <c r="B1364" s="4" t="s">
        <v>40</v>
      </c>
      <c r="C1364" s="4">
        <v>1362.0</v>
      </c>
      <c r="D1364" s="5" t="str">
        <f>HYPERLINK("https://www.linkedin.com/ad-library/detail/747969844","Open Ad")</f>
        <v>Open Ad</v>
      </c>
      <c r="E1364" s="4" t="s">
        <v>78</v>
      </c>
      <c r="F1364" s="4" t="s">
        <v>54</v>
      </c>
      <c r="G1364" s="4" t="s">
        <v>5466</v>
      </c>
      <c r="H1364" s="4" t="s">
        <v>49</v>
      </c>
      <c r="I1364" s="4" t="s">
        <v>661</v>
      </c>
      <c r="J1364" s="4" t="s">
        <v>78</v>
      </c>
      <c r="K1364" s="5" t="str">
        <f>HYPERLINK("https://media.licdn.com/dms/image/v2/D4E10AQGtgCSuQMQ-4w/image-shrink_1280/B4EZkZpm6sGoAU-/0/1757071963265?e=2147483647&amp;v=beta&amp;t=kHyCd1nZ1oTnfIY4ns9AVzkxYqCBD3-dEz-azHsUUOU","View Creative")</f>
        <v>View Creative</v>
      </c>
      <c r="L1364" s="4" t="s">
        <v>106</v>
      </c>
      <c r="M1364" s="4" t="s">
        <v>61</v>
      </c>
      <c r="O1364" s="4" t="s">
        <v>63</v>
      </c>
      <c r="P1364" s="4" t="s">
        <v>64</v>
      </c>
    </row>
    <row r="1365">
      <c r="A1365" s="4" t="s">
        <v>40</v>
      </c>
      <c r="B1365" s="4" t="s">
        <v>40</v>
      </c>
      <c r="C1365" s="4">
        <v>1363.0</v>
      </c>
      <c r="D1365" s="5" t="str">
        <f>HYPERLINK("https://www.linkedin.com/ad-library/detail/747909094","Open Ad")</f>
        <v>Open Ad</v>
      </c>
      <c r="E1365" s="4" t="s">
        <v>78</v>
      </c>
      <c r="F1365" s="4" t="s">
        <v>54</v>
      </c>
      <c r="G1365" s="4" t="s">
        <v>5472</v>
      </c>
      <c r="H1365" s="4" t="s">
        <v>49</v>
      </c>
      <c r="I1365" s="4" t="s">
        <v>661</v>
      </c>
      <c r="J1365" s="4" t="s">
        <v>78</v>
      </c>
      <c r="K1365" s="5" t="str">
        <f>HYPERLINK("https://media.licdn.com/dms/image/v2/D4E10AQGgEwXsB5aoPA/image-shrink_1280/B4EZkZphYwHoAM-/0/1757071940383?e=2147483647&amp;v=beta&amp;t=rfJ7iJGL7TaBF5R5ewmOlJUrY-zGs3rWTv8FGqcOpAo","View Creative")</f>
        <v>View Creative</v>
      </c>
      <c r="L1365" s="4" t="s">
        <v>106</v>
      </c>
      <c r="M1365" s="4" t="s">
        <v>61</v>
      </c>
      <c r="O1365" s="4" t="s">
        <v>63</v>
      </c>
      <c r="P1365" s="4" t="s">
        <v>64</v>
      </c>
    </row>
    <row r="1366">
      <c r="A1366" s="4" t="s">
        <v>40</v>
      </c>
      <c r="B1366" s="4" t="s">
        <v>40</v>
      </c>
      <c r="C1366" s="4">
        <v>1364.0</v>
      </c>
      <c r="D1366" s="5" t="str">
        <f>HYPERLINK("https://www.linkedin.com/ad-library/detail/747898864","Open Ad")</f>
        <v>Open Ad</v>
      </c>
      <c r="E1366" s="4" t="s">
        <v>78</v>
      </c>
      <c r="F1366" s="4" t="s">
        <v>54</v>
      </c>
      <c r="G1366" s="4" t="s">
        <v>5472</v>
      </c>
      <c r="H1366" s="4" t="s">
        <v>49</v>
      </c>
      <c r="I1366" s="4" t="s">
        <v>661</v>
      </c>
      <c r="J1366" s="4" t="s">
        <v>78</v>
      </c>
      <c r="K1366" s="5" t="str">
        <f>HYPERLINK("https://media.licdn.com/dms/image/v2/D4E10AQHXuzXI3f4A4A/image-shrink_1280/B4EZkZpb60GwAU-/0/1757071917391?e=2147483647&amp;v=beta&amp;t=wjRFJcUDJfxjYovLePCcA90tm3inUQIg5DCDUN72kFw","View Creative")</f>
        <v>View Creative</v>
      </c>
      <c r="L1366" s="4" t="s">
        <v>106</v>
      </c>
      <c r="M1366" s="4" t="s">
        <v>61</v>
      </c>
      <c r="O1366" s="4" t="s">
        <v>63</v>
      </c>
      <c r="P1366" s="4" t="s">
        <v>64</v>
      </c>
    </row>
    <row r="1367">
      <c r="A1367" s="4" t="s">
        <v>40</v>
      </c>
      <c r="B1367" s="4" t="s">
        <v>40</v>
      </c>
      <c r="C1367" s="4">
        <v>1365.0</v>
      </c>
      <c r="D1367" s="5" t="str">
        <f>HYPERLINK("https://www.linkedin.com/ad-library/detail/747839514","Open Ad")</f>
        <v>Open Ad</v>
      </c>
      <c r="E1367" s="4" t="s">
        <v>78</v>
      </c>
      <c r="F1367" s="4" t="s">
        <v>54</v>
      </c>
      <c r="G1367" s="4" t="s">
        <v>5472</v>
      </c>
      <c r="H1367" s="4" t="s">
        <v>49</v>
      </c>
      <c r="I1367" s="4" t="s">
        <v>661</v>
      </c>
      <c r="J1367" s="4" t="s">
        <v>78</v>
      </c>
      <c r="K1367" s="5" t="str">
        <f>HYPERLINK("https://media.licdn.com/dms/image/v2/D4E10AQFgh5hCBNDtTg/image-shrink_1280/B4EZkZpsP1IUAM-/0/1757071984919?e=2147483647&amp;v=beta&amp;t=xemqdPXlgHG-Em0Gouqt412KFgb_vFBbUbQCDyNGmvs","View Creative")</f>
        <v>View Creative</v>
      </c>
      <c r="L1367" s="4" t="s">
        <v>106</v>
      </c>
      <c r="M1367" s="4" t="s">
        <v>61</v>
      </c>
      <c r="O1367" s="4" t="s">
        <v>63</v>
      </c>
      <c r="P1367" s="4" t="s">
        <v>64</v>
      </c>
    </row>
    <row r="1368">
      <c r="A1368" s="4" t="s">
        <v>40</v>
      </c>
      <c r="B1368" s="4" t="s">
        <v>40</v>
      </c>
      <c r="C1368" s="4">
        <v>1366.0</v>
      </c>
      <c r="D1368" s="5" t="str">
        <f>HYPERLINK("https://www.linkedin.com/ad-library/detail/747969864","Open Ad")</f>
        <v>Open Ad</v>
      </c>
      <c r="E1368" s="4" t="s">
        <v>78</v>
      </c>
      <c r="F1368" s="4" t="s">
        <v>54</v>
      </c>
      <c r="G1368" s="4" t="s">
        <v>5472</v>
      </c>
      <c r="H1368" s="4" t="s">
        <v>49</v>
      </c>
      <c r="I1368" s="4" t="s">
        <v>661</v>
      </c>
      <c r="J1368" s="4" t="s">
        <v>78</v>
      </c>
      <c r="K1368" s="5" t="str">
        <f>HYPERLINK("https://media.licdn.com/dms/image/v2/D4E10AQF90jjzPXC6Jg/image-shrink_1280/B4EZkZpsQeIkAQ-/0/1757071984500?e=2147483647&amp;v=beta&amp;t=p5Je7iNvJM_M3kBZp272O92mnk8G8tO3GOJQnuDWMxw","View Creative")</f>
        <v>View Creative</v>
      </c>
      <c r="L1368" s="4" t="s">
        <v>106</v>
      </c>
      <c r="M1368" s="4" t="s">
        <v>61</v>
      </c>
      <c r="O1368" s="4" t="s">
        <v>63</v>
      </c>
      <c r="P1368" s="4" t="s">
        <v>64</v>
      </c>
    </row>
    <row r="1369">
      <c r="A1369" s="4" t="s">
        <v>40</v>
      </c>
      <c r="B1369" s="4" t="s">
        <v>40</v>
      </c>
      <c r="C1369" s="4">
        <v>1367.0</v>
      </c>
      <c r="D1369" s="5" t="str">
        <f>HYPERLINK("https://www.linkedin.com/ad-library/detail/747909154","Open Ad")</f>
        <v>Open Ad</v>
      </c>
      <c r="E1369" s="4" t="s">
        <v>78</v>
      </c>
      <c r="F1369" s="4" t="s">
        <v>54</v>
      </c>
      <c r="G1369" s="4" t="s">
        <v>5466</v>
      </c>
      <c r="H1369" s="4" t="s">
        <v>49</v>
      </c>
      <c r="I1369" s="4" t="s">
        <v>661</v>
      </c>
      <c r="J1369" s="4" t="s">
        <v>78</v>
      </c>
      <c r="K1369" s="5" t="str">
        <f>HYPERLINK("https://media.licdn.com/dms/image/v2/D4E10AQEjbkNkYa8PWg/image-shrink_1280/B4EZkZpydiHgAU-/0/1757072009921?e=2147483647&amp;v=beta&amp;t=YAPrJRq8iUD900AouzyNS0T-sK3SLMQLr9u3izAc5WI","View Creative")</f>
        <v>View Creative</v>
      </c>
      <c r="L1369" s="4" t="s">
        <v>106</v>
      </c>
      <c r="M1369" s="4" t="s">
        <v>61</v>
      </c>
      <c r="O1369" s="4" t="s">
        <v>63</v>
      </c>
      <c r="P1369" s="4" t="s">
        <v>64</v>
      </c>
    </row>
    <row r="1370">
      <c r="A1370" s="4" t="s">
        <v>40</v>
      </c>
      <c r="B1370" s="4" t="s">
        <v>40</v>
      </c>
      <c r="C1370" s="4">
        <v>1368.0</v>
      </c>
      <c r="D1370" s="5" t="str">
        <f>HYPERLINK("https://www.linkedin.com/ad-library/detail/747839544","Open Ad")</f>
        <v>Open Ad</v>
      </c>
      <c r="E1370" s="4" t="s">
        <v>78</v>
      </c>
      <c r="F1370" s="4" t="s">
        <v>54</v>
      </c>
      <c r="G1370" s="4" t="s">
        <v>5466</v>
      </c>
      <c r="H1370" s="4" t="s">
        <v>49</v>
      </c>
      <c r="I1370" s="4" t="s">
        <v>661</v>
      </c>
      <c r="J1370" s="4" t="s">
        <v>78</v>
      </c>
      <c r="K1370" s="5" t="str">
        <f>HYPERLINK("https://media.licdn.com/dms/image/v2/D4E10AQHWFQZX7zxPvw/image-shrink_1280/B4EZkZpyiCIwAM-/0/1757072010233?e=2147483647&amp;v=beta&amp;t=PcWdTS3oOBLp95ArooIsStgYf0KXVJVQupoFYVbfyHk","View Creative")</f>
        <v>View Creative</v>
      </c>
      <c r="L1370" s="4" t="s">
        <v>106</v>
      </c>
      <c r="M1370" s="4" t="s">
        <v>61</v>
      </c>
      <c r="O1370" s="4" t="s">
        <v>63</v>
      </c>
      <c r="P1370" s="4" t="s">
        <v>64</v>
      </c>
    </row>
    <row r="1371">
      <c r="A1371" s="4" t="s">
        <v>40</v>
      </c>
      <c r="B1371" s="4" t="s">
        <v>40</v>
      </c>
      <c r="C1371" s="4">
        <v>1369.0</v>
      </c>
      <c r="D1371" s="5" t="str">
        <f>HYPERLINK("https://www.linkedin.com/ad-library/detail/747959994","Open Ad")</f>
        <v>Open Ad</v>
      </c>
      <c r="E1371" s="4" t="s">
        <v>78</v>
      </c>
      <c r="F1371" s="4" t="s">
        <v>54</v>
      </c>
      <c r="G1371" s="4" t="s">
        <v>5469</v>
      </c>
      <c r="H1371" s="4" t="s">
        <v>49</v>
      </c>
      <c r="I1371" s="4" t="s">
        <v>661</v>
      </c>
      <c r="J1371" s="4" t="s">
        <v>78</v>
      </c>
      <c r="K1371" s="5" t="str">
        <f>HYPERLINK("https://media.licdn.com/dms/image/v2/D4E10AQHaZnfElHAQnA/image-shrink_1280/B4EZkZpb3sHoAM-/0/1757071917289?e=2147483647&amp;v=beta&amp;t=MG-ke_QRKB9CltOWAB5q2y-M0xMHTX0UYI11-bKrzaM","View Creative")</f>
        <v>View Creative</v>
      </c>
      <c r="L1371" s="4" t="s">
        <v>106</v>
      </c>
      <c r="M1371" s="4" t="s">
        <v>61</v>
      </c>
      <c r="O1371" s="4" t="s">
        <v>63</v>
      </c>
      <c r="P1371" s="4" t="s">
        <v>64</v>
      </c>
    </row>
    <row r="1372">
      <c r="A1372" s="4" t="s">
        <v>40</v>
      </c>
      <c r="B1372" s="4" t="s">
        <v>40</v>
      </c>
      <c r="C1372" s="4">
        <v>1370.0</v>
      </c>
      <c r="D1372" s="5" t="str">
        <f>HYPERLINK("https://www.linkedin.com/ad-library/detail/747664514","Open Ad")</f>
        <v>Open Ad</v>
      </c>
      <c r="E1372" s="4" t="s">
        <v>121</v>
      </c>
      <c r="F1372" s="4" t="s">
        <v>54</v>
      </c>
      <c r="G1372" s="4" t="s">
        <v>5379</v>
      </c>
      <c r="H1372" s="4" t="s">
        <v>49</v>
      </c>
      <c r="I1372" s="4" t="s">
        <v>661</v>
      </c>
      <c r="J1372" s="4" t="s">
        <v>121</v>
      </c>
      <c r="K1372" s="5" t="str">
        <f>HYPERLINK("https://dms.licdn.com/playlist/vid/v2/D4E10AQEbV8_FjQpUmw/mp4-360p-30fp-crf28/B4EZkUD3StIMCI-/0/1756978195183/261_AI_Search_Picked_Its_Winners_AIVisibilityIndex_1920x1080mp4?e=2147483647&amp;v=beta&amp;t=gleDHFBe1B2foBML0teYteFNnn0YTs0ruyzJpHSord0","View Creative")</f>
        <v>View Creative</v>
      </c>
      <c r="L1372" s="4" t="s">
        <v>106</v>
      </c>
      <c r="M1372" s="4" t="s">
        <v>61</v>
      </c>
      <c r="O1372" s="4" t="s">
        <v>63</v>
      </c>
      <c r="P1372" s="4" t="s">
        <v>64</v>
      </c>
    </row>
    <row r="1373">
      <c r="A1373" s="4" t="s">
        <v>40</v>
      </c>
      <c r="B1373" s="4" t="s">
        <v>40</v>
      </c>
      <c r="C1373" s="4">
        <v>1371.0</v>
      </c>
      <c r="D1373" s="5" t="str">
        <f>HYPERLINK("https://www.linkedin.com/ad-library/detail/747959984","Open Ad")</f>
        <v>Open Ad</v>
      </c>
      <c r="E1373" s="4" t="s">
        <v>78</v>
      </c>
      <c r="F1373" s="4" t="s">
        <v>54</v>
      </c>
      <c r="G1373" s="4" t="s">
        <v>5466</v>
      </c>
      <c r="H1373" s="4" t="s">
        <v>49</v>
      </c>
      <c r="I1373" s="4" t="s">
        <v>661</v>
      </c>
      <c r="J1373" s="4" t="s">
        <v>78</v>
      </c>
      <c r="K1373" s="5" t="str">
        <f>HYPERLINK("https://media.licdn.com/dms/image/v2/D4E10AQFp3k5L6PwsXA/image-shrink_1280/B4EZkZpb05HoAU-/0/1757071917097?e=2147483647&amp;v=beta&amp;t=oivUU1RWjEryXfSXKATYgToBBe9BMc68uvHB_T2tJuk","View Creative")</f>
        <v>View Creative</v>
      </c>
      <c r="L1373" s="4" t="s">
        <v>106</v>
      </c>
      <c r="M1373" s="4" t="s">
        <v>61</v>
      </c>
      <c r="O1373" s="4" t="s">
        <v>63</v>
      </c>
      <c r="P1373" s="4" t="s">
        <v>64</v>
      </c>
    </row>
    <row r="1374">
      <c r="A1374" s="4" t="s">
        <v>40</v>
      </c>
      <c r="B1374" s="4" t="s">
        <v>40</v>
      </c>
      <c r="C1374" s="4">
        <v>1372.0</v>
      </c>
      <c r="D1374" s="5" t="str">
        <f>HYPERLINK("https://www.linkedin.com/ad-library/detail/747685104","Open Ad")</f>
        <v>Open Ad</v>
      </c>
      <c r="E1374" s="4" t="s">
        <v>78</v>
      </c>
      <c r="F1374" s="4" t="s">
        <v>54</v>
      </c>
      <c r="G1374" s="4" t="s">
        <v>5379</v>
      </c>
      <c r="H1374" s="4" t="s">
        <v>49</v>
      </c>
      <c r="I1374" s="4" t="s">
        <v>661</v>
      </c>
      <c r="J1374" s="4" t="s">
        <v>78</v>
      </c>
      <c r="K1374" s="5" t="str">
        <f>HYPERLINK("https://media.licdn.com/dms/image/v2/D4E10AQHFFMiUzmjyaA/image-shrink_1280/B4EZkUZbXcIkAM-/0/1756983834207?e=1789473600&amp;v=beta&amp;t=UzORqOyHF7Np4gYge2QzwZo3GUJL76nxTo4hcFKxwn4","View Creative")</f>
        <v>View Creative</v>
      </c>
      <c r="L1374" s="4" t="s">
        <v>106</v>
      </c>
      <c r="M1374" s="4" t="s">
        <v>61</v>
      </c>
      <c r="O1374" s="4" t="s">
        <v>63</v>
      </c>
      <c r="P1374" s="4" t="s">
        <v>64</v>
      </c>
    </row>
    <row r="1375">
      <c r="A1375" s="4" t="s">
        <v>40</v>
      </c>
      <c r="B1375" s="4" t="s">
        <v>40</v>
      </c>
      <c r="C1375" s="4">
        <v>1373.0</v>
      </c>
      <c r="D1375" s="5" t="str">
        <f>HYPERLINK("https://www.linkedin.com/ad-library/detail/747959974","Open Ad")</f>
        <v>Open Ad</v>
      </c>
      <c r="E1375" s="4" t="s">
        <v>78</v>
      </c>
      <c r="F1375" s="4" t="s">
        <v>54</v>
      </c>
      <c r="G1375" s="4" t="s">
        <v>5466</v>
      </c>
      <c r="H1375" s="4" t="s">
        <v>49</v>
      </c>
      <c r="I1375" s="4" t="s">
        <v>661</v>
      </c>
      <c r="J1375" s="4" t="s">
        <v>78</v>
      </c>
      <c r="K1375" s="5" t="str">
        <f>HYPERLINK("https://media.licdn.com/dms/image/v2/D4E10AQE9WBnQX3dfew/image-shrink_1280/B4EZkZpVhIIoAQ-/0/1757071892025?e=2147483647&amp;v=beta&amp;t=uqD4LZLB3LRC2KlKITJnW9fAjl8XnGHCR_-DKGhHnUg","View Creative")</f>
        <v>View Creative</v>
      </c>
      <c r="L1375" s="4" t="s">
        <v>106</v>
      </c>
      <c r="M1375" s="4" t="s">
        <v>61</v>
      </c>
      <c r="O1375" s="4" t="s">
        <v>63</v>
      </c>
      <c r="P1375" s="4" t="s">
        <v>64</v>
      </c>
    </row>
    <row r="1376">
      <c r="A1376" s="4" t="s">
        <v>40</v>
      </c>
      <c r="B1376" s="4" t="s">
        <v>40</v>
      </c>
      <c r="C1376" s="4">
        <v>1374.0</v>
      </c>
      <c r="D1376" s="5" t="str">
        <f>HYPERLINK("https://www.linkedin.com/ad-library/detail/747959964","Open Ad")</f>
        <v>Open Ad</v>
      </c>
      <c r="E1376" s="4" t="s">
        <v>78</v>
      </c>
      <c r="F1376" s="4" t="s">
        <v>54</v>
      </c>
      <c r="G1376" s="4" t="s">
        <v>5466</v>
      </c>
      <c r="H1376" s="4" t="s">
        <v>49</v>
      </c>
      <c r="I1376" s="4" t="s">
        <v>661</v>
      </c>
      <c r="J1376" s="4" t="s">
        <v>78</v>
      </c>
      <c r="K1376" s="5" t="str">
        <f>HYPERLINK("https://media.licdn.com/dms/image/v2/D4E10AQFVmA1MmWqZjQ/image-shrink_1280/B4EZkZpVe0HEAQ-/0/1757071891098?e=2147483647&amp;v=beta&amp;t=8_viRtg9nAcMYLRKUFA1zC7gPl6AU2VhxlXFbBgQqOs","View Creative")</f>
        <v>View Creative</v>
      </c>
      <c r="L1376" s="4" t="s">
        <v>106</v>
      </c>
      <c r="M1376" s="4" t="s">
        <v>61</v>
      </c>
      <c r="O1376" s="4" t="s">
        <v>63</v>
      </c>
      <c r="P1376" s="4" t="s">
        <v>64</v>
      </c>
    </row>
    <row r="1377">
      <c r="A1377" s="4" t="s">
        <v>40</v>
      </c>
      <c r="B1377" s="4" t="s">
        <v>40</v>
      </c>
      <c r="C1377" s="4">
        <v>1375.0</v>
      </c>
      <c r="D1377" s="5" t="str">
        <f>HYPERLINK("https://www.linkedin.com/ad-library/detail/747969804","Open Ad")</f>
        <v>Open Ad</v>
      </c>
      <c r="E1377" s="4" t="s">
        <v>78</v>
      </c>
      <c r="F1377" s="4" t="s">
        <v>54</v>
      </c>
      <c r="G1377" s="4" t="s">
        <v>5469</v>
      </c>
      <c r="H1377" s="4" t="s">
        <v>49</v>
      </c>
      <c r="I1377" s="4" t="s">
        <v>661</v>
      </c>
      <c r="J1377" s="4" t="s">
        <v>78</v>
      </c>
      <c r="K1377" s="5" t="str">
        <f>HYPERLINK("https://media.licdn.com/dms/image/v2/D4E10AQGldCTs4q8g7Q/image-shrink_1280/B4EZkZpVhwGcAM-/0/1757071891390?e=2147483647&amp;v=beta&amp;t=2iWzJNCo9hyv5T1TZOX3Bh2vCcms7hQ_WOtogSCEJF0","View Creative")</f>
        <v>View Creative</v>
      </c>
      <c r="L1377" s="4" t="s">
        <v>106</v>
      </c>
      <c r="M1377" s="4" t="s">
        <v>61</v>
      </c>
      <c r="O1377" s="4" t="s">
        <v>63</v>
      </c>
      <c r="P1377" s="4" t="s">
        <v>64</v>
      </c>
    </row>
    <row r="1378">
      <c r="A1378" s="4" t="s">
        <v>40</v>
      </c>
      <c r="B1378" s="4" t="s">
        <v>40</v>
      </c>
      <c r="C1378" s="4">
        <v>1376.0</v>
      </c>
      <c r="D1378" s="5" t="str">
        <f>HYPERLINK("https://www.linkedin.com/ad-library/detail/747907324","Open Ad")</f>
        <v>Open Ad</v>
      </c>
      <c r="E1378" s="4" t="s">
        <v>78</v>
      </c>
      <c r="F1378" s="4" t="s">
        <v>54</v>
      </c>
      <c r="G1378" s="4" t="s">
        <v>5466</v>
      </c>
      <c r="H1378" s="4" t="s">
        <v>49</v>
      </c>
      <c r="I1378" s="4" t="s">
        <v>661</v>
      </c>
      <c r="J1378" s="4" t="s">
        <v>78</v>
      </c>
      <c r="K1378" s="5" t="str">
        <f>HYPERLINK("https://media.licdn.com/dms/image/v2/D4E10AQEOrgQKhSJ_rA/image-shrink_1280/B4EZkZPlFsIQAM-/0/1757065139485/AIOintheWildpng?e=2147483647&amp;v=beta&amp;t=2d8iHGNlbh7t57PbJ_ehp-7hS2R0apHdzJLGmAcmioI","View Creative")</f>
        <v>View Creative</v>
      </c>
      <c r="L1378" s="4" t="s">
        <v>106</v>
      </c>
      <c r="M1378" s="4" t="s">
        <v>61</v>
      </c>
      <c r="O1378" s="4" t="s">
        <v>63</v>
      </c>
      <c r="P1378" s="4" t="s">
        <v>64</v>
      </c>
    </row>
    <row r="1379">
      <c r="A1379" s="4" t="s">
        <v>40</v>
      </c>
      <c r="B1379" s="4" t="s">
        <v>40</v>
      </c>
      <c r="C1379" s="4">
        <v>1377.0</v>
      </c>
      <c r="D1379" s="5" t="str">
        <f>HYPERLINK("https://www.linkedin.com/ad-library/detail/747714194","Open Ad")</f>
        <v>Open Ad</v>
      </c>
      <c r="E1379" s="4" t="s">
        <v>78</v>
      </c>
      <c r="F1379" s="4" t="s">
        <v>54</v>
      </c>
      <c r="G1379" s="4" t="s">
        <v>5379</v>
      </c>
      <c r="H1379" s="4" t="s">
        <v>49</v>
      </c>
      <c r="I1379" s="4" t="s">
        <v>661</v>
      </c>
      <c r="J1379" s="4" t="s">
        <v>78</v>
      </c>
      <c r="K1379" s="5" t="str">
        <f t="shared" ref="K1379:K1380" si="13">HYPERLINK("https://media.licdn.com/dms/image/v2/D4E10AQEduw0mSvnlAA/image-shrink_1280/B4EZkT5qEuHoAM-/0/1756975507010/WinningAIpng?e=2147483647&amp;v=beta&amp;t=SUKnMfkS3-CcNT9oE_RtlcwaoqZmMltkRUbALSt8lGw","View Creative")</f>
        <v>View Creative</v>
      </c>
      <c r="L1379" s="4" t="s">
        <v>106</v>
      </c>
      <c r="M1379" s="4" t="s">
        <v>61</v>
      </c>
      <c r="O1379" s="4" t="s">
        <v>63</v>
      </c>
      <c r="P1379" s="4" t="s">
        <v>64</v>
      </c>
    </row>
    <row r="1380">
      <c r="A1380" s="4" t="s">
        <v>40</v>
      </c>
      <c r="B1380" s="4" t="s">
        <v>40</v>
      </c>
      <c r="C1380" s="4">
        <v>1378.0</v>
      </c>
      <c r="D1380" s="5" t="str">
        <f>HYPERLINK("https://www.linkedin.com/ad-library/detail/747691454","Open Ad")</f>
        <v>Open Ad</v>
      </c>
      <c r="E1380" s="4" t="s">
        <v>78</v>
      </c>
      <c r="F1380" s="4" t="s">
        <v>54</v>
      </c>
      <c r="G1380" s="4" t="s">
        <v>5379</v>
      </c>
      <c r="H1380" s="4" t="s">
        <v>49</v>
      </c>
      <c r="I1380" s="4" t="s">
        <v>661</v>
      </c>
      <c r="J1380" s="4" t="s">
        <v>78</v>
      </c>
      <c r="K1380" s="5" t="str">
        <f t="shared" si="13"/>
        <v>View Creative</v>
      </c>
      <c r="L1380" s="4" t="s">
        <v>106</v>
      </c>
      <c r="M1380" s="4" t="s">
        <v>61</v>
      </c>
      <c r="O1380" s="4" t="s">
        <v>63</v>
      </c>
      <c r="P1380" s="4" t="s">
        <v>64</v>
      </c>
    </row>
    <row r="1381">
      <c r="A1381" s="4" t="s">
        <v>40</v>
      </c>
      <c r="B1381" s="4" t="s">
        <v>40</v>
      </c>
      <c r="C1381" s="4">
        <v>1379.0</v>
      </c>
      <c r="D1381" s="5" t="str">
        <f>HYPERLINK("https://www.linkedin.com/ad-library/detail/747869444","Open Ad")</f>
        <v>Open Ad</v>
      </c>
      <c r="E1381" s="4" t="s">
        <v>78</v>
      </c>
      <c r="F1381" s="4" t="s">
        <v>54</v>
      </c>
      <c r="G1381" s="4" t="s">
        <v>5466</v>
      </c>
      <c r="H1381" s="4" t="s">
        <v>49</v>
      </c>
      <c r="I1381" s="4" t="s">
        <v>661</v>
      </c>
      <c r="J1381" s="4" t="s">
        <v>78</v>
      </c>
      <c r="K1381" s="5" t="str">
        <f>HYPERLINK("https://media.licdn.com/dms/image/v2/D4E10AQGU3t1p3PhGBw/image-shrink_1280/B4EZkZpViMIMAQ-/0/1757071891528?e=2147483647&amp;v=beta&amp;t=FfKHYwUhiAEi4EOc0jSlGRAzDEIw0uaX3xW-kLikgic","View Creative")</f>
        <v>View Creative</v>
      </c>
      <c r="L1381" s="4" t="s">
        <v>106</v>
      </c>
      <c r="M1381" s="4" t="s">
        <v>61</v>
      </c>
      <c r="O1381" s="4" t="s">
        <v>63</v>
      </c>
      <c r="P1381" s="4" t="s">
        <v>64</v>
      </c>
    </row>
    <row r="1382">
      <c r="A1382" s="4" t="s">
        <v>40</v>
      </c>
      <c r="B1382" s="4" t="s">
        <v>40</v>
      </c>
      <c r="C1382" s="4">
        <v>1380.0</v>
      </c>
      <c r="D1382" s="5" t="str">
        <f>HYPERLINK("https://www.linkedin.com/ad-library/detail/747714474","Open Ad")</f>
        <v>Open Ad</v>
      </c>
      <c r="E1382" s="4" t="s">
        <v>121</v>
      </c>
      <c r="F1382" s="4" t="s">
        <v>54</v>
      </c>
      <c r="G1382" s="4" t="s">
        <v>5379</v>
      </c>
      <c r="H1382" s="4" t="s">
        <v>49</v>
      </c>
      <c r="I1382" s="4" t="s">
        <v>661</v>
      </c>
      <c r="J1382" s="4" t="s">
        <v>121</v>
      </c>
      <c r="K1382" s="5" t="str">
        <f>HYPERLINK("https://dms.licdn.com/playlist/vid/v2/D4E10AQH2iA-3CyS5yQ/mp4-640p-30fp-crf28/B4EZkUDw.rIIBc-/0/1756978173882/261_AI_Search_Picked_Its_Winners_AIVisibilityIndex_1200x1200mp4?e=2147483647&amp;v=beta&amp;t=b28ThZtrfdzt4df1iiv1EJmlE0OqRcRLZ-C7jDCpvkM","View Creative")</f>
        <v>View Creative</v>
      </c>
      <c r="L1382" s="4" t="s">
        <v>106</v>
      </c>
      <c r="M1382" s="4" t="s">
        <v>61</v>
      </c>
      <c r="O1382" s="4" t="s">
        <v>63</v>
      </c>
      <c r="P1382" s="4" t="s">
        <v>64</v>
      </c>
    </row>
    <row r="1383">
      <c r="A1383" s="4" t="s">
        <v>40</v>
      </c>
      <c r="B1383" s="4" t="s">
        <v>40</v>
      </c>
      <c r="C1383" s="4">
        <v>1381.0</v>
      </c>
      <c r="D1383" s="5" t="str">
        <f>HYPERLINK("https://www.linkedin.com/ad-library/detail/747829684","Open Ad")</f>
        <v>Open Ad</v>
      </c>
      <c r="E1383" s="4" t="s">
        <v>78</v>
      </c>
      <c r="F1383" s="4" t="s">
        <v>54</v>
      </c>
      <c r="G1383" s="4" t="s">
        <v>5472</v>
      </c>
      <c r="H1383" s="4" t="s">
        <v>49</v>
      </c>
      <c r="I1383" s="4" t="s">
        <v>661</v>
      </c>
      <c r="J1383" s="4" t="s">
        <v>78</v>
      </c>
      <c r="K1383" s="5" t="str">
        <f>HYPERLINK("https://media.licdn.com/dms/image/v2/D4E10AQGCEfv27_Cd6w/image-shrink_1280/B4EZkZpVgsIsAg-/0/1757071891131?e=2147483647&amp;v=beta&amp;t=kMmXMit_NlM2H_LTEGEm4TAA7TJ_yzHzPtI8zpp4ujE","View Creative")</f>
        <v>View Creative</v>
      </c>
      <c r="L1383" s="4" t="s">
        <v>106</v>
      </c>
      <c r="M1383" s="4" t="s">
        <v>61</v>
      </c>
      <c r="O1383" s="4" t="s">
        <v>63</v>
      </c>
      <c r="P1383" s="4" t="s">
        <v>64</v>
      </c>
    </row>
    <row r="1384">
      <c r="A1384" s="4" t="s">
        <v>40</v>
      </c>
      <c r="B1384" s="4" t="s">
        <v>40</v>
      </c>
      <c r="C1384" s="4">
        <v>1382.0</v>
      </c>
      <c r="D1384" s="5" t="str">
        <f>HYPERLINK("https://www.linkedin.com/ad-library/detail/747655194","Open Ad")</f>
        <v>Open Ad</v>
      </c>
      <c r="E1384" s="4" t="s">
        <v>78</v>
      </c>
      <c r="F1384" s="4" t="s">
        <v>54</v>
      </c>
      <c r="G1384" s="4" t="s">
        <v>5379</v>
      </c>
      <c r="H1384" s="4" t="s">
        <v>49</v>
      </c>
      <c r="I1384" s="4" t="s">
        <v>661</v>
      </c>
      <c r="J1384" s="4" t="s">
        <v>78</v>
      </c>
      <c r="K1384" s="5" t="str">
        <f>HYPERLINK("https://media.licdn.com/dms/image/v2/D4E10AQHnf2L5oGFDIg/image-shrink_1280/B4EZkUZbWZIMAU-/0/1756983834139?e=1789473600&amp;v=beta&amp;t=duxSGZjj_W8XhuhKLO90vMa9leGT2dMZHmF9jD32CfY","View Creative")</f>
        <v>View Creative</v>
      </c>
      <c r="L1384" s="4" t="s">
        <v>106</v>
      </c>
      <c r="M1384" s="4" t="s">
        <v>61</v>
      </c>
      <c r="O1384" s="4" t="s">
        <v>63</v>
      </c>
      <c r="P1384" s="4" t="s">
        <v>64</v>
      </c>
    </row>
    <row r="1385">
      <c r="A1385" s="4" t="s">
        <v>40</v>
      </c>
      <c r="B1385" s="4" t="s">
        <v>40</v>
      </c>
      <c r="C1385" s="4">
        <v>1383.0</v>
      </c>
      <c r="D1385" s="5" t="str">
        <f>HYPERLINK("https://www.linkedin.com/ad-library/detail/747889104","Open Ad")</f>
        <v>Open Ad</v>
      </c>
      <c r="E1385" s="4" t="s">
        <v>78</v>
      </c>
      <c r="F1385" s="4" t="s">
        <v>54</v>
      </c>
      <c r="G1385" s="4" t="s">
        <v>5472</v>
      </c>
      <c r="H1385" s="4" t="s">
        <v>49</v>
      </c>
      <c r="I1385" s="4" t="s">
        <v>661</v>
      </c>
      <c r="J1385" s="4" t="s">
        <v>78</v>
      </c>
      <c r="K1385" s="5" t="str">
        <f>HYPERLINK("https://media.licdn.com/dms/image/v2/D4E10AQF_4FuHivCk4w/image-shrink_1280/B4EZkZpViRIQAM-/0/1757071891295?e=2147483647&amp;v=beta&amp;t=rFGx0mhLV7hEFU6bVypczUiEJ9wX3E7d_1hEd1yKXOs","View Creative")</f>
        <v>View Creative</v>
      </c>
      <c r="L1385" s="4" t="s">
        <v>106</v>
      </c>
      <c r="M1385" s="4" t="s">
        <v>61</v>
      </c>
      <c r="O1385" s="4" t="s">
        <v>63</v>
      </c>
      <c r="P1385" s="4" t="s">
        <v>64</v>
      </c>
    </row>
    <row r="1386">
      <c r="A1386" s="4" t="s">
        <v>40</v>
      </c>
      <c r="B1386" s="4" t="s">
        <v>40</v>
      </c>
      <c r="C1386" s="4">
        <v>1384.0</v>
      </c>
      <c r="D1386" s="5" t="str">
        <f>HYPERLINK("https://www.linkedin.com/ad-library/detail/747585074","Open Ad")</f>
        <v>Open Ad</v>
      </c>
      <c r="E1386" s="4" t="s">
        <v>78</v>
      </c>
      <c r="F1386" s="4" t="s">
        <v>54</v>
      </c>
      <c r="G1386" s="4" t="s">
        <v>5379</v>
      </c>
      <c r="H1386" s="4" t="s">
        <v>49</v>
      </c>
      <c r="I1386" s="4" t="s">
        <v>661</v>
      </c>
      <c r="J1386" s="4" t="s">
        <v>78</v>
      </c>
      <c r="K1386" s="5" t="str">
        <f>HYPERLINK("https://media.licdn.com/dms/image/v2/D4E10AQHBrEFdyY90GA/image-shrink_1280/B4EZkT5sufIIAM-/0/1756975517994/Itswinnerspng?e=2147483647&amp;v=beta&amp;t=1CGbz2Y9JzLjAlgeiaavv9Eo8Dt2_u3FSJSFppqeje0","View Creative")</f>
        <v>View Creative</v>
      </c>
      <c r="L1386" s="4" t="s">
        <v>106</v>
      </c>
      <c r="M1386" s="4" t="s">
        <v>61</v>
      </c>
      <c r="O1386" s="4" t="s">
        <v>63</v>
      </c>
      <c r="P1386" s="4" t="s">
        <v>64</v>
      </c>
    </row>
    <row r="1387">
      <c r="A1387" s="4" t="s">
        <v>40</v>
      </c>
      <c r="B1387" s="4" t="s">
        <v>40</v>
      </c>
      <c r="C1387" s="4">
        <v>1385.0</v>
      </c>
      <c r="D1387" s="5" t="str">
        <f>HYPERLINK("https://www.linkedin.com/ad-library/detail/747788414","Open Ad")</f>
        <v>Open Ad</v>
      </c>
      <c r="E1387" s="4" t="s">
        <v>78</v>
      </c>
      <c r="F1387" s="4" t="s">
        <v>54</v>
      </c>
      <c r="G1387" s="4" t="s">
        <v>5469</v>
      </c>
      <c r="H1387" s="4" t="s">
        <v>49</v>
      </c>
      <c r="I1387" s="4" t="s">
        <v>661</v>
      </c>
      <c r="J1387" s="4" t="s">
        <v>78</v>
      </c>
      <c r="K1387" s="5" t="str">
        <f>HYPERLINK("https://media.licdn.com/dms/image/v2/D4E10AQEOrgQKhSJ_rA/image-shrink_1280/B4EZkZPlFsIQAM-/0/1757065139485/AIOintheWildpng?e=2147483647&amp;v=beta&amp;t=2d8iHGNlbh7t57PbJ_ehp-7hS2R0apHdzJLGmAcmioI","View Creative")</f>
        <v>View Creative</v>
      </c>
      <c r="L1387" s="4" t="s">
        <v>106</v>
      </c>
      <c r="M1387" s="4" t="s">
        <v>61</v>
      </c>
      <c r="O1387" s="4" t="s">
        <v>63</v>
      </c>
      <c r="P1387" s="4" t="s">
        <v>64</v>
      </c>
    </row>
    <row r="1388">
      <c r="A1388" s="4" t="s">
        <v>40</v>
      </c>
      <c r="B1388" s="4" t="s">
        <v>40</v>
      </c>
      <c r="C1388" s="4">
        <v>1386.0</v>
      </c>
      <c r="D1388" s="5" t="str">
        <f>HYPERLINK("https://www.linkedin.com/ad-library/detail/747694614","Open Ad")</f>
        <v>Open Ad</v>
      </c>
      <c r="E1388" s="4" t="s">
        <v>78</v>
      </c>
      <c r="F1388" s="4" t="s">
        <v>54</v>
      </c>
      <c r="G1388" s="4" t="s">
        <v>5379</v>
      </c>
      <c r="H1388" s="4" t="s">
        <v>49</v>
      </c>
      <c r="I1388" s="4" t="s">
        <v>661</v>
      </c>
      <c r="J1388" s="4" t="s">
        <v>78</v>
      </c>
      <c r="K1388" s="5" t="str">
        <f>HYPERLINK("https://media.licdn.com/dms/image/v2/D4E10AQHFFMiUzmjyaA/image-shrink_1280/B4EZkUZbXcIkAM-/0/1756983834207?e=1789473600&amp;v=beta&amp;t=UzORqOyHF7Np4gYge2QzwZo3GUJL76nxTo4hcFKxwn4","View Creative")</f>
        <v>View Creative</v>
      </c>
      <c r="L1388" s="4" t="s">
        <v>106</v>
      </c>
      <c r="M1388" s="4" t="s">
        <v>61</v>
      </c>
      <c r="O1388" s="4" t="s">
        <v>63</v>
      </c>
      <c r="P1388" s="4" t="s">
        <v>64</v>
      </c>
    </row>
    <row r="1389">
      <c r="A1389" s="4" t="s">
        <v>40</v>
      </c>
      <c r="B1389" s="4" t="s">
        <v>40</v>
      </c>
      <c r="C1389" s="4">
        <v>1387.0</v>
      </c>
      <c r="D1389" s="5" t="str">
        <f>HYPERLINK("https://www.linkedin.com/ad-library/detail/747909064","Open Ad")</f>
        <v>Open Ad</v>
      </c>
      <c r="E1389" s="4" t="s">
        <v>78</v>
      </c>
      <c r="F1389" s="4" t="s">
        <v>54</v>
      </c>
      <c r="G1389" s="4" t="s">
        <v>5472</v>
      </c>
      <c r="H1389" s="4" t="s">
        <v>49</v>
      </c>
      <c r="I1389" s="4" t="s">
        <v>661</v>
      </c>
      <c r="J1389" s="4" t="s">
        <v>78</v>
      </c>
      <c r="K1389" s="5" t="str">
        <f>HYPERLINK("https://media.licdn.com/dms/image/v2/D4E10AQELNj9eu3RcsA/image-shrink_1280/B4EZkZpbxKGoAQ-/0/1757071916928?e=2147483647&amp;v=beta&amp;t=aMIGaKCf09WUzJ1xJe_WBQAeswCYcUlPriTfKT5Fq2g","View Creative")</f>
        <v>View Creative</v>
      </c>
      <c r="L1389" s="4" t="s">
        <v>106</v>
      </c>
      <c r="M1389" s="4" t="s">
        <v>61</v>
      </c>
      <c r="O1389" s="4" t="s">
        <v>63</v>
      </c>
      <c r="P1389" s="4" t="s">
        <v>64</v>
      </c>
    </row>
    <row r="1390">
      <c r="A1390" s="4" t="s">
        <v>40</v>
      </c>
      <c r="B1390" s="4" t="s">
        <v>40</v>
      </c>
      <c r="C1390" s="4">
        <v>1388.0</v>
      </c>
      <c r="D1390" s="5" t="str">
        <f>HYPERLINK("https://www.linkedin.com/ad-library/detail/747728444","Open Ad")</f>
        <v>Open Ad</v>
      </c>
      <c r="E1390" s="4" t="s">
        <v>78</v>
      </c>
      <c r="F1390" s="4" t="s">
        <v>54</v>
      </c>
      <c r="G1390" s="4" t="s">
        <v>5379</v>
      </c>
      <c r="H1390" s="4" t="s">
        <v>49</v>
      </c>
      <c r="I1390" s="4" t="s">
        <v>661</v>
      </c>
      <c r="J1390" s="4" t="s">
        <v>78</v>
      </c>
      <c r="K1390" s="5" t="str">
        <f>HYPERLINK("https://media.licdn.com/dms/image/v2/D4E10AQHFFMiUzmjyaA/image-shrink_1280/B4EZkUZbXcIkAM-/0/1756983834207?e=1789473600&amp;v=beta&amp;t=UzORqOyHF7Np4gYge2QzwZo3GUJL76nxTo4hcFKxwn4","View Creative")</f>
        <v>View Creative</v>
      </c>
      <c r="L1390" s="4" t="s">
        <v>106</v>
      </c>
      <c r="M1390" s="4" t="s">
        <v>61</v>
      </c>
      <c r="O1390" s="4" t="s">
        <v>63</v>
      </c>
      <c r="P1390" s="4" t="s">
        <v>64</v>
      </c>
    </row>
    <row r="1391">
      <c r="A1391" s="4" t="s">
        <v>40</v>
      </c>
      <c r="B1391" s="4" t="s">
        <v>40</v>
      </c>
      <c r="C1391" s="4">
        <v>1389.0</v>
      </c>
      <c r="D1391" s="5" t="str">
        <f>HYPERLINK("https://www.linkedin.com/ad-library/detail/747909074","Open Ad")</f>
        <v>Open Ad</v>
      </c>
      <c r="E1391" s="4" t="s">
        <v>78</v>
      </c>
      <c r="F1391" s="4" t="s">
        <v>54</v>
      </c>
      <c r="G1391" s="4" t="s">
        <v>5472</v>
      </c>
      <c r="H1391" s="4" t="s">
        <v>49</v>
      </c>
      <c r="I1391" s="4" t="s">
        <v>661</v>
      </c>
      <c r="J1391" s="4" t="s">
        <v>78</v>
      </c>
      <c r="K1391" s="5" t="str">
        <f>HYPERLINK("https://media.licdn.com/dms/image/v2/D4E10AQEdx9hlKi89SQ/image-shrink_1280/B4EZkZpb2sIIAQ-/0/1757071917058?e=2147483647&amp;v=beta&amp;t=csIGkZ0BRX289JTgTzSVV6rS1fp4_y7OwEmdzFp8uPs","View Creative")</f>
        <v>View Creative</v>
      </c>
      <c r="L1391" s="4" t="s">
        <v>106</v>
      </c>
      <c r="M1391" s="4" t="s">
        <v>61</v>
      </c>
      <c r="O1391" s="4" t="s">
        <v>63</v>
      </c>
      <c r="P1391" s="4" t="s">
        <v>64</v>
      </c>
    </row>
    <row r="1392">
      <c r="A1392" s="4" t="s">
        <v>40</v>
      </c>
      <c r="B1392" s="4" t="s">
        <v>40</v>
      </c>
      <c r="C1392" s="4">
        <v>1390.0</v>
      </c>
      <c r="D1392" s="5" t="str">
        <f>HYPERLINK("https://www.linkedin.com/ad-library/detail/747949994","Open Ad")</f>
        <v>Open Ad</v>
      </c>
      <c r="E1392" s="4" t="s">
        <v>78</v>
      </c>
      <c r="F1392" s="4" t="s">
        <v>54</v>
      </c>
      <c r="G1392" s="4" t="s">
        <v>5466</v>
      </c>
      <c r="H1392" s="4" t="s">
        <v>49</v>
      </c>
      <c r="I1392" s="4" t="s">
        <v>661</v>
      </c>
      <c r="J1392" s="4" t="s">
        <v>78</v>
      </c>
      <c r="K1392" s="5" t="str">
        <f>HYPERLINK("https://media.licdn.com/dms/image/v2/D4E10AQHsYrnzpB4ceA/image-shrink_1280/B4EZkZpb0KHgAM-/0/1757071917787?e=2147483647&amp;v=beta&amp;t=ic3KFmrUg4hKBBHRNEsahoMjulVOgbOmVE8QDt8cqM8","View Creative")</f>
        <v>View Creative</v>
      </c>
      <c r="L1392" s="4" t="s">
        <v>106</v>
      </c>
      <c r="M1392" s="4" t="s">
        <v>61</v>
      </c>
      <c r="O1392" s="4" t="s">
        <v>63</v>
      </c>
      <c r="P1392" s="4" t="s">
        <v>64</v>
      </c>
    </row>
    <row r="1393">
      <c r="A1393" s="4" t="s">
        <v>40</v>
      </c>
      <c r="B1393" s="4" t="s">
        <v>40</v>
      </c>
      <c r="C1393" s="4">
        <v>1391.0</v>
      </c>
      <c r="D1393" s="5" t="str">
        <f>HYPERLINK("https://www.linkedin.com/ad-library/detail/747704354","Open Ad")</f>
        <v>Open Ad</v>
      </c>
      <c r="E1393" s="4" t="s">
        <v>78</v>
      </c>
      <c r="F1393" s="4" t="s">
        <v>54</v>
      </c>
      <c r="G1393" s="4" t="s">
        <v>5379</v>
      </c>
      <c r="H1393" s="4" t="s">
        <v>49</v>
      </c>
      <c r="I1393" s="4" t="s">
        <v>661</v>
      </c>
      <c r="J1393" s="4" t="s">
        <v>78</v>
      </c>
      <c r="K1393" s="5" t="str">
        <f>HYPERLINK("https://media.licdn.com/dms/image/v2/D4E10AQHoaBGxxFwhvQ/image-shrink_1280/B4EZkT5kLaGUAM-/0/1756975482892/makethecutv1png?e=2147483647&amp;v=beta&amp;t=jSp1yI5K-vWc8R80f-_yup1ruWgtat33FOn7AffpOsU","View Creative")</f>
        <v>View Creative</v>
      </c>
      <c r="L1393" s="4" t="s">
        <v>106</v>
      </c>
      <c r="M1393" s="4" t="s">
        <v>61</v>
      </c>
      <c r="O1393" s="4" t="s">
        <v>63</v>
      </c>
      <c r="P1393" s="4" t="s">
        <v>64</v>
      </c>
    </row>
    <row r="1394">
      <c r="A1394" s="4" t="s">
        <v>40</v>
      </c>
      <c r="B1394" s="4" t="s">
        <v>40</v>
      </c>
      <c r="C1394" s="4">
        <v>1392.0</v>
      </c>
      <c r="D1394" s="5" t="str">
        <f>HYPERLINK("https://www.linkedin.com/ad-library/detail/747909054","Open Ad")</f>
        <v>Open Ad</v>
      </c>
      <c r="E1394" s="4" t="s">
        <v>78</v>
      </c>
      <c r="F1394" s="4" t="s">
        <v>54</v>
      </c>
      <c r="G1394" s="4" t="s">
        <v>5472</v>
      </c>
      <c r="H1394" s="4" t="s">
        <v>49</v>
      </c>
      <c r="I1394" s="4" t="s">
        <v>661</v>
      </c>
      <c r="J1394" s="4" t="s">
        <v>78</v>
      </c>
      <c r="K1394" s="5" t="str">
        <f>HYPERLINK("https://media.licdn.com/dms/image/v2/D4E10AQHffXBKUgAoCg/image-shrink_1280/B4EZkZpVhMHEAU-/0/1757071891281?e=2147483647&amp;v=beta&amp;t=VDQ08kLo3UwODNqveaFrE1G9r4xMzjdDHsxtLPK27Ek","View Creative")</f>
        <v>View Creative</v>
      </c>
      <c r="L1394" s="4" t="s">
        <v>106</v>
      </c>
      <c r="M1394" s="4" t="s">
        <v>61</v>
      </c>
      <c r="O1394" s="4" t="s">
        <v>63</v>
      </c>
      <c r="P1394" s="4" t="s">
        <v>64</v>
      </c>
    </row>
    <row r="1395">
      <c r="A1395" s="4" t="s">
        <v>40</v>
      </c>
      <c r="B1395" s="4" t="s">
        <v>40</v>
      </c>
      <c r="C1395" s="4">
        <v>1393.0</v>
      </c>
      <c r="D1395" s="5" t="str">
        <f>HYPERLINK("https://www.linkedin.com/ad-library/detail/747611784","Open Ad")</f>
        <v>Open Ad</v>
      </c>
      <c r="E1395" s="4" t="s">
        <v>78</v>
      </c>
      <c r="F1395" s="4" t="s">
        <v>54</v>
      </c>
      <c r="G1395" s="4" t="s">
        <v>5379</v>
      </c>
      <c r="H1395" s="4" t="s">
        <v>49</v>
      </c>
      <c r="I1395" s="4" t="s">
        <v>661</v>
      </c>
      <c r="J1395" s="4" t="s">
        <v>78</v>
      </c>
      <c r="K1395" s="5" t="str">
        <f>HYPERLINK("https://media.licdn.com/dms/image/v2/D4E10AQHBrEFdyY90GA/image-shrink_1280/B4EZkT5sufIIAM-/0/1756975517994/Itswinnerspng?e=2147483647&amp;v=beta&amp;t=1CGbz2Y9JzLjAlgeiaavv9Eo8Dt2_u3FSJSFppqeje0","View Creative")</f>
        <v>View Creative</v>
      </c>
      <c r="L1395" s="4" t="s">
        <v>106</v>
      </c>
      <c r="M1395" s="4" t="s">
        <v>61</v>
      </c>
      <c r="O1395" s="4" t="s">
        <v>63</v>
      </c>
      <c r="P1395" s="4" t="s">
        <v>64</v>
      </c>
    </row>
    <row r="1396">
      <c r="A1396" s="4" t="s">
        <v>40</v>
      </c>
      <c r="B1396" s="4" t="s">
        <v>40</v>
      </c>
      <c r="C1396" s="4">
        <v>1394.0</v>
      </c>
      <c r="D1396" s="5" t="str">
        <f>HYPERLINK("https://www.linkedin.com/ad-library/detail/747501994","Open Ad")</f>
        <v>Open Ad</v>
      </c>
      <c r="E1396" s="4" t="s">
        <v>78</v>
      </c>
      <c r="F1396" s="4" t="s">
        <v>54</v>
      </c>
      <c r="G1396" s="4" t="s">
        <v>5810</v>
      </c>
      <c r="H1396" s="4" t="s">
        <v>49</v>
      </c>
      <c r="I1396" s="4" t="s">
        <v>661</v>
      </c>
      <c r="J1396" s="4" t="s">
        <v>78</v>
      </c>
      <c r="K1396" s="5" t="str">
        <f>HYPERLINK("https://media.licdn.com/dms/image/v2/D4E10AQEFyvXkyFER5A/image-shrink_1280/B4EZkQ1BQIIsAQ-/0/1756923959561?e=2147483647&amp;v=beta&amp;t=od8VKYIVHjP5jhwFmMkfKDQqA0YqWFdg7xeWILX4iv8","View Creative")</f>
        <v>View Creative</v>
      </c>
      <c r="L1396" s="4" t="s">
        <v>106</v>
      </c>
      <c r="M1396" s="4" t="s">
        <v>61</v>
      </c>
      <c r="O1396" s="4" t="s">
        <v>63</v>
      </c>
      <c r="P1396" s="4" t="s">
        <v>64</v>
      </c>
    </row>
    <row r="1397">
      <c r="A1397" s="4" t="s">
        <v>40</v>
      </c>
      <c r="B1397" s="4" t="s">
        <v>40</v>
      </c>
      <c r="C1397" s="4">
        <v>1395.0</v>
      </c>
      <c r="D1397" s="5" t="str">
        <f>HYPERLINK("https://www.linkedin.com/ad-library/detail/747582404","Open Ad")</f>
        <v>Open Ad</v>
      </c>
      <c r="E1397" s="4" t="s">
        <v>78</v>
      </c>
      <c r="F1397" s="4" t="s">
        <v>54</v>
      </c>
      <c r="G1397" s="4" t="s">
        <v>5379</v>
      </c>
      <c r="H1397" s="4" t="s">
        <v>49</v>
      </c>
      <c r="I1397" s="4" t="s">
        <v>661</v>
      </c>
      <c r="J1397" s="4" t="s">
        <v>78</v>
      </c>
      <c r="K1397" s="5" t="str">
        <f>HYPERLINK("https://media.licdn.com/dms/image/v2/D4E10AQHoaBGxxFwhvQ/image-shrink_1280/B4EZkT5kLaGUAM-/0/1756975482892/makethecutv1png?e=2147483647&amp;v=beta&amp;t=jSp1yI5K-vWc8R80f-_yup1ruWgtat33FOn7AffpOsU","View Creative")</f>
        <v>View Creative</v>
      </c>
      <c r="L1397" s="4" t="s">
        <v>106</v>
      </c>
      <c r="M1397" s="4" t="s">
        <v>61</v>
      </c>
      <c r="O1397" s="4" t="s">
        <v>63</v>
      </c>
      <c r="P1397" s="4" t="s">
        <v>64</v>
      </c>
    </row>
    <row r="1398">
      <c r="A1398" s="4" t="s">
        <v>40</v>
      </c>
      <c r="B1398" s="4" t="s">
        <v>40</v>
      </c>
      <c r="C1398" s="4">
        <v>1396.0</v>
      </c>
      <c r="D1398" s="5" t="str">
        <f>HYPERLINK("https://www.linkedin.com/ad-library/detail/747452654","Open Ad")</f>
        <v>Open Ad</v>
      </c>
      <c r="E1398" s="4" t="s">
        <v>78</v>
      </c>
      <c r="F1398" s="4" t="s">
        <v>54</v>
      </c>
      <c r="G1398" s="4" t="s">
        <v>5810</v>
      </c>
      <c r="H1398" s="4" t="s">
        <v>49</v>
      </c>
      <c r="I1398" s="4" t="s">
        <v>661</v>
      </c>
      <c r="J1398" s="4" t="s">
        <v>78</v>
      </c>
      <c r="K1398" s="5" t="str">
        <f>HYPERLINK("https://media.licdn.com/dms/image/v2/D4E10AQFgzsgBqqe6iA/image-shrink_1280/B4EZkQ1C3AGUAM-/0/1756923965989?e=2147483647&amp;v=beta&amp;t=9Tr8DjR8Mn3O7UVzQF9Bb_VBFcecTF50UJUvluycBVw","View Creative")</f>
        <v>View Creative</v>
      </c>
      <c r="L1398" s="4" t="s">
        <v>106</v>
      </c>
      <c r="M1398" s="4" t="s">
        <v>61</v>
      </c>
      <c r="O1398" s="4" t="s">
        <v>63</v>
      </c>
      <c r="P1398" s="4" t="s">
        <v>64</v>
      </c>
    </row>
    <row r="1399">
      <c r="A1399" s="4" t="s">
        <v>40</v>
      </c>
      <c r="B1399" s="4" t="s">
        <v>40</v>
      </c>
      <c r="C1399" s="4">
        <v>1397.0</v>
      </c>
      <c r="D1399" s="5" t="str">
        <f>HYPERLINK("https://www.linkedin.com/ad-library/detail/747681744","Open Ad")</f>
        <v>Open Ad</v>
      </c>
      <c r="E1399" s="4" t="s">
        <v>78</v>
      </c>
      <c r="F1399" s="4" t="s">
        <v>54</v>
      </c>
      <c r="G1399" s="4" t="s">
        <v>5379</v>
      </c>
      <c r="H1399" s="4" t="s">
        <v>49</v>
      </c>
      <c r="I1399" s="4" t="s">
        <v>661</v>
      </c>
      <c r="J1399" s="4" t="s">
        <v>78</v>
      </c>
      <c r="K1399" s="5" t="str">
        <f>HYPERLINK("https://media.licdn.com/dms/image/v2/D4E10AQHoaBGxxFwhvQ/image-shrink_1280/B4EZkT5kLaGUAM-/0/1756975482892/makethecutv1png?e=2147483647&amp;v=beta&amp;t=jSp1yI5K-vWc8R80f-_yup1ruWgtat33FOn7AffpOsU","View Creative")</f>
        <v>View Creative</v>
      </c>
      <c r="L1399" s="4" t="s">
        <v>106</v>
      </c>
      <c r="M1399" s="4" t="s">
        <v>61</v>
      </c>
      <c r="O1399" s="4" t="s">
        <v>63</v>
      </c>
      <c r="P1399" s="4" t="s">
        <v>64</v>
      </c>
    </row>
    <row r="1400">
      <c r="A1400" s="4" t="s">
        <v>40</v>
      </c>
      <c r="B1400" s="4" t="s">
        <v>40</v>
      </c>
      <c r="C1400" s="4">
        <v>1398.0</v>
      </c>
      <c r="D1400" s="5" t="str">
        <f>HYPERLINK("https://www.linkedin.com/ad-library/detail/747452644","Open Ad")</f>
        <v>Open Ad</v>
      </c>
      <c r="E1400" s="4" t="s">
        <v>78</v>
      </c>
      <c r="F1400" s="4" t="s">
        <v>54</v>
      </c>
      <c r="G1400" s="4" t="s">
        <v>5814</v>
      </c>
      <c r="H1400" s="4" t="s">
        <v>49</v>
      </c>
      <c r="I1400" s="4" t="s">
        <v>661</v>
      </c>
      <c r="J1400" s="4" t="s">
        <v>78</v>
      </c>
      <c r="K1400" s="5" t="str">
        <f>HYPERLINK("https://media.licdn.com/dms/image/v2/D4E10AQGbL6GZ9-mxzQ/image-shrink_1280/B4EZkQ1BscIoAM-/0/1756923960811?e=2147483647&amp;v=beta&amp;t=ZQnuGGZQ9sDEY-cdEJGJiEwJbeYNBPiLzg-OojNpun8","View Creative")</f>
        <v>View Creative</v>
      </c>
      <c r="L1400" s="4" t="s">
        <v>106</v>
      </c>
      <c r="M1400" s="4" t="s">
        <v>61</v>
      </c>
      <c r="O1400" s="4" t="s">
        <v>63</v>
      </c>
      <c r="P1400" s="4" t="s">
        <v>64</v>
      </c>
    </row>
    <row r="1401">
      <c r="A1401" s="4" t="s">
        <v>40</v>
      </c>
      <c r="B1401" s="4" t="s">
        <v>40</v>
      </c>
      <c r="C1401" s="4">
        <v>1399.0</v>
      </c>
      <c r="D1401" s="5" t="str">
        <f>HYPERLINK("https://www.linkedin.com/ad-library/detail/747491994","Open Ad")</f>
        <v>Open Ad</v>
      </c>
      <c r="E1401" s="4" t="s">
        <v>78</v>
      </c>
      <c r="F1401" s="4" t="s">
        <v>54</v>
      </c>
      <c r="G1401" s="4" t="s">
        <v>5810</v>
      </c>
      <c r="H1401" s="4" t="s">
        <v>49</v>
      </c>
      <c r="I1401" s="4" t="s">
        <v>661</v>
      </c>
      <c r="J1401" s="4" t="s">
        <v>78</v>
      </c>
      <c r="K1401" s="5" t="str">
        <f>HYPERLINK("https://media.licdn.com/dms/image/v2/D4E10AQHi3O5invG_gg/image-shrink_1280/B4EZkQ065IHgAU-/0/1756923933048?e=2147483647&amp;v=beta&amp;t=gTjbN93RBoZVwD8DfKgAWZaBKZn5GR3V3FX7btkb154","View Creative")</f>
        <v>View Creative</v>
      </c>
      <c r="L1401" s="4" t="s">
        <v>106</v>
      </c>
      <c r="M1401" s="4" t="s">
        <v>61</v>
      </c>
      <c r="O1401" s="4" t="s">
        <v>63</v>
      </c>
      <c r="P1401" s="4" t="s">
        <v>64</v>
      </c>
    </row>
    <row r="1402">
      <c r="A1402" s="4" t="s">
        <v>40</v>
      </c>
      <c r="B1402" s="4" t="s">
        <v>40</v>
      </c>
      <c r="C1402" s="4">
        <v>1400.0</v>
      </c>
      <c r="D1402" s="5" t="str">
        <f>HYPERLINK("https://www.linkedin.com/ad-library/detail/747492004","Open Ad")</f>
        <v>Open Ad</v>
      </c>
      <c r="E1402" s="4" t="s">
        <v>78</v>
      </c>
      <c r="F1402" s="4" t="s">
        <v>54</v>
      </c>
      <c r="G1402" s="4" t="s">
        <v>5810</v>
      </c>
      <c r="H1402" s="4" t="s">
        <v>49</v>
      </c>
      <c r="I1402" s="4" t="s">
        <v>661</v>
      </c>
      <c r="J1402" s="4" t="s">
        <v>78</v>
      </c>
      <c r="K1402" s="5" t="str">
        <f>HYPERLINK("https://media.licdn.com/dms/image/v2/D4E10AQFNnjZWN596Tw/image-shrink_1280/B4EZkQ1BUWIIAQ-/0/1756923960555?e=2147483647&amp;v=beta&amp;t=EJ-X_D-_T255IYx8zxSrj96hT_dYU4uro3Vr3OO88_o","View Creative")</f>
        <v>View Creative</v>
      </c>
      <c r="L1402" s="4" t="s">
        <v>106</v>
      </c>
      <c r="M1402" s="4" t="s">
        <v>61</v>
      </c>
      <c r="O1402" s="4" t="s">
        <v>63</v>
      </c>
      <c r="P1402" s="4" t="s">
        <v>64</v>
      </c>
    </row>
    <row r="1403">
      <c r="A1403" s="4" t="s">
        <v>40</v>
      </c>
      <c r="B1403" s="4" t="s">
        <v>40</v>
      </c>
      <c r="C1403" s="4">
        <v>1401.0</v>
      </c>
      <c r="D1403" s="5" t="str">
        <f>HYPERLINK("https://www.linkedin.com/ad-library/detail/747471894","Open Ad")</f>
        <v>Open Ad</v>
      </c>
      <c r="E1403" s="4" t="s">
        <v>78</v>
      </c>
      <c r="F1403" s="4" t="s">
        <v>54</v>
      </c>
      <c r="G1403" s="4" t="s">
        <v>5810</v>
      </c>
      <c r="H1403" s="4" t="s">
        <v>49</v>
      </c>
      <c r="I1403" s="4" t="s">
        <v>661</v>
      </c>
      <c r="J1403" s="4" t="s">
        <v>78</v>
      </c>
      <c r="K1403" s="5" t="str">
        <f>HYPERLINK("https://media.licdn.com/dms/image/v2/D4E10AQEvlWOaRP8AjA/image-shrink_1280/B4EZkQ077CIMAM-/0/1756923937594?e=2147483647&amp;v=beta&amp;t=8pK7tPa52MCtk5WBh0wHBs61_pgLjN2nh24SE8GJI5g","View Creative")</f>
        <v>View Creative</v>
      </c>
      <c r="L1403" s="4" t="s">
        <v>106</v>
      </c>
      <c r="M1403" s="4" t="s">
        <v>61</v>
      </c>
      <c r="O1403" s="4" t="s">
        <v>63</v>
      </c>
      <c r="P1403" s="4" t="s">
        <v>64</v>
      </c>
    </row>
    <row r="1404">
      <c r="A1404" s="4" t="s">
        <v>40</v>
      </c>
      <c r="B1404" s="4" t="s">
        <v>40</v>
      </c>
      <c r="C1404" s="4">
        <v>1402.0</v>
      </c>
      <c r="D1404" s="5" t="str">
        <f>HYPERLINK("https://www.linkedin.com/ad-library/detail/747471884","Open Ad")</f>
        <v>Open Ad</v>
      </c>
      <c r="E1404" s="4" t="s">
        <v>78</v>
      </c>
      <c r="F1404" s="4" t="s">
        <v>54</v>
      </c>
      <c r="G1404" s="4" t="s">
        <v>5814</v>
      </c>
      <c r="H1404" s="4" t="s">
        <v>49</v>
      </c>
      <c r="I1404" s="4" t="s">
        <v>661</v>
      </c>
      <c r="J1404" s="4" t="s">
        <v>78</v>
      </c>
      <c r="K1404" s="5" t="str">
        <f>HYPERLINK("https://media.licdn.com/dms/image/v2/D4E10AQGTzpuE9C2w_w/image-shrink_1280/B4EZkQ06mKHoAQ-/0/1756923932074?e=2147483647&amp;v=beta&amp;t=4qtKZ7tzMjkIP_6bn73k8fpx_74aypZWraCaoScgMsU","View Creative")</f>
        <v>View Creative</v>
      </c>
      <c r="L1404" s="4" t="s">
        <v>106</v>
      </c>
      <c r="M1404" s="4" t="s">
        <v>61</v>
      </c>
      <c r="O1404" s="4" t="s">
        <v>63</v>
      </c>
      <c r="P1404" s="4" t="s">
        <v>64</v>
      </c>
    </row>
    <row r="1405">
      <c r="A1405" s="4" t="s">
        <v>40</v>
      </c>
      <c r="B1405" s="4" t="s">
        <v>40</v>
      </c>
      <c r="C1405" s="4">
        <v>1403.0</v>
      </c>
      <c r="D1405" s="5" t="str">
        <f>HYPERLINK("https://www.linkedin.com/ad-library/detail/747395494","Open Ad")</f>
        <v>Open Ad</v>
      </c>
      <c r="E1405" s="4" t="s">
        <v>78</v>
      </c>
      <c r="F1405" s="4" t="s">
        <v>54</v>
      </c>
      <c r="G1405" s="4" t="s">
        <v>5814</v>
      </c>
      <c r="H1405" s="4" t="s">
        <v>49</v>
      </c>
      <c r="I1405" s="4" t="s">
        <v>661</v>
      </c>
      <c r="J1405" s="4" t="s">
        <v>78</v>
      </c>
      <c r="K1405" s="5" t="str">
        <f>HYPERLINK("https://media.licdn.com/dms/image/v2/D4E10AQE0xajez1Xg7g/image-shrink_1280/B4EZkQ1BYYGoAQ-/0/1756923959705?e=2147483647&amp;v=beta&amp;t=bECjhZ44Wv2rCQb07SvYvrnyImhNSKjO3nCtzMGhLxk","View Creative")</f>
        <v>View Creative</v>
      </c>
      <c r="L1405" s="4" t="s">
        <v>106</v>
      </c>
      <c r="M1405" s="4" t="s">
        <v>61</v>
      </c>
      <c r="O1405" s="4" t="s">
        <v>63</v>
      </c>
      <c r="P1405" s="4" t="s">
        <v>64</v>
      </c>
    </row>
    <row r="1406">
      <c r="A1406" s="4" t="s">
        <v>40</v>
      </c>
      <c r="B1406" s="4" t="s">
        <v>40</v>
      </c>
      <c r="C1406" s="4">
        <v>1404.0</v>
      </c>
      <c r="D1406" s="5" t="str">
        <f>HYPERLINK("https://www.linkedin.com/ad-library/detail/747711314","Open Ad")</f>
        <v>Open Ad</v>
      </c>
      <c r="E1406" s="4" t="s">
        <v>78</v>
      </c>
      <c r="F1406" s="4" t="s">
        <v>54</v>
      </c>
      <c r="G1406" s="4" t="s">
        <v>5379</v>
      </c>
      <c r="H1406" s="4" t="s">
        <v>49</v>
      </c>
      <c r="I1406" s="4" t="s">
        <v>661</v>
      </c>
      <c r="J1406" s="4" t="s">
        <v>78</v>
      </c>
      <c r="K1406" s="5" t="str">
        <f>HYPERLINK("https://media.licdn.com/dms/image/v2/D4E10AQHBrEFdyY90GA/image-shrink_1280/B4EZkT5sufIIAM-/0/1756975517994/Itswinnerspng?e=2147483647&amp;v=beta&amp;t=1CGbz2Y9JzLjAlgeiaavv9Eo8Dt2_u3FSJSFppqeje0","View Creative")</f>
        <v>View Creative</v>
      </c>
      <c r="L1406" s="4" t="s">
        <v>106</v>
      </c>
      <c r="M1406" s="4" t="s">
        <v>61</v>
      </c>
      <c r="O1406" s="4" t="s">
        <v>63</v>
      </c>
      <c r="P1406" s="4" t="s">
        <v>64</v>
      </c>
    </row>
    <row r="1407">
      <c r="A1407" s="4" t="s">
        <v>40</v>
      </c>
      <c r="B1407" s="4" t="s">
        <v>40</v>
      </c>
      <c r="C1407" s="4">
        <v>1405.0</v>
      </c>
      <c r="D1407" s="5" t="str">
        <f>HYPERLINK("https://www.linkedin.com/ad-library/detail/747425074","Open Ad")</f>
        <v>Open Ad</v>
      </c>
      <c r="E1407" s="4" t="s">
        <v>78</v>
      </c>
      <c r="F1407" s="4" t="s">
        <v>54</v>
      </c>
      <c r="G1407" s="4" t="s">
        <v>5810</v>
      </c>
      <c r="H1407" s="4" t="s">
        <v>49</v>
      </c>
      <c r="I1407" s="4" t="s">
        <v>661</v>
      </c>
      <c r="J1407" s="4" t="s">
        <v>78</v>
      </c>
      <c r="K1407" s="5" t="str">
        <f>HYPERLINK("https://media.licdn.com/dms/image/v2/D4E10AQFWyzleCocANA/image-shrink_1280/B4EZkQ06qhGYAM-/0/1756923932492?e=2147483647&amp;v=beta&amp;t=zQUNRPvr10PrswRQ5mUEZYiKWvRT4G06bIodUcZySbE","View Creative")</f>
        <v>View Creative</v>
      </c>
      <c r="L1407" s="4" t="s">
        <v>106</v>
      </c>
      <c r="M1407" s="4" t="s">
        <v>61</v>
      </c>
      <c r="O1407" s="4" t="s">
        <v>63</v>
      </c>
      <c r="P1407" s="4" t="s">
        <v>64</v>
      </c>
    </row>
    <row r="1408">
      <c r="A1408" s="4" t="s">
        <v>40</v>
      </c>
      <c r="B1408" s="4" t="s">
        <v>40</v>
      </c>
      <c r="C1408" s="4">
        <v>1406.0</v>
      </c>
      <c r="D1408" s="5" t="str">
        <f>HYPERLINK("https://www.linkedin.com/ad-library/detail/747540964","Open Ad")</f>
        <v>Open Ad</v>
      </c>
      <c r="E1408" s="4" t="s">
        <v>78</v>
      </c>
      <c r="F1408" s="4" t="s">
        <v>54</v>
      </c>
      <c r="G1408" s="4" t="s">
        <v>5810</v>
      </c>
      <c r="H1408" s="4" t="s">
        <v>49</v>
      </c>
      <c r="I1408" s="4" t="s">
        <v>661</v>
      </c>
      <c r="J1408" s="4" t="s">
        <v>78</v>
      </c>
      <c r="K1408" s="5" t="str">
        <f>HYPERLINK("https://media.licdn.com/dms/image/v2/D4E10AQHmBlblEAlXbw/image-shrink_1280/B4EZkQ1BjmIsAY-/0/1756923960302?e=2147483647&amp;v=beta&amp;t=eeuLMyGim2HcAZAJ01fK44u96PDxha9_le-TWy9brXo","View Creative")</f>
        <v>View Creative</v>
      </c>
      <c r="L1408" s="4" t="s">
        <v>106</v>
      </c>
      <c r="M1408" s="4" t="s">
        <v>61</v>
      </c>
      <c r="O1408" s="4" t="s">
        <v>63</v>
      </c>
      <c r="P1408" s="4" t="s">
        <v>64</v>
      </c>
    </row>
    <row r="1409">
      <c r="A1409" s="4" t="s">
        <v>40</v>
      </c>
      <c r="B1409" s="4" t="s">
        <v>40</v>
      </c>
      <c r="C1409" s="4">
        <v>1407.0</v>
      </c>
      <c r="D1409" s="5" t="str">
        <f>HYPERLINK("https://www.linkedin.com/ad-library/detail/747482054","Open Ad")</f>
        <v>Open Ad</v>
      </c>
      <c r="E1409" s="4" t="s">
        <v>78</v>
      </c>
      <c r="F1409" s="4" t="s">
        <v>54</v>
      </c>
      <c r="G1409" s="4" t="s">
        <v>5814</v>
      </c>
      <c r="H1409" s="4" t="s">
        <v>49</v>
      </c>
      <c r="I1409" s="4" t="s">
        <v>661</v>
      </c>
      <c r="J1409" s="4" t="s">
        <v>78</v>
      </c>
      <c r="K1409" s="5" t="str">
        <f>HYPERLINK("https://media.licdn.com/dms/image/v2/D4E10AQHWyBfD7IX_MQ/image-shrink_1280/B4EZkQ06jIGwAQ-/0/1756923931578?e=2147483647&amp;v=beta&amp;t=kq0djFKlzrgXr1Fr5-EthTsfUEnJuDWTIQ_Uxxh344I","View Creative")</f>
        <v>View Creative</v>
      </c>
      <c r="L1409" s="4" t="s">
        <v>106</v>
      </c>
      <c r="M1409" s="4" t="s">
        <v>61</v>
      </c>
      <c r="O1409" s="4" t="s">
        <v>63</v>
      </c>
      <c r="P1409" s="4" t="s">
        <v>64</v>
      </c>
    </row>
    <row r="1410">
      <c r="A1410" s="4" t="s">
        <v>40</v>
      </c>
      <c r="B1410" s="4" t="s">
        <v>40</v>
      </c>
      <c r="C1410" s="4">
        <v>1408.0</v>
      </c>
      <c r="D1410" s="5" t="str">
        <f>HYPERLINK("https://www.linkedin.com/ad-library/detail/747432624","Open Ad")</f>
        <v>Open Ad</v>
      </c>
      <c r="E1410" s="4" t="s">
        <v>78</v>
      </c>
      <c r="F1410" s="4" t="s">
        <v>54</v>
      </c>
      <c r="G1410" s="4" t="s">
        <v>5814</v>
      </c>
      <c r="H1410" s="4" t="s">
        <v>49</v>
      </c>
      <c r="I1410" s="4" t="s">
        <v>661</v>
      </c>
      <c r="J1410" s="4" t="s">
        <v>78</v>
      </c>
      <c r="K1410" s="5" t="str">
        <f>HYPERLINK("https://media.licdn.com/dms/image/v2/D4E10AQHQkmeQH2x-pQ/image-shrink_1280/B4EZkQ1BVvHEAQ-/0/1756923959706?e=2147483647&amp;v=beta&amp;t=F2Sw8NhMEDDDFo3d7BanBP_uDcnBtn7GlpxA-OLlVT4","View Creative")</f>
        <v>View Creative</v>
      </c>
      <c r="L1410" s="4" t="s">
        <v>106</v>
      </c>
      <c r="M1410" s="4" t="s">
        <v>61</v>
      </c>
      <c r="O1410" s="4" t="s">
        <v>63</v>
      </c>
      <c r="P1410" s="4" t="s">
        <v>64</v>
      </c>
    </row>
    <row r="1411">
      <c r="A1411" s="4" t="s">
        <v>40</v>
      </c>
      <c r="B1411" s="4" t="s">
        <v>40</v>
      </c>
      <c r="C1411" s="4">
        <v>1409.0</v>
      </c>
      <c r="D1411" s="5" t="str">
        <f>HYPERLINK("https://www.linkedin.com/ad-library/detail/747482064","Open Ad")</f>
        <v>Open Ad</v>
      </c>
      <c r="E1411" s="4" t="s">
        <v>78</v>
      </c>
      <c r="F1411" s="4" t="s">
        <v>54</v>
      </c>
      <c r="G1411" s="4" t="s">
        <v>5814</v>
      </c>
      <c r="H1411" s="4" t="s">
        <v>49</v>
      </c>
      <c r="I1411" s="4" t="s">
        <v>661</v>
      </c>
      <c r="J1411" s="4" t="s">
        <v>78</v>
      </c>
      <c r="K1411" s="5" t="str">
        <f>HYPERLINK("https://media.licdn.com/dms/image/v2/D4E10AQFMu2KfYyJwqA/image-shrink_1280/B4EZkQ07nGHoAM-/0/1756923936314?e=2147483647&amp;v=beta&amp;t=muJn2JT1LdMWLEpfZdKN0gGQLrejFC4as_8DFMVPIbM","View Creative")</f>
        <v>View Creative</v>
      </c>
      <c r="L1411" s="4" t="s">
        <v>106</v>
      </c>
      <c r="M1411" s="4" t="s">
        <v>61</v>
      </c>
      <c r="O1411" s="4" t="s">
        <v>63</v>
      </c>
      <c r="P1411" s="4" t="s">
        <v>64</v>
      </c>
    </row>
    <row r="1412">
      <c r="A1412" s="4" t="s">
        <v>40</v>
      </c>
      <c r="B1412" s="4" t="s">
        <v>40</v>
      </c>
      <c r="C1412" s="4">
        <v>1410.0</v>
      </c>
      <c r="D1412" s="5" t="str">
        <f>HYPERLINK("https://www.linkedin.com/ad-library/detail/747540934","Open Ad")</f>
        <v>Open Ad</v>
      </c>
      <c r="E1412" s="4" t="s">
        <v>78</v>
      </c>
      <c r="F1412" s="4" t="s">
        <v>54</v>
      </c>
      <c r="G1412" s="4" t="s">
        <v>5814</v>
      </c>
      <c r="H1412" s="4" t="s">
        <v>49</v>
      </c>
      <c r="I1412" s="4" t="s">
        <v>661</v>
      </c>
      <c r="J1412" s="4" t="s">
        <v>78</v>
      </c>
      <c r="K1412" s="5" t="str">
        <f>HYPERLINK("https://media.licdn.com/dms/image/v2/D4E10AQEsUrZPm8v_8g/image-shrink_1280/B4EZkQ06njIkAc-/0/1756923931991?e=2147483647&amp;v=beta&amp;t=PjTu4jv5y3AlboH0d0wBhct6iTqv4VGuWed7tkCprj8","View Creative")</f>
        <v>View Creative</v>
      </c>
      <c r="L1412" s="4" t="s">
        <v>106</v>
      </c>
      <c r="M1412" s="4" t="s">
        <v>61</v>
      </c>
      <c r="O1412" s="4" t="s">
        <v>63</v>
      </c>
      <c r="P1412" s="4" t="s">
        <v>64</v>
      </c>
    </row>
    <row r="1413">
      <c r="A1413" s="4" t="s">
        <v>40</v>
      </c>
      <c r="B1413" s="4" t="s">
        <v>40</v>
      </c>
      <c r="C1413" s="4">
        <v>1411.0</v>
      </c>
      <c r="D1413" s="5" t="str">
        <f>HYPERLINK("https://www.linkedin.com/ad-library/detail/747721274","Open Ad")</f>
        <v>Open Ad</v>
      </c>
      <c r="E1413" s="4" t="s">
        <v>78</v>
      </c>
      <c r="F1413" s="4" t="s">
        <v>54</v>
      </c>
      <c r="G1413" s="4" t="s">
        <v>5379</v>
      </c>
      <c r="H1413" s="4" t="s">
        <v>49</v>
      </c>
      <c r="I1413" s="4" t="s">
        <v>661</v>
      </c>
      <c r="J1413" s="4" t="s">
        <v>78</v>
      </c>
      <c r="K1413" s="5" t="str">
        <f>HYPERLINK("https://media.licdn.com/dms/image/v2/D4E10AQEduw0mSvnlAA/image-shrink_1280/B4EZkT5qEuHoAM-/0/1756975507010/WinningAIpng?e=2147483647&amp;v=beta&amp;t=SUKnMfkS3-CcNT9oE_RtlcwaoqZmMltkRUbALSt8lGw","View Creative")</f>
        <v>View Creative</v>
      </c>
      <c r="L1413" s="4" t="s">
        <v>106</v>
      </c>
      <c r="M1413" s="4" t="s">
        <v>61</v>
      </c>
      <c r="O1413" s="4" t="s">
        <v>63</v>
      </c>
      <c r="P1413" s="4" t="s">
        <v>64</v>
      </c>
    </row>
    <row r="1414">
      <c r="A1414" s="4" t="s">
        <v>40</v>
      </c>
      <c r="B1414" s="4" t="s">
        <v>40</v>
      </c>
      <c r="C1414" s="4">
        <v>1412.0</v>
      </c>
      <c r="D1414" s="5" t="str">
        <f>HYPERLINK("https://www.linkedin.com/ad-library/detail/747442654","Open Ad")</f>
        <v>Open Ad</v>
      </c>
      <c r="E1414" s="4" t="s">
        <v>78</v>
      </c>
      <c r="F1414" s="4" t="s">
        <v>54</v>
      </c>
      <c r="G1414" s="4" t="s">
        <v>5814</v>
      </c>
      <c r="H1414" s="4" t="s">
        <v>49</v>
      </c>
      <c r="I1414" s="4" t="s">
        <v>661</v>
      </c>
      <c r="J1414" s="4" t="s">
        <v>78</v>
      </c>
      <c r="K1414" s="5" t="str">
        <f>HYPERLINK("https://media.licdn.com/dms/image/v2/D4E10AQFzQWdMFjPJ0Q/image-shrink_1280/B4EZkQ1BVqGoAY-/0/1756923959492?e=2147483647&amp;v=beta&amp;t=IFIjLa3AG0nC74YHUTgmXuHvQV-ZOYknTaLMMr64mAs","View Creative")</f>
        <v>View Creative</v>
      </c>
      <c r="L1414" s="4" t="s">
        <v>106</v>
      </c>
      <c r="M1414" s="4" t="s">
        <v>61</v>
      </c>
      <c r="O1414" s="4" t="s">
        <v>63</v>
      </c>
      <c r="P1414" s="4" t="s">
        <v>64</v>
      </c>
    </row>
    <row r="1415">
      <c r="A1415" s="4" t="s">
        <v>40</v>
      </c>
      <c r="B1415" s="4" t="s">
        <v>40</v>
      </c>
      <c r="C1415" s="4">
        <v>1413.0</v>
      </c>
      <c r="D1415" s="5" t="str">
        <f>HYPERLINK("https://www.linkedin.com/ad-library/detail/747540954","Open Ad")</f>
        <v>Open Ad</v>
      </c>
      <c r="E1415" s="4" t="s">
        <v>78</v>
      </c>
      <c r="F1415" s="4" t="s">
        <v>5824</v>
      </c>
      <c r="G1415" s="4" t="s">
        <v>5814</v>
      </c>
      <c r="H1415" s="4" t="s">
        <v>49</v>
      </c>
      <c r="I1415" s="4" t="s">
        <v>166</v>
      </c>
      <c r="J1415" s="4" t="s">
        <v>78</v>
      </c>
      <c r="K1415" s="5" t="str">
        <f>HYPERLINK("https://media.licdn.com/dms/image/v2/D4E10AQE6efWM2643HQ/image-shrink_1280/B4EZkQ06u9IsAM-/0/1756923932704?e=2147483647&amp;v=beta&amp;t=1ZjorN4EAvxLw9DZmc6iOcQwR-I7qsCpYPcn1IRhY_w","View Creative")</f>
        <v>View Creative</v>
      </c>
      <c r="L1415" s="4" t="s">
        <v>60</v>
      </c>
      <c r="M1415" s="4" t="s">
        <v>61</v>
      </c>
      <c r="N1415" s="4" t="s">
        <v>5825</v>
      </c>
      <c r="O1415" s="4" t="s">
        <v>89</v>
      </c>
      <c r="P1415" s="4" t="s">
        <v>5826</v>
      </c>
    </row>
    <row r="1416">
      <c r="A1416" s="4" t="s">
        <v>40</v>
      </c>
      <c r="B1416" s="4" t="s">
        <v>40</v>
      </c>
      <c r="C1416" s="4">
        <v>1414.0</v>
      </c>
      <c r="D1416" s="5" t="str">
        <f>HYPERLINK("https://www.linkedin.com/ad-library/detail/747442644","Open Ad")</f>
        <v>Open Ad</v>
      </c>
      <c r="E1416" s="4" t="s">
        <v>78</v>
      </c>
      <c r="F1416" s="4" t="s">
        <v>54</v>
      </c>
      <c r="G1416" s="4" t="s">
        <v>5810</v>
      </c>
      <c r="H1416" s="4" t="s">
        <v>49</v>
      </c>
      <c r="I1416" s="4" t="s">
        <v>661</v>
      </c>
      <c r="J1416" s="4" t="s">
        <v>78</v>
      </c>
      <c r="K1416" s="5" t="str">
        <f>HYPERLINK("https://media.licdn.com/dms/image/v2/D4E10AQH6TlMIpucfpQ/image-shrink_1280/B4EZkQ07CTIkAM-/0/1756923934166?e=2147483647&amp;v=beta&amp;t=uz45yVYkSnDYBpHhb-mdEiONPuZ9MgP-ig0TazVPwug","View Creative")</f>
        <v>View Creative</v>
      </c>
      <c r="L1416" s="4" t="s">
        <v>106</v>
      </c>
      <c r="M1416" s="4" t="s">
        <v>61</v>
      </c>
      <c r="O1416" s="4" t="s">
        <v>63</v>
      </c>
      <c r="P1416" s="4" t="s">
        <v>64</v>
      </c>
    </row>
    <row r="1417">
      <c r="A1417" s="4" t="s">
        <v>40</v>
      </c>
      <c r="B1417" s="4" t="s">
        <v>40</v>
      </c>
      <c r="C1417" s="4">
        <v>1415.0</v>
      </c>
      <c r="D1417" s="5" t="str">
        <f>HYPERLINK("https://www.linkedin.com/ad-library/detail/747540944","Open Ad")</f>
        <v>Open Ad</v>
      </c>
      <c r="E1417" s="4" t="s">
        <v>78</v>
      </c>
      <c r="F1417" s="4" t="s">
        <v>54</v>
      </c>
      <c r="G1417" s="4" t="s">
        <v>5810</v>
      </c>
      <c r="H1417" s="4" t="s">
        <v>49</v>
      </c>
      <c r="I1417" s="4" t="s">
        <v>661</v>
      </c>
      <c r="J1417" s="4" t="s">
        <v>78</v>
      </c>
      <c r="K1417" s="5" t="str">
        <f>HYPERLINK("https://media.licdn.com/dms/image/v2/D4E10AQF3DsdULKh_MA/image-shrink_1280/B4EZkQ06khIQAM-/0/1756923932087?e=2147483647&amp;v=beta&amp;t=Z0A6SgSNKzv3v3dzB-uZ46bxBt0ZD7T5bxXWCIg0kf8","View Creative")</f>
        <v>View Creative</v>
      </c>
      <c r="L1417" s="4" t="s">
        <v>106</v>
      </c>
      <c r="M1417" s="4" t="s">
        <v>61</v>
      </c>
      <c r="O1417" s="4" t="s">
        <v>63</v>
      </c>
      <c r="P1417" s="4" t="s">
        <v>64</v>
      </c>
    </row>
    <row r="1418">
      <c r="A1418" s="4" t="s">
        <v>40</v>
      </c>
      <c r="B1418" s="4" t="s">
        <v>40</v>
      </c>
      <c r="C1418" s="4">
        <v>1416.0</v>
      </c>
      <c r="D1418" s="5" t="str">
        <f>HYPERLINK("https://www.linkedin.com/ad-library/detail/747405144","Open Ad")</f>
        <v>Open Ad</v>
      </c>
      <c r="E1418" s="4" t="s">
        <v>78</v>
      </c>
      <c r="F1418" s="4" t="s">
        <v>54</v>
      </c>
      <c r="G1418" s="4" t="s">
        <v>5814</v>
      </c>
      <c r="H1418" s="4" t="s">
        <v>49</v>
      </c>
      <c r="I1418" s="4" t="s">
        <v>661</v>
      </c>
      <c r="J1418" s="4" t="s">
        <v>78</v>
      </c>
      <c r="K1418" s="5" t="str">
        <f>HYPERLINK("https://media.licdn.com/dms/image/v2/D4E10AQEKFDTDYPLTTg/image-shrink_1280/B4EZkQ1BmfGcAM-/0/1756923960449?e=2147483647&amp;v=beta&amp;t=cMt1ku2xNN67atfVKyxGowLhC_sU862f0E9geKAxf0k","View Creative")</f>
        <v>View Creative</v>
      </c>
      <c r="L1418" s="4" t="s">
        <v>106</v>
      </c>
      <c r="M1418" s="4" t="s">
        <v>61</v>
      </c>
      <c r="O1418" s="4" t="s">
        <v>63</v>
      </c>
      <c r="P1418" s="4" t="s">
        <v>64</v>
      </c>
    </row>
    <row r="1419">
      <c r="A1419" s="4" t="s">
        <v>40</v>
      </c>
      <c r="B1419" s="4" t="s">
        <v>40</v>
      </c>
      <c r="C1419" s="4">
        <v>1417.0</v>
      </c>
      <c r="D1419" s="5" t="str">
        <f>HYPERLINK("https://www.linkedin.com/ad-library/detail/747511904","Open Ad")</f>
        <v>Open Ad</v>
      </c>
      <c r="E1419" s="4" t="s">
        <v>78</v>
      </c>
      <c r="F1419" s="4" t="s">
        <v>54</v>
      </c>
      <c r="G1419" s="4" t="s">
        <v>5814</v>
      </c>
      <c r="H1419" s="4" t="s">
        <v>49</v>
      </c>
      <c r="I1419" s="4" t="s">
        <v>661</v>
      </c>
      <c r="J1419" s="4" t="s">
        <v>78</v>
      </c>
      <c r="K1419" s="5" t="str">
        <f>HYPERLINK("https://media.licdn.com/dms/image/v2/D4E10AQF_Ji5kCQPiSA/image-shrink_1280/B4EZkQ01QPIoAM-/0/1756923909985?e=2147483647&amp;v=beta&amp;t=jNUd8tjkwuDbsKZ9LrYOvUfkNjt4Eoeu0fx31HC-uYE","View Creative")</f>
        <v>View Creative</v>
      </c>
      <c r="L1419" s="4" t="s">
        <v>106</v>
      </c>
      <c r="M1419" s="4" t="s">
        <v>61</v>
      </c>
      <c r="O1419" s="4" t="s">
        <v>63</v>
      </c>
      <c r="P1419" s="4" t="s">
        <v>64</v>
      </c>
    </row>
    <row r="1420">
      <c r="A1420" s="4" t="s">
        <v>40</v>
      </c>
      <c r="B1420" s="4" t="s">
        <v>40</v>
      </c>
      <c r="C1420" s="4">
        <v>1418.0</v>
      </c>
      <c r="D1420" s="5" t="str">
        <f>HYPERLINK("https://www.linkedin.com/ad-library/detail/747462064","Open Ad")</f>
        <v>Open Ad</v>
      </c>
      <c r="E1420" s="4" t="s">
        <v>78</v>
      </c>
      <c r="F1420" s="4" t="s">
        <v>54</v>
      </c>
      <c r="G1420" s="4" t="s">
        <v>5814</v>
      </c>
      <c r="H1420" s="4" t="s">
        <v>49</v>
      </c>
      <c r="I1420" s="4" t="s">
        <v>661</v>
      </c>
      <c r="J1420" s="4" t="s">
        <v>78</v>
      </c>
      <c r="K1420" s="5" t="str">
        <f>HYPERLINK("https://media.licdn.com/dms/image/v2/D4E10AQHFpBPWdYKuPA/image-shrink_1280/B4EZkQ0wGAIIAQ-/0/1756923888884?e=2147483647&amp;v=beta&amp;t=lhEjUXWQNK4KYmh3KnuObiwOBuCifEe3KOjEZr2EDSw","View Creative")</f>
        <v>View Creative</v>
      </c>
      <c r="L1420" s="4" t="s">
        <v>106</v>
      </c>
      <c r="M1420" s="4" t="s">
        <v>61</v>
      </c>
      <c r="O1420" s="4" t="s">
        <v>63</v>
      </c>
      <c r="P1420" s="4" t="s">
        <v>64</v>
      </c>
    </row>
    <row r="1421">
      <c r="A1421" s="4" t="s">
        <v>40</v>
      </c>
      <c r="B1421" s="4" t="s">
        <v>40</v>
      </c>
      <c r="C1421" s="4">
        <v>1419.0</v>
      </c>
      <c r="D1421" s="5" t="str">
        <f>HYPERLINK("https://www.linkedin.com/ad-library/detail/747452614","Open Ad")</f>
        <v>Open Ad</v>
      </c>
      <c r="E1421" s="4" t="s">
        <v>78</v>
      </c>
      <c r="F1421" s="4" t="s">
        <v>54</v>
      </c>
      <c r="G1421" s="4" t="s">
        <v>5814</v>
      </c>
      <c r="H1421" s="4" t="s">
        <v>49</v>
      </c>
      <c r="I1421" s="4" t="s">
        <v>661</v>
      </c>
      <c r="J1421" s="4" t="s">
        <v>78</v>
      </c>
      <c r="K1421" s="5" t="str">
        <f>HYPERLINK("https://media.licdn.com/dms/image/v2/D4E10AQG2jQklgx9HeQ/image-shrink_1280/B4EZkQ0tWrGUAM-/0/1756923877955?e=2147483647&amp;v=beta&amp;t=XPlLb1b95x4hOiaiPJ6PLDTwj8emAkDbocXXpBRHbuU","View Creative")</f>
        <v>View Creative</v>
      </c>
      <c r="L1421" s="4" t="s">
        <v>106</v>
      </c>
      <c r="M1421" s="4" t="s">
        <v>61</v>
      </c>
      <c r="O1421" s="4" t="s">
        <v>63</v>
      </c>
      <c r="P1421" s="4" t="s">
        <v>64</v>
      </c>
    </row>
    <row r="1422">
      <c r="A1422" s="4" t="s">
        <v>40</v>
      </c>
      <c r="B1422" s="4" t="s">
        <v>40</v>
      </c>
      <c r="C1422" s="4">
        <v>1420.0</v>
      </c>
      <c r="D1422" s="5" t="str">
        <f>HYPERLINK("https://www.linkedin.com/ad-library/detail/747531134","Open Ad")</f>
        <v>Open Ad</v>
      </c>
      <c r="E1422" s="4" t="s">
        <v>78</v>
      </c>
      <c r="F1422" s="4" t="s">
        <v>54</v>
      </c>
      <c r="G1422" s="4" t="s">
        <v>5814</v>
      </c>
      <c r="H1422" s="4" t="s">
        <v>49</v>
      </c>
      <c r="I1422" s="4" t="s">
        <v>661</v>
      </c>
      <c r="J1422" s="4" t="s">
        <v>78</v>
      </c>
      <c r="K1422" s="5" t="str">
        <f>HYPERLINK("https://media.licdn.com/dms/image/v2/D4E10AQHG08dHhKZW6g/image-shrink_1280/B4EZkQ0teEHoAM-/0/1756923878151?e=2147483647&amp;v=beta&amp;t=Oaij9xQ1GFIZLkZofljgakYX-4kHY0dvHsPVOQOSI-s","View Creative")</f>
        <v>View Creative</v>
      </c>
      <c r="L1422" s="4" t="s">
        <v>106</v>
      </c>
      <c r="M1422" s="4" t="s">
        <v>61</v>
      </c>
      <c r="O1422" s="4" t="s">
        <v>63</v>
      </c>
      <c r="P1422" s="4" t="s">
        <v>64</v>
      </c>
    </row>
    <row r="1423">
      <c r="A1423" s="4" t="s">
        <v>40</v>
      </c>
      <c r="B1423" s="4" t="s">
        <v>40</v>
      </c>
      <c r="C1423" s="4">
        <v>1421.0</v>
      </c>
      <c r="D1423" s="5" t="str">
        <f>HYPERLINK("https://www.linkedin.com/ad-library/detail/747531114","Open Ad")</f>
        <v>Open Ad</v>
      </c>
      <c r="E1423" s="4" t="s">
        <v>78</v>
      </c>
      <c r="F1423" s="4" t="s">
        <v>54</v>
      </c>
      <c r="G1423" s="4" t="s">
        <v>5814</v>
      </c>
      <c r="H1423" s="4" t="s">
        <v>49</v>
      </c>
      <c r="I1423" s="4" t="s">
        <v>661</v>
      </c>
      <c r="J1423" s="4" t="s">
        <v>78</v>
      </c>
      <c r="K1423" s="5" t="str">
        <f>HYPERLINK("https://media.licdn.com/dms/image/v2/D4E10AQEj98BIAodrfw/image-shrink_1280/B4EZkQ0fxcGwAY-/0/1756923821870?e=2147483647&amp;v=beta&amp;t=mjvV-KYSynMkGMjKZoewBx_LcbL4uhqplfMOn2MR6to","View Creative")</f>
        <v>View Creative</v>
      </c>
      <c r="L1423" s="4" t="s">
        <v>106</v>
      </c>
      <c r="M1423" s="4" t="s">
        <v>61</v>
      </c>
      <c r="O1423" s="4" t="s">
        <v>63</v>
      </c>
      <c r="P1423" s="4" t="s">
        <v>64</v>
      </c>
    </row>
    <row r="1424">
      <c r="A1424" s="4" t="s">
        <v>40</v>
      </c>
      <c r="B1424" s="4" t="s">
        <v>40</v>
      </c>
      <c r="C1424" s="4">
        <v>1422.0</v>
      </c>
      <c r="D1424" s="5" t="str">
        <f>HYPERLINK("https://www.linkedin.com/ad-library/detail/747511884","Open Ad")</f>
        <v>Open Ad</v>
      </c>
      <c r="E1424" s="4" t="s">
        <v>78</v>
      </c>
      <c r="F1424" s="4" t="s">
        <v>54</v>
      </c>
      <c r="G1424" s="4" t="s">
        <v>5814</v>
      </c>
      <c r="H1424" s="4" t="s">
        <v>49</v>
      </c>
      <c r="I1424" s="4" t="s">
        <v>661</v>
      </c>
      <c r="J1424" s="4" t="s">
        <v>78</v>
      </c>
      <c r="K1424" s="5" t="str">
        <f>HYPERLINK("https://media.licdn.com/dms/image/v2/D4E10AQH5N84eRG0DKw/image-shrink_1280/B4EZkQ0tZaIQAQ-/0/1756923877780?e=2147483647&amp;v=beta&amp;t=MLQSm04QzBik__-J9AKC0pGovniVObXqdK93K5tNezY","View Creative")</f>
        <v>View Creative</v>
      </c>
      <c r="L1424" s="4" t="s">
        <v>106</v>
      </c>
      <c r="M1424" s="4" t="s">
        <v>61</v>
      </c>
      <c r="O1424" s="4" t="s">
        <v>63</v>
      </c>
      <c r="P1424" s="4" t="s">
        <v>64</v>
      </c>
    </row>
    <row r="1425">
      <c r="A1425" s="4" t="s">
        <v>40</v>
      </c>
      <c r="B1425" s="4" t="s">
        <v>40</v>
      </c>
      <c r="C1425" s="4">
        <v>1423.0</v>
      </c>
      <c r="D1425" s="5" t="str">
        <f>HYPERLINK("https://www.linkedin.com/ad-library/detail/747415894","Open Ad")</f>
        <v>Open Ad</v>
      </c>
      <c r="E1425" s="4" t="s">
        <v>78</v>
      </c>
      <c r="F1425" s="4" t="s">
        <v>54</v>
      </c>
      <c r="G1425" s="4" t="s">
        <v>5810</v>
      </c>
      <c r="H1425" s="4" t="s">
        <v>49</v>
      </c>
      <c r="I1425" s="4" t="s">
        <v>661</v>
      </c>
      <c r="J1425" s="4" t="s">
        <v>78</v>
      </c>
      <c r="K1425" s="5" t="str">
        <f>HYPERLINK("https://media.licdn.com/dms/image/v2/D4E10AQGVl_33bUW0fQ/image-shrink_1280/B4EZkQ0f_sHoAY-/0/1756923822878?e=2147483647&amp;v=beta&amp;t=iRKcjJc9SW7Y0OTJIgacq_rUHpkvyRuSwWZqn3JTld8","View Creative")</f>
        <v>View Creative</v>
      </c>
      <c r="L1425" s="4" t="s">
        <v>106</v>
      </c>
      <c r="M1425" s="4" t="s">
        <v>61</v>
      </c>
      <c r="O1425" s="4" t="s">
        <v>63</v>
      </c>
      <c r="P1425" s="4" t="s">
        <v>64</v>
      </c>
    </row>
    <row r="1426">
      <c r="A1426" s="4" t="s">
        <v>40</v>
      </c>
      <c r="B1426" s="4" t="s">
        <v>40</v>
      </c>
      <c r="C1426" s="4">
        <v>1424.0</v>
      </c>
      <c r="D1426" s="5" t="str">
        <f>HYPERLINK("https://www.linkedin.com/ad-library/detail/747491984","Open Ad")</f>
        <v>Open Ad</v>
      </c>
      <c r="E1426" s="4" t="s">
        <v>78</v>
      </c>
      <c r="F1426" s="4" t="s">
        <v>54</v>
      </c>
      <c r="G1426" s="4" t="s">
        <v>5810</v>
      </c>
      <c r="H1426" s="4" t="s">
        <v>49</v>
      </c>
      <c r="I1426" s="4" t="s">
        <v>661</v>
      </c>
      <c r="J1426" s="4" t="s">
        <v>78</v>
      </c>
      <c r="K1426" s="5" t="str">
        <f>HYPERLINK("https://media.licdn.com/dms/image/v2/D4E10AQFqPgpzLDhxQw/image-shrink_1280/B4EZkQ0oIHGoAY-/0/1756923856106?e=2147483647&amp;v=beta&amp;t=GejGac5ESOdVXKf8Iv4tX9vuzVZ1N3-8qwYYoFWV61k","View Creative")</f>
        <v>View Creative</v>
      </c>
      <c r="L1426" s="4" t="s">
        <v>106</v>
      </c>
      <c r="M1426" s="4" t="s">
        <v>61</v>
      </c>
      <c r="O1426" s="4" t="s">
        <v>63</v>
      </c>
      <c r="P1426" s="4" t="s">
        <v>64</v>
      </c>
    </row>
    <row r="1427">
      <c r="A1427" s="4" t="s">
        <v>40</v>
      </c>
      <c r="B1427" s="4" t="s">
        <v>40</v>
      </c>
      <c r="C1427" s="4">
        <v>1425.0</v>
      </c>
      <c r="D1427" s="5" t="str">
        <f>HYPERLINK("https://www.linkedin.com/ad-library/detail/747415904","Open Ad")</f>
        <v>Open Ad</v>
      </c>
      <c r="E1427" s="4" t="s">
        <v>78</v>
      </c>
      <c r="F1427" s="4" t="s">
        <v>54</v>
      </c>
      <c r="G1427" s="4" t="s">
        <v>5810</v>
      </c>
      <c r="H1427" s="4" t="s">
        <v>49</v>
      </c>
      <c r="I1427" s="4" t="s">
        <v>661</v>
      </c>
      <c r="J1427" s="4" t="s">
        <v>78</v>
      </c>
      <c r="K1427" s="5" t="str">
        <f>HYPERLINK("https://media.licdn.com/dms/image/v2/D4E10AQHHVkZtRxMjLw/image-shrink_1280/B4EZkQ0t6DHEAQ-/0/1756923880271?e=2147483647&amp;v=beta&amp;t=nqU9bY-CHOkiePrru2LEtv_gqwpExzjW9nxdFOfFdLE","View Creative")</f>
        <v>View Creative</v>
      </c>
      <c r="L1427" s="4" t="s">
        <v>106</v>
      </c>
      <c r="M1427" s="4" t="s">
        <v>61</v>
      </c>
      <c r="O1427" s="4" t="s">
        <v>63</v>
      </c>
      <c r="P1427" s="4" t="s">
        <v>64</v>
      </c>
    </row>
    <row r="1428">
      <c r="A1428" s="4" t="s">
        <v>40</v>
      </c>
      <c r="B1428" s="4" t="s">
        <v>40</v>
      </c>
      <c r="C1428" s="4">
        <v>1426.0</v>
      </c>
      <c r="D1428" s="5" t="str">
        <f>HYPERLINK("https://www.linkedin.com/ad-library/detail/747395474","Open Ad")</f>
        <v>Open Ad</v>
      </c>
      <c r="E1428" s="4" t="s">
        <v>78</v>
      </c>
      <c r="F1428" s="4" t="s">
        <v>54</v>
      </c>
      <c r="G1428" s="4" t="s">
        <v>5810</v>
      </c>
      <c r="H1428" s="4" t="s">
        <v>49</v>
      </c>
      <c r="I1428" s="4" t="s">
        <v>661</v>
      </c>
      <c r="J1428" s="4" t="s">
        <v>78</v>
      </c>
      <c r="K1428" s="5" t="str">
        <f>HYPERLINK("https://media.licdn.com/dms/image/v2/D4E10AQFt4A9Bd2cqlA/image-shrink_1280/B4EZkQ0tY_IwAM-/0/1756923877675?e=2147483647&amp;v=beta&amp;t=eo1iYEeSdg_-ZSn4Kt0veX7VhuZ2MmYZLwdwQYm6D7g","View Creative")</f>
        <v>View Creative</v>
      </c>
      <c r="L1428" s="4" t="s">
        <v>106</v>
      </c>
      <c r="M1428" s="4" t="s">
        <v>61</v>
      </c>
      <c r="O1428" s="4" t="s">
        <v>63</v>
      </c>
      <c r="P1428" s="4" t="s">
        <v>64</v>
      </c>
    </row>
    <row r="1429">
      <c r="A1429" s="4" t="s">
        <v>40</v>
      </c>
      <c r="B1429" s="4" t="s">
        <v>40</v>
      </c>
      <c r="C1429" s="4">
        <v>1427.0</v>
      </c>
      <c r="D1429" s="5" t="str">
        <f>HYPERLINK("https://www.linkedin.com/ad-library/detail/747482034","Open Ad")</f>
        <v>Open Ad</v>
      </c>
      <c r="E1429" s="4" t="s">
        <v>78</v>
      </c>
      <c r="F1429" s="4" t="s">
        <v>54</v>
      </c>
      <c r="G1429" s="4" t="s">
        <v>5810</v>
      </c>
      <c r="H1429" s="4" t="s">
        <v>49</v>
      </c>
      <c r="I1429" s="4" t="s">
        <v>661</v>
      </c>
      <c r="J1429" s="4" t="s">
        <v>78</v>
      </c>
      <c r="K1429" s="5" t="str">
        <f>HYPERLINK("https://media.licdn.com/dms/image/v2/D4E10AQEHWjJYEA7OOA/image-shrink_1280/B4EZkQ0vMeIsAM-/0/1756923885035?e=2147483647&amp;v=beta&amp;t=ICMhftq6AuC8RjNjHMnoO926uetT4RBomnxZPsYxfCY","View Creative")</f>
        <v>View Creative</v>
      </c>
      <c r="L1429" s="4" t="s">
        <v>106</v>
      </c>
      <c r="M1429" s="4" t="s">
        <v>61</v>
      </c>
      <c r="O1429" s="4" t="s">
        <v>63</v>
      </c>
      <c r="P1429" s="4" t="s">
        <v>64</v>
      </c>
    </row>
    <row r="1430">
      <c r="A1430" s="4" t="s">
        <v>40</v>
      </c>
      <c r="B1430" s="4" t="s">
        <v>40</v>
      </c>
      <c r="C1430" s="4">
        <v>1428.0</v>
      </c>
      <c r="D1430" s="5" t="str">
        <f>HYPERLINK("https://www.linkedin.com/ad-library/detail/747432544","Open Ad")</f>
        <v>Open Ad</v>
      </c>
      <c r="E1430" s="4" t="s">
        <v>78</v>
      </c>
      <c r="F1430" s="4" t="s">
        <v>54</v>
      </c>
      <c r="G1430" s="4" t="s">
        <v>5810</v>
      </c>
      <c r="H1430" s="4" t="s">
        <v>49</v>
      </c>
      <c r="I1430" s="4" t="s">
        <v>661</v>
      </c>
      <c r="J1430" s="4" t="s">
        <v>78</v>
      </c>
      <c r="K1430" s="5" t="str">
        <f>HYPERLINK("https://media.licdn.com/dms/image/v2/D4E10AQFIxrAnkI3u9w/image-shrink_1280/B4EZkQ0RzxHEAM-/0/1756923766322?e=2147483647&amp;v=beta&amp;t=pg3JDZJETlBz9fU6LmzK8EKJtYq3tex-n93N1dd3r_g","View Creative")</f>
        <v>View Creative</v>
      </c>
      <c r="L1430" s="4" t="s">
        <v>106</v>
      </c>
      <c r="M1430" s="4" t="s">
        <v>61</v>
      </c>
      <c r="O1430" s="4" t="s">
        <v>63</v>
      </c>
      <c r="P1430" s="4" t="s">
        <v>64</v>
      </c>
    </row>
    <row r="1431">
      <c r="A1431" s="4" t="s">
        <v>40</v>
      </c>
      <c r="B1431" s="4" t="s">
        <v>40</v>
      </c>
      <c r="C1431" s="4">
        <v>1429.0</v>
      </c>
      <c r="D1431" s="5" t="str">
        <f>HYPERLINK("https://www.linkedin.com/ad-library/detail/747395454","Open Ad")</f>
        <v>Open Ad</v>
      </c>
      <c r="E1431" s="4" t="s">
        <v>78</v>
      </c>
      <c r="F1431" s="4" t="s">
        <v>54</v>
      </c>
      <c r="G1431" s="4" t="s">
        <v>5810</v>
      </c>
      <c r="H1431" s="4" t="s">
        <v>49</v>
      </c>
      <c r="I1431" s="4" t="s">
        <v>661</v>
      </c>
      <c r="J1431" s="4" t="s">
        <v>78</v>
      </c>
      <c r="K1431" s="5" t="str">
        <f>HYPERLINK("https://media.licdn.com/dms/image/v2/D4E10AQE_DLhlT1-ibg/image-shrink_1280/B4EZkQ0gGfIIAQ-/0/1756923823481?e=2147483647&amp;v=beta&amp;t=BFy8odrNqYmZSJ9fTFr3l4KfI5RUzxgDtn3K6wO0_WQ","View Creative")</f>
        <v>View Creative</v>
      </c>
      <c r="L1431" s="4" t="s">
        <v>106</v>
      </c>
      <c r="M1431" s="4" t="s">
        <v>61</v>
      </c>
      <c r="O1431" s="4" t="s">
        <v>63</v>
      </c>
      <c r="P1431" s="4" t="s">
        <v>64</v>
      </c>
    </row>
    <row r="1432">
      <c r="A1432" s="4" t="s">
        <v>40</v>
      </c>
      <c r="B1432" s="4" t="s">
        <v>40</v>
      </c>
      <c r="C1432" s="4">
        <v>1430.0</v>
      </c>
      <c r="D1432" s="5" t="str">
        <f>HYPERLINK("https://www.linkedin.com/ad-library/detail/747395464","Open Ad")</f>
        <v>Open Ad</v>
      </c>
      <c r="E1432" s="4" t="s">
        <v>78</v>
      </c>
      <c r="F1432" s="4" t="s">
        <v>54</v>
      </c>
      <c r="G1432" s="4" t="s">
        <v>5814</v>
      </c>
      <c r="H1432" s="4" t="s">
        <v>49</v>
      </c>
      <c r="I1432" s="4" t="s">
        <v>661</v>
      </c>
      <c r="J1432" s="4" t="s">
        <v>78</v>
      </c>
      <c r="K1432" s="5" t="str">
        <f>HYPERLINK("https://media.licdn.com/dms/image/v2/D4E10AQHxTHrDtNQ41A/image-shrink_1280/B4EZkQ0gYJIUAU-/0/1756923824357?e=2147483647&amp;v=beta&amp;t=xrznoiNUMuc03CyJ8TdmHCe3QYdH5XYYPLL8KPxYE-I","View Creative")</f>
        <v>View Creative</v>
      </c>
      <c r="L1432" s="4" t="s">
        <v>106</v>
      </c>
      <c r="M1432" s="4" t="s">
        <v>61</v>
      </c>
      <c r="O1432" s="4" t="s">
        <v>63</v>
      </c>
      <c r="P1432" s="4" t="s">
        <v>64</v>
      </c>
    </row>
    <row r="1433">
      <c r="A1433" s="4" t="s">
        <v>40</v>
      </c>
      <c r="B1433" s="4" t="s">
        <v>40</v>
      </c>
      <c r="C1433" s="4">
        <v>1431.0</v>
      </c>
      <c r="D1433" s="5" t="str">
        <f>HYPERLINK("https://www.linkedin.com/ad-library/detail/747540884","Open Ad")</f>
        <v>Open Ad</v>
      </c>
      <c r="E1433" s="4" t="s">
        <v>78</v>
      </c>
      <c r="F1433" s="4" t="s">
        <v>54</v>
      </c>
      <c r="G1433" s="4" t="s">
        <v>5810</v>
      </c>
      <c r="H1433" s="4" t="s">
        <v>49</v>
      </c>
      <c r="I1433" s="4" t="s">
        <v>661</v>
      </c>
      <c r="J1433" s="4" t="s">
        <v>78</v>
      </c>
      <c r="K1433" s="5" t="str">
        <f>HYPERLINK("https://media.licdn.com/dms/image/v2/D4E10AQHHLuScKB74Ug/image-shrink_1280/B4EZkQ0ttKHEAM-/0/1756923879510?e=2147483647&amp;v=beta&amp;t=IbY-pSmE6Oc53ApDD3kbOqGr5HsoWB9FyG7A65ziKsM","View Creative")</f>
        <v>View Creative</v>
      </c>
      <c r="L1433" s="4" t="s">
        <v>106</v>
      </c>
      <c r="M1433" s="4" t="s">
        <v>61</v>
      </c>
      <c r="O1433" s="4" t="s">
        <v>63</v>
      </c>
      <c r="P1433" s="4" t="s">
        <v>64</v>
      </c>
    </row>
    <row r="1434">
      <c r="A1434" s="4" t="s">
        <v>40</v>
      </c>
      <c r="B1434" s="4" t="s">
        <v>40</v>
      </c>
      <c r="C1434" s="4">
        <v>1432.0</v>
      </c>
      <c r="D1434" s="5" t="str">
        <f>HYPERLINK("https://www.linkedin.com/ad-library/detail/747425024","Open Ad")</f>
        <v>Open Ad</v>
      </c>
      <c r="E1434" s="4" t="s">
        <v>78</v>
      </c>
      <c r="F1434" s="4" t="s">
        <v>54</v>
      </c>
      <c r="G1434" s="4" t="s">
        <v>5810</v>
      </c>
      <c r="H1434" s="4" t="s">
        <v>49</v>
      </c>
      <c r="I1434" s="4" t="s">
        <v>661</v>
      </c>
      <c r="J1434" s="4" t="s">
        <v>78</v>
      </c>
      <c r="K1434" s="5" t="str">
        <f>HYPERLINK("https://media.licdn.com/dms/image/v2/D4E10AQFQ3C9YkmbMHQ/image-shrink_1280/B4EZkQ0f5AHoAU-/0/1756923822290?e=2147483647&amp;v=beta&amp;t=3D2KWFUG14MQ1PdjexOttax3tgfRa3IaOi9YolVGhV8","View Creative")</f>
        <v>View Creative</v>
      </c>
      <c r="L1434" s="4" t="s">
        <v>106</v>
      </c>
      <c r="M1434" s="4" t="s">
        <v>61</v>
      </c>
      <c r="O1434" s="4" t="s">
        <v>63</v>
      </c>
      <c r="P1434" s="4" t="s">
        <v>64</v>
      </c>
    </row>
    <row r="1435">
      <c r="A1435" s="4" t="s">
        <v>40</v>
      </c>
      <c r="B1435" s="4" t="s">
        <v>40</v>
      </c>
      <c r="C1435" s="4">
        <v>1433.0</v>
      </c>
      <c r="D1435" s="5" t="str">
        <f>HYPERLINK("https://www.linkedin.com/ad-library/detail/747501964","Open Ad")</f>
        <v>Open Ad</v>
      </c>
      <c r="E1435" s="4" t="s">
        <v>78</v>
      </c>
      <c r="F1435" s="4" t="s">
        <v>54</v>
      </c>
      <c r="G1435" s="4" t="s">
        <v>5810</v>
      </c>
      <c r="H1435" s="4" t="s">
        <v>49</v>
      </c>
      <c r="I1435" s="4" t="s">
        <v>661</v>
      </c>
      <c r="J1435" s="4" t="s">
        <v>78</v>
      </c>
      <c r="K1435" s="5" t="str">
        <f>HYPERLINK("https://media.licdn.com/dms/image/v2/D4E10AQHymFFXjSIQsg/image-shrink_1280/B4EZkQ0hCyIkAQ-/0/1756923827136?e=2147483647&amp;v=beta&amp;t=XvkJiZKq04fgf83i8_wmAjXiPh3TwOhGmPjzO2C2O08","View Creative")</f>
        <v>View Creative</v>
      </c>
      <c r="L1435" s="4" t="s">
        <v>106</v>
      </c>
      <c r="M1435" s="4" t="s">
        <v>61</v>
      </c>
      <c r="O1435" s="4" t="s">
        <v>63</v>
      </c>
      <c r="P1435" s="4" t="s">
        <v>64</v>
      </c>
    </row>
    <row r="1436">
      <c r="A1436" s="4" t="s">
        <v>40</v>
      </c>
      <c r="B1436" s="4" t="s">
        <v>40</v>
      </c>
      <c r="C1436" s="4">
        <v>1434.0</v>
      </c>
      <c r="D1436" s="5" t="str">
        <f>HYPERLINK("https://www.linkedin.com/ad-library/detail/747425014","Open Ad")</f>
        <v>Open Ad</v>
      </c>
      <c r="E1436" s="4" t="s">
        <v>78</v>
      </c>
      <c r="F1436" s="4" t="s">
        <v>54</v>
      </c>
      <c r="G1436" s="4" t="s">
        <v>5814</v>
      </c>
      <c r="H1436" s="4" t="s">
        <v>49</v>
      </c>
      <c r="I1436" s="4" t="s">
        <v>661</v>
      </c>
      <c r="J1436" s="4" t="s">
        <v>78</v>
      </c>
      <c r="K1436" s="5" t="str">
        <f>HYPERLINK("https://media.licdn.com/dms/image/v2/D4E10AQH7fwlpCGd3JQ/image-shrink_1280/B4EZkQ0f1KIMAU-/0/1756923822126?e=2147483647&amp;v=beta&amp;t=Ag_8WBukwNtk5J5VB5MzQaR77LI3sOQ7JvTHZyZUTOE","View Creative")</f>
        <v>View Creative</v>
      </c>
      <c r="L1436" s="4" t="s">
        <v>106</v>
      </c>
      <c r="M1436" s="4" t="s">
        <v>61</v>
      </c>
      <c r="O1436" s="4" t="s">
        <v>63</v>
      </c>
      <c r="P1436" s="4" t="s">
        <v>64</v>
      </c>
    </row>
    <row r="1437">
      <c r="A1437" s="4" t="s">
        <v>40</v>
      </c>
      <c r="B1437" s="4" t="s">
        <v>40</v>
      </c>
      <c r="C1437" s="4">
        <v>1435.0</v>
      </c>
      <c r="D1437" s="5" t="str">
        <f>HYPERLINK("https://www.linkedin.com/ad-library/detail/747442624","Open Ad")</f>
        <v>Open Ad</v>
      </c>
      <c r="E1437" s="4" t="s">
        <v>78</v>
      </c>
      <c r="F1437" s="4" t="s">
        <v>54</v>
      </c>
      <c r="G1437" s="4" t="s">
        <v>5814</v>
      </c>
      <c r="H1437" s="4" t="s">
        <v>49</v>
      </c>
      <c r="I1437" s="4" t="s">
        <v>661</v>
      </c>
      <c r="J1437" s="4" t="s">
        <v>78</v>
      </c>
      <c r="K1437" s="5" t="str">
        <f>HYPERLINK("https://media.licdn.com/dms/image/v2/D4E10AQHP_18k4hRlBw/image-shrink_1280/B4EZkQ0fylGYAQ-/0/1756923821982?e=2147483647&amp;v=beta&amp;t=B58WvbHg3hAy8rAfHGVpJpzsAz-e0AX2SUD0voznlbY","View Creative")</f>
        <v>View Creative</v>
      </c>
      <c r="L1437" s="4" t="s">
        <v>106</v>
      </c>
      <c r="M1437" s="4" t="s">
        <v>61</v>
      </c>
      <c r="O1437" s="4" t="s">
        <v>63</v>
      </c>
      <c r="P1437" s="4" t="s">
        <v>64</v>
      </c>
    </row>
    <row r="1438">
      <c r="A1438" s="4" t="s">
        <v>40</v>
      </c>
      <c r="B1438" s="4" t="s">
        <v>40</v>
      </c>
      <c r="C1438" s="4">
        <v>1436.0</v>
      </c>
      <c r="D1438" s="5" t="str">
        <f>HYPERLINK("https://www.linkedin.com/ad-library/detail/747395424","Open Ad")</f>
        <v>Open Ad</v>
      </c>
      <c r="E1438" s="4" t="s">
        <v>78</v>
      </c>
      <c r="F1438" s="4" t="s">
        <v>54</v>
      </c>
      <c r="G1438" s="4" t="s">
        <v>5810</v>
      </c>
      <c r="H1438" s="4" t="s">
        <v>49</v>
      </c>
      <c r="I1438" s="4" t="s">
        <v>661</v>
      </c>
      <c r="J1438" s="4" t="s">
        <v>78</v>
      </c>
      <c r="K1438" s="5" t="str">
        <f>HYPERLINK("https://media.licdn.com/dms/image/v2/D4E10AQF27RTG8I0YiA/image-shrink_1280/B4EZkQ0ag1IwAY-/0/1756923800502?e=2147483647&amp;v=beta&amp;t=3g5h9rgj9N7QhVoYmSoaFxlIwRx7rmdj40rPQ-UNshQ","View Creative")</f>
        <v>View Creative</v>
      </c>
      <c r="L1438" s="4" t="s">
        <v>106</v>
      </c>
      <c r="M1438" s="4" t="s">
        <v>61</v>
      </c>
      <c r="O1438" s="4" t="s">
        <v>63</v>
      </c>
      <c r="P1438" s="4" t="s">
        <v>64</v>
      </c>
    </row>
    <row r="1439">
      <c r="A1439" s="4" t="s">
        <v>40</v>
      </c>
      <c r="B1439" s="4" t="s">
        <v>40</v>
      </c>
      <c r="C1439" s="4">
        <v>1437.0</v>
      </c>
      <c r="D1439" s="5" t="str">
        <f>HYPERLINK("https://www.linkedin.com/ad-library/detail/747462044","Open Ad")</f>
        <v>Open Ad</v>
      </c>
      <c r="E1439" s="4" t="s">
        <v>78</v>
      </c>
      <c r="F1439" s="4" t="s">
        <v>54</v>
      </c>
      <c r="G1439" s="4" t="s">
        <v>5814</v>
      </c>
      <c r="H1439" s="4" t="s">
        <v>49</v>
      </c>
      <c r="I1439" s="4" t="s">
        <v>661</v>
      </c>
      <c r="J1439" s="4" t="s">
        <v>78</v>
      </c>
      <c r="K1439" s="5" t="str">
        <f>HYPERLINK("https://media.licdn.com/dms/image/v2/D4E10AQFJTXJZYCN9lQ/image-shrink_1280/B4EZkQ0SgxIUAM-/0/1756923767635?e=2147483647&amp;v=beta&amp;t=f9Tva8W_RYBRhKwSP-tDeaLTIIVoaCKswlhL2hZQcLM","View Creative")</f>
        <v>View Creative</v>
      </c>
      <c r="L1439" s="4" t="s">
        <v>106</v>
      </c>
      <c r="M1439" s="4" t="s">
        <v>61</v>
      </c>
      <c r="O1439" s="4" t="s">
        <v>63</v>
      </c>
      <c r="P1439" s="4" t="s">
        <v>64</v>
      </c>
    </row>
    <row r="1440">
      <c r="A1440" s="4" t="s">
        <v>40</v>
      </c>
      <c r="B1440" s="4" t="s">
        <v>40</v>
      </c>
      <c r="C1440" s="4">
        <v>1438.0</v>
      </c>
      <c r="D1440" s="5" t="str">
        <f>HYPERLINK("https://www.linkedin.com/ad-library/detail/747531094","Open Ad")</f>
        <v>Open Ad</v>
      </c>
      <c r="E1440" s="4" t="s">
        <v>78</v>
      </c>
      <c r="F1440" s="4" t="s">
        <v>54</v>
      </c>
      <c r="G1440" s="4" t="s">
        <v>5810</v>
      </c>
      <c r="H1440" s="4" t="s">
        <v>49</v>
      </c>
      <c r="I1440" s="4" t="s">
        <v>661</v>
      </c>
      <c r="J1440" s="4" t="s">
        <v>78</v>
      </c>
      <c r="K1440" s="5" t="str">
        <f>HYPERLINK("https://media.licdn.com/dms/image/v2/D4E10AQEbSOUC0NE_7g/image-shrink_1280/B4EZkQ0RmUIwAU-/0/1756923764258?e=2147483647&amp;v=beta&amp;t=NMRDRklXAr2wDJRY2JmG5POBQL9A8J5EAwln9MM1XiI","View Creative")</f>
        <v>View Creative</v>
      </c>
      <c r="L1440" s="4" t="s">
        <v>106</v>
      </c>
      <c r="M1440" s="4" t="s">
        <v>61</v>
      </c>
      <c r="O1440" s="4" t="s">
        <v>63</v>
      </c>
      <c r="P1440" s="4" t="s">
        <v>64</v>
      </c>
    </row>
    <row r="1441">
      <c r="A1441" s="4" t="s">
        <v>40</v>
      </c>
      <c r="B1441" s="4" t="s">
        <v>40</v>
      </c>
      <c r="C1441" s="4">
        <v>1439.0</v>
      </c>
      <c r="D1441" s="5" t="str">
        <f>HYPERLINK("https://www.linkedin.com/ad-library/detail/747481994","Open Ad")</f>
        <v>Open Ad</v>
      </c>
      <c r="E1441" s="4" t="s">
        <v>78</v>
      </c>
      <c r="F1441" s="4" t="s">
        <v>54</v>
      </c>
      <c r="G1441" s="4" t="s">
        <v>5814</v>
      </c>
      <c r="H1441" s="4" t="s">
        <v>49</v>
      </c>
      <c r="I1441" s="4" t="s">
        <v>661</v>
      </c>
      <c r="J1441" s="4" t="s">
        <v>78</v>
      </c>
      <c r="K1441" s="5" t="str">
        <f>HYPERLINK("https://media.licdn.com/dms/image/v2/D4E10AQEuTz2EBylDQg/image-shrink_1280/B4EZkQ0TlHIQAU-/0/1756923772239?e=2147483647&amp;v=beta&amp;t=WFueWqOEfmphZNbDrd2SUTWvCNHK3pUeF_r1fowYWII","View Creative")</f>
        <v>View Creative</v>
      </c>
      <c r="L1441" s="4" t="s">
        <v>106</v>
      </c>
      <c r="M1441" s="4" t="s">
        <v>61</v>
      </c>
      <c r="O1441" s="4" t="s">
        <v>63</v>
      </c>
      <c r="P1441" s="4" t="s">
        <v>64</v>
      </c>
    </row>
    <row r="1442">
      <c r="A1442" s="4" t="s">
        <v>40</v>
      </c>
      <c r="B1442" s="4" t="s">
        <v>40</v>
      </c>
      <c r="C1442" s="4">
        <v>1440.0</v>
      </c>
      <c r="D1442" s="5" t="str">
        <f>HYPERLINK("https://www.linkedin.com/ad-library/detail/747425034","Open Ad")</f>
        <v>Open Ad</v>
      </c>
      <c r="E1442" s="4" t="s">
        <v>78</v>
      </c>
      <c r="F1442" s="4" t="s">
        <v>54</v>
      </c>
      <c r="G1442" s="4" t="s">
        <v>5814</v>
      </c>
      <c r="H1442" s="4" t="s">
        <v>49</v>
      </c>
      <c r="I1442" s="4" t="s">
        <v>661</v>
      </c>
      <c r="J1442" s="4" t="s">
        <v>78</v>
      </c>
      <c r="K1442" s="5" t="str">
        <f>HYPERLINK("https://media.licdn.com/dms/image/v2/D4E10AQGdrBaVJ5ir6A/image-shrink_1280/B4EZkQ0f7OGUAY-/0/1756923822539?e=2147483647&amp;v=beta&amp;t=BZbbVmMYifn9eUG8vSvfXeeznwwOXTJWDLXr782WIjg","View Creative")</f>
        <v>View Creative</v>
      </c>
      <c r="L1442" s="4" t="s">
        <v>106</v>
      </c>
      <c r="M1442" s="4" t="s">
        <v>61</v>
      </c>
      <c r="O1442" s="4" t="s">
        <v>63</v>
      </c>
      <c r="P1442" s="4" t="s">
        <v>64</v>
      </c>
    </row>
    <row r="1443">
      <c r="A1443" s="4" t="s">
        <v>40</v>
      </c>
      <c r="B1443" s="4" t="s">
        <v>40</v>
      </c>
      <c r="C1443" s="4">
        <v>1441.0</v>
      </c>
      <c r="D1443" s="5" t="str">
        <f>HYPERLINK("https://www.linkedin.com/ad-library/detail/742489664","Open Ad")</f>
        <v>Open Ad</v>
      </c>
      <c r="E1443" s="4" t="s">
        <v>78</v>
      </c>
      <c r="F1443" s="4" t="s">
        <v>54</v>
      </c>
      <c r="G1443" s="4" t="s">
        <v>5844</v>
      </c>
      <c r="H1443" s="4" t="s">
        <v>49</v>
      </c>
      <c r="I1443" s="4" t="s">
        <v>661</v>
      </c>
      <c r="J1443" s="4" t="s">
        <v>78</v>
      </c>
      <c r="K1443" s="5" t="str">
        <f>HYPERLINK("https://media.licdn.com/dms/image/v2/D4E10AQFnSZvyaOmupQ/image-shrink_1280/B4EZjzs9S.HoAM-/0/1756435306311?e=2147483647&amp;v=beta&amp;t=T0HUVTa7HHhAvvtOc_vMcHX_QRw0EaVGnvjQd79MELE","View Creative")</f>
        <v>View Creative</v>
      </c>
      <c r="L1443" s="4" t="s">
        <v>106</v>
      </c>
      <c r="M1443" s="4" t="s">
        <v>61</v>
      </c>
      <c r="O1443" s="4" t="s">
        <v>63</v>
      </c>
      <c r="P1443" s="4" t="s">
        <v>64</v>
      </c>
    </row>
    <row r="1444">
      <c r="A1444" s="4" t="s">
        <v>40</v>
      </c>
      <c r="B1444" s="4" t="s">
        <v>40</v>
      </c>
      <c r="C1444" s="4">
        <v>1442.0</v>
      </c>
      <c r="D1444" s="5" t="str">
        <f>HYPERLINK("https://www.linkedin.com/ad-library/detail/742439684","Open Ad")</f>
        <v>Open Ad</v>
      </c>
      <c r="E1444" s="4" t="s">
        <v>78</v>
      </c>
      <c r="F1444" s="4" t="s">
        <v>54</v>
      </c>
      <c r="G1444" s="4" t="s">
        <v>5844</v>
      </c>
      <c r="H1444" s="4" t="s">
        <v>49</v>
      </c>
      <c r="I1444" s="4" t="s">
        <v>661</v>
      </c>
      <c r="J1444" s="4" t="s">
        <v>78</v>
      </c>
      <c r="K1444" s="5" t="str">
        <f>HYPERLINK("https://media.licdn.com/dms/image/v2/D4E10AQEsZnx7iF-zFg/image-shrink_1280/B4EZjzs81jHEAQ-/0/1756435304737?e=2147483647&amp;v=beta&amp;t=YWfwaCsL7z0yZsTmtto59XLMU4QPndOlxRY_VU0bGqI","View Creative")</f>
        <v>View Creative</v>
      </c>
      <c r="L1444" s="4" t="s">
        <v>106</v>
      </c>
      <c r="M1444" s="4" t="s">
        <v>61</v>
      </c>
      <c r="O1444" s="4" t="s">
        <v>63</v>
      </c>
      <c r="P1444" s="4" t="s">
        <v>64</v>
      </c>
    </row>
    <row r="1445">
      <c r="A1445" s="4" t="s">
        <v>40</v>
      </c>
      <c r="B1445" s="4" t="s">
        <v>40</v>
      </c>
      <c r="C1445" s="4">
        <v>1443.0</v>
      </c>
      <c r="D1445" s="5" t="str">
        <f>HYPERLINK("https://www.linkedin.com/ad-library/detail/742569794","Open Ad")</f>
        <v>Open Ad</v>
      </c>
      <c r="E1445" s="4" t="s">
        <v>78</v>
      </c>
      <c r="F1445" s="4" t="s">
        <v>54</v>
      </c>
      <c r="G1445" s="4" t="s">
        <v>5846</v>
      </c>
      <c r="H1445" s="4" t="s">
        <v>49</v>
      </c>
      <c r="I1445" s="4" t="s">
        <v>661</v>
      </c>
      <c r="J1445" s="4" t="s">
        <v>78</v>
      </c>
      <c r="K1445" s="5" t="str">
        <f>HYPERLINK("https://media.licdn.com/dms/image/v2/D4E10AQEQaagC1f9MkA/image-shrink_1280/B4EZjzs833GYAQ-/0/1756435304909?e=2147483647&amp;v=beta&amp;t=zALhk9Uneua3eb2gmL8F86t-2DQblmarSxiYo0Ciqi8","View Creative")</f>
        <v>View Creative</v>
      </c>
      <c r="L1445" s="4" t="s">
        <v>106</v>
      </c>
      <c r="M1445" s="4" t="s">
        <v>61</v>
      </c>
      <c r="O1445" s="4" t="s">
        <v>63</v>
      </c>
      <c r="P1445" s="4" t="s">
        <v>64</v>
      </c>
    </row>
    <row r="1446">
      <c r="A1446" s="4" t="s">
        <v>40</v>
      </c>
      <c r="B1446" s="4" t="s">
        <v>40</v>
      </c>
      <c r="C1446" s="4">
        <v>1444.0</v>
      </c>
      <c r="D1446" s="5" t="str">
        <f>HYPERLINK("https://www.linkedin.com/ad-library/detail/742527854","Open Ad")</f>
        <v>Open Ad</v>
      </c>
      <c r="E1446" s="4" t="s">
        <v>78</v>
      </c>
      <c r="F1446" s="4" t="s">
        <v>54</v>
      </c>
      <c r="G1446" s="4" t="s">
        <v>5844</v>
      </c>
      <c r="H1446" s="4" t="s">
        <v>49</v>
      </c>
      <c r="I1446" s="4" t="s">
        <v>661</v>
      </c>
      <c r="J1446" s="4" t="s">
        <v>78</v>
      </c>
      <c r="K1446" s="5" t="str">
        <f>HYPERLINK("https://media.licdn.com/dms/image/v2/D4E10AQHSznrvFdLqPQ/image-shrink_1280/B4EZjzs9H7HgAU-/0/1756435305634?e=2147483647&amp;v=beta&amp;t=aih3NQ_Ic1WupfGq2CyFN9w7OFMaZKMM99WzOTbQ1Ys","View Creative")</f>
        <v>View Creative</v>
      </c>
      <c r="L1446" s="4" t="s">
        <v>106</v>
      </c>
      <c r="M1446" s="4" t="s">
        <v>61</v>
      </c>
      <c r="O1446" s="4" t="s">
        <v>63</v>
      </c>
      <c r="P1446" s="4" t="s">
        <v>64</v>
      </c>
    </row>
    <row r="1447">
      <c r="A1447" s="4" t="s">
        <v>40</v>
      </c>
      <c r="B1447" s="4" t="s">
        <v>40</v>
      </c>
      <c r="C1447" s="4">
        <v>1445.0</v>
      </c>
      <c r="D1447" s="5" t="str">
        <f>HYPERLINK("https://www.linkedin.com/ad-library/detail/742569784","Open Ad")</f>
        <v>Open Ad</v>
      </c>
      <c r="E1447" s="4" t="s">
        <v>78</v>
      </c>
      <c r="F1447" s="4" t="s">
        <v>54</v>
      </c>
      <c r="G1447" s="4" t="s">
        <v>5844</v>
      </c>
      <c r="H1447" s="4" t="s">
        <v>49</v>
      </c>
      <c r="I1447" s="4" t="s">
        <v>661</v>
      </c>
      <c r="J1447" s="4" t="s">
        <v>78</v>
      </c>
      <c r="K1447" s="5" t="str">
        <f>HYPERLINK("https://media.licdn.com/dms/image/v2/D4E10AQEh_ZXm5yoFbQ/image-shrink_1280/B4EZjzs8xMGcAM-/0/1756435304124?e=2147483647&amp;v=beta&amp;t=owKjApoAuEAP1nqzSiHbIABZDmqLXrNokclNqT9exKI","View Creative")</f>
        <v>View Creative</v>
      </c>
      <c r="L1447" s="4" t="s">
        <v>106</v>
      </c>
      <c r="M1447" s="4" t="s">
        <v>61</v>
      </c>
      <c r="O1447" s="4" t="s">
        <v>63</v>
      </c>
      <c r="P1447" s="4" t="s">
        <v>64</v>
      </c>
    </row>
    <row r="1448">
      <c r="A1448" s="4" t="s">
        <v>40</v>
      </c>
      <c r="B1448" s="4" t="s">
        <v>40</v>
      </c>
      <c r="C1448" s="4">
        <v>1446.0</v>
      </c>
      <c r="D1448" s="5" t="str">
        <f>HYPERLINK("https://www.linkedin.com/ad-library/detail/743168734","Open Ad")</f>
        <v>Open Ad</v>
      </c>
      <c r="E1448" s="4" t="s">
        <v>121</v>
      </c>
      <c r="F1448" s="4" t="s">
        <v>54</v>
      </c>
      <c r="G1448" s="4" t="s">
        <v>5849</v>
      </c>
      <c r="H1448" s="4" t="s">
        <v>49</v>
      </c>
      <c r="I1448" s="4" t="s">
        <v>661</v>
      </c>
      <c r="J1448" s="4" t="s">
        <v>121</v>
      </c>
      <c r="K1448" s="5" t="str">
        <f>HYPERLINK("https://dms.licdn.com/playlist/vid/v2/D4E10AQF4JD_w76OLVA/progressive-servable-video/B4EZkMPXJtIQAg-/0/1756846995710/Asset_5-Testimonialsmontagevideo_1080x1920_NEW_PACKSHOT1mp4?e=2147483647&amp;v=beta&amp;t=3OT-2WhFtBDML-abw4NZq8j3vS85WDWFprCqlyrSYrM","View Creative")</f>
        <v>View Creative</v>
      </c>
      <c r="L1448" s="4" t="s">
        <v>106</v>
      </c>
      <c r="M1448" s="4" t="s">
        <v>61</v>
      </c>
      <c r="O1448" s="4" t="s">
        <v>63</v>
      </c>
      <c r="P1448" s="4" t="s">
        <v>64</v>
      </c>
    </row>
    <row r="1449">
      <c r="A1449" s="4" t="s">
        <v>40</v>
      </c>
      <c r="B1449" s="4" t="s">
        <v>40</v>
      </c>
      <c r="C1449" s="4">
        <v>1447.0</v>
      </c>
      <c r="D1449" s="5" t="str">
        <f>HYPERLINK("https://www.linkedin.com/ad-library/detail/742530204","Open Ad")</f>
        <v>Open Ad</v>
      </c>
      <c r="E1449" s="4" t="s">
        <v>78</v>
      </c>
      <c r="F1449" s="4" t="s">
        <v>54</v>
      </c>
      <c r="G1449" s="4" t="s">
        <v>5846</v>
      </c>
      <c r="H1449" s="4" t="s">
        <v>49</v>
      </c>
      <c r="I1449" s="4" t="s">
        <v>661</v>
      </c>
      <c r="J1449" s="4" t="s">
        <v>78</v>
      </c>
      <c r="K1449" s="5" t="str">
        <f>HYPERLINK("https://media.licdn.com/dms/image/v2/D4E10AQFNpWK5GSVFzw/image-shrink_1280/B4EZjzs9AbIMAM-/0/1756435305093?e=2147483647&amp;v=beta&amp;t=c7V-B6g5_Qo7CGR6Ax21abbs7IsQiNuWamTlHsB9lDs","View Creative")</f>
        <v>View Creative</v>
      </c>
      <c r="L1449" s="4" t="s">
        <v>106</v>
      </c>
      <c r="M1449" s="4" t="s">
        <v>61</v>
      </c>
      <c r="O1449" s="4" t="s">
        <v>63</v>
      </c>
      <c r="P1449" s="4" t="s">
        <v>64</v>
      </c>
    </row>
    <row r="1450">
      <c r="A1450" s="4" t="s">
        <v>40</v>
      </c>
      <c r="B1450" s="4" t="s">
        <v>40</v>
      </c>
      <c r="C1450" s="4">
        <v>1448.0</v>
      </c>
      <c r="D1450" s="5" t="str">
        <f>HYPERLINK("https://www.linkedin.com/ad-library/detail/743158984","Open Ad")</f>
        <v>Open Ad</v>
      </c>
      <c r="E1450" s="4" t="s">
        <v>121</v>
      </c>
      <c r="F1450" s="4" t="s">
        <v>54</v>
      </c>
      <c r="G1450" s="4" t="s">
        <v>5851</v>
      </c>
      <c r="H1450" s="4" t="s">
        <v>49</v>
      </c>
      <c r="I1450" s="4" t="s">
        <v>661</v>
      </c>
      <c r="J1450" s="4" t="s">
        <v>121</v>
      </c>
      <c r="K1450" s="5" t="str">
        <f>HYPERLINK("https://dms.licdn.com/playlist/vid/v2/D4E10AQH5Dwo6TBzE7w/mp4-720p-30fp-crf28/B4EZkMPKBnGwCQ-/0/1756846929834/Asset_6-AsktheExpertsVideomp4?e=2147483647&amp;v=beta&amp;t=RLyw2MDuVZ8yU4My4ZR2HVADjY_zKWXzdGMqLbNRbcQ","View Creative")</f>
        <v>View Creative</v>
      </c>
      <c r="L1450" s="4" t="s">
        <v>106</v>
      </c>
      <c r="M1450" s="4" t="s">
        <v>61</v>
      </c>
      <c r="O1450" s="4" t="s">
        <v>63</v>
      </c>
      <c r="P1450" s="4" t="s">
        <v>64</v>
      </c>
    </row>
    <row r="1451">
      <c r="A1451" s="4" t="s">
        <v>40</v>
      </c>
      <c r="B1451" s="4" t="s">
        <v>40</v>
      </c>
      <c r="C1451" s="4">
        <v>1449.0</v>
      </c>
      <c r="D1451" s="5" t="str">
        <f>HYPERLINK("https://www.linkedin.com/ad-library/detail/742877784","Open Ad")</f>
        <v>Open Ad</v>
      </c>
      <c r="E1451" s="4" t="s">
        <v>78</v>
      </c>
      <c r="F1451" s="4" t="s">
        <v>54</v>
      </c>
      <c r="G1451" s="4" t="s">
        <v>5853</v>
      </c>
      <c r="H1451" s="4" t="s">
        <v>49</v>
      </c>
      <c r="I1451" s="4" t="s">
        <v>661</v>
      </c>
      <c r="J1451" s="4" t="s">
        <v>78</v>
      </c>
      <c r="K1451" s="5" t="str">
        <f>HYPERLINK("https://media.licdn.com/dms/image/v2/D5622AQEXDg5wkcIr9w/feedshare-shrink_1280/B56ZjiZIKuHkA0-/0/1756144895083?e=2147483647&amp;v=beta&amp;t=q7xtzXbNM-wG2jCHRFa30poBRojzw96JUYOypEioZ3g","View Creative")</f>
        <v>View Creative</v>
      </c>
      <c r="L1451" s="4" t="s">
        <v>106</v>
      </c>
      <c r="M1451" s="4" t="s">
        <v>61</v>
      </c>
      <c r="O1451" s="4" t="s">
        <v>63</v>
      </c>
      <c r="P1451" s="4" t="s">
        <v>64</v>
      </c>
    </row>
    <row r="1452">
      <c r="A1452" s="4" t="s">
        <v>40</v>
      </c>
      <c r="B1452" s="4" t="s">
        <v>40</v>
      </c>
      <c r="C1452" s="4">
        <v>1450.0</v>
      </c>
      <c r="D1452" s="5" t="str">
        <f>HYPERLINK("https://www.linkedin.com/ad-library/detail/742569774","Open Ad")</f>
        <v>Open Ad</v>
      </c>
      <c r="E1452" s="4" t="s">
        <v>78</v>
      </c>
      <c r="F1452" s="4" t="s">
        <v>54</v>
      </c>
      <c r="G1452" s="4" t="s">
        <v>5846</v>
      </c>
      <c r="H1452" s="4" t="s">
        <v>49</v>
      </c>
      <c r="I1452" s="4" t="s">
        <v>661</v>
      </c>
      <c r="J1452" s="4" t="s">
        <v>78</v>
      </c>
      <c r="K1452" s="5" t="str">
        <f>HYPERLINK("https://media.licdn.com/dms/image/v2/D4E10AQE3Y2_hd7_4Yw/image-shrink_1280/B4EZjzs3nNIQAQ-/0/1756435283356?e=2147483647&amp;v=beta&amp;t=DS2jcjvf4YR6lgmxPlHsFb4HLjxTXaoQt0sDoDQDGm8","View Creative")</f>
        <v>View Creative</v>
      </c>
      <c r="L1452" s="4" t="s">
        <v>106</v>
      </c>
      <c r="M1452" s="4" t="s">
        <v>61</v>
      </c>
      <c r="O1452" s="4" t="s">
        <v>63</v>
      </c>
      <c r="P1452" s="4" t="s">
        <v>64</v>
      </c>
    </row>
    <row r="1453">
      <c r="A1453" s="4" t="s">
        <v>40</v>
      </c>
      <c r="B1453" s="4" t="s">
        <v>40</v>
      </c>
      <c r="C1453" s="4">
        <v>1451.0</v>
      </c>
      <c r="D1453" s="5" t="str">
        <f>HYPERLINK("https://www.linkedin.com/ad-library/detail/742540004","Open Ad")</f>
        <v>Open Ad</v>
      </c>
      <c r="E1453" s="4" t="s">
        <v>78</v>
      </c>
      <c r="F1453" s="4" t="s">
        <v>54</v>
      </c>
      <c r="G1453" s="4" t="s">
        <v>5846</v>
      </c>
      <c r="H1453" s="4" t="s">
        <v>49</v>
      </c>
      <c r="I1453" s="4" t="s">
        <v>661</v>
      </c>
      <c r="J1453" s="4" t="s">
        <v>78</v>
      </c>
      <c r="K1453" s="5" t="str">
        <f>HYPERLINK("https://media.licdn.com/dms/image/v2/D4E10AQFmmLt-r9Z_zA/image-shrink_1280/B4EZjzs3k1IMAY-/0/1756435282985?e=2147483647&amp;v=beta&amp;t=bQ_nGbx1FDLgAgHi15U691DVWGyjFydkM2eJx_3MFDk","View Creative")</f>
        <v>View Creative</v>
      </c>
      <c r="L1453" s="4" t="s">
        <v>106</v>
      </c>
      <c r="M1453" s="4" t="s">
        <v>61</v>
      </c>
      <c r="O1453" s="4" t="s">
        <v>63</v>
      </c>
      <c r="P1453" s="4" t="s">
        <v>64</v>
      </c>
    </row>
    <row r="1454">
      <c r="A1454" s="4" t="s">
        <v>40</v>
      </c>
      <c r="B1454" s="4" t="s">
        <v>40</v>
      </c>
      <c r="C1454" s="4">
        <v>1452.0</v>
      </c>
      <c r="D1454" s="5" t="str">
        <f>HYPERLINK("https://www.linkedin.com/ad-library/detail/747452594","Open Ad")</f>
        <v>Open Ad</v>
      </c>
      <c r="E1454" s="4" t="s">
        <v>78</v>
      </c>
      <c r="F1454" s="4" t="s">
        <v>54</v>
      </c>
      <c r="G1454" s="4" t="s">
        <v>5810</v>
      </c>
      <c r="H1454" s="4" t="s">
        <v>49</v>
      </c>
      <c r="I1454" s="4" t="s">
        <v>661</v>
      </c>
      <c r="J1454" s="4" t="s">
        <v>78</v>
      </c>
      <c r="K1454" s="5" t="str">
        <f>HYPERLINK("https://media.licdn.com/dms/image/v2/D4E10AQFgxwoUo12LNA/image-shrink_1280/B4EZkQ0RaqIsAU-/0/1756923763025?e=2147483647&amp;v=beta&amp;t=EuOxg-KtD3GT_pg8i8K4f-u_W9ymKWWqS-5to2yJylk","View Creative")</f>
        <v>View Creative</v>
      </c>
      <c r="L1454" s="4" t="s">
        <v>106</v>
      </c>
      <c r="M1454" s="4" t="s">
        <v>61</v>
      </c>
      <c r="O1454" s="4" t="s">
        <v>63</v>
      </c>
      <c r="P1454" s="4" t="s">
        <v>64</v>
      </c>
    </row>
    <row r="1455">
      <c r="A1455" s="4" t="s">
        <v>40</v>
      </c>
      <c r="B1455" s="4" t="s">
        <v>40</v>
      </c>
      <c r="C1455" s="4">
        <v>1453.0</v>
      </c>
      <c r="D1455" s="5" t="str">
        <f>HYPERLINK("https://www.linkedin.com/ad-library/detail/742540014","Open Ad")</f>
        <v>Open Ad</v>
      </c>
      <c r="E1455" s="4" t="s">
        <v>78</v>
      </c>
      <c r="F1455" s="4" t="s">
        <v>54</v>
      </c>
      <c r="G1455" s="4" t="s">
        <v>5846</v>
      </c>
      <c r="H1455" s="4" t="s">
        <v>49</v>
      </c>
      <c r="I1455" s="4" t="s">
        <v>661</v>
      </c>
      <c r="J1455" s="4" t="s">
        <v>78</v>
      </c>
      <c r="K1455" s="5" t="str">
        <f>HYPERLINK("https://media.licdn.com/dms/image/v2/D4E10AQFQUWxOXhEHmQ/image-shrink_1280/B4EZjzs8vRHoAM-/0/1756435304022?e=2147483647&amp;v=beta&amp;t=hlgTxEnjZxCBUyJ8XNFNPob8nJl8Lv0sUH9BosVrXZ0","View Creative")</f>
        <v>View Creative</v>
      </c>
      <c r="L1455" s="4" t="s">
        <v>106</v>
      </c>
      <c r="M1455" s="4" t="s">
        <v>61</v>
      </c>
      <c r="O1455" s="4" t="s">
        <v>63</v>
      </c>
      <c r="P1455" s="4" t="s">
        <v>64</v>
      </c>
    </row>
    <row r="1456">
      <c r="A1456" s="4" t="s">
        <v>40</v>
      </c>
      <c r="B1456" s="4" t="s">
        <v>40</v>
      </c>
      <c r="C1456" s="4">
        <v>1454.0</v>
      </c>
      <c r="D1456" s="5" t="str">
        <f>HYPERLINK("https://www.linkedin.com/ad-library/detail/743179264","Open Ad")</f>
        <v>Open Ad</v>
      </c>
      <c r="E1456" s="4" t="s">
        <v>121</v>
      </c>
      <c r="F1456" s="4" t="s">
        <v>54</v>
      </c>
      <c r="G1456" s="4" t="s">
        <v>5851</v>
      </c>
      <c r="H1456" s="4" t="s">
        <v>49</v>
      </c>
      <c r="I1456" s="4" t="s">
        <v>661</v>
      </c>
      <c r="J1456" s="4" t="s">
        <v>121</v>
      </c>
      <c r="K1456" s="5" t="str">
        <f>HYPERLINK("https://dms.licdn.com/playlist/vid/v2/D4E10AQH5Dwo6TBzE7w/mp4-720p-30fp-crf28/B4EZkMPKBnGwCQ-/0/1756846929834/Asset_6-AsktheExpertsVideomp4?e=2147483647&amp;v=beta&amp;t=RLyw2MDuVZ8yU4My4ZR2HVADjY_zKWXzdGMqLbNRbcQ","View Creative")</f>
        <v>View Creative</v>
      </c>
      <c r="L1456" s="4" t="s">
        <v>106</v>
      </c>
      <c r="M1456" s="4" t="s">
        <v>61</v>
      </c>
      <c r="O1456" s="4" t="s">
        <v>63</v>
      </c>
      <c r="P1456" s="4" t="s">
        <v>64</v>
      </c>
    </row>
    <row r="1457">
      <c r="A1457" s="4" t="s">
        <v>40</v>
      </c>
      <c r="B1457" s="4" t="s">
        <v>40</v>
      </c>
      <c r="C1457" s="4">
        <v>1455.0</v>
      </c>
      <c r="D1457" s="5" t="str">
        <f>HYPERLINK("https://www.linkedin.com/ad-library/detail/742540024","Open Ad")</f>
        <v>Open Ad</v>
      </c>
      <c r="E1457" s="4" t="s">
        <v>78</v>
      </c>
      <c r="F1457" s="4" t="s">
        <v>54</v>
      </c>
      <c r="G1457" s="4" t="s">
        <v>5844</v>
      </c>
      <c r="H1457" s="4" t="s">
        <v>49</v>
      </c>
      <c r="I1457" s="4" t="s">
        <v>661</v>
      </c>
      <c r="J1457" s="4" t="s">
        <v>78</v>
      </c>
      <c r="K1457" s="5" t="str">
        <f>HYPERLINK("https://media.licdn.com/dms/image/v2/D4E10AQGC-0U7OO-AOg/image-shrink_1280/B4EZjzs8xmIUAM-/0/1756435304641?e=2147483647&amp;v=beta&amp;t=NCmztokMhOh09VedNV-jQo49UL1VUQIQWqgWDsQUH2Q","View Creative")</f>
        <v>View Creative</v>
      </c>
      <c r="L1457" s="4" t="s">
        <v>106</v>
      </c>
      <c r="M1457" s="4" t="s">
        <v>61</v>
      </c>
      <c r="O1457" s="4" t="s">
        <v>63</v>
      </c>
      <c r="P1457" s="4" t="s">
        <v>64</v>
      </c>
    </row>
    <row r="1458">
      <c r="A1458" s="4" t="s">
        <v>40</v>
      </c>
      <c r="B1458" s="4" t="s">
        <v>40</v>
      </c>
      <c r="C1458" s="4">
        <v>1456.0</v>
      </c>
      <c r="D1458" s="5" t="str">
        <f>HYPERLINK("https://www.linkedin.com/ad-library/detail/743020204","Open Ad")</f>
        <v>Open Ad</v>
      </c>
      <c r="E1458" s="4" t="s">
        <v>78</v>
      </c>
      <c r="F1458" s="4" t="s">
        <v>54</v>
      </c>
      <c r="G1458" s="4" t="s">
        <v>5858</v>
      </c>
      <c r="H1458" s="4" t="s">
        <v>49</v>
      </c>
      <c r="I1458" s="4" t="s">
        <v>661</v>
      </c>
      <c r="J1458" s="4" t="s">
        <v>78</v>
      </c>
      <c r="K1458" s="4" t="s">
        <v>59</v>
      </c>
      <c r="L1458" s="4" t="s">
        <v>106</v>
      </c>
      <c r="M1458" s="4" t="s">
        <v>61</v>
      </c>
      <c r="O1458" s="4" t="s">
        <v>63</v>
      </c>
      <c r="P1458" s="4" t="s">
        <v>64</v>
      </c>
    </row>
    <row r="1459">
      <c r="A1459" s="4" t="s">
        <v>40</v>
      </c>
      <c r="B1459" s="4" t="s">
        <v>40</v>
      </c>
      <c r="C1459" s="4">
        <v>1457.0</v>
      </c>
      <c r="D1459" s="5" t="str">
        <f>HYPERLINK("https://www.linkedin.com/ad-library/detail/742530194","Open Ad")</f>
        <v>Open Ad</v>
      </c>
      <c r="E1459" s="4" t="s">
        <v>78</v>
      </c>
      <c r="F1459" s="4" t="s">
        <v>54</v>
      </c>
      <c r="G1459" s="4" t="s">
        <v>5844</v>
      </c>
      <c r="H1459" s="4" t="s">
        <v>49</v>
      </c>
      <c r="I1459" s="4" t="s">
        <v>661</v>
      </c>
      <c r="J1459" s="4" t="s">
        <v>78</v>
      </c>
      <c r="K1459" s="5" t="str">
        <f>HYPERLINK("https://media.licdn.com/dms/image/v2/D4E10AQF29-mwq_UD2g/image-shrink_1280/B4EZjzs33GGYAU-/0/1756435284268?e=2147483647&amp;v=beta&amp;t=EIWs5k1pAVPWD9-xh99k8YgOlv-o4Dg4RvGEh5wpY8M","View Creative")</f>
        <v>View Creative</v>
      </c>
      <c r="L1459" s="4" t="s">
        <v>106</v>
      </c>
      <c r="M1459" s="4" t="s">
        <v>61</v>
      </c>
      <c r="O1459" s="4" t="s">
        <v>63</v>
      </c>
      <c r="P1459" s="4" t="s">
        <v>64</v>
      </c>
    </row>
    <row r="1460">
      <c r="A1460" s="4" t="s">
        <v>40</v>
      </c>
      <c r="B1460" s="4" t="s">
        <v>40</v>
      </c>
      <c r="C1460" s="4">
        <v>1458.0</v>
      </c>
      <c r="D1460" s="5" t="str">
        <f>HYPERLINK("https://www.linkedin.com/ad-library/detail/747432534","Open Ad")</f>
        <v>Open Ad</v>
      </c>
      <c r="E1460" s="4" t="s">
        <v>78</v>
      </c>
      <c r="F1460" s="4" t="s">
        <v>54</v>
      </c>
      <c r="G1460" s="4" t="s">
        <v>5814</v>
      </c>
      <c r="H1460" s="4" t="s">
        <v>49</v>
      </c>
      <c r="I1460" s="4" t="s">
        <v>661</v>
      </c>
      <c r="J1460" s="4" t="s">
        <v>78</v>
      </c>
      <c r="K1460" s="5" t="str">
        <f>HYPERLINK("https://media.licdn.com/dms/image/v2/D4E10AQEuFahZdihBWA/image-shrink_1280/B4EZkQ0RETHEAg-/0/1756923762021?e=2147483647&amp;v=beta&amp;t=CH95UYChvv6xzush6ka3W38TAMvd78cFSOtM6UmIWxk","View Creative")</f>
        <v>View Creative</v>
      </c>
      <c r="L1460" s="4" t="s">
        <v>106</v>
      </c>
      <c r="M1460" s="4" t="s">
        <v>61</v>
      </c>
      <c r="O1460" s="4" t="s">
        <v>63</v>
      </c>
      <c r="P1460" s="4" t="s">
        <v>64</v>
      </c>
    </row>
    <row r="1461">
      <c r="A1461" s="4" t="s">
        <v>40</v>
      </c>
      <c r="B1461" s="4" t="s">
        <v>40</v>
      </c>
      <c r="C1461" s="4">
        <v>1459.0</v>
      </c>
      <c r="D1461" s="5" t="str">
        <f>HYPERLINK("https://www.linkedin.com/ad-library/detail/743040004","Open Ad")</f>
        <v>Open Ad</v>
      </c>
      <c r="E1461" s="4" t="s">
        <v>78</v>
      </c>
      <c r="F1461" s="4" t="s">
        <v>54</v>
      </c>
      <c r="G1461" s="4" t="s">
        <v>5860</v>
      </c>
      <c r="H1461" s="4" t="s">
        <v>49</v>
      </c>
      <c r="I1461" s="4" t="s">
        <v>661</v>
      </c>
      <c r="J1461" s="4" t="s">
        <v>78</v>
      </c>
      <c r="K1461" s="4" t="s">
        <v>59</v>
      </c>
      <c r="L1461" s="4" t="s">
        <v>106</v>
      </c>
      <c r="M1461" s="4" t="s">
        <v>61</v>
      </c>
      <c r="O1461" s="4" t="s">
        <v>63</v>
      </c>
      <c r="P1461" s="4" t="s">
        <v>64</v>
      </c>
    </row>
    <row r="1462">
      <c r="A1462" s="4" t="s">
        <v>40</v>
      </c>
      <c r="B1462" s="4" t="s">
        <v>40</v>
      </c>
      <c r="C1462" s="4">
        <v>1460.0</v>
      </c>
      <c r="D1462" s="5" t="str">
        <f>HYPERLINK("https://www.linkedin.com/ad-library/detail/747395354","Open Ad")</f>
        <v>Open Ad</v>
      </c>
      <c r="E1462" s="4" t="s">
        <v>78</v>
      </c>
      <c r="F1462" s="4" t="s">
        <v>54</v>
      </c>
      <c r="G1462" s="4" t="s">
        <v>5810</v>
      </c>
      <c r="H1462" s="4" t="s">
        <v>49</v>
      </c>
      <c r="I1462" s="4" t="s">
        <v>661</v>
      </c>
      <c r="J1462" s="4" t="s">
        <v>78</v>
      </c>
      <c r="K1462" s="5" t="str">
        <f>HYPERLINK("https://media.licdn.com/dms/image/v2/D4E10AQE55acwArR1xQ/image-shrink_1280/B4EZkQ0RgAIkAY-/0/1756923763602?e=2147483647&amp;v=beta&amp;t=XGt96JFI4yiN5pcKACCLnHv-G4M-3U_FXzVNMfXQFLE","View Creative")</f>
        <v>View Creative</v>
      </c>
      <c r="L1462" s="4" t="s">
        <v>106</v>
      </c>
      <c r="M1462" s="4" t="s">
        <v>61</v>
      </c>
      <c r="O1462" s="4" t="s">
        <v>63</v>
      </c>
      <c r="P1462" s="4" t="s">
        <v>64</v>
      </c>
    </row>
    <row r="1463">
      <c r="A1463" s="4" t="s">
        <v>40</v>
      </c>
      <c r="B1463" s="4" t="s">
        <v>40</v>
      </c>
      <c r="C1463" s="4">
        <v>1461.0</v>
      </c>
      <c r="D1463" s="5" t="str">
        <f>HYPERLINK("https://www.linkedin.com/ad-library/detail/743148664","Open Ad")</f>
        <v>Open Ad</v>
      </c>
      <c r="E1463" s="4" t="s">
        <v>121</v>
      </c>
      <c r="F1463" s="4" t="s">
        <v>54</v>
      </c>
      <c r="G1463" s="4" t="s">
        <v>5849</v>
      </c>
      <c r="H1463" s="4" t="s">
        <v>49</v>
      </c>
      <c r="I1463" s="4" t="s">
        <v>661</v>
      </c>
      <c r="J1463" s="4" t="s">
        <v>121</v>
      </c>
      <c r="K1463" s="5" t="str">
        <f>HYPERLINK("https://dms.licdn.com/playlist/vid/v2/D4E10AQF4JD_w76OLVA/progressive-servable-video/B4EZkMPXJtIQAg-/0/1756846995710/Asset_5-Testimonialsmontagevideo_1080x1920_NEW_PACKSHOT1mp4?e=2147483647&amp;v=beta&amp;t=3OT-2WhFtBDML-abw4NZq8j3vS85WDWFprCqlyrSYrM","View Creative")</f>
        <v>View Creative</v>
      </c>
      <c r="L1463" s="4" t="s">
        <v>106</v>
      </c>
      <c r="M1463" s="4" t="s">
        <v>61</v>
      </c>
      <c r="O1463" s="4" t="s">
        <v>63</v>
      </c>
      <c r="P1463" s="4" t="s">
        <v>64</v>
      </c>
    </row>
    <row r="1464">
      <c r="A1464" s="4" t="s">
        <v>40</v>
      </c>
      <c r="B1464" s="4" t="s">
        <v>40</v>
      </c>
      <c r="C1464" s="4">
        <v>1462.0</v>
      </c>
      <c r="D1464" s="5" t="str">
        <f>HYPERLINK("https://www.linkedin.com/ad-library/detail/742449354","Open Ad")</f>
        <v>Open Ad</v>
      </c>
      <c r="E1464" s="4" t="s">
        <v>78</v>
      </c>
      <c r="F1464" s="4" t="s">
        <v>54</v>
      </c>
      <c r="G1464" s="4" t="s">
        <v>5844</v>
      </c>
      <c r="H1464" s="4" t="s">
        <v>49</v>
      </c>
      <c r="I1464" s="4" t="s">
        <v>661</v>
      </c>
      <c r="J1464" s="4" t="s">
        <v>78</v>
      </c>
      <c r="K1464" s="5" t="str">
        <f>HYPERLINK("https://media.licdn.com/dms/image/v2/D4E10AQFfDKe3Dx6VtA/image-shrink_1280/B4EZjzs85xGUAM-/0/1756435304965?e=2147483647&amp;v=beta&amp;t=oK9HZvLD5LDy8MN-QRJd6JyZmqaQsIIQFEQErQ-hT88","View Creative")</f>
        <v>View Creative</v>
      </c>
      <c r="L1464" s="4" t="s">
        <v>106</v>
      </c>
      <c r="M1464" s="4" t="s">
        <v>61</v>
      </c>
      <c r="O1464" s="4" t="s">
        <v>63</v>
      </c>
      <c r="P1464" s="4" t="s">
        <v>64</v>
      </c>
    </row>
    <row r="1465">
      <c r="A1465" s="4" t="s">
        <v>40</v>
      </c>
      <c r="B1465" s="4" t="s">
        <v>40</v>
      </c>
      <c r="C1465" s="4">
        <v>1463.0</v>
      </c>
      <c r="D1465" s="5" t="str">
        <f>HYPERLINK("https://www.linkedin.com/ad-library/detail/747531074","Open Ad")</f>
        <v>Open Ad</v>
      </c>
      <c r="E1465" s="4" t="s">
        <v>78</v>
      </c>
      <c r="F1465" s="4" t="s">
        <v>54</v>
      </c>
      <c r="G1465" s="4" t="s">
        <v>5814</v>
      </c>
      <c r="H1465" s="4" t="s">
        <v>49</v>
      </c>
      <c r="I1465" s="4" t="s">
        <v>661</v>
      </c>
      <c r="J1465" s="4" t="s">
        <v>78</v>
      </c>
      <c r="K1465" s="5" t="str">
        <f>HYPERLINK("https://media.licdn.com/dms/image/v2/D4E10AQHdXw7060DuaQ/image-shrink_1280/B4EZkQ0RSwHEAQ-/0/1756923762584?e=2147483647&amp;v=beta&amp;t=vPWKiFukZb7MlsMJfLYcodfEcKTGj79s2YQn2Lz6NEo","View Creative")</f>
        <v>View Creative</v>
      </c>
      <c r="L1465" s="4" t="s">
        <v>106</v>
      </c>
      <c r="M1465" s="4" t="s">
        <v>61</v>
      </c>
      <c r="O1465" s="4" t="s">
        <v>63</v>
      </c>
      <c r="P1465" s="4" t="s">
        <v>64</v>
      </c>
    </row>
    <row r="1466">
      <c r="A1466" s="4" t="s">
        <v>40</v>
      </c>
      <c r="B1466" s="4" t="s">
        <v>40</v>
      </c>
      <c r="C1466" s="4">
        <v>1464.0</v>
      </c>
      <c r="D1466" s="5" t="str">
        <f>HYPERLINK("https://www.linkedin.com/ad-library/detail/747531084","Open Ad")</f>
        <v>Open Ad</v>
      </c>
      <c r="E1466" s="4" t="s">
        <v>78</v>
      </c>
      <c r="F1466" s="4" t="s">
        <v>54</v>
      </c>
      <c r="G1466" s="4" t="s">
        <v>5814</v>
      </c>
      <c r="H1466" s="4" t="s">
        <v>49</v>
      </c>
      <c r="I1466" s="4" t="s">
        <v>661</v>
      </c>
      <c r="J1466" s="4" t="s">
        <v>78</v>
      </c>
      <c r="K1466" s="5" t="str">
        <f>HYPERLINK("https://media.licdn.com/dms/image/v2/D4E10AQGqkLqL6XOvaA/image-shrink_1280/B4EZkQ0RWeHoAM-/0/1756923763290?e=2147483647&amp;v=beta&amp;t=GjX9VlmptkQr5pwi2WylLnZh8Vbwt75DZD2LyS1yuTY","View Creative")</f>
        <v>View Creative</v>
      </c>
      <c r="L1466" s="4" t="s">
        <v>106</v>
      </c>
      <c r="M1466" s="4" t="s">
        <v>61</v>
      </c>
      <c r="O1466" s="4" t="s">
        <v>63</v>
      </c>
      <c r="P1466" s="4" t="s">
        <v>64</v>
      </c>
    </row>
    <row r="1467">
      <c r="A1467" s="4" t="s">
        <v>40</v>
      </c>
      <c r="B1467" s="4" t="s">
        <v>40</v>
      </c>
      <c r="C1467" s="4">
        <v>1465.0</v>
      </c>
      <c r="D1467" s="5" t="str">
        <f>HYPERLINK("https://www.linkedin.com/ad-library/detail/742527844","Open Ad")</f>
        <v>Open Ad</v>
      </c>
      <c r="E1467" s="4" t="s">
        <v>78</v>
      </c>
      <c r="F1467" s="4" t="s">
        <v>54</v>
      </c>
      <c r="G1467" s="4" t="s">
        <v>5846</v>
      </c>
      <c r="H1467" s="4" t="s">
        <v>49</v>
      </c>
      <c r="I1467" s="4" t="s">
        <v>661</v>
      </c>
      <c r="J1467" s="4" t="s">
        <v>78</v>
      </c>
      <c r="K1467" s="5" t="str">
        <f>HYPERLINK("https://media.licdn.com/dms/image/v2/D4E10AQE9M1gA6nniww/image-shrink_1280/B4EZjzs3loGYAQ-/0/1756435282898?e=2147483647&amp;v=beta&amp;t=TO2TpxSBYK2zv9kzbgxHf_FjiqVLptTjAlyQXh1yA0Q","View Creative")</f>
        <v>View Creative</v>
      </c>
      <c r="L1467" s="4" t="s">
        <v>106</v>
      </c>
      <c r="M1467" s="4" t="s">
        <v>61</v>
      </c>
      <c r="O1467" s="4" t="s">
        <v>63</v>
      </c>
      <c r="P1467" s="4" t="s">
        <v>64</v>
      </c>
    </row>
    <row r="1468">
      <c r="A1468" s="4" t="s">
        <v>40</v>
      </c>
      <c r="B1468" s="4" t="s">
        <v>40</v>
      </c>
      <c r="C1468" s="4">
        <v>1466.0</v>
      </c>
      <c r="D1468" s="5" t="str">
        <f>HYPERLINK("https://www.linkedin.com/ad-library/detail/742439664","Open Ad")</f>
        <v>Open Ad</v>
      </c>
      <c r="E1468" s="4" t="s">
        <v>78</v>
      </c>
      <c r="F1468" s="4" t="s">
        <v>54</v>
      </c>
      <c r="G1468" s="4" t="s">
        <v>5844</v>
      </c>
      <c r="H1468" s="4" t="s">
        <v>49</v>
      </c>
      <c r="I1468" s="4" t="s">
        <v>661</v>
      </c>
      <c r="J1468" s="4" t="s">
        <v>78</v>
      </c>
      <c r="K1468" s="5" t="str">
        <f>HYPERLINK("https://media.licdn.com/dms/image/v2/D4E10AQEh05TaPNXI3Q/image-shrink_1280/B4EZjzsyBTHoAM-/0/1756435260085?e=2147483647&amp;v=beta&amp;t=2Xkr95AeJ5mbIhERLYf_WLMTsWwSUaXH9VUZtnJvN_8","View Creative")</f>
        <v>View Creative</v>
      </c>
      <c r="L1468" s="4" t="s">
        <v>106</v>
      </c>
      <c r="M1468" s="4" t="s">
        <v>61</v>
      </c>
      <c r="O1468" s="4" t="s">
        <v>63</v>
      </c>
      <c r="P1468" s="4" t="s">
        <v>64</v>
      </c>
    </row>
    <row r="1469">
      <c r="A1469" s="4" t="s">
        <v>40</v>
      </c>
      <c r="B1469" s="4" t="s">
        <v>40</v>
      </c>
      <c r="C1469" s="4">
        <v>1467.0</v>
      </c>
      <c r="D1469" s="5" t="str">
        <f>HYPERLINK("https://www.linkedin.com/ad-library/detail/742527804","Open Ad")</f>
        <v>Open Ad</v>
      </c>
      <c r="E1469" s="4" t="s">
        <v>78</v>
      </c>
      <c r="F1469" s="4" t="s">
        <v>54</v>
      </c>
      <c r="G1469" s="4" t="s">
        <v>5846</v>
      </c>
      <c r="H1469" s="4" t="s">
        <v>49</v>
      </c>
      <c r="I1469" s="4" t="s">
        <v>661</v>
      </c>
      <c r="J1469" s="4" t="s">
        <v>78</v>
      </c>
      <c r="K1469" s="5" t="str">
        <f>HYPERLINK("https://media.licdn.com/dms/image/v2/D4E10AQExyV9LnYpHSg/image-shrink_1280/B4EZjzsshCGoAQ-/0/1756435237944?e=2147483647&amp;v=beta&amp;t=yYS9AJLcvIm61j-mP-jtvXpHwwJnGbq_8_P723e4KDk","View Creative")</f>
        <v>View Creative</v>
      </c>
      <c r="L1469" s="4" t="s">
        <v>106</v>
      </c>
      <c r="M1469" s="4" t="s">
        <v>61</v>
      </c>
      <c r="O1469" s="4" t="s">
        <v>63</v>
      </c>
      <c r="P1469" s="4" t="s">
        <v>64</v>
      </c>
    </row>
    <row r="1470">
      <c r="A1470" s="4" t="s">
        <v>40</v>
      </c>
      <c r="B1470" s="4" t="s">
        <v>40</v>
      </c>
      <c r="C1470" s="4">
        <v>1468.0</v>
      </c>
      <c r="D1470" s="5" t="str">
        <f>HYPERLINK("https://www.linkedin.com/ad-library/detail/742489644","Open Ad")</f>
        <v>Open Ad</v>
      </c>
      <c r="E1470" s="4" t="s">
        <v>78</v>
      </c>
      <c r="F1470" s="4" t="s">
        <v>54</v>
      </c>
      <c r="G1470" s="4" t="s">
        <v>5844</v>
      </c>
      <c r="H1470" s="4" t="s">
        <v>49</v>
      </c>
      <c r="I1470" s="4" t="s">
        <v>661</v>
      </c>
      <c r="J1470" s="4" t="s">
        <v>78</v>
      </c>
      <c r="K1470" s="5" t="str">
        <f>HYPERLINK("https://media.licdn.com/dms/image/v2/D4E10AQEz9zcQRtN2Ew/image-shrink_1280/B4EZjzsmn2IMAM-/0/1756435213682?e=2147483647&amp;v=beta&amp;t=Ug18k5JOh1CivFekXkEF-Rg_FY1L4C5HVnYc_mo5m4o","View Creative")</f>
        <v>View Creative</v>
      </c>
      <c r="L1470" s="4" t="s">
        <v>106</v>
      </c>
      <c r="M1470" s="4" t="s">
        <v>61</v>
      </c>
      <c r="O1470" s="4" t="s">
        <v>63</v>
      </c>
      <c r="P1470" s="4" t="s">
        <v>64</v>
      </c>
    </row>
    <row r="1471">
      <c r="A1471" s="4" t="s">
        <v>40</v>
      </c>
      <c r="B1471" s="4" t="s">
        <v>40</v>
      </c>
      <c r="C1471" s="4">
        <v>1469.0</v>
      </c>
      <c r="D1471" s="5" t="str">
        <f>HYPERLINK("https://www.linkedin.com/ad-library/detail/742489654","Open Ad")</f>
        <v>Open Ad</v>
      </c>
      <c r="E1471" s="4" t="s">
        <v>78</v>
      </c>
      <c r="F1471" s="4" t="s">
        <v>54</v>
      </c>
      <c r="G1471" s="4" t="s">
        <v>5844</v>
      </c>
      <c r="H1471" s="4" t="s">
        <v>49</v>
      </c>
      <c r="I1471" s="4" t="s">
        <v>661</v>
      </c>
      <c r="J1471" s="4" t="s">
        <v>78</v>
      </c>
      <c r="K1471" s="5" t="str">
        <f>HYPERLINK("https://media.licdn.com/dms/image/v2/D4E10AQGJvKG5WNSmmg/image-shrink_1280/B4EZjzs3C7GUAM-/0/1756435281110?e=2147483647&amp;v=beta&amp;t=6iW6vxIGMUCh4i1nlxOk7RtyTxEqXUnadelUQH46e8Y","View Creative")</f>
        <v>View Creative</v>
      </c>
      <c r="L1471" s="4" t="s">
        <v>106</v>
      </c>
      <c r="M1471" s="4" t="s">
        <v>61</v>
      </c>
      <c r="O1471" s="4" t="s">
        <v>63</v>
      </c>
      <c r="P1471" s="4" t="s">
        <v>64</v>
      </c>
    </row>
    <row r="1472">
      <c r="A1472" s="4" t="s">
        <v>40</v>
      </c>
      <c r="B1472" s="4" t="s">
        <v>40</v>
      </c>
      <c r="C1472" s="4">
        <v>1470.0</v>
      </c>
      <c r="D1472" s="5" t="str">
        <f>HYPERLINK("https://www.linkedin.com/ad-library/detail/742527814","Open Ad")</f>
        <v>Open Ad</v>
      </c>
      <c r="E1472" s="4" t="s">
        <v>78</v>
      </c>
      <c r="F1472" s="4" t="s">
        <v>54</v>
      </c>
      <c r="G1472" s="4" t="s">
        <v>5846</v>
      </c>
      <c r="H1472" s="4" t="s">
        <v>49</v>
      </c>
      <c r="I1472" s="4" t="s">
        <v>661</v>
      </c>
      <c r="J1472" s="4" t="s">
        <v>78</v>
      </c>
      <c r="K1472" s="5" t="str">
        <f>HYPERLINK("https://media.licdn.com/dms/image/v2/D4E10AQHsh08Y4tgdig/image-shrink_1280/B4EZjzssgqIUAM-/0/1756435238122?e=2147483647&amp;v=beta&amp;t=lAoM8eDXxxz9ulLVOguJRqKK5QhQznCf0ayKn3QgPYE","View Creative")</f>
        <v>View Creative</v>
      </c>
      <c r="L1472" s="4" t="s">
        <v>106</v>
      </c>
      <c r="M1472" s="4" t="s">
        <v>61</v>
      </c>
      <c r="O1472" s="4" t="s">
        <v>63</v>
      </c>
      <c r="P1472" s="4" t="s">
        <v>64</v>
      </c>
    </row>
    <row r="1473">
      <c r="A1473" s="4" t="s">
        <v>40</v>
      </c>
      <c r="B1473" s="4" t="s">
        <v>40</v>
      </c>
      <c r="C1473" s="4">
        <v>1471.0</v>
      </c>
      <c r="D1473" s="5" t="str">
        <f>HYPERLINK("https://www.linkedin.com/ad-library/detail/742499724","Open Ad")</f>
        <v>Open Ad</v>
      </c>
      <c r="E1473" s="4" t="s">
        <v>78</v>
      </c>
      <c r="F1473" s="4" t="s">
        <v>54</v>
      </c>
      <c r="G1473" s="4" t="s">
        <v>5844</v>
      </c>
      <c r="H1473" s="4" t="s">
        <v>49</v>
      </c>
      <c r="I1473" s="4" t="s">
        <v>661</v>
      </c>
      <c r="J1473" s="4" t="s">
        <v>78</v>
      </c>
      <c r="K1473" s="5" t="str">
        <f>HYPERLINK("https://media.licdn.com/dms/image/v2/D4E10AQFpY2SytKbNhw/image-shrink_1280/B4EZjzsyMTGoAM-/0/1756435260811?e=2147483647&amp;v=beta&amp;t=O72HrE1Yv0Ci8xyRqNd2d0-Tcmg5SfnCm9kmDeTcfo4","View Creative")</f>
        <v>View Creative</v>
      </c>
      <c r="L1473" s="4" t="s">
        <v>106</v>
      </c>
      <c r="M1473" s="4" t="s">
        <v>61</v>
      </c>
      <c r="O1473" s="4" t="s">
        <v>63</v>
      </c>
      <c r="P1473" s="4" t="s">
        <v>64</v>
      </c>
    </row>
    <row r="1474">
      <c r="A1474" s="4" t="s">
        <v>40</v>
      </c>
      <c r="B1474" s="4" t="s">
        <v>40</v>
      </c>
      <c r="C1474" s="4">
        <v>1472.0</v>
      </c>
      <c r="D1474" s="5" t="str">
        <f>HYPERLINK("https://www.linkedin.com/ad-library/detail/742469684","Open Ad")</f>
        <v>Open Ad</v>
      </c>
      <c r="E1474" s="4" t="s">
        <v>78</v>
      </c>
      <c r="F1474" s="4" t="s">
        <v>54</v>
      </c>
      <c r="G1474" s="4" t="s">
        <v>5844</v>
      </c>
      <c r="H1474" s="4" t="s">
        <v>49</v>
      </c>
      <c r="I1474" s="4" t="s">
        <v>661</v>
      </c>
      <c r="J1474" s="4" t="s">
        <v>78</v>
      </c>
      <c r="K1474" s="5" t="str">
        <f>HYPERLINK("https://media.licdn.com/dms/image/v2/D4E10AQFc1V-8nSlzYw/image-shrink_1280/B4EZjzsse0IQAQ-/0/1756435237801?e=2147483647&amp;v=beta&amp;t=NxODvCGQTK6eA9cAJ2BOtA_0XnInepJoLcZjeHG8yAc","View Creative")</f>
        <v>View Creative</v>
      </c>
      <c r="L1474" s="4" t="s">
        <v>106</v>
      </c>
      <c r="M1474" s="4" t="s">
        <v>61</v>
      </c>
      <c r="O1474" s="4" t="s">
        <v>63</v>
      </c>
      <c r="P1474" s="4" t="s">
        <v>64</v>
      </c>
    </row>
    <row r="1475">
      <c r="A1475" s="4" t="s">
        <v>40</v>
      </c>
      <c r="B1475" s="4" t="s">
        <v>40</v>
      </c>
      <c r="C1475" s="4">
        <v>1473.0</v>
      </c>
      <c r="D1475" s="5" t="str">
        <f>HYPERLINK("https://www.linkedin.com/ad-library/detail/742509724","Open Ad")</f>
        <v>Open Ad</v>
      </c>
      <c r="E1475" s="4" t="s">
        <v>78</v>
      </c>
      <c r="F1475" s="4" t="s">
        <v>54</v>
      </c>
      <c r="G1475" s="4" t="s">
        <v>5846</v>
      </c>
      <c r="H1475" s="4" t="s">
        <v>49</v>
      </c>
      <c r="I1475" s="4" t="s">
        <v>661</v>
      </c>
      <c r="J1475" s="4" t="s">
        <v>78</v>
      </c>
      <c r="K1475" s="5" t="str">
        <f>HYPERLINK("https://media.licdn.com/dms/image/v2/D4E10AQErscAWmfABtw/image-shrink_1280/B4EZjzsmNAGcAM-/0/1756435211775?e=2147483647&amp;v=beta&amp;t=Px265ltS_VuqIxQ3Sz9vlDM8BkqTWyrw-9gIvTsdRY4","View Creative")</f>
        <v>View Creative</v>
      </c>
      <c r="L1475" s="4" t="s">
        <v>106</v>
      </c>
      <c r="M1475" s="4" t="s">
        <v>61</v>
      </c>
      <c r="O1475" s="4" t="s">
        <v>63</v>
      </c>
      <c r="P1475" s="4" t="s">
        <v>64</v>
      </c>
    </row>
    <row r="1476">
      <c r="A1476" s="4" t="s">
        <v>40</v>
      </c>
      <c r="B1476" s="4" t="s">
        <v>40</v>
      </c>
      <c r="C1476" s="4">
        <v>1474.0</v>
      </c>
      <c r="D1476" s="5" t="str">
        <f>HYPERLINK("https://www.linkedin.com/ad-library/detail/742469694","Open Ad")</f>
        <v>Open Ad</v>
      </c>
      <c r="E1476" s="4" t="s">
        <v>78</v>
      </c>
      <c r="F1476" s="4" t="s">
        <v>54</v>
      </c>
      <c r="G1476" s="4" t="s">
        <v>5844</v>
      </c>
      <c r="H1476" s="4" t="s">
        <v>49</v>
      </c>
      <c r="I1476" s="4" t="s">
        <v>661</v>
      </c>
      <c r="J1476" s="4" t="s">
        <v>78</v>
      </c>
      <c r="K1476" s="5" t="str">
        <f>HYPERLINK("https://media.licdn.com/dms/image/v2/D4E10AQFhaja5TFOznA/image-shrink_1280/B4EZjzssetIMAM-/0/1756435237421?e=2147483647&amp;v=beta&amp;t=ZMEfq5RuqP6IaiLvPDOvwCZ_SPEEtfl9MHFdbBMykpw","View Creative")</f>
        <v>View Creative</v>
      </c>
      <c r="L1476" s="4" t="s">
        <v>106</v>
      </c>
      <c r="M1476" s="4" t="s">
        <v>61</v>
      </c>
      <c r="O1476" s="4" t="s">
        <v>63</v>
      </c>
      <c r="P1476" s="4" t="s">
        <v>64</v>
      </c>
    </row>
    <row r="1477">
      <c r="A1477" s="4" t="s">
        <v>40</v>
      </c>
      <c r="B1477" s="4" t="s">
        <v>40</v>
      </c>
      <c r="C1477" s="4">
        <v>1475.0</v>
      </c>
      <c r="D1477" s="5" t="str">
        <f>HYPERLINK("https://www.linkedin.com/ad-library/detail/742509734","Open Ad")</f>
        <v>Open Ad</v>
      </c>
      <c r="E1477" s="4" t="s">
        <v>78</v>
      </c>
      <c r="F1477" s="4" t="s">
        <v>54</v>
      </c>
      <c r="G1477" s="4" t="s">
        <v>5846</v>
      </c>
      <c r="H1477" s="4" t="s">
        <v>49</v>
      </c>
      <c r="I1477" s="4" t="s">
        <v>661</v>
      </c>
      <c r="J1477" s="4" t="s">
        <v>78</v>
      </c>
      <c r="K1477" s="5" t="str">
        <f>HYPERLINK("https://media.licdn.com/dms/image/v2/D4E10AQEFoZ0LmfrnDQ/image-shrink_1280/B4EZjzsmUyHEAM-/0/1756435212449?e=2147483647&amp;v=beta&amp;t=IgQyrkeRIYumjbS633zWldggxXYVXBQ5xUbXh8tQeUw","View Creative")</f>
        <v>View Creative</v>
      </c>
      <c r="L1477" s="4" t="s">
        <v>106</v>
      </c>
      <c r="M1477" s="4" t="s">
        <v>61</v>
      </c>
      <c r="O1477" s="4" t="s">
        <v>63</v>
      </c>
      <c r="P1477" s="4" t="s">
        <v>64</v>
      </c>
    </row>
    <row r="1478">
      <c r="A1478" s="4" t="s">
        <v>40</v>
      </c>
      <c r="B1478" s="4" t="s">
        <v>40</v>
      </c>
      <c r="C1478" s="4">
        <v>1476.0</v>
      </c>
      <c r="D1478" s="5" t="str">
        <f>HYPERLINK("https://www.linkedin.com/ad-library/detail/742499704","Open Ad")</f>
        <v>Open Ad</v>
      </c>
      <c r="E1478" s="4" t="s">
        <v>78</v>
      </c>
      <c r="F1478" s="4" t="s">
        <v>54</v>
      </c>
      <c r="G1478" s="4" t="s">
        <v>5844</v>
      </c>
      <c r="H1478" s="4" t="s">
        <v>49</v>
      </c>
      <c r="I1478" s="4" t="s">
        <v>661</v>
      </c>
      <c r="J1478" s="4" t="s">
        <v>78</v>
      </c>
      <c r="K1478" s="5" t="str">
        <f>HYPERLINK("https://media.licdn.com/dms/image/v2/D4E10AQEiAOL3wOgACA/image-shrink_1280/B4EZjzsmSYIUAQ-/0/1756435212372?e=2147483647&amp;v=beta&amp;t=_ZoU8hvyWamHsQOVaa2Zz-2eXLIF9xoRcoLB9NkuUgc","View Creative")</f>
        <v>View Creative</v>
      </c>
      <c r="L1478" s="4" t="s">
        <v>106</v>
      </c>
      <c r="M1478" s="4" t="s">
        <v>61</v>
      </c>
      <c r="O1478" s="4" t="s">
        <v>63</v>
      </c>
      <c r="P1478" s="4" t="s">
        <v>64</v>
      </c>
    </row>
    <row r="1479">
      <c r="A1479" s="4" t="s">
        <v>40</v>
      </c>
      <c r="B1479" s="4" t="s">
        <v>40</v>
      </c>
      <c r="C1479" s="4">
        <v>1477.0</v>
      </c>
      <c r="D1479" s="5" t="str">
        <f>HYPERLINK("https://www.linkedin.com/ad-library/detail/742499714","Open Ad")</f>
        <v>Open Ad</v>
      </c>
      <c r="E1479" s="4" t="s">
        <v>78</v>
      </c>
      <c r="F1479" s="4" t="s">
        <v>54</v>
      </c>
      <c r="G1479" s="4" t="s">
        <v>5844</v>
      </c>
      <c r="H1479" s="4" t="s">
        <v>49</v>
      </c>
      <c r="I1479" s="4" t="s">
        <v>661</v>
      </c>
      <c r="J1479" s="4" t="s">
        <v>78</v>
      </c>
      <c r="K1479" s="5" t="str">
        <f>HYPERLINK("https://media.licdn.com/dms/image/v2/D4E10AQGJ4-Ybz4Mm7Q/image-shrink_1280/B4EZjzsmWpGcAQ-/0/1756435212926?e=2147483647&amp;v=beta&amp;t=fWgSL2XNfT4lNwyRx8OlW2JNlvmguFdbRf8DkMVTyRQ","View Creative")</f>
        <v>View Creative</v>
      </c>
      <c r="L1479" s="4" t="s">
        <v>106</v>
      </c>
      <c r="M1479" s="4" t="s">
        <v>61</v>
      </c>
      <c r="O1479" s="4" t="s">
        <v>63</v>
      </c>
      <c r="P1479" s="4" t="s">
        <v>64</v>
      </c>
    </row>
    <row r="1480">
      <c r="A1480" s="4" t="s">
        <v>40</v>
      </c>
      <c r="B1480" s="4" t="s">
        <v>40</v>
      </c>
      <c r="C1480" s="4">
        <v>1478.0</v>
      </c>
      <c r="D1480" s="5" t="str">
        <f>HYPERLINK("https://www.linkedin.com/ad-library/detail/742439644","Open Ad")</f>
        <v>Open Ad</v>
      </c>
      <c r="E1480" s="4" t="s">
        <v>78</v>
      </c>
      <c r="F1480" s="4" t="s">
        <v>54</v>
      </c>
      <c r="G1480" s="4" t="s">
        <v>5846</v>
      </c>
      <c r="H1480" s="4" t="s">
        <v>49</v>
      </c>
      <c r="I1480" s="4" t="s">
        <v>661</v>
      </c>
      <c r="J1480" s="4" t="s">
        <v>78</v>
      </c>
      <c r="K1480" s="5" t="str">
        <f>HYPERLINK("https://media.licdn.com/dms/image/v2/D4E10AQEouqCV7tWXAw/image-shrink_1280/B4EZjzstGIHEAM-/0/1756435239997?e=2147483647&amp;v=beta&amp;t=Nmja3BOwTaS05kg08gmqVJfKmrJh19L-OpYT3itXIt8","View Creative")</f>
        <v>View Creative</v>
      </c>
      <c r="L1480" s="4" t="s">
        <v>106</v>
      </c>
      <c r="M1480" s="4" t="s">
        <v>61</v>
      </c>
      <c r="O1480" s="4" t="s">
        <v>63</v>
      </c>
      <c r="P1480" s="4" t="s">
        <v>64</v>
      </c>
    </row>
    <row r="1481">
      <c r="A1481" s="4" t="s">
        <v>40</v>
      </c>
      <c r="B1481" s="4" t="s">
        <v>40</v>
      </c>
      <c r="C1481" s="4">
        <v>1479.0</v>
      </c>
      <c r="D1481" s="5" t="str">
        <f>HYPERLINK("https://www.linkedin.com/ad-library/detail/742549844","Open Ad")</f>
        <v>Open Ad</v>
      </c>
      <c r="E1481" s="4" t="s">
        <v>78</v>
      </c>
      <c r="F1481" s="4" t="s">
        <v>54</v>
      </c>
      <c r="G1481" s="4" t="s">
        <v>5844</v>
      </c>
      <c r="H1481" s="4" t="s">
        <v>49</v>
      </c>
      <c r="I1481" s="4" t="s">
        <v>661</v>
      </c>
      <c r="J1481" s="4" t="s">
        <v>78</v>
      </c>
      <c r="K1481" s="5" t="str">
        <f>HYPERLINK("https://media.licdn.com/dms/image/v2/D4E10AQEIfcWn25mIXw/image-shrink_1280/B4EZjzssfeHgAQ-/0/1756435237520?e=2147483647&amp;v=beta&amp;t=Crck701OwyMjERzQX8namr1Vd-YdlquyWPLmFBUrwko","View Creative")</f>
        <v>View Creative</v>
      </c>
      <c r="L1481" s="4" t="s">
        <v>106</v>
      </c>
      <c r="M1481" s="4" t="s">
        <v>61</v>
      </c>
      <c r="O1481" s="4" t="s">
        <v>63</v>
      </c>
      <c r="P1481" s="4" t="s">
        <v>64</v>
      </c>
    </row>
    <row r="1482">
      <c r="A1482" s="4" t="s">
        <v>40</v>
      </c>
      <c r="B1482" s="4" t="s">
        <v>40</v>
      </c>
      <c r="C1482" s="4">
        <v>1480.0</v>
      </c>
      <c r="D1482" s="5" t="str">
        <f>HYPERLINK("https://www.linkedin.com/ad-library/detail/742479744","Open Ad")</f>
        <v>Open Ad</v>
      </c>
      <c r="E1482" s="4" t="s">
        <v>78</v>
      </c>
      <c r="F1482" s="4" t="s">
        <v>54</v>
      </c>
      <c r="G1482" s="4" t="s">
        <v>5844</v>
      </c>
      <c r="H1482" s="4" t="s">
        <v>49</v>
      </c>
      <c r="I1482" s="4" t="s">
        <v>661</v>
      </c>
      <c r="J1482" s="4" t="s">
        <v>78</v>
      </c>
      <c r="K1482" s="5" t="str">
        <f>HYPERLINK("https://media.licdn.com/dms/image/v2/D4E10AQF75BV3YVxy5A/image-shrink_1280/B4EZjzsshvGoAg-/0/1756435238093?e=2147483647&amp;v=beta&amp;t=HfIEBtilgZJkWxIRvaAqVYOLl5GCNp8K93tnydS4jrI","View Creative")</f>
        <v>View Creative</v>
      </c>
      <c r="L1482" s="4" t="s">
        <v>106</v>
      </c>
      <c r="M1482" s="4" t="s">
        <v>61</v>
      </c>
      <c r="O1482" s="4" t="s">
        <v>63</v>
      </c>
      <c r="P1482" s="4" t="s">
        <v>64</v>
      </c>
    </row>
    <row r="1483">
      <c r="A1483" s="4" t="s">
        <v>40</v>
      </c>
      <c r="B1483" s="4" t="s">
        <v>40</v>
      </c>
      <c r="C1483" s="4">
        <v>1481.0</v>
      </c>
      <c r="D1483" s="5" t="str">
        <f>HYPERLINK("https://www.linkedin.com/ad-library/detail/742499764","Open Ad")</f>
        <v>Open Ad</v>
      </c>
      <c r="E1483" s="4" t="s">
        <v>78</v>
      </c>
      <c r="F1483" s="4" t="s">
        <v>54</v>
      </c>
      <c r="G1483" s="4" t="s">
        <v>5844</v>
      </c>
      <c r="H1483" s="4" t="s">
        <v>49</v>
      </c>
      <c r="I1483" s="4" t="s">
        <v>661</v>
      </c>
      <c r="J1483" s="4" t="s">
        <v>78</v>
      </c>
      <c r="K1483" s="5" t="str">
        <f>HYPERLINK("https://media.licdn.com/dms/image/v2/D4E10AQFx0PUW7S3Nhw/image-shrink_1280/B4EZjzs3ZLHgAM-/0/1756435282203?e=2147483647&amp;v=beta&amp;t=_T6G_JFZgh3NjpYZUTXJxlHQ4BeqslFMMeOBsQvcw6A","View Creative")</f>
        <v>View Creative</v>
      </c>
      <c r="L1483" s="4" t="s">
        <v>106</v>
      </c>
      <c r="M1483" s="4" t="s">
        <v>61</v>
      </c>
      <c r="O1483" s="4" t="s">
        <v>63</v>
      </c>
      <c r="P1483" s="4" t="s">
        <v>64</v>
      </c>
    </row>
    <row r="1484">
      <c r="A1484" s="4" t="s">
        <v>40</v>
      </c>
      <c r="B1484" s="4" t="s">
        <v>40</v>
      </c>
      <c r="C1484" s="4">
        <v>1482.0</v>
      </c>
      <c r="D1484" s="5" t="str">
        <f>HYPERLINK("https://www.linkedin.com/ad-library/detail/742479764","Open Ad")</f>
        <v>Open Ad</v>
      </c>
      <c r="E1484" s="4" t="s">
        <v>78</v>
      </c>
      <c r="F1484" s="4" t="s">
        <v>54</v>
      </c>
      <c r="G1484" s="4" t="s">
        <v>5846</v>
      </c>
      <c r="H1484" s="4" t="s">
        <v>49</v>
      </c>
      <c r="I1484" s="4" t="s">
        <v>661</v>
      </c>
      <c r="J1484" s="4" t="s">
        <v>78</v>
      </c>
      <c r="K1484" s="5" t="str">
        <f>HYPERLINK("https://media.licdn.com/dms/image/v2/D4E10AQHcsjVmwRHMjA/image-shrink_1280/B4EZjzsyVfIUAQ-/0/1756435261669?e=2147483647&amp;v=beta&amp;t=G1ZrmkEJmi-yg2BoImbAeCKF_BdVVgMisz6J87D11-o","View Creative")</f>
        <v>View Creative</v>
      </c>
      <c r="L1484" s="4" t="s">
        <v>106</v>
      </c>
      <c r="M1484" s="4" t="s">
        <v>61</v>
      </c>
      <c r="O1484" s="4" t="s">
        <v>63</v>
      </c>
      <c r="P1484" s="4" t="s">
        <v>64</v>
      </c>
    </row>
    <row r="1485">
      <c r="A1485" s="4" t="s">
        <v>40</v>
      </c>
      <c r="B1485" s="4" t="s">
        <v>40</v>
      </c>
      <c r="C1485" s="4">
        <v>1483.0</v>
      </c>
      <c r="D1485" s="5" t="str">
        <f>HYPERLINK("https://www.linkedin.com/ad-library/detail/742499754","Open Ad")</f>
        <v>Open Ad</v>
      </c>
      <c r="E1485" s="4" t="s">
        <v>78</v>
      </c>
      <c r="F1485" s="4" t="s">
        <v>54</v>
      </c>
      <c r="G1485" s="4" t="s">
        <v>5844</v>
      </c>
      <c r="H1485" s="4" t="s">
        <v>49</v>
      </c>
      <c r="I1485" s="4" t="s">
        <v>661</v>
      </c>
      <c r="J1485" s="4" t="s">
        <v>78</v>
      </c>
      <c r="K1485" s="5" t="str">
        <f>HYPERLINK("https://media.licdn.com/dms/image/v2/D4E10AQGp6I__jvmgrg/image-shrink_1280/B4EZjzs3NkGcAY-/0/1756435281709?e=2147483647&amp;v=beta&amp;t=a806Zg54cJCCZtyWsiBfaymDbgbaDICcNFbBEVH7IY0","View Creative")</f>
        <v>View Creative</v>
      </c>
      <c r="L1485" s="4" t="s">
        <v>106</v>
      </c>
      <c r="M1485" s="4" t="s">
        <v>61</v>
      </c>
      <c r="O1485" s="4" t="s">
        <v>63</v>
      </c>
      <c r="P1485" s="4" t="s">
        <v>64</v>
      </c>
    </row>
    <row r="1486">
      <c r="A1486" s="4" t="s">
        <v>40</v>
      </c>
      <c r="B1486" s="4" t="s">
        <v>40</v>
      </c>
      <c r="C1486" s="4">
        <v>1484.0</v>
      </c>
      <c r="D1486" s="5" t="str">
        <f>HYPERLINK("https://www.linkedin.com/ad-library/detail/742518654","Open Ad")</f>
        <v>Open Ad</v>
      </c>
      <c r="E1486" s="4" t="s">
        <v>78</v>
      </c>
      <c r="F1486" s="4" t="s">
        <v>54</v>
      </c>
      <c r="G1486" s="4" t="s">
        <v>5844</v>
      </c>
      <c r="H1486" s="4" t="s">
        <v>49</v>
      </c>
      <c r="I1486" s="4" t="s">
        <v>661</v>
      </c>
      <c r="J1486" s="4" t="s">
        <v>78</v>
      </c>
      <c r="K1486" s="5" t="str">
        <f>HYPERLINK("https://media.licdn.com/dms/image/v2/D4E10AQEoxydCnO-MEw/image-shrink_1280/B4EZjzsmzdHoAM-/0/1756435214351?e=2147483647&amp;v=beta&amp;t=1ILhLWLM5wDeJEHIGqzvnan1CNlKj6Fdq6nm3AojC9c","View Creative")</f>
        <v>View Creative</v>
      </c>
      <c r="L1486" s="4" t="s">
        <v>106</v>
      </c>
      <c r="M1486" s="4" t="s">
        <v>61</v>
      </c>
      <c r="O1486" s="4" t="s">
        <v>63</v>
      </c>
      <c r="P1486" s="4" t="s">
        <v>64</v>
      </c>
    </row>
    <row r="1487">
      <c r="A1487" s="4" t="s">
        <v>40</v>
      </c>
      <c r="B1487" s="4" t="s">
        <v>40</v>
      </c>
      <c r="C1487" s="4">
        <v>1485.0</v>
      </c>
      <c r="D1487" s="5" t="str">
        <f>HYPERLINK("https://www.linkedin.com/ad-library/detail/742518634","Open Ad")</f>
        <v>Open Ad</v>
      </c>
      <c r="E1487" s="4" t="s">
        <v>78</v>
      </c>
      <c r="F1487" s="4" t="s">
        <v>54</v>
      </c>
      <c r="G1487" s="4" t="s">
        <v>5844</v>
      </c>
      <c r="H1487" s="4" t="s">
        <v>49</v>
      </c>
      <c r="I1487" s="4" t="s">
        <v>661</v>
      </c>
      <c r="J1487" s="4" t="s">
        <v>78</v>
      </c>
      <c r="K1487" s="5" t="str">
        <f>HYPERLINK("https://media.licdn.com/dms/image/v2/D4E10AQEK6PzhXctzwA/image-shrink_1280/B4EZjzshfRGUAM-/0/1756435192729?e=2147483647&amp;v=beta&amp;t=x5Rv9M-P8T_TT6uJtNqSbPBbV2nPQsG3_o0zao_L4Nw","View Creative")</f>
        <v>View Creative</v>
      </c>
      <c r="L1487" s="4" t="s">
        <v>106</v>
      </c>
      <c r="M1487" s="4" t="s">
        <v>61</v>
      </c>
      <c r="O1487" s="4" t="s">
        <v>63</v>
      </c>
      <c r="P1487" s="4" t="s">
        <v>64</v>
      </c>
    </row>
    <row r="1488">
      <c r="A1488" s="4" t="s">
        <v>40</v>
      </c>
      <c r="B1488" s="4" t="s">
        <v>40</v>
      </c>
      <c r="C1488" s="4">
        <v>1486.0</v>
      </c>
      <c r="D1488" s="5" t="str">
        <f>HYPERLINK("https://www.linkedin.com/ad-library/detail/742539994","Open Ad")</f>
        <v>Open Ad</v>
      </c>
      <c r="E1488" s="4" t="s">
        <v>78</v>
      </c>
      <c r="F1488" s="4" t="s">
        <v>54</v>
      </c>
      <c r="G1488" s="4" t="s">
        <v>5844</v>
      </c>
      <c r="H1488" s="4" t="s">
        <v>49</v>
      </c>
      <c r="I1488" s="4" t="s">
        <v>661</v>
      </c>
      <c r="J1488" s="4" t="s">
        <v>78</v>
      </c>
      <c r="K1488" s="5" t="str">
        <f>HYPERLINK("https://media.licdn.com/dms/image/v2/D4E10AQFDQj65e_FY3w/image-shrink_1280/B4EZjzs3VaGYAM-/0/1756435281834?e=2147483647&amp;v=beta&amp;t=JW3poa_RSHjIVeZW-IGuMflXp1wcQZvSr2o00RSHK_I","View Creative")</f>
        <v>View Creative</v>
      </c>
      <c r="L1488" s="4" t="s">
        <v>106</v>
      </c>
      <c r="M1488" s="4" t="s">
        <v>61</v>
      </c>
      <c r="O1488" s="4" t="s">
        <v>63</v>
      </c>
      <c r="P1488" s="4" t="s">
        <v>64</v>
      </c>
    </row>
    <row r="1489">
      <c r="A1489" s="4" t="s">
        <v>40</v>
      </c>
      <c r="B1489" s="4" t="s">
        <v>40</v>
      </c>
      <c r="C1489" s="4">
        <v>1487.0</v>
      </c>
      <c r="D1489" s="5" t="str">
        <f>HYPERLINK("https://www.linkedin.com/ad-library/detail/742518674","Open Ad")</f>
        <v>Open Ad</v>
      </c>
      <c r="E1489" s="4" t="s">
        <v>78</v>
      </c>
      <c r="F1489" s="4" t="s">
        <v>54</v>
      </c>
      <c r="G1489" s="4" t="s">
        <v>5844</v>
      </c>
      <c r="H1489" s="4" t="s">
        <v>49</v>
      </c>
      <c r="I1489" s="4" t="s">
        <v>661</v>
      </c>
      <c r="J1489" s="4" t="s">
        <v>78</v>
      </c>
      <c r="K1489" s="5" t="str">
        <f>HYPERLINK("https://media.licdn.com/dms/image/v2/D4E10AQEL_hMpeSYnDg/image-shrink_1280/B4EZjzsskwGcAM-/0/1756435237754?e=2147483647&amp;v=beta&amp;t=9asTZKcDjjFDm1aSCysDXEoXVZ1W83PoPIrxys6dz3g","View Creative")</f>
        <v>View Creative</v>
      </c>
      <c r="L1489" s="4" t="s">
        <v>106</v>
      </c>
      <c r="M1489" s="4" t="s">
        <v>61</v>
      </c>
      <c r="O1489" s="4" t="s">
        <v>63</v>
      </c>
      <c r="P1489" s="4" t="s">
        <v>64</v>
      </c>
    </row>
    <row r="1490">
      <c r="A1490" s="4" t="s">
        <v>40</v>
      </c>
      <c r="B1490" s="4" t="s">
        <v>40</v>
      </c>
      <c r="C1490" s="4">
        <v>1488.0</v>
      </c>
      <c r="D1490" s="5" t="str">
        <f>HYPERLINK("https://www.linkedin.com/ad-library/detail/742469704","Open Ad")</f>
        <v>Open Ad</v>
      </c>
      <c r="E1490" s="4" t="s">
        <v>78</v>
      </c>
      <c r="F1490" s="4" t="s">
        <v>54</v>
      </c>
      <c r="G1490" s="4" t="s">
        <v>5844</v>
      </c>
      <c r="H1490" s="4" t="s">
        <v>49</v>
      </c>
      <c r="I1490" s="4" t="s">
        <v>661</v>
      </c>
      <c r="J1490" s="4" t="s">
        <v>78</v>
      </c>
      <c r="K1490" s="5" t="str">
        <f>HYPERLINK("https://media.licdn.com/dms/image/v2/D4E10AQFZ-C_iyF7Snw/image-shrink_1280/B4EZjzsshoGYAQ-/0/1756435238063?e=2147483647&amp;v=beta&amp;t=KkrkIBGyieMpbmRwolYF86_DO0ThtkOQlAFjN0Elnb8","View Creative")</f>
        <v>View Creative</v>
      </c>
      <c r="L1490" s="4" t="s">
        <v>106</v>
      </c>
      <c r="M1490" s="4" t="s">
        <v>61</v>
      </c>
      <c r="O1490" s="4" t="s">
        <v>63</v>
      </c>
      <c r="P1490" s="4" t="s">
        <v>64</v>
      </c>
    </row>
    <row r="1491">
      <c r="A1491" s="4" t="s">
        <v>40</v>
      </c>
      <c r="B1491" s="4" t="s">
        <v>40</v>
      </c>
      <c r="C1491" s="4">
        <v>1489.0</v>
      </c>
      <c r="D1491" s="5" t="str">
        <f>HYPERLINK("https://www.linkedin.com/ad-library/detail/742549794","Open Ad")</f>
        <v>Open Ad</v>
      </c>
      <c r="E1491" s="4" t="s">
        <v>78</v>
      </c>
      <c r="F1491" s="4" t="s">
        <v>54</v>
      </c>
      <c r="G1491" s="4" t="s">
        <v>5846</v>
      </c>
      <c r="H1491" s="4" t="s">
        <v>49</v>
      </c>
      <c r="I1491" s="4" t="s">
        <v>661</v>
      </c>
      <c r="J1491" s="4" t="s">
        <v>78</v>
      </c>
      <c r="K1491" s="5" t="str">
        <f>HYPERLINK("https://media.licdn.com/dms/image/v2/D4E10AQG-YvsPMXpVxw/image-shrink_1280/B4EZjzsWWCGoAM-/0/1756435146816?e=2147483647&amp;v=beta&amp;t=SBlNuz-qEpXj-ITwaBZtfn1io2QWgGo79m54_yxYGBA","View Creative")</f>
        <v>View Creative</v>
      </c>
      <c r="L1491" s="4" t="s">
        <v>106</v>
      </c>
      <c r="M1491" s="4" t="s">
        <v>61</v>
      </c>
      <c r="O1491" s="4" t="s">
        <v>63</v>
      </c>
      <c r="P1491" s="4" t="s">
        <v>64</v>
      </c>
    </row>
    <row r="1492">
      <c r="A1492" s="4" t="s">
        <v>40</v>
      </c>
      <c r="B1492" s="4" t="s">
        <v>40</v>
      </c>
      <c r="C1492" s="4">
        <v>1490.0</v>
      </c>
      <c r="D1492" s="5" t="str">
        <f>HYPERLINK("https://www.linkedin.com/ad-library/detail/742489624","Open Ad")</f>
        <v>Open Ad</v>
      </c>
      <c r="E1492" s="4" t="s">
        <v>78</v>
      </c>
      <c r="F1492" s="4" t="s">
        <v>54</v>
      </c>
      <c r="G1492" s="4" t="s">
        <v>5844</v>
      </c>
      <c r="H1492" s="4" t="s">
        <v>49</v>
      </c>
      <c r="I1492" s="4" t="s">
        <v>661</v>
      </c>
      <c r="J1492" s="4" t="s">
        <v>78</v>
      </c>
      <c r="K1492" s="5" t="str">
        <f>HYPERLINK("https://media.licdn.com/dms/image/v2/D4E10AQFXXqcZSgGxPg/image-shrink_1280/B4EZjzsbnlGoAQ-/0/1756435168389?e=2147483647&amp;v=beta&amp;t=wowMuVl3fqi30V3NOP8xJcN0cSEBc1FzFYiNM2cljaI","View Creative")</f>
        <v>View Creative</v>
      </c>
      <c r="L1492" s="4" t="s">
        <v>106</v>
      </c>
      <c r="M1492" s="4" t="s">
        <v>61</v>
      </c>
      <c r="O1492" s="4" t="s">
        <v>63</v>
      </c>
      <c r="P1492" s="4" t="s">
        <v>64</v>
      </c>
    </row>
    <row r="1493">
      <c r="A1493" s="4" t="s">
        <v>40</v>
      </c>
      <c r="B1493" s="4" t="s">
        <v>40</v>
      </c>
      <c r="C1493" s="4">
        <v>1491.0</v>
      </c>
      <c r="D1493" s="5" t="str">
        <f>HYPERLINK("https://www.linkedin.com/ad-library/detail/742469654","Open Ad")</f>
        <v>Open Ad</v>
      </c>
      <c r="E1493" s="4" t="s">
        <v>78</v>
      </c>
      <c r="F1493" s="4" t="s">
        <v>54</v>
      </c>
      <c r="G1493" s="4" t="s">
        <v>5846</v>
      </c>
      <c r="H1493" s="4" t="s">
        <v>49</v>
      </c>
      <c r="I1493" s="4" t="s">
        <v>661</v>
      </c>
      <c r="J1493" s="4" t="s">
        <v>78</v>
      </c>
      <c r="K1493" s="5" t="str">
        <f>HYPERLINK("https://media.licdn.com/dms/image/v2/D4E10AQGXKdp2oZBuQg/image-shrink_1280/B4EZjzsb5XGUAQ-/0/1756435169848?e=2147483647&amp;v=beta&amp;t=yRbZL_x0w1QXxVQhrpHnv0OgMvezqXn9pdx6gLP9H2Q","View Creative")</f>
        <v>View Creative</v>
      </c>
      <c r="L1493" s="4" t="s">
        <v>106</v>
      </c>
      <c r="M1493" s="4" t="s">
        <v>61</v>
      </c>
      <c r="O1493" s="4" t="s">
        <v>63</v>
      </c>
      <c r="P1493" s="4" t="s">
        <v>64</v>
      </c>
    </row>
    <row r="1494">
      <c r="A1494" s="4" t="s">
        <v>40</v>
      </c>
      <c r="B1494" s="4" t="s">
        <v>40</v>
      </c>
      <c r="C1494" s="4">
        <v>1492.0</v>
      </c>
      <c r="D1494" s="5" t="str">
        <f>HYPERLINK("https://www.linkedin.com/ad-library/detail/742509714","Open Ad")</f>
        <v>Open Ad</v>
      </c>
      <c r="E1494" s="4" t="s">
        <v>78</v>
      </c>
      <c r="F1494" s="4" t="s">
        <v>54</v>
      </c>
      <c r="G1494" s="4" t="s">
        <v>5846</v>
      </c>
      <c r="H1494" s="4" t="s">
        <v>49</v>
      </c>
      <c r="I1494" s="4" t="s">
        <v>661</v>
      </c>
      <c r="J1494" s="4" t="s">
        <v>78</v>
      </c>
      <c r="K1494" s="5" t="str">
        <f>HYPERLINK("https://media.licdn.com/dms/image/v2/D4E10AQFzdqgSNBcBbQ/image-shrink_1280/B4EZjzsby7GoAM-/0/1756435169293?e=2147483647&amp;v=beta&amp;t=WX2SRCkSYc5Ymvjzzavq4ER2MftswsviitHt-Xluy1A","View Creative")</f>
        <v>View Creative</v>
      </c>
      <c r="L1494" s="4" t="s">
        <v>106</v>
      </c>
      <c r="M1494" s="4" t="s">
        <v>61</v>
      </c>
      <c r="O1494" s="4" t="s">
        <v>63</v>
      </c>
      <c r="P1494" s="4" t="s">
        <v>64</v>
      </c>
    </row>
    <row r="1495">
      <c r="A1495" s="4" t="s">
        <v>40</v>
      </c>
      <c r="B1495" s="4" t="s">
        <v>40</v>
      </c>
      <c r="C1495" s="4">
        <v>1493.0</v>
      </c>
      <c r="D1495" s="5" t="str">
        <f>HYPERLINK("https://www.linkedin.com/ad-library/detail/742549804","Open Ad")</f>
        <v>Open Ad</v>
      </c>
      <c r="E1495" s="4" t="s">
        <v>78</v>
      </c>
      <c r="F1495" s="4" t="s">
        <v>54</v>
      </c>
      <c r="G1495" s="4" t="s">
        <v>5844</v>
      </c>
      <c r="H1495" s="4" t="s">
        <v>49</v>
      </c>
      <c r="I1495" s="4" t="s">
        <v>661</v>
      </c>
      <c r="J1495" s="4" t="s">
        <v>78</v>
      </c>
      <c r="K1495" s="5" t="str">
        <f>HYPERLINK("https://media.licdn.com/dms/image/v2/D4E10AQF-PBYZOwluwA/image-shrink_1280/B4EZjzsWxVHEAM-/0/1756435148522?e=2147483647&amp;v=beta&amp;t=LftBRDqnMzYwoB7VZRK-9Xcnkn2Jmj5oo3tdG7dCD4I","View Creative")</f>
        <v>View Creative</v>
      </c>
      <c r="L1495" s="4" t="s">
        <v>106</v>
      </c>
      <c r="M1495" s="4" t="s">
        <v>61</v>
      </c>
      <c r="O1495" s="4" t="s">
        <v>63</v>
      </c>
      <c r="P1495" s="4" t="s">
        <v>64</v>
      </c>
    </row>
    <row r="1496">
      <c r="A1496" s="4" t="s">
        <v>40</v>
      </c>
      <c r="B1496" s="4" t="s">
        <v>40</v>
      </c>
      <c r="C1496" s="4">
        <v>1494.0</v>
      </c>
      <c r="D1496" s="5" t="str">
        <f>HYPERLINK("https://www.linkedin.com/ad-library/detail/742549814","Open Ad")</f>
        <v>Open Ad</v>
      </c>
      <c r="E1496" s="4" t="s">
        <v>78</v>
      </c>
      <c r="F1496" s="4" t="s">
        <v>54</v>
      </c>
      <c r="G1496" s="4" t="s">
        <v>5846</v>
      </c>
      <c r="H1496" s="4" t="s">
        <v>49</v>
      </c>
      <c r="I1496" s="4" t="s">
        <v>661</v>
      </c>
      <c r="J1496" s="4" t="s">
        <v>78</v>
      </c>
      <c r="K1496" s="5" t="str">
        <f>HYPERLINK("https://media.licdn.com/dms/image/v2/D4E10AQFBy95azPFkpg/image-shrink_1280/B4EZjzsg.6HoAM-/0/1756435190644?e=2147483647&amp;v=beta&amp;t=ny4TdbiWCT9wkbJyXj2H26iZdtr7c-JjFsOG17qn4tY","View Creative")</f>
        <v>View Creative</v>
      </c>
      <c r="L1496" s="4" t="s">
        <v>106</v>
      </c>
      <c r="M1496" s="4" t="s">
        <v>61</v>
      </c>
      <c r="O1496" s="4" t="s">
        <v>63</v>
      </c>
      <c r="P1496" s="4" t="s">
        <v>64</v>
      </c>
    </row>
    <row r="1497">
      <c r="A1497" s="4" t="s">
        <v>40</v>
      </c>
      <c r="B1497" s="4" t="s">
        <v>40</v>
      </c>
      <c r="C1497" s="4">
        <v>1495.0</v>
      </c>
      <c r="D1497" s="5" t="str">
        <f>HYPERLINK("https://www.linkedin.com/ad-library/detail/742549824","Open Ad")</f>
        <v>Open Ad</v>
      </c>
      <c r="E1497" s="4" t="s">
        <v>78</v>
      </c>
      <c r="F1497" s="4" t="s">
        <v>54</v>
      </c>
      <c r="G1497" s="4" t="s">
        <v>5844</v>
      </c>
      <c r="H1497" s="4" t="s">
        <v>49</v>
      </c>
      <c r="I1497" s="4" t="s">
        <v>661</v>
      </c>
      <c r="J1497" s="4" t="s">
        <v>78</v>
      </c>
      <c r="K1497" s="5" t="str">
        <f>HYPERLINK("https://media.licdn.com/dms/image/v2/D4E10AQGoM2x5UAfLHA/image-shrink_1280/B4EZjzshUCGYAM-/0/1756435191992?e=2147483647&amp;v=beta&amp;t=6hqdhDhWHQvxwr7teChTOmL_DcLGqHz6moJdGwloGWg","View Creative")</f>
        <v>View Creative</v>
      </c>
      <c r="L1497" s="4" t="s">
        <v>106</v>
      </c>
      <c r="M1497" s="4" t="s">
        <v>61</v>
      </c>
      <c r="O1497" s="4" t="s">
        <v>63</v>
      </c>
      <c r="P1497" s="4" t="s">
        <v>64</v>
      </c>
    </row>
    <row r="1498">
      <c r="A1498" s="4" t="s">
        <v>40</v>
      </c>
      <c r="B1498" s="4" t="s">
        <v>40</v>
      </c>
      <c r="C1498" s="4">
        <v>1496.0</v>
      </c>
      <c r="D1498" s="5" t="str">
        <f>HYPERLINK("https://www.linkedin.com/ad-library/detail/742479704","Open Ad")</f>
        <v>Open Ad</v>
      </c>
      <c r="E1498" s="4" t="s">
        <v>78</v>
      </c>
      <c r="F1498" s="4" t="s">
        <v>54</v>
      </c>
      <c r="G1498" s="4" t="s">
        <v>5846</v>
      </c>
      <c r="H1498" s="4" t="s">
        <v>49</v>
      </c>
      <c r="I1498" s="4" t="s">
        <v>661</v>
      </c>
      <c r="J1498" s="4" t="s">
        <v>78</v>
      </c>
      <c r="K1498" s="5" t="str">
        <f>HYPERLINK("https://media.licdn.com/dms/image/v2/D4E10AQEPD48nn-tYGQ/image-shrink_1280/B4EZjzsWSsHgAM-/0/1756435146961?e=2147483647&amp;v=beta&amp;t=nX1JLeV78vU4krIUf8R9El_fjRh2URMp4C6IQ51LSig","View Creative")</f>
        <v>View Creative</v>
      </c>
      <c r="L1498" s="4" t="s">
        <v>106</v>
      </c>
      <c r="M1498" s="4" t="s">
        <v>61</v>
      </c>
      <c r="O1498" s="4" t="s">
        <v>63</v>
      </c>
      <c r="P1498" s="4" t="s">
        <v>64</v>
      </c>
    </row>
    <row r="1499">
      <c r="A1499" s="4" t="s">
        <v>40</v>
      </c>
      <c r="B1499" s="4" t="s">
        <v>40</v>
      </c>
      <c r="C1499" s="4">
        <v>1497.0</v>
      </c>
      <c r="D1499" s="5" t="str">
        <f>HYPERLINK("https://www.linkedin.com/ad-library/detail/742527794","Open Ad")</f>
        <v>Open Ad</v>
      </c>
      <c r="E1499" s="4" t="s">
        <v>78</v>
      </c>
      <c r="F1499" s="4" t="s">
        <v>54</v>
      </c>
      <c r="G1499" s="4" t="s">
        <v>5844</v>
      </c>
      <c r="H1499" s="4" t="s">
        <v>49</v>
      </c>
      <c r="I1499" s="4" t="s">
        <v>661</v>
      </c>
      <c r="J1499" s="4" t="s">
        <v>78</v>
      </c>
      <c r="K1499" s="5" t="str">
        <f>HYPERLINK("https://media.licdn.com/dms/image/v2/D4E10AQGPf0xqsUDEyQ/image-shrink_1280/B4EZjzsb1LHoAQ-/0/1756435169218?e=2147483647&amp;v=beta&amp;t=VneYFyct4cCKndw9lR-4sdCSimkEBeclnVKrRckxEr4","View Creative")</f>
        <v>View Creative</v>
      </c>
      <c r="L1499" s="4" t="s">
        <v>106</v>
      </c>
      <c r="M1499" s="4" t="s">
        <v>61</v>
      </c>
      <c r="O1499" s="4" t="s">
        <v>63</v>
      </c>
      <c r="P1499" s="4" t="s">
        <v>64</v>
      </c>
    </row>
    <row r="1500">
      <c r="A1500" s="4" t="s">
        <v>40</v>
      </c>
      <c r="B1500" s="4" t="s">
        <v>40</v>
      </c>
      <c r="C1500" s="4">
        <v>1498.0</v>
      </c>
      <c r="D1500" s="5" t="str">
        <f>HYPERLINK("https://www.linkedin.com/ad-library/detail/742439614","Open Ad")</f>
        <v>Open Ad</v>
      </c>
      <c r="E1500" s="4" t="s">
        <v>78</v>
      </c>
      <c r="F1500" s="4" t="s">
        <v>54</v>
      </c>
      <c r="G1500" s="4" t="s">
        <v>5846</v>
      </c>
      <c r="H1500" s="4" t="s">
        <v>49</v>
      </c>
      <c r="I1500" s="4" t="s">
        <v>661</v>
      </c>
      <c r="J1500" s="4" t="s">
        <v>78</v>
      </c>
      <c r="K1500" s="5" t="str">
        <f>HYPERLINK("https://media.licdn.com/dms/image/v2/D4E10AQElDm4UPjVJDA/image-shrink_1280/B4EZjzsWTrIUAM-/0/1756435146909?e=2147483647&amp;v=beta&amp;t=yHoUouYj7fSSYBt3Ob_FqiDvW5nWRc6iY8wYokSlm40","View Creative")</f>
        <v>View Creative</v>
      </c>
      <c r="L1500" s="4" t="s">
        <v>106</v>
      </c>
      <c r="M1500" s="4" t="s">
        <v>61</v>
      </c>
      <c r="O1500" s="4" t="s">
        <v>63</v>
      </c>
      <c r="P1500" s="4" t="s">
        <v>64</v>
      </c>
    </row>
    <row r="1501">
      <c r="A1501" s="4" t="s">
        <v>40</v>
      </c>
      <c r="B1501" s="4" t="s">
        <v>40</v>
      </c>
      <c r="C1501" s="4">
        <v>1499.0</v>
      </c>
      <c r="D1501" s="5" t="str">
        <f>HYPERLINK("https://www.linkedin.com/ad-library/detail/742539954","Open Ad")</f>
        <v>Open Ad</v>
      </c>
      <c r="E1501" s="4" t="s">
        <v>78</v>
      </c>
      <c r="F1501" s="4" t="s">
        <v>54</v>
      </c>
      <c r="G1501" s="4" t="s">
        <v>5844</v>
      </c>
      <c r="H1501" s="4" t="s">
        <v>49</v>
      </c>
      <c r="I1501" s="4" t="s">
        <v>661</v>
      </c>
      <c r="J1501" s="4" t="s">
        <v>78</v>
      </c>
      <c r="K1501" s="5" t="str">
        <f>HYPERLINK("https://media.licdn.com/dms/image/v2/D4E10AQHRK1S9lt0Y6Q/image-shrink_1280/B4EZjzsb8.HEAQ-/0/1756435169681?e=2147483647&amp;v=beta&amp;t=dKAUpiRDGE3nR5ChrGx0NSiimUlnbHCv2wY-rJ-E1Zo","View Creative")</f>
        <v>View Creative</v>
      </c>
      <c r="L1501" s="4" t="s">
        <v>106</v>
      </c>
      <c r="M1501" s="4" t="s">
        <v>61</v>
      </c>
      <c r="O1501" s="4" t="s">
        <v>63</v>
      </c>
      <c r="P1501" s="4" t="s">
        <v>64</v>
      </c>
    </row>
    <row r="1502">
      <c r="A1502" s="4" t="s">
        <v>40</v>
      </c>
      <c r="B1502" s="4" t="s">
        <v>40</v>
      </c>
      <c r="C1502" s="4">
        <v>1500.0</v>
      </c>
      <c r="D1502" s="5" t="str">
        <f>HYPERLINK("https://www.linkedin.com/ad-library/detail/742539964","Open Ad")</f>
        <v>Open Ad</v>
      </c>
      <c r="E1502" s="4" t="s">
        <v>78</v>
      </c>
      <c r="F1502" s="4" t="s">
        <v>54</v>
      </c>
      <c r="G1502" s="4" t="s">
        <v>5844</v>
      </c>
      <c r="H1502" s="4" t="s">
        <v>49</v>
      </c>
      <c r="I1502" s="4" t="s">
        <v>661</v>
      </c>
      <c r="J1502" s="4" t="s">
        <v>78</v>
      </c>
      <c r="K1502" s="5" t="str">
        <f>HYPERLINK("https://media.licdn.com/dms/image/v2/D4E10AQE26nLco0dqzw/image-shrink_1280/B4EZjzsg6BHoAU-/0/1756435190565?e=2147483647&amp;v=beta&amp;t=vB-FWAAjDIPIcwtyKofWNIBR6evCPyt_a0gK4797u-0","View Creative")</f>
        <v>View Creative</v>
      </c>
      <c r="L1502" s="4" t="s">
        <v>106</v>
      </c>
      <c r="M1502" s="4" t="s">
        <v>61</v>
      </c>
      <c r="O1502" s="4" t="s">
        <v>63</v>
      </c>
      <c r="P1502" s="4" t="s">
        <v>64</v>
      </c>
    </row>
    <row r="1503">
      <c r="A1503" s="4" t="s">
        <v>40</v>
      </c>
      <c r="B1503" s="4" t="s">
        <v>40</v>
      </c>
      <c r="C1503" s="4">
        <v>1501.0</v>
      </c>
      <c r="D1503" s="5" t="str">
        <f>HYPERLINK("https://www.linkedin.com/ad-library/detail/742539934","Open Ad")</f>
        <v>Open Ad</v>
      </c>
      <c r="E1503" s="4" t="s">
        <v>78</v>
      </c>
      <c r="F1503" s="4" t="s">
        <v>54</v>
      </c>
      <c r="G1503" s="4" t="s">
        <v>5844</v>
      </c>
      <c r="H1503" s="4" t="s">
        <v>49</v>
      </c>
      <c r="I1503" s="4" t="s">
        <v>661</v>
      </c>
      <c r="J1503" s="4" t="s">
        <v>78</v>
      </c>
      <c r="K1503" s="5" t="str">
        <f>HYPERLINK("https://media.licdn.com/dms/image/v2/D4E10AQHbg5ZEpuIMFg/image-shrink_1280/B4EZjzsb3uGoAM-/0/1756435169662?e=2147483647&amp;v=beta&amp;t=sDFxKtmUYEKN_m5aI173UkUJeOqQtIBJsFA6xkt_BsA","View Creative")</f>
        <v>View Creative</v>
      </c>
      <c r="L1503" s="4" t="s">
        <v>106</v>
      </c>
      <c r="M1503" s="4" t="s">
        <v>61</v>
      </c>
      <c r="O1503" s="4" t="s">
        <v>63</v>
      </c>
      <c r="P1503" s="4" t="s">
        <v>64</v>
      </c>
    </row>
    <row r="1504">
      <c r="A1504" s="4" t="s">
        <v>40</v>
      </c>
      <c r="B1504" s="4" t="s">
        <v>40</v>
      </c>
      <c r="C1504" s="4">
        <v>1502.0</v>
      </c>
      <c r="D1504" s="5" t="str">
        <f>HYPERLINK("https://www.linkedin.com/ad-library/detail/742479724","Open Ad")</f>
        <v>Open Ad</v>
      </c>
      <c r="E1504" s="4" t="s">
        <v>78</v>
      </c>
      <c r="F1504" s="4" t="s">
        <v>54</v>
      </c>
      <c r="G1504" s="4" t="s">
        <v>5844</v>
      </c>
      <c r="H1504" s="4" t="s">
        <v>49</v>
      </c>
      <c r="I1504" s="4" t="s">
        <v>661</v>
      </c>
      <c r="J1504" s="4" t="s">
        <v>78</v>
      </c>
      <c r="K1504" s="5" t="str">
        <f>HYPERLINK("https://media.licdn.com/dms/image/v2/D4E10AQG-7I0RUfy3pg/image-shrink_1280/B4EZjzsWTOHoAU-/0/1756435146602?e=2147483647&amp;v=beta&amp;t=uQSk7z9vtd-K84o9NxdC9d7RL6N6S2PquSGYuajl3w0","View Creative")</f>
        <v>View Creative</v>
      </c>
      <c r="L1504" s="4" t="s">
        <v>106</v>
      </c>
      <c r="M1504" s="4" t="s">
        <v>61</v>
      </c>
      <c r="O1504" s="4" t="s">
        <v>63</v>
      </c>
      <c r="P1504" s="4" t="s">
        <v>64</v>
      </c>
    </row>
    <row r="1505">
      <c r="A1505" s="4" t="s">
        <v>40</v>
      </c>
      <c r="B1505" s="4" t="s">
        <v>40</v>
      </c>
      <c r="C1505" s="4">
        <v>1503.0</v>
      </c>
      <c r="D1505" s="5" t="str">
        <f>HYPERLINK("https://www.linkedin.com/ad-library/detail/742499684","Open Ad")</f>
        <v>Open Ad</v>
      </c>
      <c r="E1505" s="4" t="s">
        <v>78</v>
      </c>
      <c r="F1505" s="4" t="s">
        <v>54</v>
      </c>
      <c r="G1505" s="4" t="s">
        <v>5844</v>
      </c>
      <c r="H1505" s="4" t="s">
        <v>49</v>
      </c>
      <c r="I1505" s="4" t="s">
        <v>661</v>
      </c>
      <c r="J1505" s="4" t="s">
        <v>78</v>
      </c>
      <c r="K1505" s="5" t="str">
        <f>HYPERLINK("https://media.licdn.com/dms/image/v2/D4E10AQHuv0DiqIaZSQ/image-shrink_1280/B4EZjzsb37IMAM-/0/1756435169767?e=2147483647&amp;v=beta&amp;t=4PWTRkd_f_toIliOVJA3ALPCOG4MXTm1h5JJzdnaAzg","View Creative")</f>
        <v>View Creative</v>
      </c>
      <c r="L1505" s="4" t="s">
        <v>106</v>
      </c>
      <c r="M1505" s="4" t="s">
        <v>61</v>
      </c>
      <c r="O1505" s="4" t="s">
        <v>63</v>
      </c>
      <c r="P1505" s="4" t="s">
        <v>64</v>
      </c>
    </row>
    <row r="1506">
      <c r="A1506" s="4" t="s">
        <v>40</v>
      </c>
      <c r="B1506" s="4" t="s">
        <v>40</v>
      </c>
      <c r="C1506" s="4">
        <v>1504.0</v>
      </c>
      <c r="D1506" s="5" t="str">
        <f>HYPERLINK("https://www.linkedin.com/ad-library/detail/742539944","Open Ad")</f>
        <v>Open Ad</v>
      </c>
      <c r="E1506" s="4" t="s">
        <v>78</v>
      </c>
      <c r="F1506" s="4" t="s">
        <v>54</v>
      </c>
      <c r="G1506" s="4" t="s">
        <v>5844</v>
      </c>
      <c r="H1506" s="4" t="s">
        <v>49</v>
      </c>
      <c r="I1506" s="4" t="s">
        <v>661</v>
      </c>
      <c r="J1506" s="4" t="s">
        <v>78</v>
      </c>
      <c r="K1506" s="5" t="str">
        <f>HYPERLINK("https://media.licdn.com/dms/image/v2/D4E10AQEALYKyfgFDkw/image-shrink_1280/B4EZjzsb41IIAM-/0/1756435169490?e=2147483647&amp;v=beta&amp;t=4ONivx_hI70DqePDpv-CaN4KBDxTNdSSIsW0axW2088","View Creative")</f>
        <v>View Creative</v>
      </c>
      <c r="L1506" s="4" t="s">
        <v>106</v>
      </c>
      <c r="M1506" s="4" t="s">
        <v>61</v>
      </c>
      <c r="O1506" s="4" t="s">
        <v>63</v>
      </c>
      <c r="P1506" s="4" t="s">
        <v>64</v>
      </c>
    </row>
    <row r="1507">
      <c r="A1507" s="4" t="s">
        <v>40</v>
      </c>
      <c r="B1507" s="4" t="s">
        <v>40</v>
      </c>
      <c r="C1507" s="4">
        <v>1505.0</v>
      </c>
      <c r="D1507" s="5" t="str">
        <f>HYPERLINK("https://www.linkedin.com/ad-library/detail/742479734","Open Ad")</f>
        <v>Open Ad</v>
      </c>
      <c r="E1507" s="4" t="s">
        <v>78</v>
      </c>
      <c r="F1507" s="4" t="s">
        <v>54</v>
      </c>
      <c r="G1507" s="4" t="s">
        <v>5844</v>
      </c>
      <c r="H1507" s="4" t="s">
        <v>49</v>
      </c>
      <c r="I1507" s="4" t="s">
        <v>661</v>
      </c>
      <c r="J1507" s="4" t="s">
        <v>78</v>
      </c>
      <c r="K1507" s="5" t="str">
        <f>HYPERLINK("https://media.licdn.com/dms/image/v2/D4E10AQFfkvtQdkE_9w/image-shrink_1280/B4EZjzsWr2IUAM-/0/1756435148118?e=2147483647&amp;v=beta&amp;t=aRIi4xbe9bMrbvzBd7Q2YEk9voJPTR4w4qI1BMs-VRs","View Creative")</f>
        <v>View Creative</v>
      </c>
      <c r="L1507" s="4" t="s">
        <v>106</v>
      </c>
      <c r="M1507" s="4" t="s">
        <v>61</v>
      </c>
      <c r="O1507" s="4" t="s">
        <v>63</v>
      </c>
      <c r="P1507" s="4" t="s">
        <v>64</v>
      </c>
    </row>
    <row r="1508">
      <c r="A1508" s="4" t="s">
        <v>40</v>
      </c>
      <c r="B1508" s="4" t="s">
        <v>40</v>
      </c>
      <c r="C1508" s="4">
        <v>1506.0</v>
      </c>
      <c r="D1508" s="5" t="str">
        <f>HYPERLINK("https://www.linkedin.com/ad-library/detail/742518614","Open Ad")</f>
        <v>Open Ad</v>
      </c>
      <c r="E1508" s="4" t="s">
        <v>78</v>
      </c>
      <c r="F1508" s="4" t="s">
        <v>54</v>
      </c>
      <c r="G1508" s="4" t="s">
        <v>5844</v>
      </c>
      <c r="H1508" s="4" t="s">
        <v>49</v>
      </c>
      <c r="I1508" s="4" t="s">
        <v>661</v>
      </c>
      <c r="J1508" s="4" t="s">
        <v>78</v>
      </c>
      <c r="K1508" s="5" t="str">
        <f>HYPERLINK("https://media.licdn.com/dms/image/v2/D4E10AQEbNJg0C5BFMA/image-shrink_1280/B4EZjzsg3NGYAM-/0/1756435189796?e=2147483647&amp;v=beta&amp;t=OXZo2oXOHviFk2b9ttTyAeglHfhKz5v7EFHXN9kRF94","View Creative")</f>
        <v>View Creative</v>
      </c>
      <c r="L1508" s="4" t="s">
        <v>106</v>
      </c>
      <c r="M1508" s="4" t="s">
        <v>61</v>
      </c>
      <c r="O1508" s="4" t="s">
        <v>63</v>
      </c>
      <c r="P1508" s="4" t="s">
        <v>64</v>
      </c>
    </row>
    <row r="1509">
      <c r="A1509" s="4" t="s">
        <v>40</v>
      </c>
      <c r="B1509" s="4" t="s">
        <v>40</v>
      </c>
      <c r="C1509" s="4">
        <v>1507.0</v>
      </c>
      <c r="D1509" s="5" t="str">
        <f>HYPERLINK("https://www.linkedin.com/ad-library/detail/742518624","Open Ad")</f>
        <v>Open Ad</v>
      </c>
      <c r="E1509" s="4" t="s">
        <v>78</v>
      </c>
      <c r="F1509" s="4" t="s">
        <v>54</v>
      </c>
      <c r="G1509" s="4" t="s">
        <v>5844</v>
      </c>
      <c r="H1509" s="4" t="s">
        <v>49</v>
      </c>
      <c r="I1509" s="4" t="s">
        <v>661</v>
      </c>
      <c r="J1509" s="4" t="s">
        <v>78</v>
      </c>
      <c r="K1509" s="5" t="str">
        <f>HYPERLINK("https://media.licdn.com/dms/image/v2/D4E10AQE-br2oirv_nw/image-shrink_1280/B4EZjzshGBGcAQ-/0/1756435190920?e=2147483647&amp;v=beta&amp;t=G9gBIhZpQdeZGfAzRaUcUV5GlfRFLJGMmG3biNtZ-j0","View Creative")</f>
        <v>View Creative</v>
      </c>
      <c r="L1509" s="4" t="s">
        <v>106</v>
      </c>
      <c r="M1509" s="4" t="s">
        <v>61</v>
      </c>
      <c r="O1509" s="4" t="s">
        <v>63</v>
      </c>
      <c r="P1509" s="4" t="s">
        <v>64</v>
      </c>
    </row>
    <row r="1510">
      <c r="A1510" s="4" t="s">
        <v>40</v>
      </c>
      <c r="B1510" s="4" t="s">
        <v>40</v>
      </c>
      <c r="C1510" s="4">
        <v>1508.0</v>
      </c>
      <c r="D1510" s="5" t="str">
        <f>HYPERLINK("https://www.linkedin.com/ad-library/detail/742449334","Open Ad")</f>
        <v>Open Ad</v>
      </c>
      <c r="E1510" s="4" t="s">
        <v>78</v>
      </c>
      <c r="F1510" s="4" t="s">
        <v>54</v>
      </c>
      <c r="G1510" s="4" t="s">
        <v>5846</v>
      </c>
      <c r="H1510" s="4" t="s">
        <v>49</v>
      </c>
      <c r="I1510" s="4" t="s">
        <v>661</v>
      </c>
      <c r="J1510" s="4" t="s">
        <v>78</v>
      </c>
      <c r="K1510" s="5" t="str">
        <f>HYPERLINK("https://media.licdn.com/dms/image/v2/D4E10AQFYvN7LKOHF2A/image-shrink_1280/B4EZjzshKwHoAQ-/0/1756435191342?e=2147483647&amp;v=beta&amp;t=NRJMwk3GJnA342qToI0OD0M8ZxQqe2-kRxJFaN0Bfp8","View Creative")</f>
        <v>View Creative</v>
      </c>
      <c r="L1510" s="4" t="s">
        <v>106</v>
      </c>
      <c r="M1510" s="4" t="s">
        <v>61</v>
      </c>
      <c r="O1510" s="4" t="s">
        <v>63</v>
      </c>
      <c r="P1510" s="4" t="s">
        <v>64</v>
      </c>
    </row>
    <row r="1511">
      <c r="A1511" s="4" t="s">
        <v>40</v>
      </c>
      <c r="B1511" s="4" t="s">
        <v>40</v>
      </c>
      <c r="C1511" s="4">
        <v>1509.0</v>
      </c>
      <c r="D1511" s="5" t="str">
        <f>HYPERLINK("https://www.linkedin.com/ad-library/detail/742539924","Open Ad")</f>
        <v>Open Ad</v>
      </c>
      <c r="E1511" s="4" t="s">
        <v>78</v>
      </c>
      <c r="F1511" s="4" t="s">
        <v>54</v>
      </c>
      <c r="G1511" s="4" t="s">
        <v>5846</v>
      </c>
      <c r="H1511" s="4" t="s">
        <v>49</v>
      </c>
      <c r="I1511" s="4" t="s">
        <v>661</v>
      </c>
      <c r="J1511" s="4" t="s">
        <v>78</v>
      </c>
      <c r="K1511" s="5" t="str">
        <f>HYPERLINK("https://media.licdn.com/dms/image/v2/D4E10AQEX_hZ6V2TXoQ/image-shrink_1280/B4EZjzsbt.IMAM-/0/1756435168782?e=2147483647&amp;v=beta&amp;t=jMV3AxLSFhcS6POnZotyEAaMSb4dWMVjZWEAnc8ny24","View Creative")</f>
        <v>View Creative</v>
      </c>
      <c r="L1511" s="4" t="s">
        <v>106</v>
      </c>
      <c r="M1511" s="4" t="s">
        <v>61</v>
      </c>
      <c r="O1511" s="4" t="s">
        <v>63</v>
      </c>
      <c r="P1511" s="4" t="s">
        <v>64</v>
      </c>
    </row>
    <row r="1512">
      <c r="A1512" s="4" t="s">
        <v>40</v>
      </c>
      <c r="B1512" s="4" t="s">
        <v>40</v>
      </c>
      <c r="C1512" s="4">
        <v>1510.0</v>
      </c>
      <c r="D1512" s="5" t="str">
        <f>HYPERLINK("https://www.linkedin.com/ad-library/detail/742518604","Open Ad")</f>
        <v>Open Ad</v>
      </c>
      <c r="E1512" s="4" t="s">
        <v>78</v>
      </c>
      <c r="F1512" s="4" t="s">
        <v>54</v>
      </c>
      <c r="G1512" s="4" t="s">
        <v>5844</v>
      </c>
      <c r="H1512" s="4" t="s">
        <v>49</v>
      </c>
      <c r="I1512" s="4" t="s">
        <v>661</v>
      </c>
      <c r="J1512" s="4" t="s">
        <v>78</v>
      </c>
      <c r="K1512" s="5" t="str">
        <f>HYPERLINK("https://media.licdn.com/dms/image/v2/D4E10AQFM2GM8AOSVOA/image-shrink_1280/B4EZjzsWUBHEAM-/0/1756435147069?e=2147483647&amp;v=beta&amp;t=qgF8Kw29RwuafZSutkli7l725UxQ0-2qHxIOQv-RlxE","View Creative")</f>
        <v>View Creative</v>
      </c>
      <c r="L1512" s="4" t="s">
        <v>106</v>
      </c>
      <c r="M1512" s="4" t="s">
        <v>61</v>
      </c>
      <c r="O1512" s="4" t="s">
        <v>63</v>
      </c>
      <c r="P1512" s="4" t="s">
        <v>64</v>
      </c>
    </row>
    <row r="1513">
      <c r="A1513" s="4" t="s">
        <v>40</v>
      </c>
      <c r="B1513" s="4" t="s">
        <v>40</v>
      </c>
      <c r="C1513" s="4">
        <v>1511.0</v>
      </c>
      <c r="D1513" s="5" t="str">
        <f>HYPERLINK("https://www.linkedin.com/ad-library/detail/742449324","Open Ad")</f>
        <v>Open Ad</v>
      </c>
      <c r="E1513" s="4" t="s">
        <v>78</v>
      </c>
      <c r="F1513" s="4" t="s">
        <v>54</v>
      </c>
      <c r="G1513" s="4" t="s">
        <v>5844</v>
      </c>
      <c r="H1513" s="4" t="s">
        <v>49</v>
      </c>
      <c r="I1513" s="4" t="s">
        <v>661</v>
      </c>
      <c r="J1513" s="4" t="s">
        <v>78</v>
      </c>
      <c r="K1513" s="5" t="str">
        <f>HYPERLINK("https://media.licdn.com/dms/image/v2/D4E10AQHZa6fRbr1fRw/image-shrink_1280/B4EZjzsg4xGYAU-/0/1756435189993?e=2147483647&amp;v=beta&amp;t=O5ZVDE05YDQQKB0ZD-WflftUcCu2bTSQht0hgxgqD-U","View Creative")</f>
        <v>View Creative</v>
      </c>
      <c r="L1513" s="4" t="s">
        <v>106</v>
      </c>
      <c r="M1513" s="4" t="s">
        <v>61</v>
      </c>
      <c r="O1513" s="4" t="s">
        <v>63</v>
      </c>
      <c r="P1513" s="4" t="s">
        <v>64</v>
      </c>
    </row>
    <row r="1514">
      <c r="A1514" s="4" t="s">
        <v>40</v>
      </c>
      <c r="B1514" s="4" t="s">
        <v>40</v>
      </c>
      <c r="C1514" s="4">
        <v>1512.0</v>
      </c>
      <c r="D1514" s="5" t="str">
        <f>HYPERLINK("https://www.linkedin.com/ad-library/detail/742449314","Open Ad")</f>
        <v>Open Ad</v>
      </c>
      <c r="E1514" s="4" t="s">
        <v>78</v>
      </c>
      <c r="F1514" s="4" t="s">
        <v>54</v>
      </c>
      <c r="G1514" s="4" t="s">
        <v>5846</v>
      </c>
      <c r="H1514" s="4" t="s">
        <v>49</v>
      </c>
      <c r="I1514" s="4" t="s">
        <v>661</v>
      </c>
      <c r="J1514" s="4" t="s">
        <v>78</v>
      </c>
      <c r="K1514" s="5" t="str">
        <f>HYPERLINK("https://media.licdn.com/dms/image/v2/D4E10AQE8j9L_GvvUIw/image-shrink_1280/B4EZjzsgjfGoAQ-/0/1756435188843?e=2147483647&amp;v=beta&amp;t=pe68u9tgyehw_CxVCP023nsQFWjS7n-r5EU4WNyxBv4","View Creative")</f>
        <v>View Creative</v>
      </c>
      <c r="L1514" s="4" t="s">
        <v>106</v>
      </c>
      <c r="M1514" s="4" t="s">
        <v>61</v>
      </c>
      <c r="O1514" s="4" t="s">
        <v>63</v>
      </c>
      <c r="P1514" s="4" t="s">
        <v>64</v>
      </c>
    </row>
    <row r="1515">
      <c r="A1515" s="4" t="s">
        <v>40</v>
      </c>
      <c r="B1515" s="4" t="s">
        <v>40</v>
      </c>
      <c r="C1515" s="4">
        <v>1513.0</v>
      </c>
      <c r="D1515" s="5" t="str">
        <f>HYPERLINK("https://www.linkedin.com/ad-library/detail/742549784","Open Ad")</f>
        <v>Open Ad</v>
      </c>
      <c r="E1515" s="4" t="s">
        <v>78</v>
      </c>
      <c r="F1515" s="4" t="s">
        <v>54</v>
      </c>
      <c r="G1515" s="4" t="s">
        <v>5846</v>
      </c>
      <c r="H1515" s="4" t="s">
        <v>49</v>
      </c>
      <c r="I1515" s="4" t="s">
        <v>661</v>
      </c>
      <c r="J1515" s="4" t="s">
        <v>78</v>
      </c>
      <c r="K1515" s="5" t="str">
        <f>HYPERLINK("https://media.licdn.com/dms/image/v2/D4E10AQH1HWq6SeL4lA/image-shrink_1280/B4EZjzsRFCIIAM-/0/1756435125514?e=2147483647&amp;v=beta&amp;t=KzrQ6d9zk4eQBP-xSbMYMQ_pmgRE5AXsVWlEq7bWBf8","View Creative")</f>
        <v>View Creative</v>
      </c>
      <c r="L1515" s="4" t="s">
        <v>106</v>
      </c>
      <c r="M1515" s="4" t="s">
        <v>61</v>
      </c>
      <c r="O1515" s="4" t="s">
        <v>63</v>
      </c>
      <c r="P1515" s="4" t="s">
        <v>64</v>
      </c>
    </row>
    <row r="1516">
      <c r="A1516" s="4" t="s">
        <v>40</v>
      </c>
      <c r="B1516" s="4" t="s">
        <v>40</v>
      </c>
      <c r="C1516" s="4">
        <v>1514.0</v>
      </c>
      <c r="D1516" s="5" t="str">
        <f>HYPERLINK("https://www.linkedin.com/ad-library/detail/742469624","Open Ad")</f>
        <v>Open Ad</v>
      </c>
      <c r="E1516" s="4" t="s">
        <v>78</v>
      </c>
      <c r="F1516" s="4" t="s">
        <v>54</v>
      </c>
      <c r="G1516" s="4" t="s">
        <v>5844</v>
      </c>
      <c r="H1516" s="4" t="s">
        <v>49</v>
      </c>
      <c r="I1516" s="4" t="s">
        <v>661</v>
      </c>
      <c r="J1516" s="4" t="s">
        <v>78</v>
      </c>
      <c r="K1516" s="5" t="str">
        <f>HYPERLINK("https://media.licdn.com/dms/image/v2/D4E10AQEZ52ldOcpoLA/image-shrink_1280/B4EZjzsLHIIIAM-/0/1756435101109?e=2147483647&amp;v=beta&amp;t=_zNcSwDSQju6oGXJtdGuVebVeTDGPVCIL2tP8DjyecQ","View Creative")</f>
        <v>View Creative</v>
      </c>
      <c r="L1516" s="4" t="s">
        <v>106</v>
      </c>
      <c r="M1516" s="4" t="s">
        <v>61</v>
      </c>
      <c r="O1516" s="4" t="s">
        <v>63</v>
      </c>
      <c r="P1516" s="4" t="s">
        <v>64</v>
      </c>
    </row>
    <row r="1517">
      <c r="A1517" s="4" t="s">
        <v>40</v>
      </c>
      <c r="B1517" s="4" t="s">
        <v>40</v>
      </c>
      <c r="C1517" s="4">
        <v>1515.0</v>
      </c>
      <c r="D1517" s="5" t="str">
        <f>HYPERLINK("https://www.linkedin.com/ad-library/detail/742469634","Open Ad")</f>
        <v>Open Ad</v>
      </c>
      <c r="E1517" s="4" t="s">
        <v>78</v>
      </c>
      <c r="F1517" s="4" t="s">
        <v>54</v>
      </c>
      <c r="G1517" s="4" t="s">
        <v>5844</v>
      </c>
      <c r="H1517" s="4" t="s">
        <v>49</v>
      </c>
      <c r="I1517" s="4" t="s">
        <v>661</v>
      </c>
      <c r="J1517" s="4" t="s">
        <v>78</v>
      </c>
      <c r="K1517" s="5" t="str">
        <f>HYPERLINK("https://media.licdn.com/dms/image/v2/D4E10AQFRMBk8pLADNQ/image-shrink_1280/B4EZjzsQ_pGoAY-/0/1756435125341?e=2147483647&amp;v=beta&amp;t=uixYtMWvMEr5Kk5ni5pS7M4KWqWVP3frnFGaxhNwGrY","View Creative")</f>
        <v>View Creative</v>
      </c>
      <c r="L1517" s="4" t="s">
        <v>106</v>
      </c>
      <c r="M1517" s="4" t="s">
        <v>61</v>
      </c>
      <c r="O1517" s="4" t="s">
        <v>63</v>
      </c>
      <c r="P1517" s="4" t="s">
        <v>64</v>
      </c>
    </row>
    <row r="1518">
      <c r="A1518" s="4" t="s">
        <v>40</v>
      </c>
      <c r="B1518" s="4" t="s">
        <v>40</v>
      </c>
      <c r="C1518" s="4">
        <v>1516.0</v>
      </c>
      <c r="D1518" s="5" t="str">
        <f>HYPERLINK("https://www.linkedin.com/ad-library/detail/742469644","Open Ad")</f>
        <v>Open Ad</v>
      </c>
      <c r="E1518" s="4" t="s">
        <v>78</v>
      </c>
      <c r="F1518" s="4" t="s">
        <v>54</v>
      </c>
      <c r="G1518" s="4" t="s">
        <v>5844</v>
      </c>
      <c r="H1518" s="4" t="s">
        <v>49</v>
      </c>
      <c r="I1518" s="4" t="s">
        <v>661</v>
      </c>
      <c r="J1518" s="4" t="s">
        <v>78</v>
      </c>
      <c r="K1518" s="5" t="str">
        <f>HYPERLINK("https://media.licdn.com/dms/image/v2/D4E10AQFCpGUY7YUmSg/image-shrink_1280/B4EZjzsWAMIIAM-/0/1756435145345?e=2147483647&amp;v=beta&amp;t=KDhaPvj-u_DriZ4LR1fWOuPhi4HhUll4vH0znLtaodk","View Creative")</f>
        <v>View Creative</v>
      </c>
      <c r="L1518" s="4" t="s">
        <v>106</v>
      </c>
      <c r="M1518" s="4" t="s">
        <v>61</v>
      </c>
      <c r="O1518" s="4" t="s">
        <v>63</v>
      </c>
      <c r="P1518" s="4" t="s">
        <v>64</v>
      </c>
    </row>
    <row r="1519">
      <c r="A1519" s="4" t="s">
        <v>40</v>
      </c>
      <c r="B1519" s="4" t="s">
        <v>40</v>
      </c>
      <c r="C1519" s="4">
        <v>1517.0</v>
      </c>
      <c r="D1519" s="5" t="str">
        <f>HYPERLINK("https://www.linkedin.com/ad-library/detail/742509704","Open Ad")</f>
        <v>Open Ad</v>
      </c>
      <c r="E1519" s="4" t="s">
        <v>78</v>
      </c>
      <c r="F1519" s="4" t="s">
        <v>54</v>
      </c>
      <c r="G1519" s="4" t="s">
        <v>5844</v>
      </c>
      <c r="H1519" s="4" t="s">
        <v>49</v>
      </c>
      <c r="I1519" s="4" t="s">
        <v>661</v>
      </c>
      <c r="J1519" s="4" t="s">
        <v>78</v>
      </c>
      <c r="K1519" s="5" t="str">
        <f>HYPERLINK("https://media.licdn.com/dms/image/v2/D4E10AQHuHMoHVzTG-Q/image-shrink_1280/B4EZjzsQ8CGcAQ-/0/1756435125339?e=2147483647&amp;v=beta&amp;t=IDxxhAgeMLsqhwnhqn3C1HnflgAe7_vTqDJWF6sX5UA","View Creative")</f>
        <v>View Creative</v>
      </c>
      <c r="L1519" s="4" t="s">
        <v>106</v>
      </c>
      <c r="M1519" s="4" t="s">
        <v>61</v>
      </c>
      <c r="O1519" s="4" t="s">
        <v>63</v>
      </c>
      <c r="P1519" s="4" t="s">
        <v>64</v>
      </c>
    </row>
    <row r="1520">
      <c r="A1520" s="4" t="s">
        <v>40</v>
      </c>
      <c r="B1520" s="4" t="s">
        <v>40</v>
      </c>
      <c r="C1520" s="4">
        <v>1518.0</v>
      </c>
      <c r="D1520" s="5" t="str">
        <f>HYPERLINK("https://www.linkedin.com/ad-library/detail/742439604","Open Ad")</f>
        <v>Open Ad</v>
      </c>
      <c r="E1520" s="4" t="s">
        <v>78</v>
      </c>
      <c r="F1520" s="4" t="s">
        <v>54</v>
      </c>
      <c r="G1520" s="4" t="s">
        <v>5844</v>
      </c>
      <c r="H1520" s="4" t="s">
        <v>49</v>
      </c>
      <c r="I1520" s="4" t="s">
        <v>661</v>
      </c>
      <c r="J1520" s="4" t="s">
        <v>78</v>
      </c>
      <c r="K1520" s="5" t="str">
        <f>HYPERLINK("https://media.licdn.com/dms/image/v2/D4E10AQHCYA_uBH2kTA/image-shrink_1280/B4EZjzsLliIIAM-/0/1756435102697?e=2147483647&amp;v=beta&amp;t=5VhjtW12kF5xprOmqTxpkc2h5LxuyEUuq5VGlPtAptM","View Creative")</f>
        <v>View Creative</v>
      </c>
      <c r="L1520" s="4" t="s">
        <v>106</v>
      </c>
      <c r="M1520" s="4" t="s">
        <v>61</v>
      </c>
      <c r="O1520" s="4" t="s">
        <v>63</v>
      </c>
      <c r="P1520" s="4" t="s">
        <v>64</v>
      </c>
    </row>
    <row r="1521">
      <c r="A1521" s="4" t="s">
        <v>40</v>
      </c>
      <c r="B1521" s="4" t="s">
        <v>40</v>
      </c>
      <c r="C1521" s="4">
        <v>1519.0</v>
      </c>
      <c r="D1521" s="5" t="str">
        <f>HYPERLINK("https://www.linkedin.com/ad-library/detail/742509664","Open Ad")</f>
        <v>Open Ad</v>
      </c>
      <c r="E1521" s="4" t="s">
        <v>78</v>
      </c>
      <c r="F1521" s="4" t="s">
        <v>54</v>
      </c>
      <c r="G1521" s="4" t="s">
        <v>5844</v>
      </c>
      <c r="H1521" s="4" t="s">
        <v>49</v>
      </c>
      <c r="I1521" s="4" t="s">
        <v>661</v>
      </c>
      <c r="J1521" s="4" t="s">
        <v>78</v>
      </c>
      <c r="K1521" s="5" t="str">
        <f>HYPERLINK("https://media.licdn.com/dms/image/v2/D4E10AQG76jHucAzD2w/image-shrink_1280/B4EZjzsGVjGoAM-/0/1756435081159?e=2147483647&amp;v=beta&amp;t=kcrbHO6EnKuG92GvdRmfckp6FujHamZM747QLNAxmWI","View Creative")</f>
        <v>View Creative</v>
      </c>
      <c r="L1521" s="4" t="s">
        <v>106</v>
      </c>
      <c r="M1521" s="4" t="s">
        <v>61</v>
      </c>
      <c r="O1521" s="4" t="s">
        <v>63</v>
      </c>
      <c r="P1521" s="4" t="s">
        <v>64</v>
      </c>
    </row>
    <row r="1522">
      <c r="A1522" s="4" t="s">
        <v>40</v>
      </c>
      <c r="B1522" s="4" t="s">
        <v>40</v>
      </c>
      <c r="C1522" s="4">
        <v>1520.0</v>
      </c>
      <c r="D1522" s="5" t="str">
        <f>HYPERLINK("https://www.linkedin.com/ad-library/detail/742509674","Open Ad")</f>
        <v>Open Ad</v>
      </c>
      <c r="E1522" s="4" t="s">
        <v>78</v>
      </c>
      <c r="F1522" s="4" t="s">
        <v>54</v>
      </c>
      <c r="G1522" s="4" t="s">
        <v>5844</v>
      </c>
      <c r="H1522" s="4" t="s">
        <v>49</v>
      </c>
      <c r="I1522" s="4" t="s">
        <v>661</v>
      </c>
      <c r="J1522" s="4" t="s">
        <v>78</v>
      </c>
      <c r="K1522" s="5" t="str">
        <f>HYPERLINK("https://media.licdn.com/dms/image/v2/D4E10AQFuFDC7_XhutQ/image-shrink_1280/B4EZjzsGd6IIAM-/0/1756435081685?e=2147483647&amp;v=beta&amp;t=AyVBaeT-btoxrsv__CzfjMNqs6K_ykY4RVak_UuNUuo","View Creative")</f>
        <v>View Creative</v>
      </c>
      <c r="L1522" s="4" t="s">
        <v>106</v>
      </c>
      <c r="M1522" s="4" t="s">
        <v>61</v>
      </c>
      <c r="O1522" s="4" t="s">
        <v>63</v>
      </c>
      <c r="P1522" s="4" t="s">
        <v>64</v>
      </c>
    </row>
    <row r="1523">
      <c r="A1523" s="4" t="s">
        <v>40</v>
      </c>
      <c r="B1523" s="4" t="s">
        <v>40</v>
      </c>
      <c r="C1523" s="4">
        <v>1521.0</v>
      </c>
      <c r="D1523" s="5" t="str">
        <f>HYPERLINK("https://www.linkedin.com/ad-library/detail/742527784","Open Ad")</f>
        <v>Open Ad</v>
      </c>
      <c r="E1523" s="4" t="s">
        <v>78</v>
      </c>
      <c r="F1523" s="4" t="s">
        <v>54</v>
      </c>
      <c r="G1523" s="4" t="s">
        <v>5844</v>
      </c>
      <c r="H1523" s="4" t="s">
        <v>49</v>
      </c>
      <c r="I1523" s="4" t="s">
        <v>661</v>
      </c>
      <c r="J1523" s="4" t="s">
        <v>78</v>
      </c>
      <c r="K1523" s="5" t="str">
        <f>HYPERLINK("https://media.licdn.com/dms/image/v2/D4E10AQEua6sDABtgEg/image-shrink_1280/B4EZjzsRFqGoAM-/0/1756435125442?e=2147483647&amp;v=beta&amp;t=ptF1t3-qWWDAPhno01Iswv8fO0y-0vnJbJcsEHbqgpU","View Creative")</f>
        <v>View Creative</v>
      </c>
      <c r="L1523" s="4" t="s">
        <v>106</v>
      </c>
      <c r="M1523" s="4" t="s">
        <v>61</v>
      </c>
      <c r="O1523" s="4" t="s">
        <v>63</v>
      </c>
      <c r="P1523" s="4" t="s">
        <v>64</v>
      </c>
    </row>
    <row r="1524">
      <c r="A1524" s="4" t="s">
        <v>40</v>
      </c>
      <c r="B1524" s="4" t="s">
        <v>40</v>
      </c>
      <c r="C1524" s="4">
        <v>1522.0</v>
      </c>
      <c r="D1524" s="5" t="str">
        <f>HYPERLINK("https://www.linkedin.com/ad-library/detail/742509684","Open Ad")</f>
        <v>Open Ad</v>
      </c>
      <c r="E1524" s="4" t="s">
        <v>78</v>
      </c>
      <c r="F1524" s="4" t="s">
        <v>54</v>
      </c>
      <c r="G1524" s="4" t="s">
        <v>5844</v>
      </c>
      <c r="H1524" s="4" t="s">
        <v>49</v>
      </c>
      <c r="I1524" s="4" t="s">
        <v>661</v>
      </c>
      <c r="J1524" s="4" t="s">
        <v>78</v>
      </c>
      <c r="K1524" s="5" t="str">
        <f>HYPERLINK("https://media.licdn.com/dms/image/v2/D4E10AQHfmpKTyzHhUw/image-shrink_1280/B4EZjzsLIjIMAM-/0/1756435101117?e=2147483647&amp;v=beta&amp;t=hm2uyPfBpqbLIMT6sLiqSRxXUTnk5zsEmBbGGxjkUxQ","View Creative")</f>
        <v>View Creative</v>
      </c>
      <c r="L1524" s="4" t="s">
        <v>106</v>
      </c>
      <c r="M1524" s="4" t="s">
        <v>61</v>
      </c>
      <c r="O1524" s="4" t="s">
        <v>63</v>
      </c>
      <c r="P1524" s="4" t="s">
        <v>64</v>
      </c>
    </row>
    <row r="1525">
      <c r="A1525" s="4" t="s">
        <v>40</v>
      </c>
      <c r="B1525" s="4" t="s">
        <v>40</v>
      </c>
      <c r="C1525" s="4">
        <v>1523.0</v>
      </c>
      <c r="D1525" s="5" t="str">
        <f>HYPERLINK("https://www.linkedin.com/ad-library/detail/742509694","Open Ad")</f>
        <v>Open Ad</v>
      </c>
      <c r="E1525" s="4" t="s">
        <v>78</v>
      </c>
      <c r="F1525" s="4" t="s">
        <v>54</v>
      </c>
      <c r="G1525" s="4" t="s">
        <v>5846</v>
      </c>
      <c r="H1525" s="4" t="s">
        <v>49</v>
      </c>
      <c r="I1525" s="4" t="s">
        <v>661</v>
      </c>
      <c r="J1525" s="4" t="s">
        <v>78</v>
      </c>
      <c r="K1525" s="5" t="str">
        <f>HYPERLINK("https://media.licdn.com/dms/image/v2/D4E10AQEQQYuw9eURtw/image-shrink_1280/B4EZjzsLWMIIAM-/0/1756435101923?e=2147483647&amp;v=beta&amp;t=Zjd-fulyYLEt-fON8TDeqhIWltEddqRvSqsFstVBl3w","View Creative")</f>
        <v>View Creative</v>
      </c>
      <c r="L1525" s="4" t="s">
        <v>106</v>
      </c>
      <c r="M1525" s="4" t="s">
        <v>61</v>
      </c>
      <c r="O1525" s="4" t="s">
        <v>63</v>
      </c>
      <c r="P1525" s="4" t="s">
        <v>64</v>
      </c>
    </row>
    <row r="1526">
      <c r="A1526" s="4" t="s">
        <v>40</v>
      </c>
      <c r="B1526" s="4" t="s">
        <v>40</v>
      </c>
      <c r="C1526" s="4">
        <v>1524.0</v>
      </c>
      <c r="D1526" s="5" t="str">
        <f>HYPERLINK("https://www.linkedin.com/ad-library/detail/742499674","Open Ad")</f>
        <v>Open Ad</v>
      </c>
      <c r="E1526" s="4" t="s">
        <v>78</v>
      </c>
      <c r="F1526" s="4" t="s">
        <v>54</v>
      </c>
      <c r="G1526" s="4" t="s">
        <v>5844</v>
      </c>
      <c r="H1526" s="4" t="s">
        <v>49</v>
      </c>
      <c r="I1526" s="4" t="s">
        <v>661</v>
      </c>
      <c r="J1526" s="4" t="s">
        <v>78</v>
      </c>
      <c r="K1526" s="5" t="str">
        <f>HYPERLINK("https://media.licdn.com/dms/image/v2/D4E10AQFsInmELMTpOA/image-shrink_1280/B4EZjzsRZqIUAQ-/0/1756435127094?e=2147483647&amp;v=beta&amp;t=syaVDCIpVSRQKDJpPc9AeMFKk9sA6x6HJ3EDkjdJTJI","View Creative")</f>
        <v>View Creative</v>
      </c>
      <c r="L1526" s="4" t="s">
        <v>106</v>
      </c>
      <c r="M1526" s="4" t="s">
        <v>61</v>
      </c>
      <c r="O1526" s="4" t="s">
        <v>63</v>
      </c>
      <c r="P1526" s="4" t="s">
        <v>64</v>
      </c>
    </row>
    <row r="1527">
      <c r="A1527" s="4" t="s">
        <v>40</v>
      </c>
      <c r="B1527" s="4" t="s">
        <v>40</v>
      </c>
      <c r="C1527" s="4">
        <v>1525.0</v>
      </c>
      <c r="D1527" s="5" t="str">
        <f>HYPERLINK("https://www.linkedin.com/ad-library/detail/742479674","Open Ad")</f>
        <v>Open Ad</v>
      </c>
      <c r="E1527" s="4" t="s">
        <v>78</v>
      </c>
      <c r="F1527" s="4" t="s">
        <v>54</v>
      </c>
      <c r="G1527" s="4" t="s">
        <v>5846</v>
      </c>
      <c r="H1527" s="4" t="s">
        <v>49</v>
      </c>
      <c r="I1527" s="4" t="s">
        <v>661</v>
      </c>
      <c r="J1527" s="4" t="s">
        <v>78</v>
      </c>
      <c r="K1527" s="5" t="str">
        <f>HYPERLINK("https://media.licdn.com/dms/image/v2/D4E10AQEdZj-vJ8lyIw/image-shrink_1280/B4EZjzsMABIMAM-/0/1756435104359?e=2147483647&amp;v=beta&amp;t=MKDyBfoLFAoaQTkZ_dLcYijRsbtU7-AmNtnFM4-MG6I","View Creative")</f>
        <v>View Creative</v>
      </c>
      <c r="L1527" s="4" t="s">
        <v>106</v>
      </c>
      <c r="M1527" s="4" t="s">
        <v>61</v>
      </c>
      <c r="O1527" s="4" t="s">
        <v>63</v>
      </c>
      <c r="P1527" s="4" t="s">
        <v>64</v>
      </c>
    </row>
    <row r="1528">
      <c r="A1528" s="4" t="s">
        <v>40</v>
      </c>
      <c r="B1528" s="4" t="s">
        <v>40</v>
      </c>
      <c r="C1528" s="4">
        <v>1526.0</v>
      </c>
      <c r="D1528" s="5" t="str">
        <f>HYPERLINK("https://www.linkedin.com/ad-library/detail/742499664","Open Ad")</f>
        <v>Open Ad</v>
      </c>
      <c r="E1528" s="4" t="s">
        <v>78</v>
      </c>
      <c r="F1528" s="4" t="s">
        <v>54</v>
      </c>
      <c r="G1528" s="4" t="s">
        <v>5844</v>
      </c>
      <c r="H1528" s="4" t="s">
        <v>49</v>
      </c>
      <c r="I1528" s="4" t="s">
        <v>661</v>
      </c>
      <c r="J1528" s="4" t="s">
        <v>78</v>
      </c>
      <c r="K1528" s="5" t="str">
        <f>HYPERLINK("https://media.licdn.com/dms/image/v2/D4E10AQGk7kOMA1GeRg/image-shrink_1280/B4EZjzsRMKIMAM-/0/1756435125616?e=2147483647&amp;v=beta&amp;t=CGqNerRwwIbWyg8R1ywRjtwNjIUeTHP97Amwms4CRB4","View Creative")</f>
        <v>View Creative</v>
      </c>
      <c r="L1528" s="4" t="s">
        <v>106</v>
      </c>
      <c r="M1528" s="4" t="s">
        <v>61</v>
      </c>
      <c r="O1528" s="4" t="s">
        <v>63</v>
      </c>
      <c r="P1528" s="4" t="s">
        <v>64</v>
      </c>
    </row>
    <row r="1529">
      <c r="A1529" s="4" t="s">
        <v>40</v>
      </c>
      <c r="B1529" s="4" t="s">
        <v>40</v>
      </c>
      <c r="C1529" s="4">
        <v>1527.0</v>
      </c>
      <c r="D1529" s="5" t="str">
        <f>HYPERLINK("https://www.linkedin.com/ad-library/detail/742479654","Open Ad")</f>
        <v>Open Ad</v>
      </c>
      <c r="E1529" s="4" t="s">
        <v>78</v>
      </c>
      <c r="F1529" s="4" t="s">
        <v>54</v>
      </c>
      <c r="G1529" s="4" t="s">
        <v>5844</v>
      </c>
      <c r="H1529" s="4" t="s">
        <v>49</v>
      </c>
      <c r="I1529" s="4" t="s">
        <v>661</v>
      </c>
      <c r="J1529" s="4" t="s">
        <v>78</v>
      </c>
      <c r="K1529" s="5" t="str">
        <f>HYPERLINK("https://media.licdn.com/dms/image/v2/D4E10AQF1xiIDACm8Ag/image-shrink_1280/B4EZjzsLDUGoAc-/0/1756435100909?e=2147483647&amp;v=beta&amp;t=ylRRGEFj-AIaL6RRBR-0gGimKdSUDReGryKDI9j8B6g","View Creative")</f>
        <v>View Creative</v>
      </c>
      <c r="L1529" s="4" t="s">
        <v>106</v>
      </c>
      <c r="M1529" s="4" t="s">
        <v>61</v>
      </c>
      <c r="O1529" s="4" t="s">
        <v>63</v>
      </c>
      <c r="P1529" s="4" t="s">
        <v>64</v>
      </c>
    </row>
    <row r="1530">
      <c r="A1530" s="4" t="s">
        <v>40</v>
      </c>
      <c r="B1530" s="4" t="s">
        <v>40</v>
      </c>
      <c r="C1530" s="4">
        <v>1528.0</v>
      </c>
      <c r="D1530" s="5" t="str">
        <f>HYPERLINK("https://www.linkedin.com/ad-library/detail/742539904","Open Ad")</f>
        <v>Open Ad</v>
      </c>
      <c r="E1530" s="4" t="s">
        <v>78</v>
      </c>
      <c r="F1530" s="4" t="s">
        <v>54</v>
      </c>
      <c r="G1530" s="4" t="s">
        <v>5844</v>
      </c>
      <c r="H1530" s="4" t="s">
        <v>49</v>
      </c>
      <c r="I1530" s="4" t="s">
        <v>661</v>
      </c>
      <c r="J1530" s="4" t="s">
        <v>78</v>
      </c>
      <c r="K1530" s="5" t="str">
        <f>HYPERLINK("https://media.licdn.com/dms/image/v2/D4E10AQGWAVfgTwdUNw/image-shrink_1280/B4EZjzsRLzHoAU-/0/1756435125868?e=2147483647&amp;v=beta&amp;t=3pZk4Jt9xisYLxXepPhYSynIBlk-fJ_lIgID2rD1_Ik","View Creative")</f>
        <v>View Creative</v>
      </c>
      <c r="L1530" s="4" t="s">
        <v>106</v>
      </c>
      <c r="M1530" s="4" t="s">
        <v>61</v>
      </c>
      <c r="O1530" s="4" t="s">
        <v>63</v>
      </c>
      <c r="P1530" s="4" t="s">
        <v>64</v>
      </c>
    </row>
    <row r="1531">
      <c r="A1531" s="4" t="s">
        <v>40</v>
      </c>
      <c r="B1531" s="4" t="s">
        <v>40</v>
      </c>
      <c r="C1531" s="4">
        <v>1529.0</v>
      </c>
      <c r="D1531" s="5" t="str">
        <f>HYPERLINK("https://www.linkedin.com/ad-library/detail/742479664","Open Ad")</f>
        <v>Open Ad</v>
      </c>
      <c r="E1531" s="4" t="s">
        <v>78</v>
      </c>
      <c r="F1531" s="4" t="s">
        <v>54</v>
      </c>
      <c r="G1531" s="4" t="s">
        <v>5846</v>
      </c>
      <c r="H1531" s="4" t="s">
        <v>49</v>
      </c>
      <c r="I1531" s="4" t="s">
        <v>661</v>
      </c>
      <c r="J1531" s="4" t="s">
        <v>78</v>
      </c>
      <c r="K1531" s="5" t="str">
        <f>HYPERLINK("https://media.licdn.com/dms/image/v2/D4E10AQEWj2CTRPyRNQ/image-shrink_1280/B4EZjzsLRcHoAQ-/0/1756435101765?e=2147483647&amp;v=beta&amp;t=493Rsn0zKXXpxWdLx5EXejWNWD-9wkTOE1ccpMD-8os","View Creative")</f>
        <v>View Creative</v>
      </c>
      <c r="L1531" s="4" t="s">
        <v>106</v>
      </c>
      <c r="M1531" s="4" t="s">
        <v>61</v>
      </c>
      <c r="O1531" s="4" t="s">
        <v>63</v>
      </c>
      <c r="P1531" s="4" t="s">
        <v>64</v>
      </c>
    </row>
    <row r="1532">
      <c r="A1532" s="4" t="s">
        <v>40</v>
      </c>
      <c r="B1532" s="4" t="s">
        <v>40</v>
      </c>
      <c r="C1532" s="4">
        <v>1530.0</v>
      </c>
      <c r="D1532" s="5" t="str">
        <f>HYPERLINK("https://www.linkedin.com/ad-library/detail/742479694","Open Ad")</f>
        <v>Open Ad</v>
      </c>
      <c r="E1532" s="4" t="s">
        <v>78</v>
      </c>
      <c r="F1532" s="4" t="s">
        <v>54</v>
      </c>
      <c r="G1532" s="4" t="s">
        <v>5846</v>
      </c>
      <c r="H1532" s="4" t="s">
        <v>49</v>
      </c>
      <c r="I1532" s="4" t="s">
        <v>661</v>
      </c>
      <c r="J1532" s="4" t="s">
        <v>78</v>
      </c>
      <c r="K1532" s="5" t="str">
        <f>HYPERLINK("https://media.licdn.com/dms/image/v2/D4E10AQH8zInMFPanmA/image-shrink_1280/B4EZjzsQ6xGwAQ-/0/1756435124814?e=2147483647&amp;v=beta&amp;t=hklns7n8788B18n_cc3mQkU2nHj1IqdPZOCt6bx33WI","View Creative")</f>
        <v>View Creative</v>
      </c>
      <c r="L1532" s="4" t="s">
        <v>106</v>
      </c>
      <c r="M1532" s="4" t="s">
        <v>61</v>
      </c>
      <c r="O1532" s="4" t="s">
        <v>63</v>
      </c>
      <c r="P1532" s="4" t="s">
        <v>64</v>
      </c>
    </row>
    <row r="1533">
      <c r="A1533" s="4" t="s">
        <v>40</v>
      </c>
      <c r="B1533" s="4" t="s">
        <v>40</v>
      </c>
      <c r="C1533" s="4">
        <v>1531.0</v>
      </c>
      <c r="D1533" s="5" t="str">
        <f>HYPERLINK("https://www.linkedin.com/ad-library/detail/742489614","Open Ad")</f>
        <v>Open Ad</v>
      </c>
      <c r="E1533" s="4" t="s">
        <v>78</v>
      </c>
      <c r="F1533" s="4" t="s">
        <v>54</v>
      </c>
      <c r="G1533" s="4" t="s">
        <v>5846</v>
      </c>
      <c r="H1533" s="4" t="s">
        <v>49</v>
      </c>
      <c r="I1533" s="4" t="s">
        <v>661</v>
      </c>
      <c r="J1533" s="4" t="s">
        <v>78</v>
      </c>
      <c r="K1533" s="5" t="str">
        <f>HYPERLINK("https://media.licdn.com/dms/image/v2/D4E10AQGmbilGdCgSAQ/image-shrink_1280/B4EZjzsQ8tIIAU-/0/1756435124674?e=2147483647&amp;v=beta&amp;t=9M7YDRvBplBX81g6sAsObZlXUjgd6csf5OrDnELkWwE","View Creative")</f>
        <v>View Creative</v>
      </c>
      <c r="L1533" s="4" t="s">
        <v>106</v>
      </c>
      <c r="M1533" s="4" t="s">
        <v>61</v>
      </c>
      <c r="O1533" s="4" t="s">
        <v>63</v>
      </c>
      <c r="P1533" s="4" t="s">
        <v>64</v>
      </c>
    </row>
    <row r="1534">
      <c r="A1534" s="4" t="s">
        <v>40</v>
      </c>
      <c r="B1534" s="4" t="s">
        <v>40</v>
      </c>
      <c r="C1534" s="4">
        <v>1532.0</v>
      </c>
      <c r="D1534" s="5" t="str">
        <f>HYPERLINK("https://www.linkedin.com/ad-library/detail/742539884","Open Ad")</f>
        <v>Open Ad</v>
      </c>
      <c r="E1534" s="4" t="s">
        <v>78</v>
      </c>
      <c r="F1534" s="4" t="s">
        <v>54</v>
      </c>
      <c r="G1534" s="4" t="s">
        <v>5844</v>
      </c>
      <c r="H1534" s="4" t="s">
        <v>49</v>
      </c>
      <c r="I1534" s="4" t="s">
        <v>661</v>
      </c>
      <c r="J1534" s="4" t="s">
        <v>78</v>
      </c>
      <c r="K1534" s="5" t="str">
        <f>HYPERLINK("https://media.licdn.com/dms/image/v2/D4E10AQEa6cDrdkTrHg/image-shrink_1280/B4EZjzsLyeIUAM-/0/1756435103613?e=2147483647&amp;v=beta&amp;t=sPZ8tFrptsuA85qbC81zhsmT4cv6VIfLKBOjvh9OSAk","View Creative")</f>
        <v>View Creative</v>
      </c>
      <c r="L1534" s="4" t="s">
        <v>106</v>
      </c>
      <c r="M1534" s="4" t="s">
        <v>61</v>
      </c>
      <c r="O1534" s="4" t="s">
        <v>63</v>
      </c>
      <c r="P1534" s="4" t="s">
        <v>64</v>
      </c>
    </row>
    <row r="1535">
      <c r="A1535" s="4" t="s">
        <v>40</v>
      </c>
      <c r="B1535" s="4" t="s">
        <v>40</v>
      </c>
      <c r="C1535" s="4">
        <v>1533.0</v>
      </c>
      <c r="D1535" s="5" t="str">
        <f>HYPERLINK("https://www.linkedin.com/ad-library/detail/742530164","Open Ad")</f>
        <v>Open Ad</v>
      </c>
      <c r="E1535" s="4" t="s">
        <v>78</v>
      </c>
      <c r="F1535" s="4" t="s">
        <v>54</v>
      </c>
      <c r="G1535" s="4" t="s">
        <v>5844</v>
      </c>
      <c r="H1535" s="4" t="s">
        <v>49</v>
      </c>
      <c r="I1535" s="4" t="s">
        <v>661</v>
      </c>
      <c r="J1535" s="4" t="s">
        <v>78</v>
      </c>
      <c r="K1535" s="5" t="str">
        <f>HYPERLINK("https://media.licdn.com/dms/image/v2/D4E10AQHJ5XXwYdtzww/image-shrink_1280/B4EZjzsGFjHoAU-/0/1756435080375?e=2147483647&amp;v=beta&amp;t=fXKMq9aV2c2mahyBVgN1URHg_lT9VRdA9Wg421B2A10","View Creative")</f>
        <v>View Creative</v>
      </c>
      <c r="L1535" s="4" t="s">
        <v>106</v>
      </c>
      <c r="M1535" s="4" t="s">
        <v>61</v>
      </c>
      <c r="O1535" s="4" t="s">
        <v>63</v>
      </c>
      <c r="P1535" s="4" t="s">
        <v>64</v>
      </c>
    </row>
    <row r="1536">
      <c r="A1536" s="4" t="s">
        <v>40</v>
      </c>
      <c r="B1536" s="4" t="s">
        <v>40</v>
      </c>
      <c r="C1536" s="4">
        <v>1534.0</v>
      </c>
      <c r="D1536" s="5" t="str">
        <f>HYPERLINK("https://www.linkedin.com/ad-library/detail/742530174","Open Ad")</f>
        <v>Open Ad</v>
      </c>
      <c r="E1536" s="4" t="s">
        <v>78</v>
      </c>
      <c r="F1536" s="4" t="s">
        <v>54</v>
      </c>
      <c r="G1536" s="4" t="s">
        <v>5844</v>
      </c>
      <c r="H1536" s="4" t="s">
        <v>49</v>
      </c>
      <c r="I1536" s="4" t="s">
        <v>661</v>
      </c>
      <c r="J1536" s="4" t="s">
        <v>78</v>
      </c>
      <c r="K1536" s="5" t="str">
        <f>HYPERLINK("https://media.licdn.com/dms/image/v2/D4E10AQG4bh8mealI2w/image-shrink_1280/B4EZjzsLygGoAM-/0/1756435103881?e=2147483647&amp;v=beta&amp;t=2M61KA-SPfKWcthRPb1zIvP7cyyD_o1qyYjPH66Rt6A","View Creative")</f>
        <v>View Creative</v>
      </c>
      <c r="L1536" s="4" t="s">
        <v>106</v>
      </c>
      <c r="M1536" s="4" t="s">
        <v>61</v>
      </c>
      <c r="O1536" s="4" t="s">
        <v>63</v>
      </c>
      <c r="P1536" s="4" t="s">
        <v>64</v>
      </c>
    </row>
    <row r="1537">
      <c r="A1537" s="4" t="s">
        <v>40</v>
      </c>
      <c r="B1537" s="4" t="s">
        <v>40</v>
      </c>
      <c r="C1537" s="4">
        <v>1535.0</v>
      </c>
      <c r="D1537" s="5" t="str">
        <f>HYPERLINK("https://www.linkedin.com/ad-library/detail/742518594","Open Ad")</f>
        <v>Open Ad</v>
      </c>
      <c r="E1537" s="4" t="s">
        <v>78</v>
      </c>
      <c r="F1537" s="4" t="s">
        <v>54</v>
      </c>
      <c r="G1537" s="4" t="s">
        <v>5844</v>
      </c>
      <c r="H1537" s="4" t="s">
        <v>49</v>
      </c>
      <c r="I1537" s="4" t="s">
        <v>661</v>
      </c>
      <c r="J1537" s="4" t="s">
        <v>78</v>
      </c>
      <c r="K1537" s="5" t="str">
        <f>HYPERLINK("https://media.licdn.com/dms/image/v2/D4E10AQGf0-8yS7Yrjw/image-shrink_1280/B4EZjzsGJ9IMAQ-/0/1756435080734?e=2147483647&amp;v=beta&amp;t=nfM8XesngoKskD_e7TgDqACQvRMW9eOJ_vjPdA1raug","View Creative")</f>
        <v>View Creative</v>
      </c>
      <c r="L1537" s="4" t="s">
        <v>106</v>
      </c>
      <c r="M1537" s="4" t="s">
        <v>61</v>
      </c>
      <c r="O1537" s="4" t="s">
        <v>63</v>
      </c>
      <c r="P1537" s="4" t="s">
        <v>64</v>
      </c>
    </row>
    <row r="1538">
      <c r="A1538" s="4" t="s">
        <v>40</v>
      </c>
      <c r="B1538" s="4" t="s">
        <v>40</v>
      </c>
      <c r="C1538" s="4">
        <v>1536.0</v>
      </c>
      <c r="D1538" s="5" t="str">
        <f>HYPERLINK("https://www.linkedin.com/ad-library/detail/742530154","Open Ad")</f>
        <v>Open Ad</v>
      </c>
      <c r="E1538" s="4" t="s">
        <v>78</v>
      </c>
      <c r="F1538" s="4" t="s">
        <v>5906</v>
      </c>
      <c r="G1538" s="4" t="s">
        <v>5846</v>
      </c>
      <c r="H1538" s="4" t="s">
        <v>49</v>
      </c>
      <c r="I1538" s="4" t="s">
        <v>688</v>
      </c>
      <c r="J1538" s="4" t="s">
        <v>78</v>
      </c>
      <c r="K1538" s="5" t="str">
        <f>HYPERLINK("https://media.licdn.com/dms/image/v2/D4E10AQEYqd8xAk86_w/image-shrink_1280/B4EZjzsGGVHoAQ-/0/1756435080215?e=2147483647&amp;v=beta&amp;t=YmxZNPNDoHOW2t6bCJ-hDp6HUY_xN_LSuulurgMMHEg","View Creative")</f>
        <v>View Creative</v>
      </c>
      <c r="L1538" s="4" t="s">
        <v>60</v>
      </c>
      <c r="M1538" s="4" t="s">
        <v>61</v>
      </c>
      <c r="N1538" s="4" t="s">
        <v>5907</v>
      </c>
      <c r="O1538" s="4" t="s">
        <v>89</v>
      </c>
      <c r="P1538" s="4" t="s">
        <v>5908</v>
      </c>
    </row>
    <row r="1539">
      <c r="A1539" s="4" t="s">
        <v>40</v>
      </c>
      <c r="B1539" s="4" t="s">
        <v>40</v>
      </c>
      <c r="C1539" s="4">
        <v>1537.0</v>
      </c>
      <c r="D1539" s="5" t="str">
        <f>HYPERLINK("https://www.linkedin.com/ad-library/detail/742549774","Open Ad")</f>
        <v>Open Ad</v>
      </c>
      <c r="E1539" s="4" t="s">
        <v>78</v>
      </c>
      <c r="F1539" s="4" t="s">
        <v>5910</v>
      </c>
      <c r="G1539" s="4" t="s">
        <v>5844</v>
      </c>
      <c r="H1539" s="4" t="s">
        <v>49</v>
      </c>
      <c r="I1539" s="4" t="s">
        <v>5259</v>
      </c>
      <c r="J1539" s="4" t="s">
        <v>78</v>
      </c>
      <c r="K1539" s="5" t="str">
        <f>HYPERLINK("https://media.licdn.com/dms/image/v2/D4E10AQHHdDfk08ijDQ/image-shrink_1280/B4EZjzsA41GUAU-/0/1756435059177?e=2147483647&amp;v=beta&amp;t=75NeQ5Jgv3zP7AYt6k1oZz4R647DPfh0je6_aY6o55c","View Creative")</f>
        <v>View Creative</v>
      </c>
      <c r="L1539" s="4" t="s">
        <v>60</v>
      </c>
      <c r="M1539" s="4" t="s">
        <v>61</v>
      </c>
      <c r="N1539" s="4" t="s">
        <v>5907</v>
      </c>
      <c r="O1539" s="4" t="s">
        <v>89</v>
      </c>
      <c r="P1539" s="4" t="s">
        <v>5911</v>
      </c>
    </row>
    <row r="1540">
      <c r="A1540" s="4" t="s">
        <v>40</v>
      </c>
      <c r="B1540" s="4" t="s">
        <v>40</v>
      </c>
      <c r="C1540" s="4">
        <v>1538.0</v>
      </c>
      <c r="D1540" s="5" t="str">
        <f>HYPERLINK("https://www.linkedin.com/ad-library/detail/742469614","Open Ad")</f>
        <v>Open Ad</v>
      </c>
      <c r="E1540" s="4" t="s">
        <v>78</v>
      </c>
      <c r="F1540" s="4" t="s">
        <v>5910</v>
      </c>
      <c r="G1540" s="4" t="s">
        <v>5844</v>
      </c>
      <c r="H1540" s="4" t="s">
        <v>49</v>
      </c>
      <c r="I1540" s="4" t="s">
        <v>5259</v>
      </c>
      <c r="J1540" s="4" t="s">
        <v>78</v>
      </c>
      <c r="K1540" s="5" t="str">
        <f>HYPERLINK("https://media.licdn.com/dms/image/v2/D4E10AQFnrZLHIMmTkA/image-shrink_1280/B4EZjzr2H4GYAU-/0/1756435014754?e=2147483647&amp;v=beta&amp;t=EGiN7FB-_RXb8KCi5ZyzSgSCyniP855lxm2zrMQCROE","View Creative")</f>
        <v>View Creative</v>
      </c>
      <c r="L1540" s="4" t="s">
        <v>60</v>
      </c>
      <c r="M1540" s="4" t="s">
        <v>61</v>
      </c>
      <c r="N1540" s="4" t="s">
        <v>5907</v>
      </c>
      <c r="O1540" s="4" t="s">
        <v>89</v>
      </c>
      <c r="P1540" s="4" t="s">
        <v>5913</v>
      </c>
    </row>
    <row r="1541">
      <c r="A1541" s="4" t="s">
        <v>40</v>
      </c>
      <c r="B1541" s="4" t="s">
        <v>40</v>
      </c>
      <c r="C1541" s="4">
        <v>1539.0</v>
      </c>
      <c r="D1541" s="5" t="str">
        <f>HYPERLINK("https://www.linkedin.com/ad-library/detail/742527754","Open Ad")</f>
        <v>Open Ad</v>
      </c>
      <c r="E1541" s="4" t="s">
        <v>78</v>
      </c>
      <c r="F1541" s="4" t="s">
        <v>5906</v>
      </c>
      <c r="G1541" s="4" t="s">
        <v>5846</v>
      </c>
      <c r="H1541" s="4" t="s">
        <v>49</v>
      </c>
      <c r="I1541" s="4" t="s">
        <v>688</v>
      </c>
      <c r="J1541" s="4" t="s">
        <v>78</v>
      </c>
      <c r="K1541" s="5" t="str">
        <f>HYPERLINK("https://media.licdn.com/dms/image/v2/D4E10AQGhgQU0wHqLfw/image-shrink_1280/B4EZjzr2bBIQAM-/0/1756435016362?e=2147483647&amp;v=beta&amp;t=vUIPIZN5v6mliQZGFTAGEyWoq6x4TrjShDE0geA3J7U","View Creative")</f>
        <v>View Creative</v>
      </c>
      <c r="L1541" s="4" t="s">
        <v>60</v>
      </c>
      <c r="M1541" s="4" t="s">
        <v>61</v>
      </c>
      <c r="N1541" s="4" t="s">
        <v>5907</v>
      </c>
      <c r="O1541" s="4" t="s">
        <v>89</v>
      </c>
      <c r="P1541" s="4" t="s">
        <v>5914</v>
      </c>
    </row>
    <row r="1542">
      <c r="A1542" s="4" t="s">
        <v>40</v>
      </c>
      <c r="B1542" s="4" t="s">
        <v>40</v>
      </c>
      <c r="C1542" s="4">
        <v>1540.0</v>
      </c>
      <c r="D1542" s="5" t="str">
        <f>HYPERLINK("https://www.linkedin.com/ad-library/detail/742489584","Open Ad")</f>
        <v>Open Ad</v>
      </c>
      <c r="E1542" s="4" t="s">
        <v>78</v>
      </c>
      <c r="F1542" s="4" t="s">
        <v>5906</v>
      </c>
      <c r="G1542" s="4" t="s">
        <v>5846</v>
      </c>
      <c r="H1542" s="4" t="s">
        <v>49</v>
      </c>
      <c r="I1542" s="4" t="s">
        <v>688</v>
      </c>
      <c r="J1542" s="4" t="s">
        <v>78</v>
      </c>
      <c r="K1542" s="5" t="str">
        <f>HYPERLINK("https://media.licdn.com/dms/image/v2/D4E10AQEBX22npJb68Q/image-shrink_1280/B4EZjzsArOIQAM-/0/1756435058007?e=2147483647&amp;v=beta&amp;t=xRKNfx-Jb0Qzo9GH3kn152WFIPZ2okg3sGsqqf2SgGU","View Creative")</f>
        <v>View Creative</v>
      </c>
      <c r="L1542" s="4" t="s">
        <v>60</v>
      </c>
      <c r="M1542" s="4" t="s">
        <v>61</v>
      </c>
      <c r="N1542" s="4" t="s">
        <v>5907</v>
      </c>
      <c r="O1542" s="4" t="s">
        <v>89</v>
      </c>
      <c r="P1542" s="4" t="s">
        <v>5916</v>
      </c>
    </row>
    <row r="1543">
      <c r="A1543" s="4" t="s">
        <v>40</v>
      </c>
      <c r="B1543" s="4" t="s">
        <v>40</v>
      </c>
      <c r="C1543" s="4">
        <v>1541.0</v>
      </c>
      <c r="D1543" s="5" t="str">
        <f>HYPERLINK("https://www.linkedin.com/ad-library/detail/742439594","Open Ad")</f>
        <v>Open Ad</v>
      </c>
      <c r="E1543" s="4" t="s">
        <v>78</v>
      </c>
      <c r="F1543" s="4" t="s">
        <v>5910</v>
      </c>
      <c r="G1543" s="4" t="s">
        <v>5844</v>
      </c>
      <c r="H1543" s="4" t="s">
        <v>49</v>
      </c>
      <c r="I1543" s="4" t="s">
        <v>5259</v>
      </c>
      <c r="J1543" s="4" t="s">
        <v>78</v>
      </c>
      <c r="K1543" s="5" t="str">
        <f>HYPERLINK("https://media.licdn.com/dms/image/v2/D4E10AQGuUuCDR3VjLw/image-shrink_1280/B4EZjzsA11GcAM-/0/1756435058989?e=2147483647&amp;v=beta&amp;t=EWUQ1GGx3z_iFJ0zCVoMyh9p_4xp-v2TrjPdNPXauKI","View Creative")</f>
        <v>View Creative</v>
      </c>
      <c r="L1543" s="4" t="s">
        <v>60</v>
      </c>
      <c r="M1543" s="4" t="s">
        <v>61</v>
      </c>
      <c r="N1543" s="4" t="s">
        <v>5907</v>
      </c>
      <c r="O1543" s="4" t="s">
        <v>89</v>
      </c>
      <c r="P1543" s="4" t="s">
        <v>5918</v>
      </c>
    </row>
    <row r="1544">
      <c r="A1544" s="4" t="s">
        <v>40</v>
      </c>
      <c r="B1544" s="4" t="s">
        <v>40</v>
      </c>
      <c r="C1544" s="4">
        <v>1542.0</v>
      </c>
      <c r="D1544" s="5" t="str">
        <f>HYPERLINK("https://www.linkedin.com/ad-library/detail/742459764","Open Ad")</f>
        <v>Open Ad</v>
      </c>
      <c r="E1544" s="4" t="s">
        <v>78</v>
      </c>
      <c r="F1544" s="4" t="s">
        <v>5910</v>
      </c>
      <c r="G1544" s="4" t="s">
        <v>5844</v>
      </c>
      <c r="H1544" s="4" t="s">
        <v>49</v>
      </c>
      <c r="I1544" s="4" t="s">
        <v>5259</v>
      </c>
      <c r="J1544" s="4" t="s">
        <v>78</v>
      </c>
      <c r="K1544" s="5" t="str">
        <f>HYPERLINK("https://media.licdn.com/dms/image/v2/D4E10AQHBsP8ls4e5Uw/image-shrink_1280/B4EZjzsA7DIQAM-/0/1756435059392?e=2147483647&amp;v=beta&amp;t=rHCqi1iz70fmE0_Q3LtVESpMf5P4bYIpnMxoRhHNB1s","View Creative")</f>
        <v>View Creative</v>
      </c>
      <c r="L1544" s="4" t="s">
        <v>60</v>
      </c>
      <c r="M1544" s="4" t="s">
        <v>61</v>
      </c>
      <c r="N1544" s="4" t="s">
        <v>5907</v>
      </c>
      <c r="O1544" s="4" t="s">
        <v>89</v>
      </c>
      <c r="P1544" s="4" t="s">
        <v>5920</v>
      </c>
    </row>
    <row r="1545">
      <c r="A1545" s="4" t="s">
        <v>40</v>
      </c>
      <c r="B1545" s="4" t="s">
        <v>40</v>
      </c>
      <c r="C1545" s="4">
        <v>1543.0</v>
      </c>
      <c r="D1545" s="5" t="str">
        <f>HYPERLINK("https://www.linkedin.com/ad-library/detail/742509634","Open Ad")</f>
        <v>Open Ad</v>
      </c>
      <c r="E1545" s="4" t="s">
        <v>78</v>
      </c>
      <c r="F1545" s="4" t="s">
        <v>5906</v>
      </c>
      <c r="G1545" s="4" t="s">
        <v>5846</v>
      </c>
      <c r="H1545" s="4" t="s">
        <v>49</v>
      </c>
      <c r="I1545" s="4" t="s">
        <v>688</v>
      </c>
      <c r="J1545" s="4" t="s">
        <v>78</v>
      </c>
      <c r="K1545" s="5" t="str">
        <f>HYPERLINK("https://media.licdn.com/dms/image/v2/D4E10AQHbyQmjM2XKaw/image-shrink_1280/B4EZjzr7UWIMAM-/0/1756435036401?e=2147483647&amp;v=beta&amp;t=OOHiwBDmNlC2m5MA5aQK5dfHV0MupxR1V7C-c1i8IJs","View Creative")</f>
        <v>View Creative</v>
      </c>
      <c r="L1545" s="4" t="s">
        <v>60</v>
      </c>
      <c r="M1545" s="4" t="s">
        <v>61</v>
      </c>
      <c r="N1545" s="4" t="s">
        <v>5907</v>
      </c>
      <c r="O1545" s="4" t="s">
        <v>89</v>
      </c>
      <c r="P1545" s="4" t="s">
        <v>5921</v>
      </c>
    </row>
    <row r="1546">
      <c r="A1546" s="4" t="s">
        <v>40</v>
      </c>
      <c r="B1546" s="4" t="s">
        <v>40</v>
      </c>
      <c r="C1546" s="4">
        <v>1544.0</v>
      </c>
      <c r="D1546" s="5" t="str">
        <f>HYPERLINK("https://www.linkedin.com/ad-library/detail/742459754","Open Ad")</f>
        <v>Open Ad</v>
      </c>
      <c r="E1546" s="4" t="s">
        <v>78</v>
      </c>
      <c r="F1546" s="4" t="s">
        <v>5906</v>
      </c>
      <c r="G1546" s="4" t="s">
        <v>5846</v>
      </c>
      <c r="H1546" s="4" t="s">
        <v>49</v>
      </c>
      <c r="I1546" s="4" t="s">
        <v>688</v>
      </c>
      <c r="J1546" s="4" t="s">
        <v>78</v>
      </c>
      <c r="K1546" s="5" t="str">
        <f>HYPERLINK("https://media.licdn.com/dms/image/v2/D4E10AQEzA6PgeJRyLg/image-shrink_1280/B4EZjzsA7DGYAM-/0/1756435059373?e=2147483647&amp;v=beta&amp;t=DwiZKPOFyJliLqu7Iwf_6c3GVdwKlX3YM4nHNUJo6HA","View Creative")</f>
        <v>View Creative</v>
      </c>
      <c r="L1546" s="4" t="s">
        <v>60</v>
      </c>
      <c r="M1546" s="4" t="s">
        <v>61</v>
      </c>
      <c r="N1546" s="4" t="s">
        <v>5907</v>
      </c>
      <c r="O1546" s="4" t="s">
        <v>89</v>
      </c>
      <c r="P1546" s="4" t="s">
        <v>5923</v>
      </c>
    </row>
    <row r="1547">
      <c r="A1547" s="4" t="s">
        <v>40</v>
      </c>
      <c r="B1547" s="4" t="s">
        <v>40</v>
      </c>
      <c r="C1547" s="4">
        <v>1545.0</v>
      </c>
      <c r="D1547" s="5" t="str">
        <f>HYPERLINK("https://www.linkedin.com/ad-library/detail/742509644","Open Ad")</f>
        <v>Open Ad</v>
      </c>
      <c r="E1547" s="4" t="s">
        <v>78</v>
      </c>
      <c r="F1547" s="4" t="s">
        <v>5910</v>
      </c>
      <c r="G1547" s="4" t="s">
        <v>5844</v>
      </c>
      <c r="H1547" s="4" t="s">
        <v>49</v>
      </c>
      <c r="I1547" s="4" t="s">
        <v>5259</v>
      </c>
      <c r="J1547" s="4" t="s">
        <v>78</v>
      </c>
      <c r="K1547" s="5" t="str">
        <f>HYPERLINK("https://media.licdn.com/dms/image/v2/D4E10AQHmXsG6HB78Og/image-shrink_1280/B4EZjzr7QkGUAM-/0/1756435036132?e=2147483647&amp;v=beta&amp;t=gSmyXXOqixev1M1230xzThZLCEQOifa66TaqUWJ08kg","View Creative")</f>
        <v>View Creative</v>
      </c>
      <c r="L1547" s="4" t="s">
        <v>60</v>
      </c>
      <c r="M1547" s="4" t="s">
        <v>61</v>
      </c>
      <c r="N1547" s="4" t="s">
        <v>5907</v>
      </c>
      <c r="O1547" s="4" t="s">
        <v>89</v>
      </c>
      <c r="P1547" s="4" t="s">
        <v>5925</v>
      </c>
    </row>
    <row r="1548">
      <c r="A1548" s="4" t="s">
        <v>40</v>
      </c>
      <c r="B1548" s="4" t="s">
        <v>40</v>
      </c>
      <c r="C1548" s="4">
        <v>1546.0</v>
      </c>
      <c r="D1548" s="5" t="str">
        <f>HYPERLINK("https://www.linkedin.com/ad-library/detail/742509654","Open Ad")</f>
        <v>Open Ad</v>
      </c>
      <c r="E1548" s="4" t="s">
        <v>78</v>
      </c>
      <c r="F1548" s="4" t="s">
        <v>5910</v>
      </c>
      <c r="G1548" s="4" t="s">
        <v>5844</v>
      </c>
      <c r="H1548" s="4" t="s">
        <v>49</v>
      </c>
      <c r="I1548" s="4" t="s">
        <v>5259</v>
      </c>
      <c r="J1548" s="4" t="s">
        <v>78</v>
      </c>
      <c r="K1548" s="5" t="str">
        <f>HYPERLINK("https://media.licdn.com/dms/image/v2/D4E10AQHXby5FesbHkw/image-shrink_1280/B4EZjzsF1bIMAM-/0/1756435079332?e=2147483647&amp;v=beta&amp;t=VXreV5jLNCjj75DvyrSglz4Gp8BhPKYx3QzQ4UxsXD4","View Creative")</f>
        <v>View Creative</v>
      </c>
      <c r="L1548" s="4" t="s">
        <v>60</v>
      </c>
      <c r="M1548" s="4" t="s">
        <v>61</v>
      </c>
      <c r="N1548" s="4" t="s">
        <v>5907</v>
      </c>
      <c r="O1548" s="4" t="s">
        <v>89</v>
      </c>
      <c r="P1548" s="4" t="s">
        <v>5926</v>
      </c>
    </row>
    <row r="1549">
      <c r="A1549" s="4" t="s">
        <v>40</v>
      </c>
      <c r="B1549" s="4" t="s">
        <v>40</v>
      </c>
      <c r="C1549" s="4">
        <v>1547.0</v>
      </c>
      <c r="D1549" s="5" t="str">
        <f>HYPERLINK("https://www.linkedin.com/ad-library/detail/742527774","Open Ad")</f>
        <v>Open Ad</v>
      </c>
      <c r="E1549" s="4" t="s">
        <v>78</v>
      </c>
      <c r="F1549" s="4" t="s">
        <v>54</v>
      </c>
      <c r="G1549" s="4" t="s">
        <v>5844</v>
      </c>
      <c r="H1549" s="4" t="s">
        <v>49</v>
      </c>
      <c r="I1549" s="4" t="s">
        <v>661</v>
      </c>
      <c r="J1549" s="4" t="s">
        <v>78</v>
      </c>
      <c r="K1549" s="5" t="str">
        <f>HYPERLINK("https://media.licdn.com/dms/image/v2/D4E10AQFJlflt5-lQZQ/image-shrink_1280/B4EZjzsA7mHEAM-/0/1756435059350?e=2147483647&amp;v=beta&amp;t=pHLSuINdjpyfgwnlRAgE8HusWQJ_eZilUnSq7Lwk3b0","View Creative")</f>
        <v>View Creative</v>
      </c>
      <c r="L1549" s="4" t="s">
        <v>106</v>
      </c>
      <c r="M1549" s="4" t="s">
        <v>61</v>
      </c>
      <c r="O1549" s="4" t="s">
        <v>63</v>
      </c>
      <c r="P1549" s="4" t="s">
        <v>64</v>
      </c>
    </row>
    <row r="1550">
      <c r="A1550" s="4" t="s">
        <v>40</v>
      </c>
      <c r="B1550" s="4" t="s">
        <v>40</v>
      </c>
      <c r="C1550" s="4">
        <v>1548.0</v>
      </c>
      <c r="D1550" s="5" t="str">
        <f>HYPERLINK("https://www.linkedin.com/ad-library/detail/742527764","Open Ad")</f>
        <v>Open Ad</v>
      </c>
      <c r="E1550" s="4" t="s">
        <v>78</v>
      </c>
      <c r="F1550" s="4" t="s">
        <v>54</v>
      </c>
      <c r="G1550" s="4" t="s">
        <v>5844</v>
      </c>
      <c r="H1550" s="4" t="s">
        <v>49</v>
      </c>
      <c r="I1550" s="4" t="s">
        <v>661</v>
      </c>
      <c r="J1550" s="4" t="s">
        <v>78</v>
      </c>
      <c r="K1550" s="5" t="str">
        <f>HYPERLINK("https://media.licdn.com/dms/image/v2/D4E10AQEtHcBQ4aJ2sw/image-shrink_1280/B4EZjzr7SVGoAM-/0/1756435036032?e=2147483647&amp;v=beta&amp;t=iDIU0gBfQPcf48D_GkSqZIE7K7k8liGJPw34BRnpEz8","View Creative")</f>
        <v>View Creative</v>
      </c>
      <c r="L1550" s="4" t="s">
        <v>106</v>
      </c>
      <c r="M1550" s="4" t="s">
        <v>61</v>
      </c>
      <c r="O1550" s="4" t="s">
        <v>63</v>
      </c>
      <c r="P1550" s="4" t="s">
        <v>64</v>
      </c>
    </row>
    <row r="1551">
      <c r="A1551" s="4" t="s">
        <v>40</v>
      </c>
      <c r="B1551" s="4" t="s">
        <v>40</v>
      </c>
      <c r="C1551" s="4">
        <v>1549.0</v>
      </c>
      <c r="D1551" s="5" t="str">
        <f>HYPERLINK("https://www.linkedin.com/ad-library/detail/742449274","Open Ad")</f>
        <v>Open Ad</v>
      </c>
      <c r="E1551" s="4" t="s">
        <v>78</v>
      </c>
      <c r="F1551" s="4" t="s">
        <v>54</v>
      </c>
      <c r="G1551" s="4" t="s">
        <v>5844</v>
      </c>
      <c r="H1551" s="4" t="s">
        <v>49</v>
      </c>
      <c r="I1551" s="4" t="s">
        <v>661</v>
      </c>
      <c r="J1551" s="4" t="s">
        <v>78</v>
      </c>
      <c r="K1551" s="5" t="str">
        <f>HYPERLINK("https://media.licdn.com/dms/image/v2/D4E10AQFKyHTuuG0g8Q/image-shrink_1280/B4EZjzr7PGGoAM-/0/1756435035697?e=2147483647&amp;v=beta&amp;t=3NzwfZtUXVaydw-bOMhTMizgr2r1ltg5fRZQOXaw9zc","View Creative")</f>
        <v>View Creative</v>
      </c>
      <c r="L1551" s="4" t="s">
        <v>106</v>
      </c>
      <c r="M1551" s="4" t="s">
        <v>61</v>
      </c>
      <c r="O1551" s="4" t="s">
        <v>63</v>
      </c>
      <c r="P1551" s="4" t="s">
        <v>64</v>
      </c>
    </row>
    <row r="1552">
      <c r="A1552" s="4" t="s">
        <v>40</v>
      </c>
      <c r="B1552" s="4" t="s">
        <v>40</v>
      </c>
      <c r="C1552" s="4">
        <v>1550.0</v>
      </c>
      <c r="D1552" s="5" t="str">
        <f>HYPERLINK("https://www.linkedin.com/ad-library/detail/742479644","Open Ad")</f>
        <v>Open Ad</v>
      </c>
      <c r="E1552" s="4" t="s">
        <v>78</v>
      </c>
      <c r="F1552" s="4" t="s">
        <v>54</v>
      </c>
      <c r="G1552" s="4" t="s">
        <v>5846</v>
      </c>
      <c r="H1552" s="4" t="s">
        <v>49</v>
      </c>
      <c r="I1552" s="4" t="s">
        <v>661</v>
      </c>
      <c r="J1552" s="4" t="s">
        <v>78</v>
      </c>
      <c r="K1552" s="5" t="str">
        <f>HYPERLINK("https://media.licdn.com/dms/image/v2/D4E10AQGDLYYmw4wQ8A/image-shrink_1280/B4EZjzr7QUGcAM-/0/1756435036212?e=2147483647&amp;v=beta&amp;t=jacDjUrWEbqvo_ACPQ9RMZpw75RGKZqdJROrgyL80kI","View Creative")</f>
        <v>View Creative</v>
      </c>
      <c r="L1552" s="4" t="s">
        <v>106</v>
      </c>
      <c r="M1552" s="4" t="s">
        <v>61</v>
      </c>
      <c r="O1552" s="4" t="s">
        <v>63</v>
      </c>
      <c r="P1552" s="4" t="s">
        <v>64</v>
      </c>
    </row>
    <row r="1553">
      <c r="A1553" s="4" t="s">
        <v>40</v>
      </c>
      <c r="B1553" s="4" t="s">
        <v>40</v>
      </c>
      <c r="C1553" s="4">
        <v>1551.0</v>
      </c>
      <c r="D1553" s="5" t="str">
        <f>HYPERLINK("https://www.linkedin.com/ad-library/detail/742449264","Open Ad")</f>
        <v>Open Ad</v>
      </c>
      <c r="E1553" s="4" t="s">
        <v>78</v>
      </c>
      <c r="F1553" s="4" t="s">
        <v>54</v>
      </c>
      <c r="G1553" s="4" t="s">
        <v>5844</v>
      </c>
      <c r="H1553" s="4" t="s">
        <v>49</v>
      </c>
      <c r="I1553" s="4" t="s">
        <v>661</v>
      </c>
      <c r="J1553" s="4" t="s">
        <v>78</v>
      </c>
      <c r="K1553" s="5" t="str">
        <f>HYPERLINK("https://media.licdn.com/dms/image/v2/D4E10AQERGJsQGIDAhA/image-shrink_1280/B4EZjzr2OOIQAQ-/0/1756435015179?e=2147483647&amp;v=beta&amp;t=5N0w616M9Ym3TOGiluBUjLyNWlciSZEIxmD5C6gNkjw","View Creative")</f>
        <v>View Creative</v>
      </c>
      <c r="L1553" s="4" t="s">
        <v>106</v>
      </c>
      <c r="M1553" s="4" t="s">
        <v>61</v>
      </c>
      <c r="O1553" s="4" t="s">
        <v>63</v>
      </c>
      <c r="P1553" s="4" t="s">
        <v>64</v>
      </c>
    </row>
    <row r="1554">
      <c r="A1554" s="4" t="s">
        <v>40</v>
      </c>
      <c r="B1554" s="4" t="s">
        <v>40</v>
      </c>
      <c r="C1554" s="4">
        <v>1552.0</v>
      </c>
      <c r="D1554" s="5" t="str">
        <f>HYPERLINK("https://www.linkedin.com/ad-library/detail/742539854","Open Ad")</f>
        <v>Open Ad</v>
      </c>
      <c r="E1554" s="4" t="s">
        <v>78</v>
      </c>
      <c r="F1554" s="4" t="s">
        <v>54</v>
      </c>
      <c r="G1554" s="4" t="s">
        <v>5844</v>
      </c>
      <c r="H1554" s="4" t="s">
        <v>49</v>
      </c>
      <c r="I1554" s="4" t="s">
        <v>661</v>
      </c>
      <c r="J1554" s="4" t="s">
        <v>78</v>
      </c>
      <c r="K1554" s="5" t="str">
        <f>HYPERLINK("https://media.licdn.com/dms/image/v2/D4E10AQFUcdjvjb5WyA/image-shrink_1280/B4EZjzr12ZIQAM-/0/1756435014002?e=2147483647&amp;v=beta&amp;t=L7EOhIy-HVqP1jJ_Omqo8PPlQ1oAlC_2mlt-le6e6-g","View Creative")</f>
        <v>View Creative</v>
      </c>
      <c r="L1554" s="4" t="s">
        <v>106</v>
      </c>
      <c r="M1554" s="4" t="s">
        <v>61</v>
      </c>
      <c r="O1554" s="4" t="s">
        <v>63</v>
      </c>
      <c r="P1554" s="4" t="s">
        <v>64</v>
      </c>
    </row>
    <row r="1555">
      <c r="A1555" s="4" t="s">
        <v>40</v>
      </c>
      <c r="B1555" s="4" t="s">
        <v>40</v>
      </c>
      <c r="C1555" s="4">
        <v>1553.0</v>
      </c>
      <c r="D1555" s="5" t="str">
        <f>HYPERLINK("https://www.linkedin.com/ad-library/detail/742449284","Open Ad")</f>
        <v>Open Ad</v>
      </c>
      <c r="E1555" s="4" t="s">
        <v>78</v>
      </c>
      <c r="F1555" s="4" t="s">
        <v>54</v>
      </c>
      <c r="G1555" s="4" t="s">
        <v>5844</v>
      </c>
      <c r="H1555" s="4" t="s">
        <v>49</v>
      </c>
      <c r="I1555" s="4" t="s">
        <v>661</v>
      </c>
      <c r="J1555" s="4" t="s">
        <v>78</v>
      </c>
      <c r="K1555" s="5" t="str">
        <f>HYPERLINK("https://media.licdn.com/dms/image/v2/D4E10AQGjmxi4uK4-Xw/image-shrink_1280/B4EZjzr7RuIMAM-/0/1756435035946?e=2147483647&amp;v=beta&amp;t=5KRXx4u5_PF7c77l6o6LJipxnYLICViyLPpMcdZ_rEs","View Creative")</f>
        <v>View Creative</v>
      </c>
      <c r="L1555" s="4" t="s">
        <v>106</v>
      </c>
      <c r="M1555" s="4" t="s">
        <v>61</v>
      </c>
      <c r="O1555" s="4" t="s">
        <v>63</v>
      </c>
      <c r="P1555" s="4" t="s">
        <v>64</v>
      </c>
    </row>
    <row r="1556">
      <c r="A1556" s="4" t="s">
        <v>40</v>
      </c>
      <c r="B1556" s="4" t="s">
        <v>40</v>
      </c>
      <c r="C1556" s="4">
        <v>1554.0</v>
      </c>
      <c r="D1556" s="5" t="str">
        <f>HYPERLINK("https://www.linkedin.com/ad-library/detail/742499654","Open Ad")</f>
        <v>Open Ad</v>
      </c>
      <c r="E1556" s="4" t="s">
        <v>78</v>
      </c>
      <c r="F1556" s="4" t="s">
        <v>54</v>
      </c>
      <c r="G1556" s="4" t="s">
        <v>5844</v>
      </c>
      <c r="H1556" s="4" t="s">
        <v>49</v>
      </c>
      <c r="I1556" s="4" t="s">
        <v>661</v>
      </c>
      <c r="J1556" s="4" t="s">
        <v>78</v>
      </c>
      <c r="K1556" s="5" t="str">
        <f>HYPERLINK("https://media.licdn.com/dms/image/v2/D4E10AQFGH-9-yBBtow/image-shrink_1280/B4EZjzsF2QHgAQ-/0/1756435079450?e=2147483647&amp;v=beta&amp;t=ZK7nAhP8i6WeVzk9E0S3QxJPkaro27WTwsmQEWZ83gY","View Creative")</f>
        <v>View Creative</v>
      </c>
      <c r="L1556" s="4" t="s">
        <v>106</v>
      </c>
      <c r="M1556" s="4" t="s">
        <v>61</v>
      </c>
      <c r="O1556" s="4" t="s">
        <v>63</v>
      </c>
      <c r="P1556" s="4" t="s">
        <v>64</v>
      </c>
    </row>
    <row r="1557">
      <c r="A1557" s="4" t="s">
        <v>40</v>
      </c>
      <c r="B1557" s="4" t="s">
        <v>40</v>
      </c>
      <c r="C1557" s="4">
        <v>1555.0</v>
      </c>
      <c r="D1557" s="5" t="str">
        <f>HYPERLINK("https://www.linkedin.com/ad-library/detail/742518584","Open Ad")</f>
        <v>Open Ad</v>
      </c>
      <c r="E1557" s="4" t="s">
        <v>78</v>
      </c>
      <c r="F1557" s="4" t="s">
        <v>54</v>
      </c>
      <c r="G1557" s="4" t="s">
        <v>5844</v>
      </c>
      <c r="H1557" s="4" t="s">
        <v>49</v>
      </c>
      <c r="I1557" s="4" t="s">
        <v>661</v>
      </c>
      <c r="J1557" s="4" t="s">
        <v>78</v>
      </c>
      <c r="K1557" s="5" t="str">
        <f>HYPERLINK("https://media.licdn.com/dms/image/v2/D4E10AQExRWoztFrw3g/image-shrink_1280/B4EZjzr7.aIMAM-/0/1756435039255?e=2147483647&amp;v=beta&amp;t=izk5pKYiBFQKVwb8yXOqEnZ98CZ-46K8-yyKXZF4Cj8","View Creative")</f>
        <v>View Creative</v>
      </c>
      <c r="L1557" s="4" t="s">
        <v>106</v>
      </c>
      <c r="M1557" s="4" t="s">
        <v>61</v>
      </c>
      <c r="O1557" s="4" t="s">
        <v>63</v>
      </c>
      <c r="P1557" s="4" t="s">
        <v>64</v>
      </c>
    </row>
    <row r="1558">
      <c r="A1558" s="4" t="s">
        <v>40</v>
      </c>
      <c r="B1558" s="4" t="s">
        <v>40</v>
      </c>
      <c r="C1558" s="4">
        <v>1556.0</v>
      </c>
      <c r="D1558" s="5" t="str">
        <f>HYPERLINK("https://www.linkedin.com/ad-library/detail/742539864","Open Ad")</f>
        <v>Open Ad</v>
      </c>
      <c r="E1558" s="4" t="s">
        <v>78</v>
      </c>
      <c r="F1558" s="4" t="s">
        <v>54</v>
      </c>
      <c r="G1558" s="4" t="s">
        <v>5846</v>
      </c>
      <c r="H1558" s="4" t="s">
        <v>49</v>
      </c>
      <c r="I1558" s="4" t="s">
        <v>661</v>
      </c>
      <c r="J1558" s="4" t="s">
        <v>78</v>
      </c>
      <c r="K1558" s="5" t="str">
        <f>HYPERLINK("https://media.licdn.com/dms/image/v2/D4E10AQFEZfcUz0-GRA/image-shrink_1280/B4EZjzsF1OIMAQ-/0/1756435079401?e=2147483647&amp;v=beta&amp;t=fdMKwoEqwpBCPQX4aoQ-dcXhhavZxR4_OeSxFrxEmjA","View Creative")</f>
        <v>View Creative</v>
      </c>
      <c r="L1558" s="4" t="s">
        <v>106</v>
      </c>
      <c r="M1558" s="4" t="s">
        <v>61</v>
      </c>
      <c r="O1558" s="4" t="s">
        <v>63</v>
      </c>
      <c r="P1558" s="4" t="s">
        <v>64</v>
      </c>
    </row>
    <row r="1559">
      <c r="A1559" s="4" t="s">
        <v>40</v>
      </c>
      <c r="B1559" s="4" t="s">
        <v>40</v>
      </c>
      <c r="C1559" s="4">
        <v>1557.0</v>
      </c>
      <c r="D1559" s="5" t="str">
        <f>HYPERLINK("https://www.linkedin.com/ad-library/detail/742530144","Open Ad")</f>
        <v>Open Ad</v>
      </c>
      <c r="E1559" s="4" t="s">
        <v>78</v>
      </c>
      <c r="F1559" s="4" t="s">
        <v>54</v>
      </c>
      <c r="G1559" s="4" t="s">
        <v>5844</v>
      </c>
      <c r="H1559" s="4" t="s">
        <v>49</v>
      </c>
      <c r="I1559" s="4" t="s">
        <v>661</v>
      </c>
      <c r="J1559" s="4" t="s">
        <v>78</v>
      </c>
      <c r="K1559" s="5" t="str">
        <f>HYPERLINK("https://media.licdn.com/dms/image/v2/D4E10AQH85wl9eU_6eA/image-shrink_1280/B4EZjzr7SzIQAM-/0/1756435036246?e=2147483647&amp;v=beta&amp;t=4_dHZZ8JOQpTZ8ObywCXyusybadCeKSD2YllnD3rwHM","View Creative")</f>
        <v>View Creative</v>
      </c>
      <c r="L1559" s="4" t="s">
        <v>106</v>
      </c>
      <c r="M1559" s="4" t="s">
        <v>61</v>
      </c>
      <c r="O1559" s="4" t="s">
        <v>63</v>
      </c>
      <c r="P1559" s="4" t="s">
        <v>64</v>
      </c>
    </row>
    <row r="1560">
      <c r="A1560" s="4" t="s">
        <v>40</v>
      </c>
      <c r="B1560" s="4" t="s">
        <v>40</v>
      </c>
      <c r="C1560" s="4">
        <v>1558.0</v>
      </c>
      <c r="D1560" s="5" t="str">
        <f>HYPERLINK("https://www.linkedin.com/ad-library/detail/742518564","Open Ad")</f>
        <v>Open Ad</v>
      </c>
      <c r="E1560" s="4" t="s">
        <v>78</v>
      </c>
      <c r="F1560" s="4" t="s">
        <v>54</v>
      </c>
      <c r="G1560" s="4" t="s">
        <v>5844</v>
      </c>
      <c r="H1560" s="4" t="s">
        <v>49</v>
      </c>
      <c r="I1560" s="4" t="s">
        <v>661</v>
      </c>
      <c r="J1560" s="4" t="s">
        <v>78</v>
      </c>
      <c r="K1560" s="5" t="str">
        <f>HYPERLINK("https://media.licdn.com/dms/image/v2/D4E10AQE589fxxybmxg/image-shrink_1280/B4EZjzr11VIMAM-/0/1756435013864?e=2147483647&amp;v=beta&amp;t=ayjgdnpmhT9s_NNhwuNXGsxeCWxS3OVMOzpkCtKkwEM","View Creative")</f>
        <v>View Creative</v>
      </c>
      <c r="L1560" s="4" t="s">
        <v>106</v>
      </c>
      <c r="M1560" s="4" t="s">
        <v>61</v>
      </c>
      <c r="O1560" s="4" t="s">
        <v>63</v>
      </c>
      <c r="P1560" s="4" t="s">
        <v>64</v>
      </c>
    </row>
    <row r="1561">
      <c r="A1561" s="4" t="s">
        <v>40</v>
      </c>
      <c r="B1561" s="4" t="s">
        <v>40</v>
      </c>
      <c r="C1561" s="4">
        <v>1559.0</v>
      </c>
      <c r="D1561" s="5" t="str">
        <f>HYPERLINK("https://www.linkedin.com/ad-library/detail/742539874","Open Ad")</f>
        <v>Open Ad</v>
      </c>
      <c r="E1561" s="4" t="s">
        <v>78</v>
      </c>
      <c r="F1561" s="4" t="s">
        <v>54</v>
      </c>
      <c r="G1561" s="4" t="s">
        <v>5846</v>
      </c>
      <c r="H1561" s="4" t="s">
        <v>49</v>
      </c>
      <c r="I1561" s="4" t="s">
        <v>661</v>
      </c>
      <c r="J1561" s="4" t="s">
        <v>78</v>
      </c>
      <c r="K1561" s="5" t="str">
        <f>HYPERLINK("https://media.licdn.com/dms/image/v2/D4E10AQEHvtzJrNjLkw/image-shrink_1280/B4EZjzsF_TGwAQ-/0/1756435080016?e=2147483647&amp;v=beta&amp;t=rNoQxKQQdzb7tGm3iDjB9CFNEODPuUOD-kmNGC8o2hY","View Creative")</f>
        <v>View Creative</v>
      </c>
      <c r="L1561" s="4" t="s">
        <v>106</v>
      </c>
      <c r="M1561" s="4" t="s">
        <v>61</v>
      </c>
      <c r="O1561" s="4" t="s">
        <v>63</v>
      </c>
      <c r="P1561" s="4" t="s">
        <v>64</v>
      </c>
    </row>
    <row r="1562">
      <c r="A1562" s="4" t="s">
        <v>40</v>
      </c>
      <c r="B1562" s="4" t="s">
        <v>40</v>
      </c>
      <c r="C1562" s="4">
        <v>1560.0</v>
      </c>
      <c r="D1562" s="5" t="str">
        <f>HYPERLINK("https://www.linkedin.com/ad-library/detail/742518574","Open Ad")</f>
        <v>Open Ad</v>
      </c>
      <c r="E1562" s="4" t="s">
        <v>78</v>
      </c>
      <c r="F1562" s="4" t="s">
        <v>54</v>
      </c>
      <c r="G1562" s="4" t="s">
        <v>5846</v>
      </c>
      <c r="H1562" s="4" t="s">
        <v>49</v>
      </c>
      <c r="I1562" s="4" t="s">
        <v>661</v>
      </c>
      <c r="J1562" s="4" t="s">
        <v>78</v>
      </c>
      <c r="K1562" s="5" t="str">
        <f>HYPERLINK("https://media.licdn.com/dms/image/v2/D4E10AQGvTV8AtEja5A/image-shrink_1280/B4EZjzr7PxGYAQ-/0/1756435036028?e=2147483647&amp;v=beta&amp;t=Yybkwi2FHK-TldTd9GO71HDqkGn57clXkrgXt8oCobA","View Creative")</f>
        <v>View Creative</v>
      </c>
      <c r="L1562" s="4" t="s">
        <v>106</v>
      </c>
      <c r="M1562" s="4" t="s">
        <v>61</v>
      </c>
      <c r="O1562" s="4" t="s">
        <v>63</v>
      </c>
      <c r="P1562" s="4" t="s">
        <v>64</v>
      </c>
    </row>
    <row r="1563">
      <c r="A1563" s="4" t="s">
        <v>40</v>
      </c>
      <c r="B1563" s="4" t="s">
        <v>40</v>
      </c>
      <c r="C1563" s="4">
        <v>1561.0</v>
      </c>
      <c r="D1563" s="5" t="str">
        <f>HYPERLINK("https://www.linkedin.com/ad-library/detail/742469604","Open Ad")</f>
        <v>Open Ad</v>
      </c>
      <c r="E1563" s="4" t="s">
        <v>78</v>
      </c>
      <c r="F1563" s="4" t="s">
        <v>54</v>
      </c>
      <c r="G1563" s="4" t="s">
        <v>5844</v>
      </c>
      <c r="H1563" s="4" t="s">
        <v>49</v>
      </c>
      <c r="I1563" s="4" t="s">
        <v>661</v>
      </c>
      <c r="J1563" s="4" t="s">
        <v>78</v>
      </c>
      <c r="K1563" s="5" t="str">
        <f>HYPERLINK("https://media.licdn.com/dms/image/v2/D4E10AQFYpCuF-mBg3w/image-shrink_1280/B4EZjzrrMeGwAU-/0/1756434969995?e=2147483647&amp;v=beta&amp;t=fk11QT6Pp4YJ7QRl_Tu9Bv7lWQ_yG14g6-xJtg-frSo","View Creative")</f>
        <v>View Creative</v>
      </c>
      <c r="L1563" s="4" t="s">
        <v>106</v>
      </c>
      <c r="M1563" s="4" t="s">
        <v>61</v>
      </c>
      <c r="O1563" s="4" t="s">
        <v>63</v>
      </c>
      <c r="P1563" s="4" t="s">
        <v>64</v>
      </c>
    </row>
    <row r="1564">
      <c r="A1564" s="4" t="s">
        <v>40</v>
      </c>
      <c r="B1564" s="4" t="s">
        <v>40</v>
      </c>
      <c r="C1564" s="4">
        <v>1562.0</v>
      </c>
      <c r="D1564" s="5" t="str">
        <f>HYPERLINK("https://www.linkedin.com/ad-library/detail/742489554","Open Ad")</f>
        <v>Open Ad</v>
      </c>
      <c r="E1564" s="4" t="s">
        <v>78</v>
      </c>
      <c r="F1564" s="4" t="s">
        <v>54</v>
      </c>
      <c r="G1564" s="4" t="s">
        <v>5472</v>
      </c>
      <c r="H1564" s="4" t="s">
        <v>49</v>
      </c>
      <c r="I1564" s="4" t="s">
        <v>661</v>
      </c>
      <c r="J1564" s="4" t="s">
        <v>78</v>
      </c>
      <c r="K1564" s="5" t="str">
        <f>HYPERLINK("https://media.licdn.com/dms/image/v2/D4E10AQEKkn_nBqwOZg/image-shrink_1280/B4EZjzrObnGwAM-/0/1756434852267?e=2147483647&amp;v=beta&amp;t=37nvdoCfCNxFv1gcjKpdwu9O8TiLJwfweMd71he29rY","View Creative")</f>
        <v>View Creative</v>
      </c>
      <c r="L1564" s="4" t="s">
        <v>106</v>
      </c>
      <c r="M1564" s="4" t="s">
        <v>61</v>
      </c>
      <c r="O1564" s="4" t="s">
        <v>63</v>
      </c>
      <c r="P1564" s="4" t="s">
        <v>64</v>
      </c>
    </row>
    <row r="1565">
      <c r="A1565" s="4" t="s">
        <v>40</v>
      </c>
      <c r="B1565" s="4" t="s">
        <v>40</v>
      </c>
      <c r="C1565" s="4">
        <v>1563.0</v>
      </c>
      <c r="D1565" s="5" t="str">
        <f>HYPERLINK("https://www.linkedin.com/ad-library/detail/742439574","Open Ad")</f>
        <v>Open Ad</v>
      </c>
      <c r="E1565" s="4" t="s">
        <v>78</v>
      </c>
      <c r="F1565" s="4" t="s">
        <v>54</v>
      </c>
      <c r="G1565" s="4" t="s">
        <v>5472</v>
      </c>
      <c r="H1565" s="4" t="s">
        <v>49</v>
      </c>
      <c r="I1565" s="4" t="s">
        <v>661</v>
      </c>
      <c r="J1565" s="4" t="s">
        <v>78</v>
      </c>
      <c r="K1565" s="5" t="str">
        <f>HYPERLINK("https://media.licdn.com/dms/image/v2/D4E10AQEmc9qiscG-nQ/image-shrink_1280/B4EZjzrOg4GUAU-/0/1756434852541?e=2147483647&amp;v=beta&amp;t=JvdIEKIpRjxlJbZhrImdfpL6rNWlmLyCiPaw8ZobBQk","View Creative")</f>
        <v>View Creative</v>
      </c>
      <c r="L1565" s="4" t="s">
        <v>106</v>
      </c>
      <c r="M1565" s="4" t="s">
        <v>61</v>
      </c>
      <c r="O1565" s="4" t="s">
        <v>63</v>
      </c>
      <c r="P1565" s="4" t="s">
        <v>64</v>
      </c>
    </row>
    <row r="1566">
      <c r="A1566" s="4" t="s">
        <v>40</v>
      </c>
      <c r="B1566" s="4" t="s">
        <v>40</v>
      </c>
      <c r="C1566" s="4">
        <v>1564.0</v>
      </c>
      <c r="D1566" s="5" t="str">
        <f>HYPERLINK("https://www.linkedin.com/ad-library/detail/742489564","Open Ad")</f>
        <v>Open Ad</v>
      </c>
      <c r="E1566" s="4" t="s">
        <v>78</v>
      </c>
      <c r="F1566" s="4" t="s">
        <v>54</v>
      </c>
      <c r="G1566" s="4" t="s">
        <v>5844</v>
      </c>
      <c r="H1566" s="4" t="s">
        <v>49</v>
      </c>
      <c r="I1566" s="4" t="s">
        <v>661</v>
      </c>
      <c r="J1566" s="4" t="s">
        <v>78</v>
      </c>
      <c r="K1566" s="5" t="str">
        <f>HYPERLINK("https://media.licdn.com/dms/image/v2/D4E10AQFrIN1hFPSn8w/image-shrink_1280/B4EZjzrwQfIIAM-/0/1756434990806?e=2147483647&amp;v=beta&amp;t=D9li0NFs4y-w16f5fxTYxHiiAATOPxMgi973zGPe3ic","View Creative")</f>
        <v>View Creative</v>
      </c>
      <c r="L1566" s="4" t="s">
        <v>106</v>
      </c>
      <c r="M1566" s="4" t="s">
        <v>61</v>
      </c>
      <c r="O1566" s="4" t="s">
        <v>63</v>
      </c>
      <c r="P1566" s="4" t="s">
        <v>64</v>
      </c>
    </row>
    <row r="1567">
      <c r="A1567" s="4" t="s">
        <v>40</v>
      </c>
      <c r="B1567" s="4" t="s">
        <v>40</v>
      </c>
      <c r="C1567" s="4">
        <v>1565.0</v>
      </c>
      <c r="D1567" s="5" t="str">
        <f>HYPERLINK("https://www.linkedin.com/ad-library/detail/742489574","Open Ad")</f>
        <v>Open Ad</v>
      </c>
      <c r="E1567" s="4" t="s">
        <v>78</v>
      </c>
      <c r="F1567" s="4" t="s">
        <v>54</v>
      </c>
      <c r="G1567" s="4" t="s">
        <v>5844</v>
      </c>
      <c r="H1567" s="4" t="s">
        <v>49</v>
      </c>
      <c r="I1567" s="4" t="s">
        <v>661</v>
      </c>
      <c r="J1567" s="4" t="s">
        <v>78</v>
      </c>
      <c r="K1567" s="5" t="str">
        <f>HYPERLINK("https://media.licdn.com/dms/image/v2/D4E10AQGMtQf6uS1Y1g/image-shrink_1280/B4EZjzrwfXIMAM-/0/1756434991672?e=2147483647&amp;v=beta&amp;t=YYuGuNImshDryGRZymLpobFAYuurvZFe_M6aABhT2TQ","View Creative")</f>
        <v>View Creative</v>
      </c>
      <c r="L1567" s="4" t="s">
        <v>106</v>
      </c>
      <c r="M1567" s="4" t="s">
        <v>61</v>
      </c>
      <c r="O1567" s="4" t="s">
        <v>63</v>
      </c>
      <c r="P1567" s="4" t="s">
        <v>64</v>
      </c>
    </row>
    <row r="1568">
      <c r="A1568" s="4" t="s">
        <v>40</v>
      </c>
      <c r="B1568" s="4" t="s">
        <v>40</v>
      </c>
      <c r="C1568" s="4">
        <v>1566.0</v>
      </c>
      <c r="D1568" s="5" t="str">
        <f>HYPERLINK("https://www.linkedin.com/ad-library/detail/742489524","Open Ad")</f>
        <v>Open Ad</v>
      </c>
      <c r="E1568" s="4" t="s">
        <v>78</v>
      </c>
      <c r="F1568" s="4" t="s">
        <v>54</v>
      </c>
      <c r="G1568" s="4" t="s">
        <v>5472</v>
      </c>
      <c r="H1568" s="4" t="s">
        <v>49</v>
      </c>
      <c r="I1568" s="4" t="s">
        <v>661</v>
      </c>
      <c r="J1568" s="4" t="s">
        <v>78</v>
      </c>
      <c r="K1568" s="5" t="str">
        <f>HYPERLINK("https://media.licdn.com/dms/image/v2/D4E10AQFUKwdVIMc-kA/image-shrink_1280/B4EZjzrDY0HgAQ-/0/1756434806944?e=2147483647&amp;v=beta&amp;t=nARXGeMiv-vhqrqP5o23wcdNQOmrdTtVkHCYzFHPjME","View Creative")</f>
        <v>View Creative</v>
      </c>
      <c r="L1568" s="4" t="s">
        <v>106</v>
      </c>
      <c r="M1568" s="4" t="s">
        <v>61</v>
      </c>
      <c r="O1568" s="4" t="s">
        <v>63</v>
      </c>
      <c r="P1568" s="4" t="s">
        <v>64</v>
      </c>
    </row>
    <row r="1569">
      <c r="A1569" s="4" t="s">
        <v>40</v>
      </c>
      <c r="B1569" s="4" t="s">
        <v>40</v>
      </c>
      <c r="C1569" s="4">
        <v>1567.0</v>
      </c>
      <c r="D1569" s="5" t="str">
        <f>HYPERLINK("https://www.linkedin.com/ad-library/detail/742499614","Open Ad")</f>
        <v>Open Ad</v>
      </c>
      <c r="E1569" s="4" t="s">
        <v>78</v>
      </c>
      <c r="F1569" s="4" t="s">
        <v>54</v>
      </c>
      <c r="G1569" s="4" t="s">
        <v>5844</v>
      </c>
      <c r="H1569" s="4" t="s">
        <v>49</v>
      </c>
      <c r="I1569" s="4" t="s">
        <v>661</v>
      </c>
      <c r="J1569" s="4" t="s">
        <v>78</v>
      </c>
      <c r="K1569" s="5" t="str">
        <f>HYPERLINK("https://media.licdn.com/dms/image/v2/D4E10AQFbpaF3B1wwgA/image-shrink_1280/B4EZjzrwLjHEAM-/0/1756434990714?e=2147483647&amp;v=beta&amp;t=RJFZSiVXbe8uIJxZrPhTrtjzknPwbJR84GRxfcNOEUE","View Creative")</f>
        <v>View Creative</v>
      </c>
      <c r="L1569" s="4" t="s">
        <v>106</v>
      </c>
      <c r="M1569" s="4" t="s">
        <v>61</v>
      </c>
      <c r="O1569" s="4" t="s">
        <v>63</v>
      </c>
      <c r="P1569" s="4" t="s">
        <v>64</v>
      </c>
    </row>
    <row r="1570">
      <c r="A1570" s="4" t="s">
        <v>40</v>
      </c>
      <c r="B1570" s="4" t="s">
        <v>40</v>
      </c>
      <c r="C1570" s="4">
        <v>1568.0</v>
      </c>
      <c r="D1570" s="5" t="str">
        <f>HYPERLINK("https://www.linkedin.com/ad-library/detail/742469574","Open Ad")</f>
        <v>Open Ad</v>
      </c>
      <c r="E1570" s="4" t="s">
        <v>78</v>
      </c>
      <c r="F1570" s="4" t="s">
        <v>54</v>
      </c>
      <c r="G1570" s="4" t="s">
        <v>5472</v>
      </c>
      <c r="H1570" s="4" t="s">
        <v>49</v>
      </c>
      <c r="I1570" s="4" t="s">
        <v>661</v>
      </c>
      <c r="J1570" s="4" t="s">
        <v>78</v>
      </c>
      <c r="K1570" s="5" t="str">
        <f>HYPERLINK("https://media.licdn.com/dms/image/v2/D4E10AQEF9PtVjm2zbQ/image-shrink_1280/B4EZjzrJboGwAM-/0/1756434832040?e=2147483647&amp;v=beta&amp;t=xWjC1-f5o2z9KpbtTes7Pa-DQ-ZWarmxSQxnOwpDJOM","View Creative")</f>
        <v>View Creative</v>
      </c>
      <c r="L1570" s="4" t="s">
        <v>106</v>
      </c>
      <c r="M1570" s="4" t="s">
        <v>61</v>
      </c>
      <c r="O1570" s="4" t="s">
        <v>63</v>
      </c>
      <c r="P1570" s="4" t="s">
        <v>64</v>
      </c>
    </row>
    <row r="1571">
      <c r="A1571" s="4" t="s">
        <v>40</v>
      </c>
      <c r="B1571" s="4" t="s">
        <v>40</v>
      </c>
      <c r="C1571" s="4">
        <v>1569.0</v>
      </c>
      <c r="D1571" s="5" t="str">
        <f>HYPERLINK("https://www.linkedin.com/ad-library/detail/742459744","Open Ad")</f>
        <v>Open Ad</v>
      </c>
      <c r="E1571" s="4" t="s">
        <v>78</v>
      </c>
      <c r="F1571" s="4" t="s">
        <v>54</v>
      </c>
      <c r="G1571" s="4" t="s">
        <v>5844</v>
      </c>
      <c r="H1571" s="4" t="s">
        <v>49</v>
      </c>
      <c r="I1571" s="4" t="s">
        <v>661</v>
      </c>
      <c r="J1571" s="4" t="s">
        <v>78</v>
      </c>
      <c r="K1571" s="5" t="str">
        <f>HYPERLINK("https://media.licdn.com/dms/image/v2/D4E10AQGuI-93xLCEQQ/image-shrink_1280/B4EZjzrwdXHEAM-/0/1756434991817?e=2147483647&amp;v=beta&amp;t=SDe_bcq7XNqzTG1390yyoN6KnUKrVCqnhup67YhQ7qc","View Creative")</f>
        <v>View Creative</v>
      </c>
      <c r="L1571" s="4" t="s">
        <v>106</v>
      </c>
      <c r="M1571" s="4" t="s">
        <v>61</v>
      </c>
      <c r="O1571" s="4" t="s">
        <v>63</v>
      </c>
      <c r="P1571" s="4" t="s">
        <v>64</v>
      </c>
    </row>
    <row r="1572">
      <c r="A1572" s="4" t="s">
        <v>40</v>
      </c>
      <c r="B1572" s="4" t="s">
        <v>40</v>
      </c>
      <c r="C1572" s="4">
        <v>1570.0</v>
      </c>
      <c r="D1572" s="5" t="str">
        <f>HYPERLINK("https://www.linkedin.com/ad-library/detail/742459724","Open Ad")</f>
        <v>Open Ad</v>
      </c>
      <c r="E1572" s="4" t="s">
        <v>78</v>
      </c>
      <c r="F1572" s="4" t="s">
        <v>54</v>
      </c>
      <c r="G1572" s="4" t="s">
        <v>5846</v>
      </c>
      <c r="H1572" s="4" t="s">
        <v>49</v>
      </c>
      <c r="I1572" s="4" t="s">
        <v>661</v>
      </c>
      <c r="J1572" s="4" t="s">
        <v>78</v>
      </c>
      <c r="K1572" s="5" t="str">
        <f>HYPERLINK("https://media.licdn.com/dms/image/v2/D4E10AQGZjCpY7onQsg/image-shrink_1280/B4EZjzrwWoGwAM-/0/1756434991446?e=2147483647&amp;v=beta&amp;t=owDwPUV0thdb4OiLp8EKQnL1678upPeZLLZAzRaquhg","View Creative")</f>
        <v>View Creative</v>
      </c>
      <c r="L1572" s="4" t="s">
        <v>106</v>
      </c>
      <c r="M1572" s="4" t="s">
        <v>61</v>
      </c>
      <c r="O1572" s="4" t="s">
        <v>63</v>
      </c>
      <c r="P1572" s="4" t="s">
        <v>64</v>
      </c>
    </row>
    <row r="1573">
      <c r="A1573" s="4" t="s">
        <v>40</v>
      </c>
      <c r="B1573" s="4" t="s">
        <v>40</v>
      </c>
      <c r="C1573" s="4">
        <v>1571.0</v>
      </c>
      <c r="D1573" s="5" t="str">
        <f>HYPERLINK("https://www.linkedin.com/ad-library/detail/742459734","Open Ad")</f>
        <v>Open Ad</v>
      </c>
      <c r="E1573" s="4" t="s">
        <v>78</v>
      </c>
      <c r="F1573" s="4" t="s">
        <v>54</v>
      </c>
      <c r="G1573" s="4" t="s">
        <v>5846</v>
      </c>
      <c r="H1573" s="4" t="s">
        <v>49</v>
      </c>
      <c r="I1573" s="4" t="s">
        <v>661</v>
      </c>
      <c r="J1573" s="4" t="s">
        <v>78</v>
      </c>
      <c r="K1573" s="5" t="str">
        <f>HYPERLINK("https://media.licdn.com/dms/image/v2/D4E10AQGv6fEJFgSy6w/image-shrink_1280/B4EZjzrwVdGYAM-/0/1756434991758?e=2147483647&amp;v=beta&amp;t=zMDNfFLj6AeeDsE6AeSY21BLG6uNe9qWABFMXdkq4Ho","View Creative")</f>
        <v>View Creative</v>
      </c>
      <c r="L1573" s="4" t="s">
        <v>106</v>
      </c>
      <c r="M1573" s="4" t="s">
        <v>61</v>
      </c>
      <c r="O1573" s="4" t="s">
        <v>63</v>
      </c>
      <c r="P1573" s="4" t="s">
        <v>64</v>
      </c>
    </row>
    <row r="1574">
      <c r="A1574" s="4" t="s">
        <v>40</v>
      </c>
      <c r="B1574" s="4" t="s">
        <v>40</v>
      </c>
      <c r="C1574" s="4">
        <v>1572.0</v>
      </c>
      <c r="D1574" s="5" t="str">
        <f>HYPERLINK("https://www.linkedin.com/ad-library/detail/742539844","Open Ad")</f>
        <v>Open Ad</v>
      </c>
      <c r="E1574" s="4" t="s">
        <v>78</v>
      </c>
      <c r="F1574" s="4" t="s">
        <v>54</v>
      </c>
      <c r="G1574" s="4" t="s">
        <v>5846</v>
      </c>
      <c r="H1574" s="4" t="s">
        <v>49</v>
      </c>
      <c r="I1574" s="4" t="s">
        <v>661</v>
      </c>
      <c r="J1574" s="4" t="s">
        <v>78</v>
      </c>
      <c r="K1574" s="5" t="str">
        <f>HYPERLINK("https://media.licdn.com/dms/image/v2/D4E10AQGx1RYIxM76eA/image-shrink_1280/B4EZjzr1moGYAM-/0/1756435012918?e=2147483647&amp;v=beta&amp;t=Jt5oktAr2cX-5azw2IAs3hMWXZJzF7rSSpY8Ksk-9ls","View Creative")</f>
        <v>View Creative</v>
      </c>
      <c r="L1574" s="4" t="s">
        <v>106</v>
      </c>
      <c r="M1574" s="4" t="s">
        <v>61</v>
      </c>
      <c r="O1574" s="4" t="s">
        <v>63</v>
      </c>
      <c r="P1574" s="4" t="s">
        <v>64</v>
      </c>
    </row>
    <row r="1575">
      <c r="A1575" s="4" t="s">
        <v>40</v>
      </c>
      <c r="B1575" s="4" t="s">
        <v>40</v>
      </c>
      <c r="C1575" s="4">
        <v>1573.0</v>
      </c>
      <c r="D1575" s="5" t="str">
        <f>HYPERLINK("https://www.linkedin.com/ad-library/detail/742479634","Open Ad")</f>
        <v>Open Ad</v>
      </c>
      <c r="E1575" s="4" t="s">
        <v>78</v>
      </c>
      <c r="F1575" s="4" t="s">
        <v>54</v>
      </c>
      <c r="G1575" s="4" t="s">
        <v>5844</v>
      </c>
      <c r="H1575" s="4" t="s">
        <v>49</v>
      </c>
      <c r="I1575" s="4" t="s">
        <v>661</v>
      </c>
      <c r="J1575" s="4" t="s">
        <v>78</v>
      </c>
      <c r="K1575" s="5" t="str">
        <f>HYPERLINK("https://media.licdn.com/dms/image/v2/D4E10AQEksohL7ZPiPg/image-shrink_1280/B4EZjzrrOgGcAQ-/0/1756434970163?e=2147483647&amp;v=beta&amp;t=HziqauO2_5SDvZK1Xs5gaE7kmwZLU1J9QyLIpOg2ZPk","View Creative")</f>
        <v>View Creative</v>
      </c>
      <c r="L1575" s="4" t="s">
        <v>106</v>
      </c>
      <c r="M1575" s="4" t="s">
        <v>61</v>
      </c>
      <c r="O1575" s="4" t="s">
        <v>63</v>
      </c>
      <c r="P1575" s="4" t="s">
        <v>64</v>
      </c>
    </row>
    <row r="1576">
      <c r="A1576" s="4" t="s">
        <v>40</v>
      </c>
      <c r="B1576" s="4" t="s">
        <v>40</v>
      </c>
      <c r="C1576" s="4">
        <v>1574.0</v>
      </c>
      <c r="D1576" s="5" t="str">
        <f>HYPERLINK("https://www.linkedin.com/ad-library/detail/742499584","Open Ad")</f>
        <v>Open Ad</v>
      </c>
      <c r="E1576" s="4" t="s">
        <v>78</v>
      </c>
      <c r="F1576" s="4" t="s">
        <v>54</v>
      </c>
      <c r="G1576" s="4" t="s">
        <v>5846</v>
      </c>
      <c r="H1576" s="4" t="s">
        <v>49</v>
      </c>
      <c r="I1576" s="4" t="s">
        <v>661</v>
      </c>
      <c r="J1576" s="4" t="s">
        <v>78</v>
      </c>
      <c r="K1576" s="5" t="str">
        <f>HYPERLINK("https://media.licdn.com/dms/image/v2/D4E10AQHkSj5x_vFRnA/image-shrink_1280/B4EZjzrrGiHgAM-/0/1756434970071?e=2147483647&amp;v=beta&amp;t=rlOplGImLKXqd3a1mHFsmy_QgqDwmE92RkDGOvotVD0","View Creative")</f>
        <v>View Creative</v>
      </c>
      <c r="L1576" s="4" t="s">
        <v>106</v>
      </c>
      <c r="M1576" s="4" t="s">
        <v>61</v>
      </c>
      <c r="O1576" s="4" t="s">
        <v>63</v>
      </c>
      <c r="P1576" s="4" t="s">
        <v>64</v>
      </c>
    </row>
    <row r="1577">
      <c r="A1577" s="4" t="s">
        <v>40</v>
      </c>
      <c r="B1577" s="4" t="s">
        <v>40</v>
      </c>
      <c r="C1577" s="4">
        <v>1575.0</v>
      </c>
      <c r="D1577" s="5" t="str">
        <f>HYPERLINK("https://www.linkedin.com/ad-library/detail/742499594","Open Ad")</f>
        <v>Open Ad</v>
      </c>
      <c r="E1577" s="4" t="s">
        <v>78</v>
      </c>
      <c r="F1577" s="4" t="s">
        <v>54</v>
      </c>
      <c r="G1577" s="4" t="s">
        <v>5844</v>
      </c>
      <c r="H1577" s="4" t="s">
        <v>49</v>
      </c>
      <c r="I1577" s="4" t="s">
        <v>661</v>
      </c>
      <c r="J1577" s="4" t="s">
        <v>78</v>
      </c>
      <c r="K1577" s="5" t="str">
        <f>HYPERLINK("https://media.licdn.com/dms/image/v2/D4E10AQGOE19_xwkOuQ/image-shrink_1280/B4EZjzrrKfGwAU-/0/1756434969910?e=2147483647&amp;v=beta&amp;t=9LCy90H27S_KYlrleOKKQXN3jcHG73UrMv-Z79MnM7o","View Creative")</f>
        <v>View Creative</v>
      </c>
      <c r="L1577" s="4" t="s">
        <v>106</v>
      </c>
      <c r="M1577" s="4" t="s">
        <v>61</v>
      </c>
      <c r="O1577" s="4" t="s">
        <v>63</v>
      </c>
      <c r="P1577" s="4" t="s">
        <v>64</v>
      </c>
    </row>
    <row r="1578">
      <c r="A1578" s="4" t="s">
        <v>40</v>
      </c>
      <c r="B1578" s="4" t="s">
        <v>40</v>
      </c>
      <c r="C1578" s="4">
        <v>1576.0</v>
      </c>
      <c r="D1578" s="5" t="str">
        <f>HYPERLINK("https://www.linkedin.com/ad-library/detail/742449234","Open Ad")</f>
        <v>Open Ad</v>
      </c>
      <c r="E1578" s="4" t="s">
        <v>78</v>
      </c>
      <c r="F1578" s="4" t="s">
        <v>54</v>
      </c>
      <c r="G1578" s="4" t="s">
        <v>5844</v>
      </c>
      <c r="H1578" s="4" t="s">
        <v>49</v>
      </c>
      <c r="I1578" s="4" t="s">
        <v>661</v>
      </c>
      <c r="J1578" s="4" t="s">
        <v>78</v>
      </c>
      <c r="K1578" s="5" t="str">
        <f>HYPERLINK("https://media.licdn.com/dms/image/v2/D4E10AQFLnENODIjCTg/image-shrink_1280/B4EZjzrrFYGcAM-/0/1756434969627?e=2147483647&amp;v=beta&amp;t=EOq1lw5lEhwuhzudHj7HZd2IWmM4bXFsjr0mPVgtQNs","View Creative")</f>
        <v>View Creative</v>
      </c>
      <c r="L1578" s="4" t="s">
        <v>106</v>
      </c>
      <c r="M1578" s="4" t="s">
        <v>61</v>
      </c>
      <c r="O1578" s="4" t="s">
        <v>63</v>
      </c>
      <c r="P1578" s="4" t="s">
        <v>64</v>
      </c>
    </row>
    <row r="1579">
      <c r="A1579" s="4" t="s">
        <v>40</v>
      </c>
      <c r="B1579" s="4" t="s">
        <v>40</v>
      </c>
      <c r="C1579" s="4">
        <v>1577.0</v>
      </c>
      <c r="D1579" s="5" t="str">
        <f>HYPERLINK("https://www.linkedin.com/ad-library/detail/742518504","Open Ad")</f>
        <v>Open Ad</v>
      </c>
      <c r="E1579" s="4" t="s">
        <v>78</v>
      </c>
      <c r="F1579" s="4" t="s">
        <v>54</v>
      </c>
      <c r="G1579" s="4" t="s">
        <v>5472</v>
      </c>
      <c r="H1579" s="4" t="s">
        <v>49</v>
      </c>
      <c r="I1579" s="4" t="s">
        <v>661</v>
      </c>
      <c r="J1579" s="4" t="s">
        <v>78</v>
      </c>
      <c r="K1579" s="5" t="str">
        <f>HYPERLINK("https://media.licdn.com/dms/image/v2/D4E10AQGIa4xEc-QnGg/image-shrink_1280/B4EZjzrDuVHgAU-/0/1756434808623?e=2147483647&amp;v=beta&amp;t=wxYcrE_DCP6LstluC7LCcXbUObT2WZlw7AAf3MXbLOM","View Creative")</f>
        <v>View Creative</v>
      </c>
      <c r="L1579" s="4" t="s">
        <v>106</v>
      </c>
      <c r="M1579" s="4" t="s">
        <v>61</v>
      </c>
      <c r="O1579" s="4" t="s">
        <v>63</v>
      </c>
      <c r="P1579" s="4" t="s">
        <v>64</v>
      </c>
    </row>
    <row r="1580">
      <c r="A1580" s="4" t="s">
        <v>40</v>
      </c>
      <c r="B1580" s="4" t="s">
        <v>40</v>
      </c>
      <c r="C1580" s="4">
        <v>1578.0</v>
      </c>
      <c r="D1580" s="5" t="str">
        <f>HYPERLINK("https://www.linkedin.com/ad-library/detail/742518514","Open Ad")</f>
        <v>Open Ad</v>
      </c>
      <c r="E1580" s="4" t="s">
        <v>78</v>
      </c>
      <c r="F1580" s="4" t="s">
        <v>54</v>
      </c>
      <c r="G1580" s="4" t="s">
        <v>5846</v>
      </c>
      <c r="H1580" s="4" t="s">
        <v>49</v>
      </c>
      <c r="I1580" s="4" t="s">
        <v>661</v>
      </c>
      <c r="J1580" s="4" t="s">
        <v>78</v>
      </c>
      <c r="K1580" s="5" t="str">
        <f>HYPERLINK("https://media.licdn.com/dms/image/v2/D4E10AQHI5oefYP4atQ/image-shrink_1280/B4EZjzrrZKGUAM-/0/1756434971240?e=2147483647&amp;v=beta&amp;t=WLYmal6OKe-jNFsaUSl0jlRJO4He-Us5avTQi2Bz_-g","View Creative")</f>
        <v>View Creative</v>
      </c>
      <c r="L1580" s="4" t="s">
        <v>106</v>
      </c>
      <c r="M1580" s="4" t="s">
        <v>61</v>
      </c>
      <c r="O1580" s="4" t="s">
        <v>63</v>
      </c>
      <c r="P1580" s="4" t="s">
        <v>64</v>
      </c>
    </row>
    <row r="1581">
      <c r="A1581" s="4" t="s">
        <v>40</v>
      </c>
      <c r="B1581" s="4" t="s">
        <v>40</v>
      </c>
      <c r="C1581" s="4">
        <v>1579.0</v>
      </c>
      <c r="D1581" s="5" t="str">
        <f>HYPERLINK("https://www.linkedin.com/ad-library/detail/742449254","Open Ad")</f>
        <v>Open Ad</v>
      </c>
      <c r="E1581" s="4" t="s">
        <v>78</v>
      </c>
      <c r="F1581" s="4" t="s">
        <v>54</v>
      </c>
      <c r="G1581" s="4" t="s">
        <v>5844</v>
      </c>
      <c r="H1581" s="4" t="s">
        <v>49</v>
      </c>
      <c r="I1581" s="4" t="s">
        <v>661</v>
      </c>
      <c r="J1581" s="4" t="s">
        <v>78</v>
      </c>
      <c r="K1581" s="5" t="str">
        <f>HYPERLINK("https://media.licdn.com/dms/image/v2/D4E10AQGtOgigcJlYOA/image-shrink_1280/B4EZjzr1mtHgAM-/0/1756435012628?e=2147483647&amp;v=beta&amp;t=vCnPU3GMXhW6mnDB6QiVH57XLyMMgOXFm6439FCSwJg","View Creative")</f>
        <v>View Creative</v>
      </c>
      <c r="L1581" s="4" t="s">
        <v>106</v>
      </c>
      <c r="M1581" s="4" t="s">
        <v>61</v>
      </c>
      <c r="O1581" s="4" t="s">
        <v>63</v>
      </c>
      <c r="P1581" s="4" t="s">
        <v>64</v>
      </c>
    </row>
    <row r="1582">
      <c r="A1582" s="4" t="s">
        <v>40</v>
      </c>
      <c r="B1582" s="4" t="s">
        <v>40</v>
      </c>
      <c r="C1582" s="4">
        <v>1580.0</v>
      </c>
      <c r="D1582" s="5" t="str">
        <f>HYPERLINK("https://www.linkedin.com/ad-library/detail/742518544","Open Ad")</f>
        <v>Open Ad</v>
      </c>
      <c r="E1582" s="4" t="s">
        <v>78</v>
      </c>
      <c r="F1582" s="4" t="s">
        <v>54</v>
      </c>
      <c r="G1582" s="4" t="s">
        <v>5846</v>
      </c>
      <c r="H1582" s="4" t="s">
        <v>49</v>
      </c>
      <c r="I1582" s="4" t="s">
        <v>661</v>
      </c>
      <c r="J1582" s="4" t="s">
        <v>78</v>
      </c>
      <c r="K1582" s="5" t="str">
        <f>HYPERLINK("https://media.licdn.com/dms/image/v2/D4E10AQHkJz0rT1Neeg/image-shrink_1280/B4EZjzr1nmHEAM-/0/1756435013195?e=2147483647&amp;v=beta&amp;t=Qyfsq0tHyAVctdEyU4Rnz60wjalB04j0FV71IE-DqJo","View Creative")</f>
        <v>View Creative</v>
      </c>
      <c r="L1582" s="4" t="s">
        <v>106</v>
      </c>
      <c r="M1582" s="4" t="s">
        <v>61</v>
      </c>
      <c r="O1582" s="4" t="s">
        <v>63</v>
      </c>
      <c r="P1582" s="4" t="s">
        <v>64</v>
      </c>
    </row>
    <row r="1583">
      <c r="A1583" s="4" t="s">
        <v>40</v>
      </c>
      <c r="B1583" s="4" t="s">
        <v>40</v>
      </c>
      <c r="C1583" s="4">
        <v>1581.0</v>
      </c>
      <c r="D1583" s="5" t="str">
        <f>HYPERLINK("https://www.linkedin.com/ad-library/detail/742518554","Open Ad")</f>
        <v>Open Ad</v>
      </c>
      <c r="E1583" s="4" t="s">
        <v>78</v>
      </c>
      <c r="F1583" s="4" t="s">
        <v>54</v>
      </c>
      <c r="G1583" s="4" t="s">
        <v>5844</v>
      </c>
      <c r="H1583" s="4" t="s">
        <v>49</v>
      </c>
      <c r="I1583" s="4" t="s">
        <v>661</v>
      </c>
      <c r="J1583" s="4" t="s">
        <v>78</v>
      </c>
      <c r="K1583" s="5" t="str">
        <f>HYPERLINK("https://media.licdn.com/dms/image/v2/D4E10AQGU9BpUhdsU5w/image-shrink_1280/B4EZjzr1qCGwAU-/0/1756435013170?e=2147483647&amp;v=beta&amp;t=BqPhdDBvlK-E7OhHSvzNI2fARjvAqOrQAxplObpQWZQ","View Creative")</f>
        <v>View Creative</v>
      </c>
      <c r="L1583" s="4" t="s">
        <v>106</v>
      </c>
      <c r="M1583" s="4" t="s">
        <v>61</v>
      </c>
      <c r="O1583" s="4" t="s">
        <v>63</v>
      </c>
      <c r="P1583" s="4" t="s">
        <v>64</v>
      </c>
    </row>
    <row r="1584">
      <c r="A1584" s="4" t="s">
        <v>40</v>
      </c>
      <c r="B1584" s="4" t="s">
        <v>40</v>
      </c>
      <c r="C1584" s="4">
        <v>1582.0</v>
      </c>
      <c r="D1584" s="5" t="str">
        <f>HYPERLINK("https://www.linkedin.com/ad-library/detail/742518524","Open Ad")</f>
        <v>Open Ad</v>
      </c>
      <c r="E1584" s="4" t="s">
        <v>78</v>
      </c>
      <c r="F1584" s="4" t="s">
        <v>54</v>
      </c>
      <c r="G1584" s="4" t="s">
        <v>5844</v>
      </c>
      <c r="H1584" s="4" t="s">
        <v>49</v>
      </c>
      <c r="I1584" s="4" t="s">
        <v>661</v>
      </c>
      <c r="J1584" s="4" t="s">
        <v>78</v>
      </c>
      <c r="K1584" s="5" t="str">
        <f>HYPERLINK("https://media.licdn.com/dms/image/v2/D4E10AQEHAosgOywfQg/image-shrink_1280/B4EZjzrwCoGYAM-/0/1756434989824?e=2147483647&amp;v=beta&amp;t=L6SYCBsGEmDzpRi40XLw2yFDniF41fmLov4cIqPMWBQ","View Creative")</f>
        <v>View Creative</v>
      </c>
      <c r="L1584" s="4" t="s">
        <v>106</v>
      </c>
      <c r="M1584" s="4" t="s">
        <v>61</v>
      </c>
      <c r="O1584" s="4" t="s">
        <v>63</v>
      </c>
      <c r="P1584" s="4" t="s">
        <v>64</v>
      </c>
    </row>
    <row r="1585">
      <c r="A1585" s="4" t="s">
        <v>40</v>
      </c>
      <c r="B1585" s="4" t="s">
        <v>40</v>
      </c>
      <c r="C1585" s="4">
        <v>1583.0</v>
      </c>
      <c r="D1585" s="5" t="str">
        <f>HYPERLINK("https://www.linkedin.com/ad-library/detail/742449214","Open Ad")</f>
        <v>Open Ad</v>
      </c>
      <c r="E1585" s="4" t="s">
        <v>78</v>
      </c>
      <c r="F1585" s="4" t="s">
        <v>54</v>
      </c>
      <c r="G1585" s="4" t="s">
        <v>5472</v>
      </c>
      <c r="H1585" s="4" t="s">
        <v>49</v>
      </c>
      <c r="I1585" s="4" t="s">
        <v>661</v>
      </c>
      <c r="J1585" s="4" t="s">
        <v>78</v>
      </c>
      <c r="K1585" s="5" t="str">
        <f>HYPERLINK("https://media.licdn.com/dms/image/v2/D4E10AQEbCt84r9LvuA/image-shrink_1280/B4EZjzrI.UIQAM-/0/1756434830304?e=2147483647&amp;v=beta&amp;t=_WWWT5NiY7bmzK9c0XFPAKaixD7lI_xC0CbN8CgGmfE","View Creative")</f>
        <v>View Creative</v>
      </c>
      <c r="L1585" s="4" t="s">
        <v>106</v>
      </c>
      <c r="M1585" s="4" t="s">
        <v>61</v>
      </c>
      <c r="O1585" s="4" t="s">
        <v>63</v>
      </c>
      <c r="P1585" s="4" t="s">
        <v>64</v>
      </c>
    </row>
    <row r="1586">
      <c r="A1586" s="4" t="s">
        <v>40</v>
      </c>
      <c r="B1586" s="4" t="s">
        <v>40</v>
      </c>
      <c r="C1586" s="4">
        <v>1584.0</v>
      </c>
      <c r="D1586" s="5" t="str">
        <f>HYPERLINK("https://www.linkedin.com/ad-library/detail/742518534","Open Ad")</f>
        <v>Open Ad</v>
      </c>
      <c r="E1586" s="4" t="s">
        <v>78</v>
      </c>
      <c r="F1586" s="4" t="s">
        <v>54</v>
      </c>
      <c r="G1586" s="4" t="s">
        <v>5844</v>
      </c>
      <c r="H1586" s="4" t="s">
        <v>49</v>
      </c>
      <c r="I1586" s="4" t="s">
        <v>661</v>
      </c>
      <c r="J1586" s="4" t="s">
        <v>78</v>
      </c>
      <c r="K1586" s="5" t="str">
        <f>HYPERLINK("https://media.licdn.com/dms/image/v2/D4E10AQFY1ao01xXQQQ/image-shrink_1280/B4EZjzrwkTHoAM-/0/1756434991965?e=2147483647&amp;v=beta&amp;t=lfDbboUIO6rcgA1piD4YrnV9x-QAvyT_O2qxIat8Li8","View Creative")</f>
        <v>View Creative</v>
      </c>
      <c r="L1586" s="4" t="s">
        <v>106</v>
      </c>
      <c r="M1586" s="4" t="s">
        <v>61</v>
      </c>
      <c r="O1586" s="4" t="s">
        <v>63</v>
      </c>
      <c r="P1586" s="4" t="s">
        <v>64</v>
      </c>
    </row>
    <row r="1587">
      <c r="A1587" s="4" t="s">
        <v>40</v>
      </c>
      <c r="B1587" s="4" t="s">
        <v>40</v>
      </c>
      <c r="C1587" s="4">
        <v>1585.0</v>
      </c>
      <c r="D1587" s="5" t="str">
        <f>HYPERLINK("https://www.linkedin.com/ad-library/detail/742439454","Open Ad")</f>
        <v>Open Ad</v>
      </c>
      <c r="E1587" s="4" t="s">
        <v>78</v>
      </c>
      <c r="F1587" s="4" t="s">
        <v>54</v>
      </c>
      <c r="G1587" s="4" t="s">
        <v>5472</v>
      </c>
      <c r="H1587" s="4" t="s">
        <v>49</v>
      </c>
      <c r="I1587" s="4" t="s">
        <v>661</v>
      </c>
      <c r="J1587" s="4" t="s">
        <v>78</v>
      </c>
      <c r="K1587" s="5" t="str">
        <f>HYPERLINK("https://media.licdn.com/dms/image/v2/D4E10AQEVQsDdNSeplw/image-shrink_1280/B4EZjzqdW_HgAQ-/0/1756434651254?e=2147483647&amp;v=beta&amp;t=sf_sfXhNmM-cYW_NR9_enIjd6hrNzxR-dLmBo7daFvg","View Creative")</f>
        <v>View Creative</v>
      </c>
      <c r="L1587" s="4" t="s">
        <v>106</v>
      </c>
      <c r="M1587" s="4" t="s">
        <v>61</v>
      </c>
      <c r="O1587" s="4" t="s">
        <v>63</v>
      </c>
      <c r="P1587" s="4" t="s">
        <v>64</v>
      </c>
    </row>
    <row r="1588">
      <c r="A1588" s="4" t="s">
        <v>40</v>
      </c>
      <c r="B1588" s="4" t="s">
        <v>40</v>
      </c>
      <c r="C1588" s="4">
        <v>1586.0</v>
      </c>
      <c r="D1588" s="5" t="str">
        <f>HYPERLINK("https://www.linkedin.com/ad-library/detail/742469524","Open Ad")</f>
        <v>Open Ad</v>
      </c>
      <c r="E1588" s="4" t="s">
        <v>78</v>
      </c>
      <c r="F1588" s="4" t="s">
        <v>54</v>
      </c>
      <c r="G1588" s="4" t="s">
        <v>5472</v>
      </c>
      <c r="H1588" s="4" t="s">
        <v>49</v>
      </c>
      <c r="I1588" s="4" t="s">
        <v>661</v>
      </c>
      <c r="J1588" s="4" t="s">
        <v>78</v>
      </c>
      <c r="K1588" s="5" t="str">
        <f>HYPERLINK("https://media.licdn.com/dms/image/v2/D4E10AQEC14jx33neTA/image-shrink_1280/B4EZjzq4i0GUAM-/0/1756434762546?e=2147483647&amp;v=beta&amp;t=y5Jr8UsjuqW2tXnaxT3Ni7GzQcdtSQf-maK0WnfiGIk","View Creative")</f>
        <v>View Creative</v>
      </c>
      <c r="L1588" s="4" t="s">
        <v>106</v>
      </c>
      <c r="M1588" s="4" t="s">
        <v>61</v>
      </c>
      <c r="O1588" s="4" t="s">
        <v>63</v>
      </c>
      <c r="P1588" s="4" t="s">
        <v>64</v>
      </c>
    </row>
    <row r="1589">
      <c r="A1589" s="4" t="s">
        <v>40</v>
      </c>
      <c r="B1589" s="4" t="s">
        <v>40</v>
      </c>
      <c r="C1589" s="4">
        <v>1587.0</v>
      </c>
      <c r="D1589" s="5" t="str">
        <f>HYPERLINK("https://www.linkedin.com/ad-library/detail/742469534","Open Ad")</f>
        <v>Open Ad</v>
      </c>
      <c r="E1589" s="4" t="s">
        <v>78</v>
      </c>
      <c r="F1589" s="4" t="s">
        <v>54</v>
      </c>
      <c r="G1589" s="4" t="s">
        <v>5472</v>
      </c>
      <c r="H1589" s="4" t="s">
        <v>49</v>
      </c>
      <c r="I1589" s="4" t="s">
        <v>661</v>
      </c>
      <c r="J1589" s="4" t="s">
        <v>78</v>
      </c>
      <c r="K1589" s="5" t="str">
        <f>HYPERLINK("https://media.licdn.com/dms/image/v2/D4E10AQEr9Yyrr795YA/image-shrink_1280/B4EZjzq4dBIQAQ-/0/1756434762890?e=2147483647&amp;v=beta&amp;t=bWCR6o3xz07PORZ4PTVzC7p2lPkkEK1uJ1Ovr7t9IyQ","View Creative")</f>
        <v>View Creative</v>
      </c>
      <c r="L1589" s="4" t="s">
        <v>106</v>
      </c>
      <c r="M1589" s="4" t="s">
        <v>61</v>
      </c>
      <c r="O1589" s="4" t="s">
        <v>63</v>
      </c>
      <c r="P1589" s="4" t="s">
        <v>64</v>
      </c>
    </row>
    <row r="1590">
      <c r="A1590" s="4" t="s">
        <v>40</v>
      </c>
      <c r="B1590" s="4" t="s">
        <v>40</v>
      </c>
      <c r="C1590" s="4">
        <v>1588.0</v>
      </c>
      <c r="D1590" s="5" t="str">
        <f>HYPERLINK("https://www.linkedin.com/ad-library/detail/742469554","Open Ad")</f>
        <v>Open Ad</v>
      </c>
      <c r="E1590" s="4" t="s">
        <v>78</v>
      </c>
      <c r="F1590" s="4" t="s">
        <v>54</v>
      </c>
      <c r="G1590" s="4" t="s">
        <v>5472</v>
      </c>
      <c r="H1590" s="4" t="s">
        <v>49</v>
      </c>
      <c r="I1590" s="4" t="s">
        <v>661</v>
      </c>
      <c r="J1590" s="4" t="s">
        <v>78</v>
      </c>
      <c r="K1590" s="5" t="str">
        <f>HYPERLINK("https://media.licdn.com/dms/image/v2/D4E10AQF34agFDL5B8Q/image-shrink_1280/B4EZjzq9hSHoAQ-/0/1756434783005?e=2147483647&amp;v=beta&amp;t=RNK4r7nz8krxjsP6nNC_Tx2oupGhqiFNxQKNoS_78g4","View Creative")</f>
        <v>View Creative</v>
      </c>
      <c r="L1590" s="4" t="s">
        <v>106</v>
      </c>
      <c r="M1590" s="4" t="s">
        <v>61</v>
      </c>
      <c r="O1590" s="4" t="s">
        <v>63</v>
      </c>
      <c r="P1590" s="4" t="s">
        <v>64</v>
      </c>
    </row>
    <row r="1591">
      <c r="A1591" s="4" t="s">
        <v>40</v>
      </c>
      <c r="B1591" s="4" t="s">
        <v>40</v>
      </c>
      <c r="C1591" s="4">
        <v>1589.0</v>
      </c>
      <c r="D1591" s="5" t="str">
        <f>HYPERLINK("https://www.linkedin.com/ad-library/detail/742459674","Open Ad")</f>
        <v>Open Ad</v>
      </c>
      <c r="E1591" s="4" t="s">
        <v>78</v>
      </c>
      <c r="F1591" s="4" t="s">
        <v>54</v>
      </c>
      <c r="G1591" s="4" t="s">
        <v>5472</v>
      </c>
      <c r="H1591" s="4" t="s">
        <v>49</v>
      </c>
      <c r="I1591" s="4" t="s">
        <v>661</v>
      </c>
      <c r="J1591" s="4" t="s">
        <v>78</v>
      </c>
      <c r="K1591" s="5" t="str">
        <f>HYPERLINK("https://media.licdn.com/dms/image/v2/D4E10AQF0UoN1y9xQRA/image-shrink_1280/B4EZjzqymIIUAM-/0/1756434738680?e=2147483647&amp;v=beta&amp;t=KyL1MfiId2xi6Ho3uxnNC4rMU2mGdHvh1afW1N1H4go","View Creative")</f>
        <v>View Creative</v>
      </c>
      <c r="L1591" s="4" t="s">
        <v>106</v>
      </c>
      <c r="M1591" s="4" t="s">
        <v>61</v>
      </c>
      <c r="O1591" s="4" t="s">
        <v>63</v>
      </c>
      <c r="P1591" s="4" t="s">
        <v>64</v>
      </c>
    </row>
    <row r="1592">
      <c r="A1592" s="4" t="s">
        <v>40</v>
      </c>
      <c r="B1592" s="4" t="s">
        <v>40</v>
      </c>
      <c r="C1592" s="4">
        <v>1590.0</v>
      </c>
      <c r="D1592" s="5" t="str">
        <f>HYPERLINK("https://www.linkedin.com/ad-library/detail/742509604","Open Ad")</f>
        <v>Open Ad</v>
      </c>
      <c r="E1592" s="4" t="s">
        <v>78</v>
      </c>
      <c r="F1592" s="4" t="s">
        <v>54</v>
      </c>
      <c r="G1592" s="4" t="s">
        <v>5472</v>
      </c>
      <c r="H1592" s="4" t="s">
        <v>49</v>
      </c>
      <c r="I1592" s="4" t="s">
        <v>661</v>
      </c>
      <c r="J1592" s="4" t="s">
        <v>78</v>
      </c>
      <c r="K1592" s="5" t="str">
        <f>HYPERLINK("https://media.licdn.com/dms/image/v2/D4E10AQFuVOe3upXrLg/image-shrink_1280/B4EZjzq.MKIQAU-/0/1756434785705?e=2147483647&amp;v=beta&amp;t=f3E83QOY6yJdeMSrRKt9d3acukh567VC9AEi7ffzTLg","View Creative")</f>
        <v>View Creative</v>
      </c>
      <c r="L1592" s="4" t="s">
        <v>106</v>
      </c>
      <c r="M1592" s="4" t="s">
        <v>61</v>
      </c>
      <c r="O1592" s="4" t="s">
        <v>63</v>
      </c>
      <c r="P1592" s="4" t="s">
        <v>64</v>
      </c>
    </row>
    <row r="1593">
      <c r="A1593" s="4" t="s">
        <v>40</v>
      </c>
      <c r="B1593" s="4" t="s">
        <v>40</v>
      </c>
      <c r="C1593" s="4">
        <v>1591.0</v>
      </c>
      <c r="D1593" s="5" t="str">
        <f>HYPERLINK("https://www.linkedin.com/ad-library/detail/742459684","Open Ad")</f>
        <v>Open Ad</v>
      </c>
      <c r="E1593" s="4" t="s">
        <v>78</v>
      </c>
      <c r="F1593" s="4" t="s">
        <v>54</v>
      </c>
      <c r="G1593" s="4" t="s">
        <v>5472</v>
      </c>
      <c r="H1593" s="4" t="s">
        <v>49</v>
      </c>
      <c r="I1593" s="4" t="s">
        <v>661</v>
      </c>
      <c r="J1593" s="4" t="s">
        <v>78</v>
      </c>
      <c r="K1593" s="5" t="str">
        <f>HYPERLINK("https://media.licdn.com/dms/image/v2/D4E10AQGyttsbuK0tUA/image-shrink_1280/B4EZjzqydKHgAU-/0/1756434737674?e=2147483647&amp;v=beta&amp;t=cTJxdF4A8lfmRzMsqkZQlGaC2tEZXPGf9gg60knWu-Y","View Creative")</f>
        <v>View Creative</v>
      </c>
      <c r="L1593" s="4" t="s">
        <v>106</v>
      </c>
      <c r="M1593" s="4" t="s">
        <v>61</v>
      </c>
      <c r="O1593" s="4" t="s">
        <v>63</v>
      </c>
      <c r="P1593" s="4" t="s">
        <v>64</v>
      </c>
    </row>
    <row r="1594">
      <c r="A1594" s="4" t="s">
        <v>40</v>
      </c>
      <c r="B1594" s="4" t="s">
        <v>40</v>
      </c>
      <c r="C1594" s="4">
        <v>1592.0</v>
      </c>
      <c r="D1594" s="5" t="str">
        <f>HYPERLINK("https://www.linkedin.com/ad-library/detail/742469464","Open Ad")</f>
        <v>Open Ad</v>
      </c>
      <c r="E1594" s="4" t="s">
        <v>78</v>
      </c>
      <c r="F1594" s="4" t="s">
        <v>54</v>
      </c>
      <c r="G1594" s="4" t="s">
        <v>5472</v>
      </c>
      <c r="H1594" s="4" t="s">
        <v>49</v>
      </c>
      <c r="I1594" s="4" t="s">
        <v>661</v>
      </c>
      <c r="J1594" s="4" t="s">
        <v>78</v>
      </c>
      <c r="K1594" s="5" t="str">
        <f>HYPERLINK("https://media.licdn.com/dms/image/v2/D4E10AQFZaPpwdasovg/image-shrink_1280/B4EZjzqYYHIMAM-/0/1756434630843?e=2147483647&amp;v=beta&amp;t=fNrZkrCUDPH-2g5x3XS0vRyeb3DtExDcDpkLjbPrNoo","View Creative")</f>
        <v>View Creative</v>
      </c>
      <c r="L1594" s="4" t="s">
        <v>106</v>
      </c>
      <c r="M1594" s="4" t="s">
        <v>61</v>
      </c>
      <c r="O1594" s="4" t="s">
        <v>63</v>
      </c>
      <c r="P1594" s="4" t="s">
        <v>64</v>
      </c>
    </row>
    <row r="1595">
      <c r="A1595" s="4" t="s">
        <v>40</v>
      </c>
      <c r="B1595" s="4" t="s">
        <v>40</v>
      </c>
      <c r="C1595" s="4">
        <v>1593.0</v>
      </c>
      <c r="D1595" s="5" t="str">
        <f>HYPERLINK("https://www.linkedin.com/ad-library/detail/742459664","Open Ad")</f>
        <v>Open Ad</v>
      </c>
      <c r="E1595" s="4" t="s">
        <v>78</v>
      </c>
      <c r="F1595" s="4" t="s">
        <v>54</v>
      </c>
      <c r="G1595" s="4" t="s">
        <v>5466</v>
      </c>
      <c r="H1595" s="4" t="s">
        <v>49</v>
      </c>
      <c r="I1595" s="4" t="s">
        <v>661</v>
      </c>
      <c r="J1595" s="4" t="s">
        <v>78</v>
      </c>
      <c r="K1595" s="5" t="str">
        <f>HYPERLINK("https://media.licdn.com/dms/image/v2/D4E10AQF3xpfZbrpXlg/image-shrink_1280/B4EZjzqteTIMAM-/0/1756434717730?e=2147483647&amp;v=beta&amp;t=he7mvKBeIjCfRzZyabDHJeL6RvLj3FFOqXEsNuNBV7I","View Creative")</f>
        <v>View Creative</v>
      </c>
      <c r="L1595" s="4" t="s">
        <v>106</v>
      </c>
      <c r="M1595" s="4" t="s">
        <v>61</v>
      </c>
      <c r="O1595" s="4" t="s">
        <v>63</v>
      </c>
      <c r="P1595" s="4" t="s">
        <v>64</v>
      </c>
    </row>
    <row r="1596">
      <c r="A1596" s="4" t="s">
        <v>40</v>
      </c>
      <c r="B1596" s="4" t="s">
        <v>40</v>
      </c>
      <c r="C1596" s="4">
        <v>1594.0</v>
      </c>
      <c r="D1596" s="5" t="str">
        <f>HYPERLINK("https://www.linkedin.com/ad-library/detail/742527664","Open Ad")</f>
        <v>Open Ad</v>
      </c>
      <c r="E1596" s="4" t="s">
        <v>78</v>
      </c>
      <c r="F1596" s="4" t="s">
        <v>54</v>
      </c>
      <c r="G1596" s="4" t="s">
        <v>5472</v>
      </c>
      <c r="H1596" s="4" t="s">
        <v>49</v>
      </c>
      <c r="I1596" s="4" t="s">
        <v>661</v>
      </c>
      <c r="J1596" s="4" t="s">
        <v>78</v>
      </c>
      <c r="K1596" s="5" t="str">
        <f>HYPERLINK("https://media.licdn.com/dms/image/v2/D4E10AQFvMq8p8Af-LA/image-shrink_1280/B4EZjzqtc6GUAQ-/0/1756434717482?e=2147483647&amp;v=beta&amp;t=1wZ6KukGLfIdlxSK6VQ07ZIsK_JAo2Gh0vmzengfB5E","View Creative")</f>
        <v>View Creative</v>
      </c>
      <c r="L1596" s="4" t="s">
        <v>106</v>
      </c>
      <c r="M1596" s="4" t="s">
        <v>61</v>
      </c>
      <c r="O1596" s="4" t="s">
        <v>63</v>
      </c>
      <c r="P1596" s="4" t="s">
        <v>64</v>
      </c>
    </row>
    <row r="1597">
      <c r="A1597" s="4" t="s">
        <v>40</v>
      </c>
      <c r="B1597" s="4" t="s">
        <v>40</v>
      </c>
      <c r="C1597" s="4">
        <v>1595.0</v>
      </c>
      <c r="D1597" s="5" t="str">
        <f>HYPERLINK("https://www.linkedin.com/ad-library/detail/742527684","Open Ad")</f>
        <v>Open Ad</v>
      </c>
      <c r="E1597" s="4" t="s">
        <v>78</v>
      </c>
      <c r="F1597" s="4" t="s">
        <v>54</v>
      </c>
      <c r="G1597" s="4" t="s">
        <v>5472</v>
      </c>
      <c r="H1597" s="4" t="s">
        <v>49</v>
      </c>
      <c r="I1597" s="4" t="s">
        <v>661</v>
      </c>
      <c r="J1597" s="4" t="s">
        <v>78</v>
      </c>
      <c r="K1597" s="5" t="str">
        <f>HYPERLINK("https://media.licdn.com/dms/image/v2/D4E10AQHImhRbfmaeWw/image-shrink_1280/B4EZjzqyvDHgAM-/0/1756434738770?e=2147483647&amp;v=beta&amp;t=fd8QRa_rEZGU8V6wQ7AABzg8PGHLa6gJB69IRpOxIvY","View Creative")</f>
        <v>View Creative</v>
      </c>
      <c r="L1597" s="4" t="s">
        <v>106</v>
      </c>
      <c r="M1597" s="4" t="s">
        <v>61</v>
      </c>
      <c r="O1597" s="4" t="s">
        <v>63</v>
      </c>
      <c r="P1597" s="4" t="s">
        <v>64</v>
      </c>
    </row>
    <row r="1598">
      <c r="A1598" s="4" t="s">
        <v>40</v>
      </c>
      <c r="B1598" s="4" t="s">
        <v>40</v>
      </c>
      <c r="C1598" s="4">
        <v>1596.0</v>
      </c>
      <c r="D1598" s="5" t="str">
        <f>HYPERLINK("https://www.linkedin.com/ad-library/detail/742509564","Open Ad")</f>
        <v>Open Ad</v>
      </c>
      <c r="E1598" s="4" t="s">
        <v>78</v>
      </c>
      <c r="F1598" s="4" t="s">
        <v>54</v>
      </c>
      <c r="G1598" s="4" t="s">
        <v>5472</v>
      </c>
      <c r="H1598" s="4" t="s">
        <v>49</v>
      </c>
      <c r="I1598" s="4" t="s">
        <v>661</v>
      </c>
      <c r="J1598" s="4" t="s">
        <v>78</v>
      </c>
      <c r="K1598" s="5" t="str">
        <f>HYPERLINK("https://media.licdn.com/dms/image/v2/D4E10AQFtF2T1e0vH4A/image-shrink_1280/B4EZjzqYNqGcAM-/0/1756434630154?e=2147483647&amp;v=beta&amp;t=qbR3C3WWxlZ0MHRd1uS84lHO8n1asvQxuPAeb2RGut8","View Creative")</f>
        <v>View Creative</v>
      </c>
      <c r="L1598" s="4" t="s">
        <v>106</v>
      </c>
      <c r="M1598" s="4" t="s">
        <v>61</v>
      </c>
      <c r="O1598" s="4" t="s">
        <v>63</v>
      </c>
      <c r="P1598" s="4" t="s">
        <v>64</v>
      </c>
    </row>
    <row r="1599">
      <c r="A1599" s="4" t="s">
        <v>40</v>
      </c>
      <c r="B1599" s="4" t="s">
        <v>40</v>
      </c>
      <c r="C1599" s="4">
        <v>1597.0</v>
      </c>
      <c r="D1599" s="5" t="str">
        <f>HYPERLINK("https://www.linkedin.com/ad-library/detail/742527674","Open Ad")</f>
        <v>Open Ad</v>
      </c>
      <c r="E1599" s="4" t="s">
        <v>78</v>
      </c>
      <c r="F1599" s="4" t="s">
        <v>54</v>
      </c>
      <c r="G1599" s="4" t="s">
        <v>5472</v>
      </c>
      <c r="H1599" s="4" t="s">
        <v>49</v>
      </c>
      <c r="I1599" s="4" t="s">
        <v>661</v>
      </c>
      <c r="J1599" s="4" t="s">
        <v>78</v>
      </c>
      <c r="K1599" s="5" t="str">
        <f>HYPERLINK("https://media.licdn.com/dms/image/v2/D4E10AQE2_8ZpuQ4tyg/image-shrink_1280/B4EZjzqthyGoAM-/0/1756434717725?e=2147483647&amp;v=beta&amp;t=fa2rBdzaNCv74UlBSFuWKmDRhtGjw8yrcM2uN-pbpks","View Creative")</f>
        <v>View Creative</v>
      </c>
      <c r="L1599" s="4" t="s">
        <v>106</v>
      </c>
      <c r="M1599" s="4" t="s">
        <v>61</v>
      </c>
      <c r="O1599" s="4" t="s">
        <v>63</v>
      </c>
      <c r="P1599" s="4" t="s">
        <v>64</v>
      </c>
    </row>
    <row r="1600">
      <c r="A1600" s="4" t="s">
        <v>40</v>
      </c>
      <c r="B1600" s="4" t="s">
        <v>40</v>
      </c>
      <c r="C1600" s="4">
        <v>1598.0</v>
      </c>
      <c r="D1600" s="5" t="str">
        <f>HYPERLINK("https://www.linkedin.com/ad-library/detail/742449164","Open Ad")</f>
        <v>Open Ad</v>
      </c>
      <c r="E1600" s="4" t="s">
        <v>78</v>
      </c>
      <c r="F1600" s="4" t="s">
        <v>54</v>
      </c>
      <c r="G1600" s="4" t="s">
        <v>5472</v>
      </c>
      <c r="H1600" s="4" t="s">
        <v>49</v>
      </c>
      <c r="I1600" s="4" t="s">
        <v>661</v>
      </c>
      <c r="J1600" s="4" t="s">
        <v>78</v>
      </c>
      <c r="K1600" s="5" t="str">
        <f>HYPERLINK("https://media.licdn.com/dms/image/v2/D4E10AQH5OzWIjDvRpw/image-shrink_1280/B4EZjzq9jhGcAM-/0/1756434783408?e=2147483647&amp;v=beta&amp;t=IZWb71xGnlWvs-o9bbhMOH9Odqte23uKskAgX58x1s4","View Creative")</f>
        <v>View Creative</v>
      </c>
      <c r="L1600" s="4" t="s">
        <v>106</v>
      </c>
      <c r="M1600" s="4" t="s">
        <v>61</v>
      </c>
      <c r="O1600" s="4" t="s">
        <v>63</v>
      </c>
      <c r="P1600" s="4" t="s">
        <v>64</v>
      </c>
    </row>
    <row r="1601">
      <c r="A1601" s="4" t="s">
        <v>40</v>
      </c>
      <c r="B1601" s="4" t="s">
        <v>40</v>
      </c>
      <c r="C1601" s="4">
        <v>1599.0</v>
      </c>
      <c r="D1601" s="5" t="str">
        <f>HYPERLINK("https://www.linkedin.com/ad-library/detail/742479564","Open Ad")</f>
        <v>Open Ad</v>
      </c>
      <c r="E1601" s="4" t="s">
        <v>78</v>
      </c>
      <c r="F1601" s="4" t="s">
        <v>54</v>
      </c>
      <c r="G1601" s="4" t="s">
        <v>5472</v>
      </c>
      <c r="H1601" s="4" t="s">
        <v>49</v>
      </c>
      <c r="I1601" s="4" t="s">
        <v>661</v>
      </c>
      <c r="J1601" s="4" t="s">
        <v>78</v>
      </c>
      <c r="K1601" s="5" t="str">
        <f>HYPERLINK("https://media.licdn.com/dms/image/v2/D4E10AQGCuTfgJGax7Q/image-shrink_1280/B4EZjzqip6HoAM-/0/1756434673252?e=2147483647&amp;v=beta&amp;t=5wfdNCPzUoMMha80kNs4eaXYPqPnWiezOWuu8UW1OJM","View Creative")</f>
        <v>View Creative</v>
      </c>
      <c r="L1601" s="4" t="s">
        <v>106</v>
      </c>
      <c r="M1601" s="4" t="s">
        <v>61</v>
      </c>
      <c r="O1601" s="4" t="s">
        <v>63</v>
      </c>
      <c r="P1601" s="4" t="s">
        <v>64</v>
      </c>
    </row>
    <row r="1602">
      <c r="A1602" s="4" t="s">
        <v>40</v>
      </c>
      <c r="B1602" s="4" t="s">
        <v>40</v>
      </c>
      <c r="C1602" s="4">
        <v>1600.0</v>
      </c>
      <c r="D1602" s="5" t="str">
        <f>HYPERLINK("https://www.linkedin.com/ad-library/detail/742499554","Open Ad")</f>
        <v>Open Ad</v>
      </c>
      <c r="E1602" s="4" t="s">
        <v>78</v>
      </c>
      <c r="F1602" s="4" t="s">
        <v>54</v>
      </c>
      <c r="G1602" s="4" t="s">
        <v>5472</v>
      </c>
      <c r="H1602" s="4" t="s">
        <v>49</v>
      </c>
      <c r="I1602" s="4" t="s">
        <v>661</v>
      </c>
      <c r="J1602" s="4" t="s">
        <v>78</v>
      </c>
      <c r="K1602" s="5" t="str">
        <f>HYPERLINK("https://media.licdn.com/dms/image/v2/D4E10AQHHiVBrl2bSnw/image-shrink_1280/B4EZjzq4AzHEAQ-/0/1756434760692?e=2147483647&amp;v=beta&amp;t=w5KELxLcGGYaAeQoLkvgUZdcFfJiY8jfvS9ieL76Dh0","View Creative")</f>
        <v>View Creative</v>
      </c>
      <c r="L1602" s="4" t="s">
        <v>106</v>
      </c>
      <c r="M1602" s="4" t="s">
        <v>61</v>
      </c>
      <c r="O1602" s="4" t="s">
        <v>63</v>
      </c>
      <c r="P1602" s="4" t="s">
        <v>64</v>
      </c>
    </row>
    <row r="1603">
      <c r="A1603" s="4" t="s">
        <v>40</v>
      </c>
      <c r="B1603" s="4" t="s">
        <v>40</v>
      </c>
      <c r="C1603" s="4">
        <v>1601.0</v>
      </c>
      <c r="D1603" s="5" t="str">
        <f>HYPERLINK("https://www.linkedin.com/ad-library/detail/742479544","Open Ad")</f>
        <v>Open Ad</v>
      </c>
      <c r="E1603" s="4" t="s">
        <v>78</v>
      </c>
      <c r="F1603" s="4" t="s">
        <v>54</v>
      </c>
      <c r="G1603" s="4" t="s">
        <v>5472</v>
      </c>
      <c r="H1603" s="4" t="s">
        <v>49</v>
      </c>
      <c r="I1603" s="4" t="s">
        <v>661</v>
      </c>
      <c r="J1603" s="4" t="s">
        <v>78</v>
      </c>
      <c r="K1603" s="5" t="str">
        <f>HYPERLINK("https://media.licdn.com/dms/image/v2/D4E10AQGUTrnarZtgHQ/image-shrink_1280/B4EZjzqdfUGwAc-/0/1756434651920?e=2147483647&amp;v=beta&amp;t=3QddEcS0F8JYyoGhV3Opmwh9Ytt2G9j8qgQG67k4FQE","View Creative")</f>
        <v>View Creative</v>
      </c>
      <c r="L1603" s="4" t="s">
        <v>106</v>
      </c>
      <c r="M1603" s="4" t="s">
        <v>61</v>
      </c>
      <c r="O1603" s="4" t="s">
        <v>63</v>
      </c>
      <c r="P1603" s="4" t="s">
        <v>64</v>
      </c>
    </row>
    <row r="1604">
      <c r="A1604" s="4" t="s">
        <v>40</v>
      </c>
      <c r="B1604" s="4" t="s">
        <v>40</v>
      </c>
      <c r="C1604" s="4">
        <v>1602.0</v>
      </c>
      <c r="D1604" s="5" t="str">
        <f>HYPERLINK("https://www.linkedin.com/ad-library/detail/742449134","Open Ad")</f>
        <v>Open Ad</v>
      </c>
      <c r="E1604" s="4" t="s">
        <v>78</v>
      </c>
      <c r="F1604" s="4" t="s">
        <v>54</v>
      </c>
      <c r="G1604" s="4" t="s">
        <v>5472</v>
      </c>
      <c r="H1604" s="4" t="s">
        <v>49</v>
      </c>
      <c r="I1604" s="4" t="s">
        <v>661</v>
      </c>
      <c r="J1604" s="4" t="s">
        <v>78</v>
      </c>
      <c r="K1604" s="5" t="str">
        <f>HYPERLINK("https://media.licdn.com/dms/image/v2/D4E10AQEaWE0SVlnwzw/image-shrink_1280/B4EZjzqocgGwAg-/0/1756434697199?e=2147483647&amp;v=beta&amp;t=XQqy2dqx51Sv72y7nKLKXGhQCyvpmkLtae2Vg5QMeg0","View Creative")</f>
        <v>View Creative</v>
      </c>
      <c r="L1604" s="4" t="s">
        <v>106</v>
      </c>
      <c r="M1604" s="4" t="s">
        <v>61</v>
      </c>
      <c r="O1604" s="4" t="s">
        <v>63</v>
      </c>
      <c r="P1604" s="4" t="s">
        <v>64</v>
      </c>
    </row>
    <row r="1605">
      <c r="A1605" s="4" t="s">
        <v>40</v>
      </c>
      <c r="B1605" s="4" t="s">
        <v>40</v>
      </c>
      <c r="C1605" s="4">
        <v>1603.0</v>
      </c>
      <c r="D1605" s="5" t="str">
        <f>HYPERLINK("https://www.linkedin.com/ad-library/detail/742518444","Open Ad")</f>
        <v>Open Ad</v>
      </c>
      <c r="E1605" s="4" t="s">
        <v>78</v>
      </c>
      <c r="F1605" s="4" t="s">
        <v>54</v>
      </c>
      <c r="G1605" s="4" t="s">
        <v>5472</v>
      </c>
      <c r="H1605" s="4" t="s">
        <v>49</v>
      </c>
      <c r="I1605" s="4" t="s">
        <v>661</v>
      </c>
      <c r="J1605" s="4" t="s">
        <v>78</v>
      </c>
      <c r="K1605" s="5" t="str">
        <f>HYPERLINK("https://media.licdn.com/dms/image/v2/D4E10AQHte8l1PauRvA/image-shrink_1280/B4EZjzqi25IIAM-/0/1756434674018?e=2147483647&amp;v=beta&amp;t=57LkiSHRmYKPF9nO2Z4QHG1ViV4J8D53AaMfR6b84xI","View Creative")</f>
        <v>View Creative</v>
      </c>
      <c r="L1605" s="4" t="s">
        <v>106</v>
      </c>
      <c r="M1605" s="4" t="s">
        <v>61</v>
      </c>
      <c r="O1605" s="4" t="s">
        <v>63</v>
      </c>
      <c r="P1605" s="4" t="s">
        <v>64</v>
      </c>
    </row>
    <row r="1606">
      <c r="A1606" s="4" t="s">
        <v>40</v>
      </c>
      <c r="B1606" s="4" t="s">
        <v>40</v>
      </c>
      <c r="C1606" s="4">
        <v>1604.0</v>
      </c>
      <c r="D1606" s="5" t="str">
        <f>HYPERLINK("https://www.linkedin.com/ad-library/detail/742479584","Open Ad")</f>
        <v>Open Ad</v>
      </c>
      <c r="E1606" s="4" t="s">
        <v>78</v>
      </c>
      <c r="F1606" s="4" t="s">
        <v>54</v>
      </c>
      <c r="G1606" s="4" t="s">
        <v>5472</v>
      </c>
      <c r="H1606" s="4" t="s">
        <v>49</v>
      </c>
      <c r="I1606" s="4" t="s">
        <v>661</v>
      </c>
      <c r="J1606" s="4" t="s">
        <v>78</v>
      </c>
      <c r="K1606" s="5" t="str">
        <f>HYPERLINK("https://media.licdn.com/dms/image/v2/D4E10AQE0LZj-F4fnLw/image-shrink_1280/B4EZjzqoS_GoAU-/0/1756434696297?e=2147483647&amp;v=beta&amp;t=UULuIq33oXXYiAgEESaefMjcr0ZOcm444C1Wi_fLzYI","View Creative")</f>
        <v>View Creative</v>
      </c>
      <c r="L1606" s="4" t="s">
        <v>106</v>
      </c>
      <c r="M1606" s="4" t="s">
        <v>61</v>
      </c>
      <c r="O1606" s="4" t="s">
        <v>63</v>
      </c>
      <c r="P1606" s="4" t="s">
        <v>64</v>
      </c>
    </row>
    <row r="1607">
      <c r="A1607" s="4" t="s">
        <v>40</v>
      </c>
      <c r="B1607" s="4" t="s">
        <v>40</v>
      </c>
      <c r="C1607" s="4">
        <v>1605.0</v>
      </c>
      <c r="D1607" s="5" t="str">
        <f>HYPERLINK("https://www.linkedin.com/ad-library/detail/742518424","Open Ad")</f>
        <v>Open Ad</v>
      </c>
      <c r="E1607" s="4" t="s">
        <v>78</v>
      </c>
      <c r="F1607" s="4" t="s">
        <v>54</v>
      </c>
      <c r="G1607" s="4" t="s">
        <v>5469</v>
      </c>
      <c r="H1607" s="4" t="s">
        <v>49</v>
      </c>
      <c r="I1607" s="4" t="s">
        <v>661</v>
      </c>
      <c r="J1607" s="4" t="s">
        <v>78</v>
      </c>
      <c r="K1607" s="5" t="str">
        <f>HYPERLINK("https://media.licdn.com/dms/image/v2/D4E10AQEcGqEIH7kmdg/image-shrink_1280/B4EZjzqYLrGoAM-/0/1756434631368?e=2147483647&amp;v=beta&amp;t=1qa8_uEU6vJnVuu5pJro96sMCNwDhe4MKeMntuPqI7c","View Creative")</f>
        <v>View Creative</v>
      </c>
      <c r="L1607" s="4" t="s">
        <v>106</v>
      </c>
      <c r="M1607" s="4" t="s">
        <v>61</v>
      </c>
      <c r="O1607" s="4" t="s">
        <v>63</v>
      </c>
      <c r="P1607" s="4" t="s">
        <v>64</v>
      </c>
    </row>
    <row r="1608">
      <c r="A1608" s="4" t="s">
        <v>40</v>
      </c>
      <c r="B1608" s="4" t="s">
        <v>40</v>
      </c>
      <c r="C1608" s="4">
        <v>1606.0</v>
      </c>
      <c r="D1608" s="5" t="str">
        <f>HYPERLINK("https://www.linkedin.com/ad-library/detail/742518474","Open Ad")</f>
        <v>Open Ad</v>
      </c>
      <c r="E1608" s="4" t="s">
        <v>78</v>
      </c>
      <c r="F1608" s="4" t="s">
        <v>54</v>
      </c>
      <c r="G1608" s="4" t="s">
        <v>5472</v>
      </c>
      <c r="H1608" s="4" t="s">
        <v>49</v>
      </c>
      <c r="I1608" s="4" t="s">
        <v>661</v>
      </c>
      <c r="J1608" s="4" t="s">
        <v>78</v>
      </c>
      <c r="K1608" s="5" t="str">
        <f>HYPERLINK("https://media.licdn.com/dms/image/v2/D4E10AQGwDL4NmnbHdg/image-shrink_1280/B4EZjzqtgQIUAU-/0/1756434717635?e=2147483647&amp;v=beta&amp;t=aMgXWiPJdQDCys4DxuLp3eh5b3wRl86-ZDrwIbrpiuY","View Creative")</f>
        <v>View Creative</v>
      </c>
      <c r="L1608" s="4" t="s">
        <v>106</v>
      </c>
      <c r="M1608" s="4" t="s">
        <v>61</v>
      </c>
      <c r="O1608" s="4" t="s">
        <v>63</v>
      </c>
      <c r="P1608" s="4" t="s">
        <v>64</v>
      </c>
    </row>
    <row r="1609">
      <c r="A1609" s="4" t="s">
        <v>40</v>
      </c>
      <c r="B1609" s="4" t="s">
        <v>40</v>
      </c>
      <c r="C1609" s="4">
        <v>1607.0</v>
      </c>
      <c r="D1609" s="5" t="str">
        <f>HYPERLINK("https://www.linkedin.com/ad-library/detail/742539784","Open Ad")</f>
        <v>Open Ad</v>
      </c>
      <c r="E1609" s="4" t="s">
        <v>78</v>
      </c>
      <c r="F1609" s="4" t="s">
        <v>54</v>
      </c>
      <c r="G1609" s="4" t="s">
        <v>5472</v>
      </c>
      <c r="H1609" s="4" t="s">
        <v>49</v>
      </c>
      <c r="I1609" s="4" t="s">
        <v>661</v>
      </c>
      <c r="J1609" s="4" t="s">
        <v>78</v>
      </c>
      <c r="K1609" s="5" t="str">
        <f>HYPERLINK("https://media.licdn.com/dms/image/v2/D4E10AQFH2UA_5k8rcA/image-shrink_1280/B4EZjzqi.iGoAQ-/0/1756434674596?e=2147483647&amp;v=beta&amp;t=1msXQyoGQBNGPTDDtFf1iYfm1fGfYXN4Y-0OQnON7LU","View Creative")</f>
        <v>View Creative</v>
      </c>
      <c r="L1609" s="4" t="s">
        <v>106</v>
      </c>
      <c r="M1609" s="4" t="s">
        <v>61</v>
      </c>
      <c r="O1609" s="4" t="s">
        <v>63</v>
      </c>
      <c r="P1609" s="4" t="s">
        <v>64</v>
      </c>
    </row>
    <row r="1610">
      <c r="A1610" s="4" t="s">
        <v>40</v>
      </c>
      <c r="B1610" s="4" t="s">
        <v>40</v>
      </c>
      <c r="C1610" s="4">
        <v>1608.0</v>
      </c>
      <c r="D1610" s="5" t="str">
        <f>HYPERLINK("https://www.linkedin.com/ad-library/detail/742518464","Open Ad")</f>
        <v>Open Ad</v>
      </c>
      <c r="E1610" s="4" t="s">
        <v>78</v>
      </c>
      <c r="F1610" s="4" t="s">
        <v>54</v>
      </c>
      <c r="G1610" s="4" t="s">
        <v>5472</v>
      </c>
      <c r="H1610" s="4" t="s">
        <v>49</v>
      </c>
      <c r="I1610" s="4" t="s">
        <v>661</v>
      </c>
      <c r="J1610" s="4" t="s">
        <v>78</v>
      </c>
      <c r="K1610" s="5" t="str">
        <f>HYPERLINK("https://media.licdn.com/dms/image/v2/D4E10AQH4pdb7cuJtHQ/image-shrink_1280/B4EZjzqoUHHoAM-/0/1756434696105?e=2147483647&amp;v=beta&amp;t=48Z_rnfuYzFYe6-9SOJYpDxgu4zWLuyIAzRwT1COYqQ","View Creative")</f>
        <v>View Creative</v>
      </c>
      <c r="L1610" s="4" t="s">
        <v>106</v>
      </c>
      <c r="M1610" s="4" t="s">
        <v>61</v>
      </c>
      <c r="O1610" s="4" t="s">
        <v>63</v>
      </c>
      <c r="P1610" s="4" t="s">
        <v>64</v>
      </c>
    </row>
    <row r="1612">
      <c r="A1612" s="4" t="s">
        <v>5965</v>
      </c>
      <c r="B1612" s="4" t="s">
        <v>5965</v>
      </c>
      <c r="C1612" s="4">
        <v>1.0</v>
      </c>
      <c r="D1612" s="5" t="str">
        <f>HYPERLINK("https://www.linkedin.com/ad-library/detail/1588040836","Open Ad")</f>
        <v>Open Ad</v>
      </c>
      <c r="E1612" s="4" t="s">
        <v>121</v>
      </c>
      <c r="F1612" s="4" t="s">
        <v>54</v>
      </c>
      <c r="G1612" s="4" t="s">
        <v>5966</v>
      </c>
      <c r="H1612" s="4" t="s">
        <v>49</v>
      </c>
      <c r="I1612" s="4" t="s">
        <v>5967</v>
      </c>
      <c r="J1612" s="4" t="s">
        <v>121</v>
      </c>
      <c r="K1612" s="4" t="s">
        <v>59</v>
      </c>
      <c r="L1612" s="4" t="s">
        <v>60</v>
      </c>
      <c r="M1612" s="4" t="s">
        <v>5965</v>
      </c>
      <c r="N1612" s="4" t="s">
        <v>5969</v>
      </c>
      <c r="O1612" s="4" t="s">
        <v>63</v>
      </c>
      <c r="P1612" s="4" t="s">
        <v>64</v>
      </c>
    </row>
    <row r="1613">
      <c r="A1613" s="4" t="s">
        <v>5965</v>
      </c>
      <c r="B1613" s="4" t="s">
        <v>5965</v>
      </c>
      <c r="C1613" s="4">
        <v>2.0</v>
      </c>
      <c r="D1613" s="5" t="str">
        <f>HYPERLINK("https://www.linkedin.com/ad-library/detail/1596454946","Open Ad")</f>
        <v>Open Ad</v>
      </c>
      <c r="E1613" s="4" t="s">
        <v>5970</v>
      </c>
      <c r="F1613" s="4" t="s">
        <v>54</v>
      </c>
      <c r="G1613" s="4" t="s">
        <v>5971</v>
      </c>
      <c r="H1613" s="4" t="s">
        <v>49</v>
      </c>
      <c r="I1613" s="4" t="s">
        <v>5972</v>
      </c>
      <c r="J1613" s="4" t="s">
        <v>5973</v>
      </c>
      <c r="K1613" s="4" t="s">
        <v>59</v>
      </c>
      <c r="L1613" s="4" t="s">
        <v>106</v>
      </c>
      <c r="M1613" s="4" t="s">
        <v>5965</v>
      </c>
      <c r="O1613" s="4" t="s">
        <v>63</v>
      </c>
      <c r="P1613" s="4" t="s">
        <v>64</v>
      </c>
    </row>
    <row r="1614">
      <c r="A1614" s="4" t="s">
        <v>5965</v>
      </c>
      <c r="B1614" s="4" t="s">
        <v>5965</v>
      </c>
      <c r="C1614" s="4">
        <v>3.0</v>
      </c>
      <c r="D1614" s="5" t="str">
        <f>HYPERLINK("https://www.linkedin.com/ad-library/detail/1587636296","Open Ad")</f>
        <v>Open Ad</v>
      </c>
      <c r="E1614" s="4" t="s">
        <v>121</v>
      </c>
      <c r="F1614" s="4" t="s">
        <v>54</v>
      </c>
      <c r="G1614" s="4" t="s">
        <v>5966</v>
      </c>
      <c r="H1614" s="4" t="s">
        <v>49</v>
      </c>
      <c r="I1614" s="4" t="s">
        <v>5967</v>
      </c>
      <c r="J1614" s="4" t="s">
        <v>121</v>
      </c>
      <c r="K1614" s="5" t="str">
        <f>HYPERLINK("https://dms.licdn.com/playlist/vid/v2/D5610AQHiKe0AwGNXpg/mp4-640p-30fp-crf28/B56aBiNMAvK8BI-/0/1788354027638?e=2147483647&amp;v=beta&amp;t=eBwh1p0xWa8JccxZ2ohOki_fRa9vx7_sUFeQHPnYJfM","View Creative")</f>
        <v>View Creative</v>
      </c>
      <c r="L1614" s="4" t="s">
        <v>106</v>
      </c>
      <c r="M1614" s="4" t="s">
        <v>5965</v>
      </c>
      <c r="O1614" s="4" t="s">
        <v>63</v>
      </c>
      <c r="P1614" s="4" t="s">
        <v>64</v>
      </c>
    </row>
    <row r="1615">
      <c r="A1615" s="4" t="s">
        <v>5965</v>
      </c>
      <c r="B1615" s="4" t="s">
        <v>5965</v>
      </c>
      <c r="C1615" s="4">
        <v>4.0</v>
      </c>
      <c r="D1615" s="5" t="str">
        <f>HYPERLINK("https://www.linkedin.com/ad-library/detail/1587897416","Open Ad")</f>
        <v>Open Ad</v>
      </c>
      <c r="E1615" s="4" t="s">
        <v>121</v>
      </c>
      <c r="F1615" s="4" t="s">
        <v>54</v>
      </c>
      <c r="G1615" s="4" t="s">
        <v>5975</v>
      </c>
      <c r="H1615" s="4" t="s">
        <v>49</v>
      </c>
      <c r="I1615" s="4" t="s">
        <v>5967</v>
      </c>
      <c r="J1615" s="4" t="s">
        <v>121</v>
      </c>
      <c r="K1615" s="5" t="str">
        <f>HYPERLINK("https://dms.licdn.com/playlist/vid/v2/D5610AQFNrODupjDfsg/mp4-720p-30fp-crf28/B56aBiNMDsIsBo-/0/1788354026940?e=2147483647&amp;v=beta&amp;t=zjfCKtJ2uhrXxkvMhQJe3jkD8_QVP2MURlEA0O-surM","View Creative")</f>
        <v>View Creative</v>
      </c>
      <c r="L1615" s="4" t="s">
        <v>106</v>
      </c>
      <c r="M1615" s="4" t="s">
        <v>5965</v>
      </c>
      <c r="O1615" s="4" t="s">
        <v>63</v>
      </c>
      <c r="P1615" s="4" t="s">
        <v>64</v>
      </c>
    </row>
    <row r="1616">
      <c r="A1616" s="4" t="s">
        <v>5965</v>
      </c>
      <c r="B1616" s="4" t="s">
        <v>5965</v>
      </c>
      <c r="C1616" s="4">
        <v>5.0</v>
      </c>
      <c r="D1616" s="5" t="str">
        <f>HYPERLINK("https://www.linkedin.com/ad-library/detail/1587745086","Open Ad")</f>
        <v>Open Ad</v>
      </c>
      <c r="E1616" s="4" t="s">
        <v>121</v>
      </c>
      <c r="F1616" s="4" t="s">
        <v>54</v>
      </c>
      <c r="G1616" s="4" t="s">
        <v>5966</v>
      </c>
      <c r="H1616" s="4" t="s">
        <v>49</v>
      </c>
      <c r="I1616" s="4" t="s">
        <v>5967</v>
      </c>
      <c r="J1616" s="4" t="s">
        <v>121</v>
      </c>
      <c r="K1616" s="5" t="str">
        <f>HYPERLINK("https://dms.licdn.com/playlist/vid/v2/D5610AQHiKe0AwGNXpg/mp4-640p-30fp-crf28/B56aBiNMAvK8BI-/0/1788354027638?e=2147483647&amp;v=beta&amp;t=eBwh1p0xWa8JccxZ2ohOki_fRa9vx7_sUFeQHPnYJfM","View Creative")</f>
        <v>View Creative</v>
      </c>
      <c r="L1616" s="4" t="s">
        <v>60</v>
      </c>
      <c r="M1616" s="4" t="s">
        <v>5965</v>
      </c>
      <c r="N1616" s="4" t="s">
        <v>5969</v>
      </c>
      <c r="O1616" s="4" t="s">
        <v>74</v>
      </c>
      <c r="P1616" s="4" t="s">
        <v>5977</v>
      </c>
    </row>
    <row r="1617">
      <c r="A1617" s="4" t="s">
        <v>5965</v>
      </c>
      <c r="B1617" s="4" t="s">
        <v>5965</v>
      </c>
      <c r="C1617" s="4">
        <v>6.0</v>
      </c>
      <c r="D1617" s="5" t="str">
        <f>HYPERLINK("https://www.linkedin.com/ad-library/detail/1587656446","Open Ad")</f>
        <v>Open Ad</v>
      </c>
      <c r="E1617" s="4" t="s">
        <v>121</v>
      </c>
      <c r="F1617" s="4" t="s">
        <v>54</v>
      </c>
      <c r="G1617" s="4" t="s">
        <v>5975</v>
      </c>
      <c r="H1617" s="4" t="s">
        <v>49</v>
      </c>
      <c r="I1617" s="4" t="s">
        <v>5967</v>
      </c>
      <c r="J1617" s="4" t="s">
        <v>121</v>
      </c>
      <c r="K1617" s="5" t="str">
        <f>HYPERLINK("https://dms.licdn.com/playlist/vid/v2/D5610AQFNrODupjDfsg/mp4-720p-30fp-crf28/B56aBiNMDsIsBo-/0/1788354026940?e=2147483647&amp;v=beta&amp;t=zjfCKtJ2uhrXxkvMhQJe3jkD8_QVP2MURlEA0O-surM","View Creative")</f>
        <v>View Creative</v>
      </c>
      <c r="L1617" s="4" t="s">
        <v>60</v>
      </c>
      <c r="M1617" s="4" t="s">
        <v>5965</v>
      </c>
      <c r="N1617" s="4" t="s">
        <v>5969</v>
      </c>
      <c r="O1617" s="4" t="s">
        <v>74</v>
      </c>
      <c r="P1617" s="4" t="s">
        <v>5979</v>
      </c>
    </row>
    <row r="1618">
      <c r="A1618" s="4" t="s">
        <v>5965</v>
      </c>
      <c r="B1618" s="4" t="s">
        <v>5965</v>
      </c>
      <c r="C1618" s="4">
        <v>7.0</v>
      </c>
      <c r="D1618" s="5" t="str">
        <f>HYPERLINK("https://www.linkedin.com/ad-library/detail/1596445226","Open Ad")</f>
        <v>Open Ad</v>
      </c>
      <c r="E1618" s="4" t="s">
        <v>5970</v>
      </c>
      <c r="F1618" s="4" t="s">
        <v>54</v>
      </c>
      <c r="G1618" s="4" t="s">
        <v>5980</v>
      </c>
      <c r="H1618" s="4" t="s">
        <v>49</v>
      </c>
      <c r="I1618" s="4" t="s">
        <v>5972</v>
      </c>
      <c r="J1618" s="4" t="s">
        <v>5973</v>
      </c>
      <c r="K1618" s="4" t="s">
        <v>59</v>
      </c>
      <c r="L1618" s="4" t="s">
        <v>106</v>
      </c>
      <c r="M1618" s="4" t="s">
        <v>5965</v>
      </c>
      <c r="O1618" s="4" t="s">
        <v>63</v>
      </c>
      <c r="P1618" s="4" t="s">
        <v>64</v>
      </c>
    </row>
    <row r="1619">
      <c r="A1619" s="4" t="s">
        <v>5965</v>
      </c>
      <c r="B1619" s="4" t="s">
        <v>5965</v>
      </c>
      <c r="C1619" s="4">
        <v>8.0</v>
      </c>
      <c r="D1619" s="5" t="str">
        <f>HYPERLINK("https://www.linkedin.com/ad-library/detail/1596464226","Open Ad")</f>
        <v>Open Ad</v>
      </c>
      <c r="E1619" s="4" t="s">
        <v>5970</v>
      </c>
      <c r="F1619" s="4" t="s">
        <v>54</v>
      </c>
      <c r="G1619" s="4" t="s">
        <v>5980</v>
      </c>
      <c r="H1619" s="4" t="s">
        <v>49</v>
      </c>
      <c r="I1619" s="4" t="s">
        <v>5972</v>
      </c>
      <c r="J1619" s="4" t="s">
        <v>5973</v>
      </c>
      <c r="K1619" s="4" t="s">
        <v>59</v>
      </c>
      <c r="L1619" s="4" t="s">
        <v>60</v>
      </c>
      <c r="M1619" s="4" t="s">
        <v>5965</v>
      </c>
      <c r="N1619" s="4" t="s">
        <v>76</v>
      </c>
      <c r="O1619" s="4" t="s">
        <v>63</v>
      </c>
      <c r="P1619" s="4" t="s">
        <v>64</v>
      </c>
    </row>
    <row r="1620">
      <c r="A1620" s="4" t="s">
        <v>5965</v>
      </c>
      <c r="B1620" s="4" t="s">
        <v>5965</v>
      </c>
      <c r="C1620" s="4">
        <v>9.0</v>
      </c>
      <c r="D1620" s="5" t="str">
        <f>HYPERLINK("https://www.linkedin.com/ad-library/detail/1587725176","Open Ad")</f>
        <v>Open Ad</v>
      </c>
      <c r="E1620" s="4" t="s">
        <v>121</v>
      </c>
      <c r="F1620" s="4" t="s">
        <v>54</v>
      </c>
      <c r="G1620" s="4" t="s">
        <v>5975</v>
      </c>
      <c r="H1620" s="4" t="s">
        <v>49</v>
      </c>
      <c r="I1620" s="4" t="s">
        <v>5967</v>
      </c>
      <c r="J1620" s="4" t="s">
        <v>121</v>
      </c>
      <c r="K1620" s="5" t="str">
        <f>HYPERLINK("https://dms.licdn.com/playlist/vid/v2/D5610AQFNrODupjDfsg/mp4-720p-30fp-crf28/B56aBiNMDsIsBo-/0/1788354026940?e=2147483647&amp;v=beta&amp;t=zjfCKtJ2uhrXxkvMhQJe3jkD8_QVP2MURlEA0O-surM","View Creative")</f>
        <v>View Creative</v>
      </c>
      <c r="L1620" s="4" t="s">
        <v>60</v>
      </c>
      <c r="M1620" s="4" t="s">
        <v>5965</v>
      </c>
      <c r="N1620" s="4" t="s">
        <v>5969</v>
      </c>
      <c r="O1620" s="4" t="s">
        <v>74</v>
      </c>
      <c r="P1620" s="4" t="s">
        <v>5982</v>
      </c>
    </row>
    <row r="1621">
      <c r="A1621" s="4" t="s">
        <v>5965</v>
      </c>
      <c r="B1621" s="4" t="s">
        <v>5965</v>
      </c>
      <c r="C1621" s="4">
        <v>10.0</v>
      </c>
      <c r="D1621" s="5" t="str">
        <f>HYPERLINK("https://www.linkedin.com/ad-library/detail/1596544106","Open Ad")</f>
        <v>Open Ad</v>
      </c>
      <c r="E1621" s="4" t="s">
        <v>5970</v>
      </c>
      <c r="F1621" s="4" t="s">
        <v>54</v>
      </c>
      <c r="G1621" s="4" t="s">
        <v>5980</v>
      </c>
      <c r="H1621" s="4" t="s">
        <v>49</v>
      </c>
      <c r="I1621" s="4" t="s">
        <v>5972</v>
      </c>
      <c r="J1621" s="4" t="s">
        <v>5973</v>
      </c>
      <c r="K1621" s="4" t="s">
        <v>59</v>
      </c>
      <c r="L1621" s="4" t="s">
        <v>106</v>
      </c>
      <c r="M1621" s="4" t="s">
        <v>5965</v>
      </c>
      <c r="O1621" s="4" t="s">
        <v>63</v>
      </c>
      <c r="P1621" s="4" t="s">
        <v>64</v>
      </c>
    </row>
    <row r="1622">
      <c r="A1622" s="4" t="s">
        <v>5965</v>
      </c>
      <c r="B1622" s="4" t="s">
        <v>5965</v>
      </c>
      <c r="C1622" s="4">
        <v>11.0</v>
      </c>
      <c r="D1622" s="5" t="str">
        <f>HYPERLINK("https://www.linkedin.com/ad-library/detail/1584013026","Open Ad")</f>
        <v>Open Ad</v>
      </c>
      <c r="E1622" s="4" t="s">
        <v>5970</v>
      </c>
      <c r="F1622" s="4" t="s">
        <v>54</v>
      </c>
      <c r="G1622" s="4" t="s">
        <v>5971</v>
      </c>
      <c r="H1622" s="4" t="s">
        <v>49</v>
      </c>
      <c r="I1622" s="4" t="s">
        <v>5972</v>
      </c>
      <c r="J1622" s="4" t="s">
        <v>5973</v>
      </c>
      <c r="K1622" s="4" t="s">
        <v>59</v>
      </c>
      <c r="L1622" s="4" t="s">
        <v>106</v>
      </c>
      <c r="M1622" s="4" t="s">
        <v>5965</v>
      </c>
      <c r="O1622" s="4" t="s">
        <v>63</v>
      </c>
      <c r="P1622" s="4" t="s">
        <v>64</v>
      </c>
    </row>
    <row r="1623">
      <c r="A1623" s="4" t="s">
        <v>5965</v>
      </c>
      <c r="B1623" s="4" t="s">
        <v>5965</v>
      </c>
      <c r="C1623" s="4">
        <v>12.0</v>
      </c>
      <c r="D1623" s="5" t="str">
        <f>HYPERLINK("https://www.linkedin.com/ad-library/detail/1596484686","Open Ad")</f>
        <v>Open Ad</v>
      </c>
      <c r="E1623" s="4" t="s">
        <v>5970</v>
      </c>
      <c r="F1623" s="4" t="s">
        <v>54</v>
      </c>
      <c r="G1623" s="4" t="s">
        <v>5984</v>
      </c>
      <c r="H1623" s="4" t="s">
        <v>49</v>
      </c>
      <c r="I1623" s="4" t="s">
        <v>5972</v>
      </c>
      <c r="J1623" s="4" t="s">
        <v>5973</v>
      </c>
      <c r="K1623" s="4" t="s">
        <v>59</v>
      </c>
      <c r="L1623" s="4" t="s">
        <v>60</v>
      </c>
      <c r="M1623" s="4" t="s">
        <v>5965</v>
      </c>
      <c r="N1623" s="4" t="s">
        <v>76</v>
      </c>
      <c r="O1623" s="4" t="s">
        <v>63</v>
      </c>
      <c r="P1623" s="4" t="s">
        <v>64</v>
      </c>
    </row>
    <row r="1624">
      <c r="A1624" s="4" t="s">
        <v>5965</v>
      </c>
      <c r="B1624" s="4" t="s">
        <v>5965</v>
      </c>
      <c r="C1624" s="4">
        <v>13.0</v>
      </c>
      <c r="D1624" s="5" t="str">
        <f>HYPERLINK("https://www.linkedin.com/ad-library/detail/1587568746","Open Ad")</f>
        <v>Open Ad</v>
      </c>
      <c r="E1624" s="4" t="s">
        <v>121</v>
      </c>
      <c r="F1624" s="4" t="s">
        <v>54</v>
      </c>
      <c r="G1624" s="4" t="s">
        <v>5966</v>
      </c>
      <c r="H1624" s="4" t="s">
        <v>49</v>
      </c>
      <c r="I1624" s="4" t="s">
        <v>5967</v>
      </c>
      <c r="J1624" s="4" t="s">
        <v>121</v>
      </c>
      <c r="K1624" s="5" t="str">
        <f>HYPERLINK("https://dms.licdn.com/playlist/vid/v2/D5610AQHiKe0AwGNXpg/mp4-640p-30fp-crf28/B56aBiNMAvK8BI-/0/1788354027638?e=2147483647&amp;v=beta&amp;t=eBwh1p0xWa8JccxZ2ohOki_fRa9vx7_sUFeQHPnYJfM","View Creative")</f>
        <v>View Creative</v>
      </c>
      <c r="L1624" s="4" t="s">
        <v>60</v>
      </c>
      <c r="M1624" s="4" t="s">
        <v>5965</v>
      </c>
      <c r="N1624" s="4" t="s">
        <v>5969</v>
      </c>
      <c r="O1624" s="4" t="s">
        <v>74</v>
      </c>
      <c r="P1624" s="4" t="s">
        <v>5986</v>
      </c>
    </row>
    <row r="1625">
      <c r="A1625" s="4" t="s">
        <v>5965</v>
      </c>
      <c r="B1625" s="4" t="s">
        <v>5965</v>
      </c>
      <c r="C1625" s="4">
        <v>14.0</v>
      </c>
      <c r="D1625" s="5" t="str">
        <f>HYPERLINK("https://www.linkedin.com/ad-library/detail/1596354556","Open Ad")</f>
        <v>Open Ad</v>
      </c>
      <c r="E1625" s="4" t="s">
        <v>5970</v>
      </c>
      <c r="F1625" s="4" t="s">
        <v>54</v>
      </c>
      <c r="G1625" s="4" t="s">
        <v>5984</v>
      </c>
      <c r="H1625" s="4" t="s">
        <v>49</v>
      </c>
      <c r="I1625" s="4" t="s">
        <v>5972</v>
      </c>
      <c r="J1625" s="4" t="s">
        <v>5973</v>
      </c>
      <c r="K1625" s="4" t="s">
        <v>59</v>
      </c>
      <c r="L1625" s="4" t="s">
        <v>60</v>
      </c>
      <c r="M1625" s="4" t="s">
        <v>5965</v>
      </c>
      <c r="N1625" s="4" t="s">
        <v>76</v>
      </c>
      <c r="O1625" s="4" t="s">
        <v>63</v>
      </c>
      <c r="P1625" s="4" t="s">
        <v>64</v>
      </c>
    </row>
    <row r="1626">
      <c r="A1626" s="4" t="s">
        <v>5965</v>
      </c>
      <c r="B1626" s="4" t="s">
        <v>5965</v>
      </c>
      <c r="C1626" s="4">
        <v>15.0</v>
      </c>
      <c r="D1626" s="5" t="str">
        <f>HYPERLINK("https://www.linkedin.com/ad-library/detail/1596414536","Open Ad")</f>
        <v>Open Ad</v>
      </c>
      <c r="E1626" s="4" t="s">
        <v>5970</v>
      </c>
      <c r="F1626" s="4" t="s">
        <v>54</v>
      </c>
      <c r="G1626" s="4" t="s">
        <v>5980</v>
      </c>
      <c r="H1626" s="4" t="s">
        <v>49</v>
      </c>
      <c r="I1626" s="4" t="s">
        <v>5972</v>
      </c>
      <c r="J1626" s="4" t="s">
        <v>5973</v>
      </c>
      <c r="K1626" s="4" t="s">
        <v>59</v>
      </c>
      <c r="L1626" s="4" t="s">
        <v>60</v>
      </c>
      <c r="M1626" s="4" t="s">
        <v>5965</v>
      </c>
      <c r="N1626" s="4" t="s">
        <v>76</v>
      </c>
      <c r="O1626" s="4" t="s">
        <v>63</v>
      </c>
      <c r="P1626" s="4" t="s">
        <v>64</v>
      </c>
    </row>
    <row r="1627">
      <c r="A1627" s="4" t="s">
        <v>5965</v>
      </c>
      <c r="B1627" s="4" t="s">
        <v>5965</v>
      </c>
      <c r="C1627" s="4">
        <v>16.0</v>
      </c>
      <c r="D1627" s="5" t="str">
        <f>HYPERLINK("https://www.linkedin.com/ad-library/detail/1596455046","Open Ad")</f>
        <v>Open Ad</v>
      </c>
      <c r="E1627" s="4" t="s">
        <v>5970</v>
      </c>
      <c r="F1627" s="4" t="s">
        <v>54</v>
      </c>
      <c r="G1627" s="4" t="s">
        <v>5971</v>
      </c>
      <c r="H1627" s="4" t="s">
        <v>49</v>
      </c>
      <c r="I1627" s="4" t="s">
        <v>5972</v>
      </c>
      <c r="J1627" s="4" t="s">
        <v>5973</v>
      </c>
      <c r="K1627" s="4" t="s">
        <v>59</v>
      </c>
      <c r="L1627" s="4" t="s">
        <v>60</v>
      </c>
      <c r="M1627" s="4" t="s">
        <v>5965</v>
      </c>
      <c r="N1627" s="4" t="s">
        <v>76</v>
      </c>
      <c r="O1627" s="4" t="s">
        <v>63</v>
      </c>
      <c r="P1627" s="4" t="s">
        <v>64</v>
      </c>
    </row>
    <row r="1628">
      <c r="A1628" s="4" t="s">
        <v>5965</v>
      </c>
      <c r="B1628" s="4" t="s">
        <v>5965</v>
      </c>
      <c r="C1628" s="4">
        <v>17.0</v>
      </c>
      <c r="D1628" s="5" t="str">
        <f>HYPERLINK("https://www.linkedin.com/ad-library/detail/1587755186","Open Ad")</f>
        <v>Open Ad</v>
      </c>
      <c r="E1628" s="4" t="s">
        <v>121</v>
      </c>
      <c r="F1628" s="4" t="s">
        <v>54</v>
      </c>
      <c r="G1628" s="4" t="s">
        <v>5975</v>
      </c>
      <c r="H1628" s="4" t="s">
        <v>49</v>
      </c>
      <c r="I1628" s="4" t="s">
        <v>5967</v>
      </c>
      <c r="J1628" s="4" t="s">
        <v>121</v>
      </c>
      <c r="K1628" s="5" t="str">
        <f t="shared" ref="K1628:K1629" si="14">HYPERLINK("https://dms.licdn.com/playlist/vid/v2/D5610AQFNrODupjDfsg/mp4-720p-30fp-crf28/B56aBiNMDsIsBo-/0/1788354026940?e=2147483647&amp;v=beta&amp;t=zjfCKtJ2uhrXxkvMhQJe3jkD8_QVP2MURlEA0O-surM","View Creative")</f>
        <v>View Creative</v>
      </c>
      <c r="L1628" s="4" t="s">
        <v>106</v>
      </c>
      <c r="M1628" s="4" t="s">
        <v>5965</v>
      </c>
      <c r="O1628" s="4" t="s">
        <v>74</v>
      </c>
      <c r="P1628" s="4" t="s">
        <v>5989</v>
      </c>
    </row>
    <row r="1629">
      <c r="A1629" s="4" t="s">
        <v>5965</v>
      </c>
      <c r="B1629" s="4" t="s">
        <v>5965</v>
      </c>
      <c r="C1629" s="4">
        <v>18.0</v>
      </c>
      <c r="D1629" s="5" t="str">
        <f>HYPERLINK("https://www.linkedin.com/ad-library/detail/1587838736","Open Ad")</f>
        <v>Open Ad</v>
      </c>
      <c r="E1629" s="4" t="s">
        <v>121</v>
      </c>
      <c r="F1629" s="4" t="s">
        <v>54</v>
      </c>
      <c r="G1629" s="4" t="s">
        <v>5975</v>
      </c>
      <c r="H1629" s="4" t="s">
        <v>49</v>
      </c>
      <c r="I1629" s="4" t="s">
        <v>5967</v>
      </c>
      <c r="J1629" s="4" t="s">
        <v>121</v>
      </c>
      <c r="K1629" s="5" t="str">
        <f t="shared" si="14"/>
        <v>View Creative</v>
      </c>
      <c r="L1629" s="4" t="s">
        <v>60</v>
      </c>
      <c r="M1629" s="4" t="s">
        <v>5965</v>
      </c>
      <c r="N1629" s="4" t="s">
        <v>5969</v>
      </c>
      <c r="O1629" s="4" t="s">
        <v>74</v>
      </c>
      <c r="P1629" s="4" t="s">
        <v>5990</v>
      </c>
    </row>
    <row r="1630">
      <c r="A1630" s="4" t="s">
        <v>5965</v>
      </c>
      <c r="B1630" s="4" t="s">
        <v>5965</v>
      </c>
      <c r="C1630" s="4">
        <v>19.0</v>
      </c>
      <c r="D1630" s="5" t="str">
        <f>HYPERLINK("https://www.linkedin.com/ad-library/detail/1596544846","Open Ad")</f>
        <v>Open Ad</v>
      </c>
      <c r="E1630" s="4" t="s">
        <v>5970</v>
      </c>
      <c r="F1630" s="4" t="s">
        <v>54</v>
      </c>
      <c r="G1630" s="4" t="s">
        <v>5980</v>
      </c>
      <c r="H1630" s="4" t="s">
        <v>49</v>
      </c>
      <c r="I1630" s="4" t="s">
        <v>5972</v>
      </c>
      <c r="J1630" s="4" t="s">
        <v>5973</v>
      </c>
      <c r="K1630" s="4" t="s">
        <v>59</v>
      </c>
      <c r="L1630" s="4" t="s">
        <v>60</v>
      </c>
      <c r="M1630" s="4" t="s">
        <v>5965</v>
      </c>
      <c r="N1630" s="4" t="s">
        <v>76</v>
      </c>
      <c r="O1630" s="4" t="s">
        <v>63</v>
      </c>
      <c r="P1630" s="4" t="s">
        <v>64</v>
      </c>
    </row>
    <row r="1631">
      <c r="A1631" s="4" t="s">
        <v>5965</v>
      </c>
      <c r="B1631" s="4" t="s">
        <v>5965</v>
      </c>
      <c r="C1631" s="4">
        <v>20.0</v>
      </c>
      <c r="D1631" s="5" t="str">
        <f>HYPERLINK("https://www.linkedin.com/ad-library/detail/1587917036","Open Ad")</f>
        <v>Open Ad</v>
      </c>
      <c r="E1631" s="4" t="s">
        <v>121</v>
      </c>
      <c r="F1631" s="4" t="s">
        <v>54</v>
      </c>
      <c r="G1631" s="4" t="s">
        <v>5966</v>
      </c>
      <c r="H1631" s="4" t="s">
        <v>49</v>
      </c>
      <c r="I1631" s="4" t="s">
        <v>5967</v>
      </c>
      <c r="J1631" s="4" t="s">
        <v>121</v>
      </c>
      <c r="K1631" s="5" t="str">
        <f>HYPERLINK("https://dms.licdn.com/playlist/vid/v2/D5610AQHiKe0AwGNXpg/mp4-640p-30fp-crf28/B56aBiNMAvK8BI-/0/1788354027638?e=2147483647&amp;v=beta&amp;t=eBwh1p0xWa8JccxZ2ohOki_fRa9vx7_sUFeQHPnYJfM","View Creative")</f>
        <v>View Creative</v>
      </c>
      <c r="L1631" s="4" t="s">
        <v>106</v>
      </c>
      <c r="M1631" s="4" t="s">
        <v>5965</v>
      </c>
      <c r="O1631" s="4" t="s">
        <v>74</v>
      </c>
      <c r="P1631" s="4" t="s">
        <v>5992</v>
      </c>
    </row>
    <row r="1632">
      <c r="A1632" s="4" t="s">
        <v>5965</v>
      </c>
      <c r="B1632" s="4" t="s">
        <v>5965</v>
      </c>
      <c r="C1632" s="4">
        <v>21.0</v>
      </c>
      <c r="D1632" s="5" t="str">
        <f>HYPERLINK("https://www.linkedin.com/ad-library/detail/1596384326","Open Ad")</f>
        <v>Open Ad</v>
      </c>
      <c r="E1632" s="4" t="s">
        <v>5970</v>
      </c>
      <c r="F1632" s="4" t="s">
        <v>54</v>
      </c>
      <c r="G1632" s="4" t="s">
        <v>5971</v>
      </c>
      <c r="H1632" s="4" t="s">
        <v>49</v>
      </c>
      <c r="I1632" s="4" t="s">
        <v>5972</v>
      </c>
      <c r="J1632" s="4" t="s">
        <v>5973</v>
      </c>
      <c r="K1632" s="4" t="s">
        <v>59</v>
      </c>
      <c r="L1632" s="4" t="s">
        <v>106</v>
      </c>
      <c r="M1632" s="4" t="s">
        <v>5965</v>
      </c>
      <c r="O1632" s="4" t="s">
        <v>63</v>
      </c>
      <c r="P1632" s="4" t="s">
        <v>64</v>
      </c>
    </row>
    <row r="1633">
      <c r="A1633" s="4" t="s">
        <v>5965</v>
      </c>
      <c r="B1633" s="4" t="s">
        <v>5994</v>
      </c>
      <c r="C1633" s="4">
        <v>22.0</v>
      </c>
      <c r="D1633" s="5" t="str">
        <f>HYPERLINK("https://www.linkedin.com/ad-library/detail/1589598116","Open Ad")</f>
        <v>Open Ad</v>
      </c>
      <c r="E1633" s="4" t="s">
        <v>78</v>
      </c>
      <c r="F1633" s="4" t="s">
        <v>5995</v>
      </c>
      <c r="G1633" s="4" t="s">
        <v>5996</v>
      </c>
      <c r="H1633" s="4" t="s">
        <v>5997</v>
      </c>
      <c r="I1633" s="4" t="s">
        <v>5998</v>
      </c>
      <c r="J1633" s="4" t="s">
        <v>78</v>
      </c>
      <c r="K1633" s="5" t="str">
        <f>HYPERLINK("https://media.licdn.com/dms/image/v2/D4E10AQFEb7rTGtWc7Q/image-shrink_1280/B4EaBnxGm8IIAc-/0/1788447320819?e=2147483647&amp;v=beta&amp;t=FCvVShgF9viXOEXf_8LiesTMteBISfAyblnln0h16NA","View Creative")</f>
        <v>View Creative</v>
      </c>
      <c r="L1633" s="4" t="s">
        <v>106</v>
      </c>
      <c r="M1633" s="4" t="s">
        <v>5994</v>
      </c>
      <c r="O1633" s="4" t="s">
        <v>74</v>
      </c>
      <c r="P1633" s="4" t="s">
        <v>5999</v>
      </c>
    </row>
    <row r="1634">
      <c r="A1634" s="4" t="s">
        <v>5965</v>
      </c>
      <c r="B1634" s="4" t="s">
        <v>5965</v>
      </c>
      <c r="C1634" s="4">
        <v>23.0</v>
      </c>
      <c r="D1634" s="5" t="str">
        <f>HYPERLINK("https://www.linkedin.com/ad-library/detail/1596544796","Open Ad")</f>
        <v>Open Ad</v>
      </c>
      <c r="E1634" s="4" t="s">
        <v>5970</v>
      </c>
      <c r="F1634" s="4" t="s">
        <v>54</v>
      </c>
      <c r="G1634" s="4" t="s">
        <v>6000</v>
      </c>
      <c r="H1634" s="4" t="s">
        <v>49</v>
      </c>
      <c r="I1634" s="4" t="s">
        <v>6001</v>
      </c>
      <c r="J1634" s="4" t="s">
        <v>5973</v>
      </c>
      <c r="K1634" s="4" t="s">
        <v>59</v>
      </c>
      <c r="L1634" s="4" t="s">
        <v>106</v>
      </c>
      <c r="M1634" s="4" t="s">
        <v>5965</v>
      </c>
      <c r="O1634" s="4" t="s">
        <v>63</v>
      </c>
      <c r="P1634" s="4" t="s">
        <v>64</v>
      </c>
    </row>
    <row r="1635">
      <c r="A1635" s="4" t="s">
        <v>5965</v>
      </c>
      <c r="B1635" s="4" t="s">
        <v>5965</v>
      </c>
      <c r="C1635" s="4">
        <v>24.0</v>
      </c>
      <c r="D1635" s="5" t="str">
        <f>HYPERLINK("https://www.linkedin.com/ad-library/detail/1596414256","Open Ad")</f>
        <v>Open Ad</v>
      </c>
      <c r="E1635" s="4" t="s">
        <v>5970</v>
      </c>
      <c r="F1635" s="4" t="s">
        <v>54</v>
      </c>
      <c r="G1635" s="4" t="s">
        <v>5984</v>
      </c>
      <c r="H1635" s="4" t="s">
        <v>49</v>
      </c>
      <c r="I1635" s="4" t="s">
        <v>5972</v>
      </c>
      <c r="J1635" s="4" t="s">
        <v>5973</v>
      </c>
      <c r="K1635" s="4" t="s">
        <v>59</v>
      </c>
      <c r="L1635" s="4" t="s">
        <v>106</v>
      </c>
      <c r="M1635" s="4" t="s">
        <v>5965</v>
      </c>
      <c r="O1635" s="4" t="s">
        <v>63</v>
      </c>
      <c r="P1635" s="4" t="s">
        <v>64</v>
      </c>
    </row>
    <row r="1636">
      <c r="A1636" s="4" t="s">
        <v>5965</v>
      </c>
      <c r="B1636" s="4" t="s">
        <v>5965</v>
      </c>
      <c r="C1636" s="4">
        <v>25.0</v>
      </c>
      <c r="D1636" s="5" t="str">
        <f>HYPERLINK("https://www.linkedin.com/ad-library/detail/1584003546","Open Ad")</f>
        <v>Open Ad</v>
      </c>
      <c r="E1636" s="4" t="s">
        <v>5970</v>
      </c>
      <c r="F1636" s="4" t="s">
        <v>54</v>
      </c>
      <c r="G1636" s="4" t="s">
        <v>5984</v>
      </c>
      <c r="H1636" s="4" t="s">
        <v>49</v>
      </c>
      <c r="I1636" s="4" t="s">
        <v>5972</v>
      </c>
      <c r="J1636" s="4" t="s">
        <v>5973</v>
      </c>
      <c r="K1636" s="4" t="s">
        <v>59</v>
      </c>
      <c r="L1636" s="4" t="s">
        <v>106</v>
      </c>
      <c r="M1636" s="4" t="s">
        <v>5965</v>
      </c>
      <c r="O1636" s="4" t="s">
        <v>63</v>
      </c>
      <c r="P1636" s="4" t="s">
        <v>64</v>
      </c>
    </row>
    <row r="1637">
      <c r="A1637" s="4" t="s">
        <v>5965</v>
      </c>
      <c r="B1637" s="4" t="s">
        <v>5965</v>
      </c>
      <c r="C1637" s="4">
        <v>26.0</v>
      </c>
      <c r="D1637" s="5" t="str">
        <f>HYPERLINK("https://www.linkedin.com/ad-library/detail/1575000446","Open Ad")</f>
        <v>Open Ad</v>
      </c>
      <c r="E1637" s="4" t="s">
        <v>5970</v>
      </c>
      <c r="F1637" s="4" t="s">
        <v>54</v>
      </c>
      <c r="G1637" s="4" t="s">
        <v>6000</v>
      </c>
      <c r="H1637" s="4" t="s">
        <v>49</v>
      </c>
      <c r="I1637" s="4" t="s">
        <v>6001</v>
      </c>
      <c r="J1637" s="4" t="s">
        <v>5973</v>
      </c>
      <c r="K1637" s="4" t="s">
        <v>59</v>
      </c>
      <c r="L1637" s="4" t="s">
        <v>106</v>
      </c>
      <c r="M1637" s="4" t="s">
        <v>5965</v>
      </c>
      <c r="O1637" s="4" t="s">
        <v>63</v>
      </c>
      <c r="P1637" s="4" t="s">
        <v>64</v>
      </c>
    </row>
    <row r="1638">
      <c r="A1638" s="4" t="s">
        <v>5965</v>
      </c>
      <c r="B1638" s="4" t="s">
        <v>5965</v>
      </c>
      <c r="C1638" s="4">
        <v>27.0</v>
      </c>
      <c r="D1638" s="5" t="str">
        <f>HYPERLINK("https://www.linkedin.com/ad-library/detail/1575050256","Open Ad")</f>
        <v>Open Ad</v>
      </c>
      <c r="E1638" s="4" t="s">
        <v>5970</v>
      </c>
      <c r="F1638" s="4" t="s">
        <v>54</v>
      </c>
      <c r="G1638" s="4" t="s">
        <v>6004</v>
      </c>
      <c r="H1638" s="4" t="s">
        <v>49</v>
      </c>
      <c r="I1638" s="4" t="s">
        <v>6005</v>
      </c>
      <c r="J1638" s="4" t="s">
        <v>5973</v>
      </c>
      <c r="K1638" s="4" t="s">
        <v>59</v>
      </c>
      <c r="L1638" s="4" t="s">
        <v>106</v>
      </c>
      <c r="M1638" s="4" t="s">
        <v>5965</v>
      </c>
      <c r="O1638" s="4" t="s">
        <v>63</v>
      </c>
      <c r="P1638" s="4" t="s">
        <v>64</v>
      </c>
    </row>
    <row r="1639">
      <c r="A1639" s="4" t="s">
        <v>5965</v>
      </c>
      <c r="B1639" s="4" t="s">
        <v>5965</v>
      </c>
      <c r="C1639" s="4">
        <v>28.0</v>
      </c>
      <c r="D1639" s="5" t="str">
        <f>HYPERLINK("https://www.linkedin.com/ad-library/detail/1574980516","Open Ad")</f>
        <v>Open Ad</v>
      </c>
      <c r="E1639" s="4" t="s">
        <v>5970</v>
      </c>
      <c r="F1639" s="4" t="s">
        <v>54</v>
      </c>
      <c r="G1639" s="4" t="s">
        <v>6000</v>
      </c>
      <c r="H1639" s="4" t="s">
        <v>49</v>
      </c>
      <c r="I1639" s="4" t="s">
        <v>6001</v>
      </c>
      <c r="J1639" s="4" t="s">
        <v>5973</v>
      </c>
      <c r="K1639" s="4" t="s">
        <v>59</v>
      </c>
      <c r="L1639" s="4" t="s">
        <v>106</v>
      </c>
      <c r="M1639" s="4" t="s">
        <v>5965</v>
      </c>
      <c r="O1639" s="4" t="s">
        <v>63</v>
      </c>
      <c r="P1639" s="4" t="s">
        <v>64</v>
      </c>
    </row>
    <row r="1640">
      <c r="A1640" s="4" t="s">
        <v>5965</v>
      </c>
      <c r="B1640" s="4" t="s">
        <v>5965</v>
      </c>
      <c r="C1640" s="4">
        <v>29.0</v>
      </c>
      <c r="D1640" s="5" t="str">
        <f>HYPERLINK("https://www.linkedin.com/ad-library/detail/1575029876","Open Ad")</f>
        <v>Open Ad</v>
      </c>
      <c r="E1640" s="4" t="s">
        <v>5970</v>
      </c>
      <c r="F1640" s="4" t="s">
        <v>54</v>
      </c>
      <c r="G1640" s="4" t="s">
        <v>6000</v>
      </c>
      <c r="H1640" s="4" t="s">
        <v>49</v>
      </c>
      <c r="I1640" s="4" t="s">
        <v>6001</v>
      </c>
      <c r="J1640" s="4" t="s">
        <v>5973</v>
      </c>
      <c r="K1640" s="4" t="s">
        <v>59</v>
      </c>
      <c r="L1640" s="4" t="s">
        <v>106</v>
      </c>
      <c r="M1640" s="4" t="s">
        <v>5965</v>
      </c>
      <c r="O1640" s="4" t="s">
        <v>63</v>
      </c>
      <c r="P1640" s="4" t="s">
        <v>64</v>
      </c>
    </row>
    <row r="1641">
      <c r="A1641" s="4" t="s">
        <v>5965</v>
      </c>
      <c r="B1641" s="4" t="s">
        <v>5965</v>
      </c>
      <c r="C1641" s="4">
        <v>30.0</v>
      </c>
      <c r="D1641" s="5" t="str">
        <f>HYPERLINK("https://www.linkedin.com/ad-library/detail/1574948816","Open Ad")</f>
        <v>Open Ad</v>
      </c>
      <c r="E1641" s="4" t="s">
        <v>5970</v>
      </c>
      <c r="F1641" s="4" t="s">
        <v>54</v>
      </c>
      <c r="G1641" s="4" t="s">
        <v>6000</v>
      </c>
      <c r="H1641" s="4" t="s">
        <v>49</v>
      </c>
      <c r="I1641" s="4" t="s">
        <v>6001</v>
      </c>
      <c r="J1641" s="4" t="s">
        <v>5973</v>
      </c>
      <c r="K1641" s="4" t="s">
        <v>59</v>
      </c>
      <c r="L1641" s="4" t="s">
        <v>106</v>
      </c>
      <c r="M1641" s="4" t="s">
        <v>5965</v>
      </c>
      <c r="O1641" s="4" t="s">
        <v>63</v>
      </c>
      <c r="P1641" s="4" t="s">
        <v>64</v>
      </c>
    </row>
    <row r="1642">
      <c r="A1642" s="4" t="s">
        <v>5965</v>
      </c>
      <c r="B1642" s="4" t="s">
        <v>5965</v>
      </c>
      <c r="C1642" s="4">
        <v>31.0</v>
      </c>
      <c r="D1642" s="5" t="str">
        <f>HYPERLINK("https://www.linkedin.com/ad-library/detail/1582723546","Open Ad")</f>
        <v>Open Ad</v>
      </c>
      <c r="E1642" s="4" t="s">
        <v>5970</v>
      </c>
      <c r="F1642" s="4" t="s">
        <v>54</v>
      </c>
      <c r="G1642" s="4" t="s">
        <v>5971</v>
      </c>
      <c r="H1642" s="4" t="s">
        <v>49</v>
      </c>
      <c r="I1642" s="4" t="s">
        <v>5972</v>
      </c>
      <c r="J1642" s="4" t="s">
        <v>5973</v>
      </c>
      <c r="K1642" s="4" t="s">
        <v>59</v>
      </c>
      <c r="L1642" s="4" t="s">
        <v>106</v>
      </c>
      <c r="M1642" s="4" t="s">
        <v>5965</v>
      </c>
      <c r="O1642" s="4" t="s">
        <v>63</v>
      </c>
      <c r="P1642" s="4" t="s">
        <v>64</v>
      </c>
    </row>
    <row r="1643">
      <c r="A1643" s="4" t="s">
        <v>5965</v>
      </c>
      <c r="B1643" s="4" t="s">
        <v>5965</v>
      </c>
      <c r="C1643" s="4">
        <v>32.0</v>
      </c>
      <c r="D1643" s="5" t="str">
        <f>HYPERLINK("https://www.linkedin.com/ad-library/detail/1582703296","Open Ad")</f>
        <v>Open Ad</v>
      </c>
      <c r="E1643" s="4" t="s">
        <v>5970</v>
      </c>
      <c r="F1643" s="4" t="s">
        <v>54</v>
      </c>
      <c r="G1643" s="4" t="s">
        <v>5984</v>
      </c>
      <c r="H1643" s="4" t="s">
        <v>49</v>
      </c>
      <c r="I1643" s="4" t="s">
        <v>5972</v>
      </c>
      <c r="J1643" s="4" t="s">
        <v>5973</v>
      </c>
      <c r="K1643" s="4" t="s">
        <v>59</v>
      </c>
      <c r="L1643" s="4" t="s">
        <v>106</v>
      </c>
      <c r="M1643" s="4" t="s">
        <v>5965</v>
      </c>
      <c r="O1643" s="4" t="s">
        <v>63</v>
      </c>
      <c r="P1643" s="4" t="s">
        <v>64</v>
      </c>
    </row>
    <row r="1644">
      <c r="A1644" s="4" t="s">
        <v>5965</v>
      </c>
      <c r="B1644" s="4" t="s">
        <v>5965</v>
      </c>
      <c r="C1644" s="4">
        <v>33.0</v>
      </c>
      <c r="D1644" s="5" t="str">
        <f>HYPERLINK("https://www.linkedin.com/ad-library/detail/1582584806","Open Ad")</f>
        <v>Open Ad</v>
      </c>
      <c r="E1644" s="4" t="s">
        <v>5970</v>
      </c>
      <c r="F1644" s="4" t="s">
        <v>54</v>
      </c>
      <c r="G1644" s="4" t="s">
        <v>5971</v>
      </c>
      <c r="H1644" s="4" t="s">
        <v>49</v>
      </c>
      <c r="I1644" s="4" t="s">
        <v>5972</v>
      </c>
      <c r="J1644" s="4" t="s">
        <v>5973</v>
      </c>
      <c r="K1644" s="4" t="s">
        <v>59</v>
      </c>
      <c r="L1644" s="4" t="s">
        <v>106</v>
      </c>
      <c r="M1644" s="4" t="s">
        <v>5965</v>
      </c>
      <c r="O1644" s="4" t="s">
        <v>63</v>
      </c>
      <c r="P1644" s="4" t="s">
        <v>64</v>
      </c>
    </row>
    <row r="1645">
      <c r="A1645" s="4" t="s">
        <v>5965</v>
      </c>
      <c r="B1645" s="4" t="s">
        <v>5965</v>
      </c>
      <c r="C1645" s="4">
        <v>34.0</v>
      </c>
      <c r="D1645" s="5" t="str">
        <f>HYPERLINK("https://www.linkedin.com/ad-library/detail/1574919676","Open Ad")</f>
        <v>Open Ad</v>
      </c>
      <c r="E1645" s="4" t="s">
        <v>5970</v>
      </c>
      <c r="F1645" s="4" t="s">
        <v>54</v>
      </c>
      <c r="G1645" s="4" t="s">
        <v>6000</v>
      </c>
      <c r="H1645" s="4" t="s">
        <v>49</v>
      </c>
      <c r="I1645" s="4" t="s">
        <v>6001</v>
      </c>
      <c r="J1645" s="4" t="s">
        <v>5973</v>
      </c>
      <c r="K1645" s="4" t="s">
        <v>59</v>
      </c>
      <c r="L1645" s="4" t="s">
        <v>106</v>
      </c>
      <c r="M1645" s="4" t="s">
        <v>5965</v>
      </c>
      <c r="O1645" s="4" t="s">
        <v>63</v>
      </c>
      <c r="P1645" s="4" t="s">
        <v>64</v>
      </c>
    </row>
    <row r="1646">
      <c r="A1646" s="4" t="s">
        <v>5965</v>
      </c>
      <c r="B1646" s="4" t="s">
        <v>5965</v>
      </c>
      <c r="C1646" s="4">
        <v>35.0</v>
      </c>
      <c r="D1646" s="5" t="str">
        <f>HYPERLINK("https://www.linkedin.com/ad-library/detail/1574958776","Open Ad")</f>
        <v>Open Ad</v>
      </c>
      <c r="E1646" s="4" t="s">
        <v>5970</v>
      </c>
      <c r="F1646" s="4" t="s">
        <v>54</v>
      </c>
      <c r="G1646" s="4" t="s">
        <v>6004</v>
      </c>
      <c r="H1646" s="4" t="s">
        <v>49</v>
      </c>
      <c r="I1646" s="4" t="s">
        <v>6005</v>
      </c>
      <c r="J1646" s="4" t="s">
        <v>5973</v>
      </c>
      <c r="K1646" s="4" t="s">
        <v>59</v>
      </c>
      <c r="L1646" s="4" t="s">
        <v>106</v>
      </c>
      <c r="M1646" s="4" t="s">
        <v>5965</v>
      </c>
      <c r="O1646" s="4" t="s">
        <v>63</v>
      </c>
      <c r="P1646" s="4" t="s">
        <v>64</v>
      </c>
    </row>
    <row r="1647">
      <c r="A1647" s="4" t="s">
        <v>5965</v>
      </c>
      <c r="B1647" s="4" t="s">
        <v>5965</v>
      </c>
      <c r="C1647" s="4">
        <v>36.0</v>
      </c>
      <c r="D1647" s="5" t="str">
        <f>HYPERLINK("https://www.linkedin.com/ad-library/detail/1574869756","Open Ad")</f>
        <v>Open Ad</v>
      </c>
      <c r="E1647" s="4" t="s">
        <v>5970</v>
      </c>
      <c r="F1647" s="4" t="s">
        <v>54</v>
      </c>
      <c r="G1647" s="4" t="s">
        <v>6004</v>
      </c>
      <c r="H1647" s="4" t="s">
        <v>49</v>
      </c>
      <c r="I1647" s="4" t="s">
        <v>6005</v>
      </c>
      <c r="J1647" s="4" t="s">
        <v>5973</v>
      </c>
      <c r="K1647" s="4" t="s">
        <v>59</v>
      </c>
      <c r="L1647" s="4" t="s">
        <v>60</v>
      </c>
      <c r="M1647" s="4" t="s">
        <v>5965</v>
      </c>
      <c r="N1647" s="4" t="s">
        <v>6010</v>
      </c>
      <c r="O1647" s="4" t="s">
        <v>63</v>
      </c>
      <c r="P1647" s="4" t="s">
        <v>64</v>
      </c>
    </row>
    <row r="1648">
      <c r="A1648" s="4" t="s">
        <v>5965</v>
      </c>
      <c r="B1648" s="4" t="s">
        <v>5965</v>
      </c>
      <c r="C1648" s="4">
        <v>37.0</v>
      </c>
      <c r="D1648" s="5" t="str">
        <f>HYPERLINK("https://www.linkedin.com/ad-library/detail/1574889606","Open Ad")</f>
        <v>Open Ad</v>
      </c>
      <c r="E1648" s="4" t="s">
        <v>5970</v>
      </c>
      <c r="F1648" s="4" t="s">
        <v>54</v>
      </c>
      <c r="G1648" s="4" t="s">
        <v>6000</v>
      </c>
      <c r="H1648" s="4" t="s">
        <v>49</v>
      </c>
      <c r="I1648" s="4" t="s">
        <v>6005</v>
      </c>
      <c r="J1648" s="4" t="s">
        <v>5973</v>
      </c>
      <c r="K1648" s="4" t="s">
        <v>59</v>
      </c>
      <c r="L1648" s="4" t="s">
        <v>106</v>
      </c>
      <c r="M1648" s="4" t="s">
        <v>5965</v>
      </c>
      <c r="O1648" s="4" t="s">
        <v>63</v>
      </c>
      <c r="P1648" s="4" t="s">
        <v>64</v>
      </c>
    </row>
    <row r="1649">
      <c r="A1649" s="4" t="s">
        <v>5965</v>
      </c>
      <c r="B1649" s="4" t="s">
        <v>5965</v>
      </c>
      <c r="C1649" s="4">
        <v>38.0</v>
      </c>
      <c r="D1649" s="5" t="str">
        <f>HYPERLINK("https://www.linkedin.com/ad-library/detail/1581971896","Open Ad")</f>
        <v>Open Ad</v>
      </c>
      <c r="E1649" s="4" t="s">
        <v>5970</v>
      </c>
      <c r="F1649" s="4" t="s">
        <v>54</v>
      </c>
      <c r="G1649" s="4" t="s">
        <v>6004</v>
      </c>
      <c r="H1649" s="4" t="s">
        <v>49</v>
      </c>
      <c r="I1649" s="4" t="s">
        <v>6005</v>
      </c>
      <c r="J1649" s="4" t="s">
        <v>5973</v>
      </c>
      <c r="K1649" s="4" t="s">
        <v>59</v>
      </c>
      <c r="L1649" s="4" t="s">
        <v>106</v>
      </c>
      <c r="M1649" s="4" t="s">
        <v>5965</v>
      </c>
      <c r="O1649" s="4" t="s">
        <v>63</v>
      </c>
      <c r="P1649" s="4" t="s">
        <v>64</v>
      </c>
    </row>
    <row r="1650">
      <c r="A1650" s="4" t="s">
        <v>5965</v>
      </c>
      <c r="B1650" s="4" t="s">
        <v>5965</v>
      </c>
      <c r="C1650" s="4">
        <v>39.0</v>
      </c>
      <c r="D1650" s="5" t="str">
        <f>HYPERLINK("https://www.linkedin.com/ad-library/detail/1574849496","Open Ad")</f>
        <v>Open Ad</v>
      </c>
      <c r="E1650" s="4" t="s">
        <v>5970</v>
      </c>
      <c r="F1650" s="4" t="s">
        <v>54</v>
      </c>
      <c r="G1650" s="4" t="s">
        <v>6004</v>
      </c>
      <c r="H1650" s="4" t="s">
        <v>49</v>
      </c>
      <c r="I1650" s="4" t="s">
        <v>6005</v>
      </c>
      <c r="J1650" s="4" t="s">
        <v>5973</v>
      </c>
      <c r="K1650" s="4" t="s">
        <v>59</v>
      </c>
      <c r="L1650" s="4" t="s">
        <v>106</v>
      </c>
      <c r="M1650" s="4" t="s">
        <v>5965</v>
      </c>
      <c r="O1650" s="4" t="s">
        <v>63</v>
      </c>
      <c r="P1650" s="4" t="s">
        <v>64</v>
      </c>
    </row>
    <row r="1651">
      <c r="A1651" s="4" t="s">
        <v>5965</v>
      </c>
      <c r="B1651" s="4" t="s">
        <v>5965</v>
      </c>
      <c r="C1651" s="4">
        <v>40.0</v>
      </c>
      <c r="D1651" s="5" t="str">
        <f>HYPERLINK("https://www.linkedin.com/ad-library/detail/1574958596","Open Ad")</f>
        <v>Open Ad</v>
      </c>
      <c r="E1651" s="4" t="s">
        <v>5970</v>
      </c>
      <c r="F1651" s="4" t="s">
        <v>54</v>
      </c>
      <c r="G1651" s="4" t="s">
        <v>6004</v>
      </c>
      <c r="H1651" s="4" t="s">
        <v>49</v>
      </c>
      <c r="I1651" s="4" t="s">
        <v>6005</v>
      </c>
      <c r="J1651" s="4" t="s">
        <v>5973</v>
      </c>
      <c r="K1651" s="4" t="s">
        <v>59</v>
      </c>
      <c r="L1651" s="4" t="s">
        <v>106</v>
      </c>
      <c r="M1651" s="4" t="s">
        <v>5965</v>
      </c>
      <c r="O1651" s="4" t="s">
        <v>63</v>
      </c>
      <c r="P1651" s="4" t="s">
        <v>64</v>
      </c>
    </row>
    <row r="1652">
      <c r="A1652" s="4" t="s">
        <v>5965</v>
      </c>
      <c r="B1652" s="4" t="s">
        <v>5965</v>
      </c>
      <c r="C1652" s="4">
        <v>41.0</v>
      </c>
      <c r="D1652" s="5" t="str">
        <f>HYPERLINK("https://www.linkedin.com/ad-library/detail/1530500344","Open Ad")</f>
        <v>Open Ad</v>
      </c>
      <c r="E1652" s="4" t="s">
        <v>78</v>
      </c>
      <c r="F1652" s="4" t="s">
        <v>54</v>
      </c>
      <c r="G1652" s="4" t="s">
        <v>6013</v>
      </c>
      <c r="H1652" s="4" t="s">
        <v>49</v>
      </c>
      <c r="I1652" s="4" t="s">
        <v>6005</v>
      </c>
      <c r="J1652" s="4" t="s">
        <v>78</v>
      </c>
      <c r="K1652" s="5" t="str">
        <f>HYPERLINK("https://media.licdn.com/dms/image/v2/D4E22AQFjYsCaM3fu0w/feedshare-shrink_1280/B4EaA19GTqG8AM-/0/1787611604476?e=2147483647&amp;v=beta&amp;t=jIPCBF5AxPO_t1lvB_KyrSNi-gbS0K5NNpRxQGjK38A","View Creative")</f>
        <v>View Creative</v>
      </c>
      <c r="L1652" s="4" t="s">
        <v>106</v>
      </c>
      <c r="M1652" s="4" t="s">
        <v>5965</v>
      </c>
      <c r="O1652" s="4" t="s">
        <v>63</v>
      </c>
      <c r="P1652" s="4" t="s">
        <v>64</v>
      </c>
    </row>
    <row r="1653">
      <c r="A1653" s="4" t="s">
        <v>5965</v>
      </c>
      <c r="B1653" s="4" t="s">
        <v>5965</v>
      </c>
      <c r="C1653" s="4">
        <v>42.0</v>
      </c>
      <c r="D1653" s="5" t="str">
        <f>HYPERLINK("https://www.linkedin.com/ad-library/detail/1575050196","Open Ad")</f>
        <v>Open Ad</v>
      </c>
      <c r="E1653" s="4" t="s">
        <v>5970</v>
      </c>
      <c r="F1653" s="4" t="s">
        <v>54</v>
      </c>
      <c r="G1653" s="4" t="s">
        <v>6004</v>
      </c>
      <c r="H1653" s="4" t="s">
        <v>49</v>
      </c>
      <c r="I1653" s="4" t="s">
        <v>6005</v>
      </c>
      <c r="J1653" s="4" t="s">
        <v>5973</v>
      </c>
      <c r="K1653" s="4" t="s">
        <v>59</v>
      </c>
      <c r="L1653" s="4" t="s">
        <v>106</v>
      </c>
      <c r="M1653" s="4" t="s">
        <v>5965</v>
      </c>
      <c r="O1653" s="4" t="s">
        <v>63</v>
      </c>
      <c r="P1653" s="4" t="s">
        <v>64</v>
      </c>
    </row>
    <row r="1654">
      <c r="A1654" s="4" t="s">
        <v>5965</v>
      </c>
      <c r="B1654" s="4" t="s">
        <v>5965</v>
      </c>
      <c r="C1654" s="4">
        <v>43.0</v>
      </c>
      <c r="D1654" s="5" t="str">
        <f>HYPERLINK("https://www.linkedin.com/ad-library/detail/1574980236","Open Ad")</f>
        <v>Open Ad</v>
      </c>
      <c r="E1654" s="4" t="s">
        <v>5970</v>
      </c>
      <c r="F1654" s="4" t="s">
        <v>54</v>
      </c>
      <c r="G1654" s="4" t="s">
        <v>6004</v>
      </c>
      <c r="H1654" s="4" t="s">
        <v>49</v>
      </c>
      <c r="I1654" s="4" t="s">
        <v>6005</v>
      </c>
      <c r="J1654" s="4" t="s">
        <v>5973</v>
      </c>
      <c r="K1654" s="4" t="s">
        <v>59</v>
      </c>
      <c r="L1654" s="4" t="s">
        <v>106</v>
      </c>
      <c r="M1654" s="4" t="s">
        <v>5965</v>
      </c>
      <c r="O1654" s="4" t="s">
        <v>63</v>
      </c>
      <c r="P1654" s="4" t="s">
        <v>64</v>
      </c>
    </row>
    <row r="1655">
      <c r="A1655" s="4" t="s">
        <v>5965</v>
      </c>
      <c r="B1655" s="4" t="s">
        <v>5965</v>
      </c>
      <c r="C1655" s="4">
        <v>44.0</v>
      </c>
      <c r="D1655" s="5" t="str">
        <f>HYPERLINK("https://www.linkedin.com/ad-library/detail/1582002056","Open Ad")</f>
        <v>Open Ad</v>
      </c>
      <c r="E1655" s="4" t="s">
        <v>5970</v>
      </c>
      <c r="F1655" s="4" t="s">
        <v>54</v>
      </c>
      <c r="G1655" s="4" t="s">
        <v>6015</v>
      </c>
      <c r="H1655" s="4" t="s">
        <v>49</v>
      </c>
      <c r="I1655" s="4" t="s">
        <v>6005</v>
      </c>
      <c r="J1655" s="4" t="s">
        <v>5973</v>
      </c>
      <c r="K1655" s="4" t="s">
        <v>59</v>
      </c>
      <c r="L1655" s="4" t="s">
        <v>106</v>
      </c>
      <c r="M1655" s="4" t="s">
        <v>5965</v>
      </c>
      <c r="O1655" s="4" t="s">
        <v>63</v>
      </c>
      <c r="P1655" s="4" t="s">
        <v>64</v>
      </c>
    </row>
    <row r="1656">
      <c r="A1656" s="4" t="s">
        <v>5965</v>
      </c>
      <c r="B1656" s="4" t="s">
        <v>5965</v>
      </c>
      <c r="C1656" s="4">
        <v>45.0</v>
      </c>
      <c r="D1656" s="5" t="str">
        <f>HYPERLINK("https://www.linkedin.com/ad-library/detail/1582772016","Open Ad")</f>
        <v>Open Ad</v>
      </c>
      <c r="E1656" s="4" t="s">
        <v>5970</v>
      </c>
      <c r="F1656" s="4" t="s">
        <v>54</v>
      </c>
      <c r="G1656" s="4" t="s">
        <v>5984</v>
      </c>
      <c r="H1656" s="4" t="s">
        <v>49</v>
      </c>
      <c r="I1656" s="4" t="s">
        <v>6005</v>
      </c>
      <c r="J1656" s="4" t="s">
        <v>5973</v>
      </c>
      <c r="K1656" s="4" t="s">
        <v>59</v>
      </c>
      <c r="L1656" s="4" t="s">
        <v>106</v>
      </c>
      <c r="M1656" s="4" t="s">
        <v>5965</v>
      </c>
      <c r="O1656" s="4" t="s">
        <v>63</v>
      </c>
      <c r="P1656" s="4" t="s">
        <v>64</v>
      </c>
    </row>
    <row r="1657">
      <c r="A1657" s="4" t="s">
        <v>5965</v>
      </c>
      <c r="B1657" s="4" t="s">
        <v>5965</v>
      </c>
      <c r="C1657" s="4">
        <v>46.0</v>
      </c>
      <c r="D1657" s="5" t="str">
        <f>HYPERLINK("https://www.linkedin.com/ad-library/detail/1581912676","Open Ad")</f>
        <v>Open Ad</v>
      </c>
      <c r="E1657" s="4" t="s">
        <v>5970</v>
      </c>
      <c r="F1657" s="4" t="s">
        <v>54</v>
      </c>
      <c r="G1657" s="4" t="s">
        <v>5971</v>
      </c>
      <c r="H1657" s="4" t="s">
        <v>49</v>
      </c>
      <c r="I1657" s="4" t="s">
        <v>6005</v>
      </c>
      <c r="J1657" s="4" t="s">
        <v>5973</v>
      </c>
      <c r="K1657" s="4" t="s">
        <v>59</v>
      </c>
      <c r="L1657" s="4" t="s">
        <v>106</v>
      </c>
      <c r="M1657" s="4" t="s">
        <v>5965</v>
      </c>
      <c r="O1657" s="4" t="s">
        <v>63</v>
      </c>
      <c r="P1657" s="4" t="s">
        <v>64</v>
      </c>
    </row>
    <row r="1658">
      <c r="A1658" s="4" t="s">
        <v>5965</v>
      </c>
      <c r="B1658" s="4" t="s">
        <v>5965</v>
      </c>
      <c r="C1658" s="4">
        <v>47.0</v>
      </c>
      <c r="D1658" s="5" t="str">
        <f>HYPERLINK("https://www.linkedin.com/ad-library/detail/1530420284","Open Ad")</f>
        <v>Open Ad</v>
      </c>
      <c r="E1658" s="4" t="s">
        <v>78</v>
      </c>
      <c r="F1658" s="4" t="s">
        <v>54</v>
      </c>
      <c r="G1658" s="4" t="s">
        <v>6017</v>
      </c>
      <c r="H1658" s="4" t="s">
        <v>49</v>
      </c>
      <c r="I1658" s="4" t="s">
        <v>6005</v>
      </c>
      <c r="J1658" s="4" t="s">
        <v>78</v>
      </c>
      <c r="K1658" s="5" t="str">
        <f>HYPERLINK("https://media.licdn.com/dms/image/v2/D5622AQEE8Mq2JNo2iQ/feedshare-shrink_1280/B56aAany6sIAAM-/0/1787153035186?e=2147483647&amp;v=beta&amp;t=GeL38xcqnhGrRZTDiK_lPU3H_aW-92CWrtyQD3i_GR4","View Creative")</f>
        <v>View Creative</v>
      </c>
      <c r="L1658" s="4" t="s">
        <v>106</v>
      </c>
      <c r="M1658" s="4" t="s">
        <v>5965</v>
      </c>
      <c r="O1658" s="4" t="s">
        <v>63</v>
      </c>
      <c r="P1658" s="4" t="s">
        <v>64</v>
      </c>
    </row>
    <row r="1659">
      <c r="A1659" s="4" t="s">
        <v>5965</v>
      </c>
      <c r="B1659" s="4" t="s">
        <v>5965</v>
      </c>
      <c r="C1659" s="4">
        <v>48.0</v>
      </c>
      <c r="D1659" s="5" t="str">
        <f>HYPERLINK("https://www.linkedin.com/ad-library/detail/1583963736","Open Ad")</f>
        <v>Open Ad</v>
      </c>
      <c r="E1659" s="4" t="s">
        <v>5970</v>
      </c>
      <c r="F1659" s="4" t="s">
        <v>54</v>
      </c>
      <c r="G1659" s="4" t="s">
        <v>5980</v>
      </c>
      <c r="H1659" s="4" t="s">
        <v>49</v>
      </c>
      <c r="I1659" s="4" t="s">
        <v>6005</v>
      </c>
      <c r="J1659" s="4" t="s">
        <v>5973</v>
      </c>
      <c r="K1659" s="4" t="s">
        <v>59</v>
      </c>
      <c r="L1659" s="4" t="s">
        <v>106</v>
      </c>
      <c r="M1659" s="4" t="s">
        <v>5965</v>
      </c>
      <c r="O1659" s="4" t="s">
        <v>63</v>
      </c>
      <c r="P1659" s="4" t="s">
        <v>64</v>
      </c>
    </row>
    <row r="1660">
      <c r="A1660" s="4" t="s">
        <v>5965</v>
      </c>
      <c r="B1660" s="4" t="s">
        <v>5965</v>
      </c>
      <c r="C1660" s="4">
        <v>49.0</v>
      </c>
      <c r="D1660" s="5" t="str">
        <f>HYPERLINK("https://www.linkedin.com/ad-library/detail/1567539906","Open Ad")</f>
        <v>Open Ad</v>
      </c>
      <c r="E1660" s="4" t="s">
        <v>5970</v>
      </c>
      <c r="F1660" s="4" t="s">
        <v>54</v>
      </c>
      <c r="G1660" s="4" t="s">
        <v>5971</v>
      </c>
      <c r="H1660" s="4" t="s">
        <v>49</v>
      </c>
      <c r="I1660" s="4" t="s">
        <v>6005</v>
      </c>
      <c r="J1660" s="4" t="s">
        <v>5973</v>
      </c>
      <c r="K1660" s="4" t="s">
        <v>59</v>
      </c>
      <c r="L1660" s="4" t="s">
        <v>106</v>
      </c>
      <c r="M1660" s="4" t="s">
        <v>5965</v>
      </c>
      <c r="O1660" s="4" t="s">
        <v>63</v>
      </c>
      <c r="P1660" s="4" t="s">
        <v>64</v>
      </c>
    </row>
    <row r="1661">
      <c r="A1661" s="4" t="s">
        <v>5965</v>
      </c>
      <c r="B1661" s="4" t="s">
        <v>5965</v>
      </c>
      <c r="C1661" s="4">
        <v>50.0</v>
      </c>
      <c r="D1661" s="5" t="str">
        <f>HYPERLINK("https://www.linkedin.com/ad-library/detail/1567589906","Open Ad")</f>
        <v>Open Ad</v>
      </c>
      <c r="E1661" s="4" t="s">
        <v>5970</v>
      </c>
      <c r="F1661" s="4" t="s">
        <v>54</v>
      </c>
      <c r="G1661" s="4" t="s">
        <v>5984</v>
      </c>
      <c r="H1661" s="4" t="s">
        <v>49</v>
      </c>
      <c r="I1661" s="4" t="s">
        <v>6005</v>
      </c>
      <c r="J1661" s="4" t="s">
        <v>5973</v>
      </c>
      <c r="K1661" s="4" t="s">
        <v>59</v>
      </c>
      <c r="L1661" s="4" t="s">
        <v>106</v>
      </c>
      <c r="M1661" s="4" t="s">
        <v>5965</v>
      </c>
      <c r="O1661" s="4" t="s">
        <v>63</v>
      </c>
      <c r="P1661" s="4" t="s">
        <v>64</v>
      </c>
    </row>
    <row r="1662">
      <c r="A1662" s="4" t="s">
        <v>5965</v>
      </c>
      <c r="B1662" s="4" t="s">
        <v>5965</v>
      </c>
      <c r="C1662" s="4">
        <v>51.0</v>
      </c>
      <c r="D1662" s="5" t="str">
        <f>HYPERLINK("https://www.linkedin.com/ad-library/detail/1567322716","Open Ad")</f>
        <v>Open Ad</v>
      </c>
      <c r="E1662" s="4" t="s">
        <v>5970</v>
      </c>
      <c r="F1662" s="4" t="s">
        <v>54</v>
      </c>
      <c r="G1662" s="4" t="s">
        <v>5984</v>
      </c>
      <c r="H1662" s="4" t="s">
        <v>49</v>
      </c>
      <c r="I1662" s="4" t="s">
        <v>6005</v>
      </c>
      <c r="J1662" s="4" t="s">
        <v>5973</v>
      </c>
      <c r="K1662" s="4" t="s">
        <v>59</v>
      </c>
      <c r="L1662" s="4" t="s">
        <v>106</v>
      </c>
      <c r="M1662" s="4" t="s">
        <v>5965</v>
      </c>
      <c r="O1662" s="4" t="s">
        <v>63</v>
      </c>
      <c r="P1662" s="4" t="s">
        <v>64</v>
      </c>
    </row>
    <row r="1663">
      <c r="A1663" s="4" t="s">
        <v>5965</v>
      </c>
      <c r="B1663" s="4" t="s">
        <v>5965</v>
      </c>
      <c r="C1663" s="4">
        <v>52.0</v>
      </c>
      <c r="D1663" s="5" t="str">
        <f>HYPERLINK("https://www.linkedin.com/ad-library/detail/1567579976","Open Ad")</f>
        <v>Open Ad</v>
      </c>
      <c r="E1663" s="4" t="s">
        <v>5970</v>
      </c>
      <c r="F1663" s="4" t="s">
        <v>54</v>
      </c>
      <c r="G1663" s="4" t="s">
        <v>5980</v>
      </c>
      <c r="H1663" s="4" t="s">
        <v>49</v>
      </c>
      <c r="I1663" s="4" t="s">
        <v>6005</v>
      </c>
      <c r="J1663" s="4" t="s">
        <v>5973</v>
      </c>
      <c r="K1663" s="4" t="s">
        <v>59</v>
      </c>
      <c r="L1663" s="4" t="s">
        <v>106</v>
      </c>
      <c r="M1663" s="4" t="s">
        <v>5965</v>
      </c>
      <c r="O1663" s="4" t="s">
        <v>63</v>
      </c>
      <c r="P1663" s="4" t="s">
        <v>64</v>
      </c>
    </row>
    <row r="1664">
      <c r="A1664" s="4" t="s">
        <v>5965</v>
      </c>
      <c r="B1664" s="4" t="s">
        <v>5965</v>
      </c>
      <c r="C1664" s="4">
        <v>53.0</v>
      </c>
      <c r="D1664" s="5" t="str">
        <f>HYPERLINK("https://www.linkedin.com/ad-library/detail/1567402486","Open Ad")</f>
        <v>Open Ad</v>
      </c>
      <c r="E1664" s="4" t="s">
        <v>5970</v>
      </c>
      <c r="F1664" s="4" t="s">
        <v>54</v>
      </c>
      <c r="G1664" s="4" t="s">
        <v>5984</v>
      </c>
      <c r="H1664" s="4" t="s">
        <v>49</v>
      </c>
      <c r="I1664" s="4" t="s">
        <v>6005</v>
      </c>
      <c r="J1664" s="4" t="s">
        <v>5973</v>
      </c>
      <c r="K1664" s="4" t="s">
        <v>59</v>
      </c>
      <c r="L1664" s="4" t="s">
        <v>106</v>
      </c>
      <c r="M1664" s="4" t="s">
        <v>5965</v>
      </c>
      <c r="O1664" s="4" t="s">
        <v>63</v>
      </c>
      <c r="P1664" s="4" t="s">
        <v>64</v>
      </c>
    </row>
    <row r="1665">
      <c r="A1665" s="4" t="s">
        <v>5965</v>
      </c>
      <c r="B1665" s="4" t="s">
        <v>5965</v>
      </c>
      <c r="C1665" s="4">
        <v>54.0</v>
      </c>
      <c r="D1665" s="5" t="str">
        <f>HYPERLINK("https://www.linkedin.com/ad-library/detail/1567422466","Open Ad")</f>
        <v>Open Ad</v>
      </c>
      <c r="E1665" s="4" t="s">
        <v>5970</v>
      </c>
      <c r="F1665" s="4" t="s">
        <v>54</v>
      </c>
      <c r="G1665" s="4" t="s">
        <v>5971</v>
      </c>
      <c r="H1665" s="4" t="s">
        <v>49</v>
      </c>
      <c r="I1665" s="4" t="s">
        <v>6005</v>
      </c>
      <c r="J1665" s="4" t="s">
        <v>5973</v>
      </c>
      <c r="K1665" s="4" t="s">
        <v>59</v>
      </c>
      <c r="L1665" s="4" t="s">
        <v>106</v>
      </c>
      <c r="M1665" s="4" t="s">
        <v>5965</v>
      </c>
      <c r="O1665" s="4" t="s">
        <v>63</v>
      </c>
      <c r="P1665" s="4" t="s">
        <v>64</v>
      </c>
    </row>
    <row r="1666">
      <c r="A1666" s="4" t="s">
        <v>5965</v>
      </c>
      <c r="B1666" s="4" t="s">
        <v>5965</v>
      </c>
      <c r="C1666" s="4">
        <v>55.0</v>
      </c>
      <c r="D1666" s="5" t="str">
        <f>HYPERLINK("https://www.linkedin.com/ad-library/detail/1574970306","Open Ad")</f>
        <v>Open Ad</v>
      </c>
      <c r="E1666" s="4" t="s">
        <v>5970</v>
      </c>
      <c r="F1666" s="4" t="s">
        <v>54</v>
      </c>
      <c r="G1666" s="4" t="s">
        <v>6000</v>
      </c>
      <c r="H1666" s="4" t="s">
        <v>49</v>
      </c>
      <c r="I1666" s="4" t="s">
        <v>6005</v>
      </c>
      <c r="J1666" s="4" t="s">
        <v>5973</v>
      </c>
      <c r="K1666" s="4" t="s">
        <v>59</v>
      </c>
      <c r="L1666" s="4" t="s">
        <v>106</v>
      </c>
      <c r="M1666" s="4" t="s">
        <v>5965</v>
      </c>
      <c r="O1666" s="4" t="s">
        <v>63</v>
      </c>
      <c r="P1666" s="4" t="s">
        <v>64</v>
      </c>
    </row>
    <row r="1667">
      <c r="A1667" s="4" t="s">
        <v>5965</v>
      </c>
      <c r="B1667" s="4" t="s">
        <v>5965</v>
      </c>
      <c r="C1667" s="4">
        <v>56.0</v>
      </c>
      <c r="D1667" s="5" t="str">
        <f>HYPERLINK("https://www.linkedin.com/ad-library/detail/1574779516","Open Ad")</f>
        <v>Open Ad</v>
      </c>
      <c r="E1667" s="4" t="s">
        <v>5970</v>
      </c>
      <c r="F1667" s="4" t="s">
        <v>54</v>
      </c>
      <c r="G1667" s="4" t="s">
        <v>6000</v>
      </c>
      <c r="H1667" s="4" t="s">
        <v>49</v>
      </c>
      <c r="I1667" s="4" t="s">
        <v>6005</v>
      </c>
      <c r="J1667" s="4" t="s">
        <v>5973</v>
      </c>
      <c r="K1667" s="4" t="s">
        <v>59</v>
      </c>
      <c r="L1667" s="4" t="s">
        <v>106</v>
      </c>
      <c r="M1667" s="4" t="s">
        <v>5965</v>
      </c>
      <c r="O1667" s="4" t="s">
        <v>63</v>
      </c>
      <c r="P1667" s="4" t="s">
        <v>64</v>
      </c>
    </row>
    <row r="1668">
      <c r="A1668" s="4" t="s">
        <v>5965</v>
      </c>
      <c r="B1668" s="4" t="s">
        <v>5965</v>
      </c>
      <c r="C1668" s="4">
        <v>57.0</v>
      </c>
      <c r="D1668" s="5" t="str">
        <f>HYPERLINK("https://www.linkedin.com/ad-library/detail/1574939286","Open Ad")</f>
        <v>Open Ad</v>
      </c>
      <c r="E1668" s="4" t="s">
        <v>5970</v>
      </c>
      <c r="F1668" s="4" t="s">
        <v>54</v>
      </c>
      <c r="G1668" s="4" t="s">
        <v>6000</v>
      </c>
      <c r="H1668" s="4" t="s">
        <v>49</v>
      </c>
      <c r="I1668" s="4" t="s">
        <v>6005</v>
      </c>
      <c r="J1668" s="4" t="s">
        <v>5973</v>
      </c>
      <c r="K1668" s="4" t="s">
        <v>59</v>
      </c>
      <c r="L1668" s="4" t="s">
        <v>106</v>
      </c>
      <c r="M1668" s="4" t="s">
        <v>5965</v>
      </c>
      <c r="O1668" s="4" t="s">
        <v>63</v>
      </c>
      <c r="P1668" s="4" t="s">
        <v>64</v>
      </c>
    </row>
    <row r="1669">
      <c r="A1669" s="4" t="s">
        <v>5965</v>
      </c>
      <c r="B1669" s="4" t="s">
        <v>5965</v>
      </c>
      <c r="C1669" s="4">
        <v>58.0</v>
      </c>
      <c r="D1669" s="5" t="str">
        <f>HYPERLINK("https://www.linkedin.com/ad-library/detail/1574869326","Open Ad")</f>
        <v>Open Ad</v>
      </c>
      <c r="E1669" s="4" t="s">
        <v>5970</v>
      </c>
      <c r="F1669" s="4" t="s">
        <v>54</v>
      </c>
      <c r="G1669" s="4" t="s">
        <v>6000</v>
      </c>
      <c r="H1669" s="4" t="s">
        <v>49</v>
      </c>
      <c r="I1669" s="4" t="s">
        <v>6005</v>
      </c>
      <c r="J1669" s="4" t="s">
        <v>5973</v>
      </c>
      <c r="K1669" s="4" t="s">
        <v>59</v>
      </c>
      <c r="L1669" s="4" t="s">
        <v>106</v>
      </c>
      <c r="M1669" s="4" t="s">
        <v>5965</v>
      </c>
      <c r="O1669" s="4" t="s">
        <v>63</v>
      </c>
      <c r="P1669" s="4" t="s">
        <v>64</v>
      </c>
    </row>
    <row r="1670">
      <c r="A1670" s="4" t="s">
        <v>5965</v>
      </c>
      <c r="B1670" s="4" t="s">
        <v>5965</v>
      </c>
      <c r="C1670" s="4">
        <v>59.0</v>
      </c>
      <c r="D1670" s="5" t="str">
        <f>HYPERLINK("https://www.linkedin.com/ad-library/detail/1574970236","Open Ad")</f>
        <v>Open Ad</v>
      </c>
      <c r="E1670" s="4" t="s">
        <v>5970</v>
      </c>
      <c r="F1670" s="4" t="s">
        <v>54</v>
      </c>
      <c r="G1670" s="4" t="s">
        <v>6004</v>
      </c>
      <c r="H1670" s="4" t="s">
        <v>49</v>
      </c>
      <c r="I1670" s="4" t="s">
        <v>6005</v>
      </c>
      <c r="J1670" s="4" t="s">
        <v>5973</v>
      </c>
      <c r="K1670" s="4" t="s">
        <v>59</v>
      </c>
      <c r="L1670" s="4" t="s">
        <v>106</v>
      </c>
      <c r="M1670" s="4" t="s">
        <v>5965</v>
      </c>
      <c r="O1670" s="4" t="s">
        <v>63</v>
      </c>
      <c r="P1670" s="4" t="s">
        <v>64</v>
      </c>
    </row>
    <row r="1671">
      <c r="A1671" s="4" t="s">
        <v>5965</v>
      </c>
      <c r="B1671" s="4" t="s">
        <v>5965</v>
      </c>
      <c r="C1671" s="4">
        <v>60.0</v>
      </c>
      <c r="D1671" s="5" t="str">
        <f>HYPERLINK("https://www.linkedin.com/ad-library/detail/1574970376","Open Ad")</f>
        <v>Open Ad</v>
      </c>
      <c r="E1671" s="4" t="s">
        <v>5970</v>
      </c>
      <c r="F1671" s="4" t="s">
        <v>54</v>
      </c>
      <c r="G1671" s="4" t="s">
        <v>6004</v>
      </c>
      <c r="H1671" s="4" t="s">
        <v>49</v>
      </c>
      <c r="I1671" s="4" t="s">
        <v>6005</v>
      </c>
      <c r="J1671" s="4" t="s">
        <v>5973</v>
      </c>
      <c r="K1671" s="4" t="s">
        <v>59</v>
      </c>
      <c r="L1671" s="4" t="s">
        <v>106</v>
      </c>
      <c r="M1671" s="4" t="s">
        <v>5965</v>
      </c>
      <c r="O1671" s="4" t="s">
        <v>63</v>
      </c>
      <c r="P1671" s="4" t="s">
        <v>64</v>
      </c>
    </row>
    <row r="1672">
      <c r="A1672" s="4" t="s">
        <v>5965</v>
      </c>
      <c r="B1672" s="4" t="s">
        <v>5965</v>
      </c>
      <c r="C1672" s="4">
        <v>61.0</v>
      </c>
      <c r="D1672" s="5" t="str">
        <f>HYPERLINK("https://www.linkedin.com/ad-library/detail/1567222876","Open Ad")</f>
        <v>Open Ad</v>
      </c>
      <c r="E1672" s="4" t="s">
        <v>5970</v>
      </c>
      <c r="F1672" s="4" t="s">
        <v>54</v>
      </c>
      <c r="G1672" s="4" t="s">
        <v>5984</v>
      </c>
      <c r="H1672" s="4" t="s">
        <v>49</v>
      </c>
      <c r="I1672" s="4" t="s">
        <v>6005</v>
      </c>
      <c r="J1672" s="4" t="s">
        <v>5973</v>
      </c>
      <c r="K1672" s="4" t="s">
        <v>59</v>
      </c>
      <c r="L1672" s="4" t="s">
        <v>106</v>
      </c>
      <c r="M1672" s="4" t="s">
        <v>5965</v>
      </c>
      <c r="O1672" s="4" t="s">
        <v>63</v>
      </c>
      <c r="P1672" s="4" t="s">
        <v>64</v>
      </c>
    </row>
    <row r="1673">
      <c r="A1673" s="4" t="s">
        <v>5965</v>
      </c>
      <c r="B1673" s="4" t="s">
        <v>5965</v>
      </c>
      <c r="C1673" s="4">
        <v>62.0</v>
      </c>
      <c r="D1673" s="5" t="str">
        <f>HYPERLINK("https://www.linkedin.com/ad-library/detail/1574939316","Open Ad")</f>
        <v>Open Ad</v>
      </c>
      <c r="E1673" s="4" t="s">
        <v>5970</v>
      </c>
      <c r="F1673" s="4" t="s">
        <v>54</v>
      </c>
      <c r="G1673" s="4" t="s">
        <v>6004</v>
      </c>
      <c r="H1673" s="4" t="s">
        <v>49</v>
      </c>
      <c r="I1673" s="4" t="s">
        <v>6005</v>
      </c>
      <c r="J1673" s="4" t="s">
        <v>5973</v>
      </c>
      <c r="K1673" s="4" t="s">
        <v>59</v>
      </c>
      <c r="L1673" s="4" t="s">
        <v>106</v>
      </c>
      <c r="M1673" s="4" t="s">
        <v>5965</v>
      </c>
      <c r="O1673" s="4" t="s">
        <v>63</v>
      </c>
      <c r="P1673" s="4" t="s">
        <v>64</v>
      </c>
    </row>
    <row r="1674">
      <c r="A1674" s="4" t="s">
        <v>5965</v>
      </c>
      <c r="B1674" s="4" t="s">
        <v>5965</v>
      </c>
      <c r="C1674" s="4">
        <v>63.0</v>
      </c>
      <c r="D1674" s="5" t="str">
        <f>HYPERLINK("https://www.linkedin.com/ad-library/detail/1574849096","Open Ad")</f>
        <v>Open Ad</v>
      </c>
      <c r="E1674" s="4" t="s">
        <v>5970</v>
      </c>
      <c r="F1674" s="4" t="s">
        <v>54</v>
      </c>
      <c r="G1674" s="4" t="s">
        <v>6000</v>
      </c>
      <c r="H1674" s="4" t="s">
        <v>49</v>
      </c>
      <c r="I1674" s="4" t="s">
        <v>6005</v>
      </c>
      <c r="J1674" s="4" t="s">
        <v>5973</v>
      </c>
      <c r="K1674" s="4" t="s">
        <v>59</v>
      </c>
      <c r="L1674" s="4" t="s">
        <v>106</v>
      </c>
      <c r="M1674" s="4" t="s">
        <v>5965</v>
      </c>
      <c r="O1674" s="4" t="s">
        <v>63</v>
      </c>
      <c r="P1674" s="4" t="s">
        <v>64</v>
      </c>
    </row>
    <row r="1675">
      <c r="A1675" s="4" t="s">
        <v>5965</v>
      </c>
      <c r="B1675" s="4" t="s">
        <v>5965</v>
      </c>
      <c r="C1675" s="4">
        <v>64.0</v>
      </c>
      <c r="D1675" s="5" t="str">
        <f>HYPERLINK("https://www.linkedin.com/ad-library/detail/1574899216","Open Ad")</f>
        <v>Open Ad</v>
      </c>
      <c r="E1675" s="4" t="s">
        <v>5970</v>
      </c>
      <c r="F1675" s="4" t="s">
        <v>54</v>
      </c>
      <c r="G1675" s="4" t="s">
        <v>6000</v>
      </c>
      <c r="H1675" s="4" t="s">
        <v>49</v>
      </c>
      <c r="I1675" s="4" t="s">
        <v>6005</v>
      </c>
      <c r="J1675" s="4" t="s">
        <v>5973</v>
      </c>
      <c r="K1675" s="4" t="s">
        <v>59</v>
      </c>
      <c r="L1675" s="4" t="s">
        <v>106</v>
      </c>
      <c r="M1675" s="4" t="s">
        <v>5965</v>
      </c>
      <c r="O1675" s="4" t="s">
        <v>63</v>
      </c>
      <c r="P1675" s="4" t="s">
        <v>64</v>
      </c>
    </row>
    <row r="1676">
      <c r="A1676" s="4" t="s">
        <v>5965</v>
      </c>
      <c r="B1676" s="4" t="s">
        <v>5965</v>
      </c>
      <c r="C1676" s="4">
        <v>65.0</v>
      </c>
      <c r="D1676" s="5" t="str">
        <f>HYPERLINK("https://www.linkedin.com/ad-library/detail/1574879566","Open Ad")</f>
        <v>Open Ad</v>
      </c>
      <c r="E1676" s="4" t="s">
        <v>5970</v>
      </c>
      <c r="F1676" s="4" t="s">
        <v>54</v>
      </c>
      <c r="G1676" s="4" t="s">
        <v>6004</v>
      </c>
      <c r="H1676" s="4" t="s">
        <v>49</v>
      </c>
      <c r="I1676" s="4" t="s">
        <v>6005</v>
      </c>
      <c r="J1676" s="4" t="s">
        <v>5973</v>
      </c>
      <c r="K1676" s="4" t="s">
        <v>59</v>
      </c>
      <c r="L1676" s="4" t="s">
        <v>106</v>
      </c>
      <c r="M1676" s="4" t="s">
        <v>5965</v>
      </c>
      <c r="O1676" s="4" t="s">
        <v>63</v>
      </c>
      <c r="P1676" s="4" t="s">
        <v>64</v>
      </c>
    </row>
    <row r="1677">
      <c r="A1677" s="4" t="s">
        <v>5965</v>
      </c>
      <c r="B1677" s="4" t="s">
        <v>5965</v>
      </c>
      <c r="C1677" s="4">
        <v>66.0</v>
      </c>
      <c r="D1677" s="5" t="str">
        <f>HYPERLINK("https://www.linkedin.com/ad-library/detail/1567362716","Open Ad")</f>
        <v>Open Ad</v>
      </c>
      <c r="E1677" s="4" t="s">
        <v>5970</v>
      </c>
      <c r="F1677" s="4" t="s">
        <v>54</v>
      </c>
      <c r="G1677" s="4" t="s">
        <v>5971</v>
      </c>
      <c r="H1677" s="4" t="s">
        <v>49</v>
      </c>
      <c r="I1677" s="4" t="s">
        <v>6005</v>
      </c>
      <c r="J1677" s="4" t="s">
        <v>5973</v>
      </c>
      <c r="K1677" s="4" t="s">
        <v>59</v>
      </c>
      <c r="L1677" s="4" t="s">
        <v>106</v>
      </c>
      <c r="M1677" s="4" t="s">
        <v>5965</v>
      </c>
      <c r="O1677" s="4" t="s">
        <v>63</v>
      </c>
      <c r="P1677" s="4" t="s">
        <v>64</v>
      </c>
    </row>
    <row r="1678">
      <c r="A1678" s="4" t="s">
        <v>5965</v>
      </c>
      <c r="B1678" s="4" t="s">
        <v>5965</v>
      </c>
      <c r="C1678" s="4">
        <v>67.0</v>
      </c>
      <c r="D1678" s="5" t="str">
        <f>HYPERLINK("https://www.linkedin.com/ad-library/detail/1574839736","Open Ad")</f>
        <v>Open Ad</v>
      </c>
      <c r="E1678" s="4" t="s">
        <v>5970</v>
      </c>
      <c r="F1678" s="4" t="s">
        <v>54</v>
      </c>
      <c r="G1678" s="4" t="s">
        <v>6000</v>
      </c>
      <c r="H1678" s="4" t="s">
        <v>49</v>
      </c>
      <c r="I1678" s="4" t="s">
        <v>6005</v>
      </c>
      <c r="J1678" s="4" t="s">
        <v>5973</v>
      </c>
      <c r="K1678" s="4" t="s">
        <v>59</v>
      </c>
      <c r="L1678" s="4" t="s">
        <v>106</v>
      </c>
      <c r="M1678" s="4" t="s">
        <v>5965</v>
      </c>
      <c r="O1678" s="4" t="s">
        <v>63</v>
      </c>
      <c r="P1678" s="4" t="s">
        <v>64</v>
      </c>
    </row>
    <row r="1679">
      <c r="A1679" s="4" t="s">
        <v>5965</v>
      </c>
      <c r="B1679" s="4" t="s">
        <v>5965</v>
      </c>
      <c r="C1679" s="4">
        <v>68.0</v>
      </c>
      <c r="D1679" s="5" t="str">
        <f>HYPERLINK("https://www.linkedin.com/ad-library/detail/1574889176","Open Ad")</f>
        <v>Open Ad</v>
      </c>
      <c r="E1679" s="4" t="s">
        <v>5970</v>
      </c>
      <c r="F1679" s="4" t="s">
        <v>54</v>
      </c>
      <c r="G1679" s="4" t="s">
        <v>6004</v>
      </c>
      <c r="H1679" s="4" t="s">
        <v>49</v>
      </c>
      <c r="I1679" s="4" t="s">
        <v>6005</v>
      </c>
      <c r="J1679" s="4" t="s">
        <v>5973</v>
      </c>
      <c r="K1679" s="4" t="s">
        <v>59</v>
      </c>
      <c r="L1679" s="4" t="s">
        <v>106</v>
      </c>
      <c r="M1679" s="4" t="s">
        <v>5965</v>
      </c>
      <c r="O1679" s="4" t="s">
        <v>63</v>
      </c>
      <c r="P1679" s="4" t="s">
        <v>64</v>
      </c>
    </row>
    <row r="1680">
      <c r="A1680" s="4" t="s">
        <v>5965</v>
      </c>
      <c r="B1680" s="4" t="s">
        <v>5965</v>
      </c>
      <c r="C1680" s="4">
        <v>69.0</v>
      </c>
      <c r="D1680" s="5" t="str">
        <f>HYPERLINK("https://www.linkedin.com/ad-library/detail/1567362676","Open Ad")</f>
        <v>Open Ad</v>
      </c>
      <c r="E1680" s="4" t="s">
        <v>5970</v>
      </c>
      <c r="F1680" s="4" t="s">
        <v>54</v>
      </c>
      <c r="G1680" s="4" t="s">
        <v>5971</v>
      </c>
      <c r="H1680" s="4" t="s">
        <v>49</v>
      </c>
      <c r="I1680" s="4" t="s">
        <v>6005</v>
      </c>
      <c r="J1680" s="4" t="s">
        <v>5973</v>
      </c>
      <c r="K1680" s="4" t="s">
        <v>59</v>
      </c>
      <c r="L1680" s="4" t="s">
        <v>106</v>
      </c>
      <c r="M1680" s="4" t="s">
        <v>5965</v>
      </c>
      <c r="O1680" s="4" t="s">
        <v>63</v>
      </c>
      <c r="P1680" s="4" t="s">
        <v>64</v>
      </c>
    </row>
    <row r="1681">
      <c r="A1681" s="4" t="s">
        <v>5965</v>
      </c>
      <c r="B1681" s="4" t="s">
        <v>5965</v>
      </c>
      <c r="C1681" s="4">
        <v>70.0</v>
      </c>
      <c r="D1681" s="5" t="str">
        <f>HYPERLINK("https://www.linkedin.com/ad-library/detail/1574839776","Open Ad")</f>
        <v>Open Ad</v>
      </c>
      <c r="E1681" s="4" t="s">
        <v>5970</v>
      </c>
      <c r="F1681" s="4" t="s">
        <v>54</v>
      </c>
      <c r="G1681" s="4" t="s">
        <v>6004</v>
      </c>
      <c r="H1681" s="4" t="s">
        <v>49</v>
      </c>
      <c r="I1681" s="4" t="s">
        <v>6005</v>
      </c>
      <c r="J1681" s="4" t="s">
        <v>5973</v>
      </c>
      <c r="K1681" s="4" t="s">
        <v>59</v>
      </c>
      <c r="L1681" s="4" t="s">
        <v>106</v>
      </c>
      <c r="M1681" s="4" t="s">
        <v>5965</v>
      </c>
      <c r="O1681" s="4" t="s">
        <v>63</v>
      </c>
      <c r="P1681" s="4" t="s">
        <v>64</v>
      </c>
    </row>
    <row r="1682">
      <c r="A1682" s="4" t="s">
        <v>5965</v>
      </c>
      <c r="B1682" s="4" t="s">
        <v>5965</v>
      </c>
      <c r="C1682" s="4">
        <v>71.0</v>
      </c>
      <c r="D1682" s="5" t="str">
        <f>HYPERLINK("https://www.linkedin.com/ad-library/detail/1574879506","Open Ad")</f>
        <v>Open Ad</v>
      </c>
      <c r="E1682" s="4" t="s">
        <v>5970</v>
      </c>
      <c r="F1682" s="4" t="s">
        <v>54</v>
      </c>
      <c r="G1682" s="4" t="s">
        <v>6004</v>
      </c>
      <c r="H1682" s="4" t="s">
        <v>49</v>
      </c>
      <c r="I1682" s="4" t="s">
        <v>6005</v>
      </c>
      <c r="J1682" s="4" t="s">
        <v>5973</v>
      </c>
      <c r="K1682" s="4" t="s">
        <v>59</v>
      </c>
      <c r="L1682" s="4" t="s">
        <v>106</v>
      </c>
      <c r="M1682" s="4" t="s">
        <v>5965</v>
      </c>
      <c r="O1682" s="4" t="s">
        <v>63</v>
      </c>
      <c r="P1682" s="4" t="s">
        <v>64</v>
      </c>
    </row>
    <row r="1683">
      <c r="A1683" s="4" t="s">
        <v>5965</v>
      </c>
      <c r="B1683" s="4" t="s">
        <v>5965</v>
      </c>
      <c r="C1683" s="4">
        <v>72.0</v>
      </c>
      <c r="D1683" s="5" t="str">
        <f>HYPERLINK("https://www.linkedin.com/ad-library/detail/1567479896","Open Ad")</f>
        <v>Open Ad</v>
      </c>
      <c r="E1683" s="4" t="s">
        <v>5970</v>
      </c>
      <c r="F1683" s="4" t="s">
        <v>54</v>
      </c>
      <c r="G1683" s="4" t="s">
        <v>6028</v>
      </c>
      <c r="H1683" s="4" t="s">
        <v>49</v>
      </c>
      <c r="I1683" s="4" t="s">
        <v>6005</v>
      </c>
      <c r="J1683" s="4" t="s">
        <v>5973</v>
      </c>
      <c r="K1683" s="4" t="s">
        <v>59</v>
      </c>
      <c r="L1683" s="4" t="s">
        <v>106</v>
      </c>
      <c r="M1683" s="4" t="s">
        <v>5965</v>
      </c>
      <c r="O1683" s="4" t="s">
        <v>63</v>
      </c>
      <c r="P1683" s="4" t="s">
        <v>64</v>
      </c>
    </row>
    <row r="1684">
      <c r="A1684" s="4" t="s">
        <v>5965</v>
      </c>
      <c r="B1684" s="4" t="s">
        <v>5965</v>
      </c>
      <c r="C1684" s="4">
        <v>73.0</v>
      </c>
      <c r="D1684" s="5" t="str">
        <f>HYPERLINK("https://www.linkedin.com/ad-library/detail/1567342456","Open Ad")</f>
        <v>Open Ad</v>
      </c>
      <c r="E1684" s="4" t="s">
        <v>5970</v>
      </c>
      <c r="F1684" s="4" t="s">
        <v>54</v>
      </c>
      <c r="G1684" s="4" t="s">
        <v>5971</v>
      </c>
      <c r="H1684" s="4" t="s">
        <v>49</v>
      </c>
      <c r="I1684" s="4" t="s">
        <v>6005</v>
      </c>
      <c r="J1684" s="4" t="s">
        <v>5973</v>
      </c>
      <c r="K1684" s="4" t="s">
        <v>59</v>
      </c>
      <c r="L1684" s="4" t="s">
        <v>106</v>
      </c>
      <c r="M1684" s="4" t="s">
        <v>5965</v>
      </c>
      <c r="O1684" s="4" t="s">
        <v>63</v>
      </c>
      <c r="P1684" s="4" t="s">
        <v>64</v>
      </c>
    </row>
    <row r="1685">
      <c r="A1685" s="4" t="s">
        <v>5965</v>
      </c>
      <c r="B1685" s="4" t="s">
        <v>5965</v>
      </c>
      <c r="C1685" s="4">
        <v>74.0</v>
      </c>
      <c r="D1685" s="5" t="str">
        <f>HYPERLINK("https://www.linkedin.com/ad-library/detail/1567342346","Open Ad")</f>
        <v>Open Ad</v>
      </c>
      <c r="E1685" s="4" t="s">
        <v>78</v>
      </c>
      <c r="F1685" s="4" t="s">
        <v>54</v>
      </c>
      <c r="G1685" s="4" t="s">
        <v>6029</v>
      </c>
      <c r="H1685" s="4" t="s">
        <v>49</v>
      </c>
      <c r="I1685" s="4" t="s">
        <v>6005</v>
      </c>
      <c r="J1685" s="4" t="s">
        <v>78</v>
      </c>
      <c r="K1685" s="4" t="s">
        <v>59</v>
      </c>
      <c r="L1685" s="4" t="s">
        <v>106</v>
      </c>
      <c r="M1685" s="4" t="s">
        <v>5965</v>
      </c>
      <c r="O1685" s="4" t="s">
        <v>63</v>
      </c>
      <c r="P1685" s="4" t="s">
        <v>64</v>
      </c>
    </row>
    <row r="1686">
      <c r="A1686" s="4" t="s">
        <v>5965</v>
      </c>
      <c r="B1686" s="4" t="s">
        <v>5965</v>
      </c>
      <c r="C1686" s="4">
        <v>75.0</v>
      </c>
      <c r="D1686" s="5" t="str">
        <f>HYPERLINK("https://www.linkedin.com/ad-library/detail/1567210676","Open Ad")</f>
        <v>Open Ad</v>
      </c>
      <c r="E1686" s="4" t="s">
        <v>121</v>
      </c>
      <c r="F1686" s="4" t="s">
        <v>54</v>
      </c>
      <c r="G1686" s="4" t="s">
        <v>6031</v>
      </c>
      <c r="H1686" s="4" t="s">
        <v>49</v>
      </c>
      <c r="I1686" s="4" t="s">
        <v>6005</v>
      </c>
      <c r="J1686" s="4" t="s">
        <v>121</v>
      </c>
      <c r="K1686" s="5" t="str">
        <f>HYPERLINK("https://dms.licdn.com/playlist/vid/v2/D5610AQEYMxfT9huYsg/mp4-640p-30fp-crf28/B56Z9r5IasLABI-/0/1784221579230?e=2147483647&amp;v=beta&amp;t=wqawh6PBQUrCJZJ-XscUNS7gfMgItz12cEfcJuVzzWI","View Creative")</f>
        <v>View Creative</v>
      </c>
      <c r="L1686" s="4" t="s">
        <v>106</v>
      </c>
      <c r="M1686" s="4" t="s">
        <v>5965</v>
      </c>
      <c r="O1686" s="4" t="s">
        <v>63</v>
      </c>
      <c r="P1686" s="4" t="s">
        <v>64</v>
      </c>
    </row>
    <row r="1687">
      <c r="A1687" s="4" t="s">
        <v>5965</v>
      </c>
      <c r="B1687" s="4" t="s">
        <v>5965</v>
      </c>
      <c r="C1687" s="4">
        <v>76.0</v>
      </c>
      <c r="D1687" s="5" t="str">
        <f>HYPERLINK("https://www.linkedin.com/ad-library/detail/1567282776","Open Ad")</f>
        <v>Open Ad</v>
      </c>
      <c r="E1687" s="4" t="s">
        <v>5970</v>
      </c>
      <c r="F1687" s="4" t="s">
        <v>54</v>
      </c>
      <c r="G1687" s="4" t="s">
        <v>5984</v>
      </c>
      <c r="H1687" s="4" t="s">
        <v>49</v>
      </c>
      <c r="I1687" s="4" t="s">
        <v>6005</v>
      </c>
      <c r="J1687" s="4" t="s">
        <v>5973</v>
      </c>
      <c r="K1687" s="4" t="s">
        <v>59</v>
      </c>
      <c r="L1687" s="4" t="s">
        <v>106</v>
      </c>
      <c r="M1687" s="4" t="s">
        <v>5965</v>
      </c>
      <c r="O1687" s="4" t="s">
        <v>63</v>
      </c>
      <c r="P1687" s="4" t="s">
        <v>64</v>
      </c>
    </row>
    <row r="1688">
      <c r="A1688" s="4" t="s">
        <v>5965</v>
      </c>
      <c r="B1688" s="4" t="s">
        <v>5965</v>
      </c>
      <c r="C1688" s="4">
        <v>77.0</v>
      </c>
      <c r="D1688" s="5" t="str">
        <f>HYPERLINK("https://www.linkedin.com/ad-library/detail/1567260616","Open Ad")</f>
        <v>Open Ad</v>
      </c>
      <c r="E1688" s="4" t="s">
        <v>78</v>
      </c>
      <c r="F1688" s="4" t="s">
        <v>54</v>
      </c>
      <c r="G1688" s="4" t="s">
        <v>6033</v>
      </c>
      <c r="H1688" s="4" t="s">
        <v>49</v>
      </c>
      <c r="I1688" s="4" t="s">
        <v>6005</v>
      </c>
      <c r="J1688" s="4" t="s">
        <v>78</v>
      </c>
      <c r="K1688" s="4" t="s">
        <v>59</v>
      </c>
      <c r="L1688" s="4" t="s">
        <v>106</v>
      </c>
      <c r="M1688" s="4" t="s">
        <v>5965</v>
      </c>
      <c r="O1688" s="4" t="s">
        <v>63</v>
      </c>
      <c r="P1688" s="4" t="s">
        <v>64</v>
      </c>
    </row>
    <row r="1689">
      <c r="A1689" s="4" t="s">
        <v>5965</v>
      </c>
      <c r="B1689" s="4" t="s">
        <v>5965</v>
      </c>
      <c r="C1689" s="4">
        <v>78.0</v>
      </c>
      <c r="D1689" s="5" t="str">
        <f>HYPERLINK("https://www.linkedin.com/ad-library/detail/1567320776","Open Ad")</f>
        <v>Open Ad</v>
      </c>
      <c r="E1689" s="4" t="s">
        <v>78</v>
      </c>
      <c r="F1689" s="4" t="s">
        <v>54</v>
      </c>
      <c r="G1689" s="4" t="s">
        <v>6034</v>
      </c>
      <c r="H1689" s="4" t="s">
        <v>49</v>
      </c>
      <c r="I1689" s="4" t="s">
        <v>6005</v>
      </c>
      <c r="J1689" s="4" t="s">
        <v>78</v>
      </c>
      <c r="K1689" s="4" t="s">
        <v>59</v>
      </c>
      <c r="L1689" s="4" t="s">
        <v>106</v>
      </c>
      <c r="M1689" s="4" t="s">
        <v>5965</v>
      </c>
      <c r="O1689" s="4" t="s">
        <v>63</v>
      </c>
      <c r="P1689" s="4" t="s">
        <v>64</v>
      </c>
    </row>
    <row r="1690">
      <c r="A1690" s="4" t="s">
        <v>5965</v>
      </c>
      <c r="B1690" s="4" t="s">
        <v>5965</v>
      </c>
      <c r="C1690" s="4">
        <v>79.0</v>
      </c>
      <c r="D1690" s="5" t="str">
        <f>HYPERLINK("https://www.linkedin.com/ad-library/detail/1567252286","Open Ad")</f>
        <v>Open Ad</v>
      </c>
      <c r="E1690" s="4" t="s">
        <v>78</v>
      </c>
      <c r="F1690" s="4" t="s">
        <v>54</v>
      </c>
      <c r="G1690" s="4" t="s">
        <v>6036</v>
      </c>
      <c r="H1690" s="4" t="s">
        <v>49</v>
      </c>
      <c r="I1690" s="4" t="s">
        <v>6005</v>
      </c>
      <c r="J1690" s="4" t="s">
        <v>78</v>
      </c>
      <c r="K1690" s="4" t="s">
        <v>59</v>
      </c>
      <c r="L1690" s="4" t="s">
        <v>106</v>
      </c>
      <c r="M1690" s="4" t="s">
        <v>5965</v>
      </c>
      <c r="O1690" s="4" t="s">
        <v>63</v>
      </c>
      <c r="P1690" s="4" t="s">
        <v>64</v>
      </c>
    </row>
    <row r="1691">
      <c r="A1691" s="4" t="s">
        <v>5965</v>
      </c>
      <c r="B1691" s="4" t="s">
        <v>5965</v>
      </c>
      <c r="C1691" s="4">
        <v>80.0</v>
      </c>
      <c r="D1691" s="5" t="str">
        <f>HYPERLINK("https://www.linkedin.com/ad-library/detail/1567400596","Open Ad")</f>
        <v>Open Ad</v>
      </c>
      <c r="E1691" s="4" t="s">
        <v>78</v>
      </c>
      <c r="F1691" s="4" t="s">
        <v>54</v>
      </c>
      <c r="G1691" s="4" t="s">
        <v>6033</v>
      </c>
      <c r="H1691" s="4" t="s">
        <v>49</v>
      </c>
      <c r="I1691" s="4" t="s">
        <v>6005</v>
      </c>
      <c r="J1691" s="4" t="s">
        <v>78</v>
      </c>
      <c r="K1691" s="4" t="s">
        <v>59</v>
      </c>
      <c r="L1691" s="4" t="s">
        <v>106</v>
      </c>
      <c r="M1691" s="4" t="s">
        <v>5965</v>
      </c>
      <c r="O1691" s="4" t="s">
        <v>63</v>
      </c>
      <c r="P1691" s="4" t="s">
        <v>64</v>
      </c>
    </row>
    <row r="1692">
      <c r="A1692" s="4" t="s">
        <v>5965</v>
      </c>
      <c r="B1692" s="4" t="s">
        <v>5965</v>
      </c>
      <c r="C1692" s="4">
        <v>81.0</v>
      </c>
      <c r="D1692" s="5" t="str">
        <f>HYPERLINK("https://www.linkedin.com/ad-library/detail/1567300866","Open Ad")</f>
        <v>Open Ad</v>
      </c>
      <c r="E1692" s="4" t="s">
        <v>78</v>
      </c>
      <c r="F1692" s="4" t="s">
        <v>54</v>
      </c>
      <c r="G1692" s="4" t="s">
        <v>6037</v>
      </c>
      <c r="H1692" s="4" t="s">
        <v>49</v>
      </c>
      <c r="I1692" s="4" t="s">
        <v>6005</v>
      </c>
      <c r="J1692" s="4" t="s">
        <v>78</v>
      </c>
      <c r="K1692" s="4" t="s">
        <v>59</v>
      </c>
      <c r="L1692" s="4" t="s">
        <v>106</v>
      </c>
      <c r="M1692" s="4" t="s">
        <v>5965</v>
      </c>
      <c r="O1692" s="4" t="s">
        <v>63</v>
      </c>
      <c r="P1692" s="4" t="s">
        <v>64</v>
      </c>
    </row>
    <row r="1693">
      <c r="A1693" s="4" t="s">
        <v>5965</v>
      </c>
      <c r="B1693" s="4" t="s">
        <v>5965</v>
      </c>
      <c r="C1693" s="4">
        <v>82.0</v>
      </c>
      <c r="D1693" s="5" t="str">
        <f>HYPERLINK("https://www.linkedin.com/ad-library/detail/1567302966","Open Ad")</f>
        <v>Open Ad</v>
      </c>
      <c r="E1693" s="4" t="s">
        <v>5970</v>
      </c>
      <c r="F1693" s="4" t="s">
        <v>54</v>
      </c>
      <c r="G1693" s="4" t="s">
        <v>5984</v>
      </c>
      <c r="H1693" s="4" t="s">
        <v>49</v>
      </c>
      <c r="I1693" s="4" t="s">
        <v>6005</v>
      </c>
      <c r="J1693" s="4" t="s">
        <v>5973</v>
      </c>
      <c r="K1693" s="4" t="s">
        <v>59</v>
      </c>
      <c r="L1693" s="4" t="s">
        <v>106</v>
      </c>
      <c r="M1693" s="4" t="s">
        <v>5965</v>
      </c>
      <c r="O1693" s="4" t="s">
        <v>63</v>
      </c>
      <c r="P1693" s="4" t="s">
        <v>64</v>
      </c>
    </row>
    <row r="1694">
      <c r="A1694" s="4" t="s">
        <v>5965</v>
      </c>
      <c r="B1694" s="4" t="s">
        <v>5965</v>
      </c>
      <c r="C1694" s="4">
        <v>83.0</v>
      </c>
      <c r="D1694" s="5" t="str">
        <f>HYPERLINK("https://www.linkedin.com/ad-library/detail/1567300876","Open Ad")</f>
        <v>Open Ad</v>
      </c>
      <c r="E1694" s="4" t="s">
        <v>78</v>
      </c>
      <c r="F1694" s="4" t="s">
        <v>54</v>
      </c>
      <c r="G1694" s="4" t="s">
        <v>6034</v>
      </c>
      <c r="H1694" s="4" t="s">
        <v>49</v>
      </c>
      <c r="I1694" s="4" t="s">
        <v>6005</v>
      </c>
      <c r="J1694" s="4" t="s">
        <v>78</v>
      </c>
      <c r="K1694" s="4" t="s">
        <v>59</v>
      </c>
      <c r="L1694" s="4" t="s">
        <v>106</v>
      </c>
      <c r="M1694" s="4" t="s">
        <v>5965</v>
      </c>
      <c r="O1694" s="4" t="s">
        <v>63</v>
      </c>
      <c r="P1694" s="4" t="s">
        <v>64</v>
      </c>
    </row>
    <row r="1695">
      <c r="A1695" s="4" t="s">
        <v>5965</v>
      </c>
      <c r="B1695" s="4" t="s">
        <v>5965</v>
      </c>
      <c r="C1695" s="4">
        <v>84.0</v>
      </c>
      <c r="D1695" s="5" t="str">
        <f>HYPERLINK("https://www.linkedin.com/ad-library/detail/1567392566","Open Ad")</f>
        <v>Open Ad</v>
      </c>
      <c r="E1695" s="4" t="s">
        <v>5970</v>
      </c>
      <c r="F1695" s="4" t="s">
        <v>54</v>
      </c>
      <c r="G1695" s="4" t="s">
        <v>5984</v>
      </c>
      <c r="H1695" s="4" t="s">
        <v>49</v>
      </c>
      <c r="I1695" s="4" t="s">
        <v>6005</v>
      </c>
      <c r="J1695" s="4" t="s">
        <v>5973</v>
      </c>
      <c r="K1695" s="4" t="s">
        <v>59</v>
      </c>
      <c r="L1695" s="4" t="s">
        <v>106</v>
      </c>
      <c r="M1695" s="4" t="s">
        <v>5965</v>
      </c>
      <c r="O1695" s="4" t="s">
        <v>63</v>
      </c>
      <c r="P1695" s="4" t="s">
        <v>64</v>
      </c>
    </row>
    <row r="1696">
      <c r="A1696" s="4" t="s">
        <v>5965</v>
      </c>
      <c r="B1696" s="4" t="s">
        <v>5965</v>
      </c>
      <c r="C1696" s="4">
        <v>85.0</v>
      </c>
      <c r="D1696" s="5" t="str">
        <f>HYPERLINK("https://www.linkedin.com/ad-library/detail/1567250616","Open Ad")</f>
        <v>Open Ad</v>
      </c>
      <c r="E1696" s="4" t="s">
        <v>78</v>
      </c>
      <c r="F1696" s="4" t="s">
        <v>54</v>
      </c>
      <c r="G1696" s="4" t="s">
        <v>6037</v>
      </c>
      <c r="H1696" s="4" t="s">
        <v>49</v>
      </c>
      <c r="I1696" s="4" t="s">
        <v>6005</v>
      </c>
      <c r="J1696" s="4" t="s">
        <v>78</v>
      </c>
      <c r="K1696" s="4" t="s">
        <v>59</v>
      </c>
      <c r="L1696" s="4" t="s">
        <v>106</v>
      </c>
      <c r="M1696" s="4" t="s">
        <v>5965</v>
      </c>
      <c r="O1696" s="4" t="s">
        <v>63</v>
      </c>
      <c r="P1696" s="4" t="s">
        <v>64</v>
      </c>
    </row>
    <row r="1697">
      <c r="A1697" s="4" t="s">
        <v>5965</v>
      </c>
      <c r="B1697" s="4" t="s">
        <v>5965</v>
      </c>
      <c r="C1697" s="4">
        <v>86.0</v>
      </c>
      <c r="D1697" s="5" t="str">
        <f>HYPERLINK("https://www.linkedin.com/ad-library/detail/1567293016","Open Ad")</f>
        <v>Open Ad</v>
      </c>
      <c r="E1697" s="4" t="s">
        <v>5970</v>
      </c>
      <c r="F1697" s="4" t="s">
        <v>54</v>
      </c>
      <c r="G1697" s="4" t="s">
        <v>5984</v>
      </c>
      <c r="H1697" s="4" t="s">
        <v>49</v>
      </c>
      <c r="I1697" s="4" t="s">
        <v>6005</v>
      </c>
      <c r="J1697" s="4" t="s">
        <v>5973</v>
      </c>
      <c r="K1697" s="4" t="s">
        <v>59</v>
      </c>
      <c r="L1697" s="4" t="s">
        <v>106</v>
      </c>
      <c r="M1697" s="4" t="s">
        <v>5965</v>
      </c>
      <c r="O1697" s="4" t="s">
        <v>63</v>
      </c>
      <c r="P1697" s="4" t="s">
        <v>64</v>
      </c>
    </row>
    <row r="1698">
      <c r="A1698" s="4" t="s">
        <v>5965</v>
      </c>
      <c r="B1698" s="4" t="s">
        <v>5965</v>
      </c>
      <c r="C1698" s="4">
        <v>87.0</v>
      </c>
      <c r="D1698" s="5" t="str">
        <f>HYPERLINK("https://www.linkedin.com/ad-library/detail/1567410496","Open Ad")</f>
        <v>Open Ad</v>
      </c>
      <c r="E1698" s="4" t="s">
        <v>78</v>
      </c>
      <c r="F1698" s="4" t="s">
        <v>54</v>
      </c>
      <c r="G1698" s="4" t="s">
        <v>6034</v>
      </c>
      <c r="H1698" s="4" t="s">
        <v>49</v>
      </c>
      <c r="I1698" s="4" t="s">
        <v>6005</v>
      </c>
      <c r="J1698" s="4" t="s">
        <v>78</v>
      </c>
      <c r="K1698" s="4" t="s">
        <v>59</v>
      </c>
      <c r="L1698" s="4" t="s">
        <v>106</v>
      </c>
      <c r="M1698" s="4" t="s">
        <v>5965</v>
      </c>
      <c r="O1698" s="4" t="s">
        <v>63</v>
      </c>
      <c r="P1698" s="4" t="s">
        <v>64</v>
      </c>
    </row>
    <row r="1699">
      <c r="A1699" s="4" t="s">
        <v>5965</v>
      </c>
      <c r="B1699" s="4" t="s">
        <v>5965</v>
      </c>
      <c r="C1699" s="4">
        <v>88.0</v>
      </c>
      <c r="D1699" s="5" t="str">
        <f>HYPERLINK("https://www.linkedin.com/ad-library/detail/1567222866","Open Ad")</f>
        <v>Open Ad</v>
      </c>
      <c r="E1699" s="4" t="s">
        <v>5970</v>
      </c>
      <c r="F1699" s="4" t="s">
        <v>54</v>
      </c>
      <c r="G1699" s="4" t="s">
        <v>5971</v>
      </c>
      <c r="H1699" s="4" t="s">
        <v>49</v>
      </c>
      <c r="I1699" s="4" t="s">
        <v>6005</v>
      </c>
      <c r="J1699" s="4" t="s">
        <v>5973</v>
      </c>
      <c r="K1699" s="4" t="s">
        <v>59</v>
      </c>
      <c r="L1699" s="4" t="s">
        <v>106</v>
      </c>
      <c r="M1699" s="4" t="s">
        <v>5965</v>
      </c>
      <c r="O1699" s="4" t="s">
        <v>63</v>
      </c>
      <c r="P1699" s="4" t="s">
        <v>64</v>
      </c>
    </row>
    <row r="1700">
      <c r="A1700" s="4" t="s">
        <v>5965</v>
      </c>
      <c r="B1700" s="4" t="s">
        <v>5965</v>
      </c>
      <c r="C1700" s="4">
        <v>89.0</v>
      </c>
      <c r="D1700" s="5" t="str">
        <f>HYPERLINK("https://www.linkedin.com/ad-library/detail/1567292886","Open Ad")</f>
        <v>Open Ad</v>
      </c>
      <c r="E1700" s="4" t="s">
        <v>78</v>
      </c>
      <c r="F1700" s="4" t="s">
        <v>54</v>
      </c>
      <c r="G1700" s="4" t="s">
        <v>6036</v>
      </c>
      <c r="H1700" s="4" t="s">
        <v>49</v>
      </c>
      <c r="I1700" s="4" t="s">
        <v>6005</v>
      </c>
      <c r="J1700" s="4" t="s">
        <v>78</v>
      </c>
      <c r="K1700" s="4" t="s">
        <v>59</v>
      </c>
      <c r="L1700" s="4" t="s">
        <v>106</v>
      </c>
      <c r="M1700" s="4" t="s">
        <v>5965</v>
      </c>
      <c r="O1700" s="4" t="s">
        <v>63</v>
      </c>
      <c r="P1700" s="4" t="s">
        <v>64</v>
      </c>
    </row>
    <row r="1701">
      <c r="A1701" s="4" t="s">
        <v>5965</v>
      </c>
      <c r="B1701" s="4" t="s">
        <v>5965</v>
      </c>
      <c r="C1701" s="4">
        <v>90.0</v>
      </c>
      <c r="D1701" s="5" t="str">
        <f>HYPERLINK("https://www.linkedin.com/ad-library/detail/1567280806","Open Ad")</f>
        <v>Open Ad</v>
      </c>
      <c r="E1701" s="4" t="s">
        <v>78</v>
      </c>
      <c r="F1701" s="4" t="s">
        <v>54</v>
      </c>
      <c r="G1701" s="4" t="s">
        <v>6033</v>
      </c>
      <c r="H1701" s="4" t="s">
        <v>49</v>
      </c>
      <c r="I1701" s="4" t="s">
        <v>6005</v>
      </c>
      <c r="J1701" s="4" t="s">
        <v>78</v>
      </c>
      <c r="K1701" s="4" t="s">
        <v>59</v>
      </c>
      <c r="L1701" s="4" t="s">
        <v>106</v>
      </c>
      <c r="M1701" s="4" t="s">
        <v>5965</v>
      </c>
      <c r="O1701" s="4" t="s">
        <v>63</v>
      </c>
      <c r="P1701" s="4" t="s">
        <v>64</v>
      </c>
    </row>
    <row r="1702">
      <c r="A1702" s="4" t="s">
        <v>5965</v>
      </c>
      <c r="B1702" s="4" t="s">
        <v>5965</v>
      </c>
      <c r="C1702" s="4">
        <v>91.0</v>
      </c>
      <c r="D1702" s="5" t="str">
        <f>HYPERLINK("https://www.linkedin.com/ad-library/detail/1567232906","Open Ad")</f>
        <v>Open Ad</v>
      </c>
      <c r="E1702" s="4" t="s">
        <v>5970</v>
      </c>
      <c r="F1702" s="4" t="s">
        <v>54</v>
      </c>
      <c r="G1702" s="4" t="s">
        <v>5971</v>
      </c>
      <c r="H1702" s="4" t="s">
        <v>49</v>
      </c>
      <c r="I1702" s="4" t="s">
        <v>6005</v>
      </c>
      <c r="J1702" s="4" t="s">
        <v>5973</v>
      </c>
      <c r="K1702" s="4" t="s">
        <v>59</v>
      </c>
      <c r="L1702" s="4" t="s">
        <v>106</v>
      </c>
      <c r="M1702" s="4" t="s">
        <v>5965</v>
      </c>
      <c r="O1702" s="4" t="s">
        <v>63</v>
      </c>
      <c r="P1702" s="4" t="s">
        <v>64</v>
      </c>
    </row>
    <row r="1703">
      <c r="A1703" s="4" t="s">
        <v>5965</v>
      </c>
      <c r="B1703" s="4" t="s">
        <v>5965</v>
      </c>
      <c r="C1703" s="4">
        <v>92.0</v>
      </c>
      <c r="D1703" s="5" t="str">
        <f>HYPERLINK("https://www.linkedin.com/ad-library/detail/1567412576","Open Ad")</f>
        <v>Open Ad</v>
      </c>
      <c r="E1703" s="4" t="s">
        <v>78</v>
      </c>
      <c r="F1703" s="4" t="s">
        <v>54</v>
      </c>
      <c r="G1703" s="4" t="s">
        <v>6029</v>
      </c>
      <c r="H1703" s="4" t="s">
        <v>49</v>
      </c>
      <c r="I1703" s="4" t="s">
        <v>6005</v>
      </c>
      <c r="J1703" s="4" t="s">
        <v>78</v>
      </c>
      <c r="K1703" s="4" t="s">
        <v>59</v>
      </c>
      <c r="L1703" s="4" t="s">
        <v>106</v>
      </c>
      <c r="M1703" s="4" t="s">
        <v>5965</v>
      </c>
      <c r="O1703" s="4" t="s">
        <v>63</v>
      </c>
      <c r="P1703" s="4" t="s">
        <v>64</v>
      </c>
    </row>
    <row r="1704">
      <c r="A1704" s="4" t="s">
        <v>5965</v>
      </c>
      <c r="B1704" s="4" t="s">
        <v>5965</v>
      </c>
      <c r="C1704" s="4">
        <v>93.0</v>
      </c>
      <c r="D1704" s="5" t="str">
        <f>HYPERLINK("https://www.linkedin.com/ad-library/detail/1567432676","Open Ad")</f>
        <v>Open Ad</v>
      </c>
      <c r="E1704" s="4" t="s">
        <v>78</v>
      </c>
      <c r="F1704" s="4" t="s">
        <v>54</v>
      </c>
      <c r="G1704" s="4" t="s">
        <v>6029</v>
      </c>
      <c r="H1704" s="4" t="s">
        <v>49</v>
      </c>
      <c r="I1704" s="4" t="s">
        <v>6005</v>
      </c>
      <c r="J1704" s="4" t="s">
        <v>78</v>
      </c>
      <c r="K1704" s="4" t="s">
        <v>59</v>
      </c>
      <c r="L1704" s="4" t="s">
        <v>106</v>
      </c>
      <c r="M1704" s="4" t="s">
        <v>5965</v>
      </c>
      <c r="O1704" s="4" t="s">
        <v>63</v>
      </c>
      <c r="P1704" s="4" t="s">
        <v>64</v>
      </c>
    </row>
    <row r="1705">
      <c r="A1705" s="4" t="s">
        <v>5965</v>
      </c>
      <c r="B1705" s="4" t="s">
        <v>5965</v>
      </c>
      <c r="C1705" s="4">
        <v>94.0</v>
      </c>
      <c r="D1705" s="5" t="str">
        <f>HYPERLINK("https://www.linkedin.com/ad-library/detail/1567201406","Open Ad")</f>
        <v>Open Ad</v>
      </c>
      <c r="E1705" s="4" t="s">
        <v>78</v>
      </c>
      <c r="F1705" s="4" t="s">
        <v>54</v>
      </c>
      <c r="G1705" s="4" t="s">
        <v>6037</v>
      </c>
      <c r="H1705" s="4" t="s">
        <v>49</v>
      </c>
      <c r="I1705" s="4" t="s">
        <v>6005</v>
      </c>
      <c r="J1705" s="4" t="s">
        <v>78</v>
      </c>
      <c r="K1705" s="4" t="s">
        <v>59</v>
      </c>
      <c r="L1705" s="4" t="s">
        <v>106</v>
      </c>
      <c r="M1705" s="4" t="s">
        <v>5965</v>
      </c>
      <c r="O1705" s="4" t="s">
        <v>63</v>
      </c>
      <c r="P1705" s="4" t="s">
        <v>64</v>
      </c>
    </row>
    <row r="1706">
      <c r="A1706" s="4" t="s">
        <v>5965</v>
      </c>
      <c r="B1706" s="4" t="s">
        <v>5965</v>
      </c>
      <c r="C1706" s="4">
        <v>95.0</v>
      </c>
      <c r="D1706" s="5" t="str">
        <f>HYPERLINK("https://www.linkedin.com/ad-library/detail/1567382786","Open Ad")</f>
        <v>Open Ad</v>
      </c>
      <c r="E1706" s="4" t="s">
        <v>5970</v>
      </c>
      <c r="F1706" s="4" t="s">
        <v>54</v>
      </c>
      <c r="G1706" s="4" t="s">
        <v>5971</v>
      </c>
      <c r="H1706" s="4" t="s">
        <v>49</v>
      </c>
      <c r="I1706" s="4" t="s">
        <v>6005</v>
      </c>
      <c r="J1706" s="4" t="s">
        <v>5973</v>
      </c>
      <c r="K1706" s="4" t="s">
        <v>59</v>
      </c>
      <c r="L1706" s="4" t="s">
        <v>106</v>
      </c>
      <c r="M1706" s="4" t="s">
        <v>5965</v>
      </c>
      <c r="O1706" s="4" t="s">
        <v>63</v>
      </c>
      <c r="P1706" s="4" t="s">
        <v>64</v>
      </c>
    </row>
    <row r="1707">
      <c r="A1707" s="4" t="s">
        <v>5965</v>
      </c>
      <c r="B1707" s="4" t="s">
        <v>5965</v>
      </c>
      <c r="C1707" s="4">
        <v>96.0</v>
      </c>
      <c r="D1707" s="5" t="str">
        <f>HYPERLINK("https://www.linkedin.com/ad-library/detail/1567232776","Open Ad")</f>
        <v>Open Ad</v>
      </c>
      <c r="E1707" s="4" t="s">
        <v>78</v>
      </c>
      <c r="F1707" s="4" t="s">
        <v>54</v>
      </c>
      <c r="G1707" s="4" t="s">
        <v>6036</v>
      </c>
      <c r="H1707" s="4" t="s">
        <v>49</v>
      </c>
      <c r="I1707" s="4" t="s">
        <v>6005</v>
      </c>
      <c r="J1707" s="4" t="s">
        <v>78</v>
      </c>
      <c r="K1707" s="4" t="s">
        <v>59</v>
      </c>
      <c r="L1707" s="4" t="s">
        <v>106</v>
      </c>
      <c r="M1707" s="4" t="s">
        <v>5965</v>
      </c>
      <c r="O1707" s="4" t="s">
        <v>63</v>
      </c>
      <c r="P1707" s="4" t="s">
        <v>64</v>
      </c>
    </row>
    <row r="1708">
      <c r="A1708" s="4" t="s">
        <v>5965</v>
      </c>
      <c r="B1708" s="4" t="s">
        <v>5965</v>
      </c>
      <c r="C1708" s="4">
        <v>97.0</v>
      </c>
      <c r="D1708" s="5" t="str">
        <f>HYPERLINK("https://www.linkedin.com/ad-library/detail/1567390566","Open Ad")</f>
        <v>Open Ad</v>
      </c>
      <c r="E1708" s="4" t="s">
        <v>121</v>
      </c>
      <c r="F1708" s="4" t="s">
        <v>54</v>
      </c>
      <c r="G1708" s="4" t="s">
        <v>6044</v>
      </c>
      <c r="H1708" s="4" t="s">
        <v>49</v>
      </c>
      <c r="I1708" s="4" t="s">
        <v>6005</v>
      </c>
      <c r="J1708" s="4" t="s">
        <v>121</v>
      </c>
      <c r="K1708" s="5" t="str">
        <f>HYPERLINK("https://dms.licdn.com/playlist/vid/v2/D4E05AQGz-rO1oWg7ZQ/mp4-720p-30fp-crf28/B4EZ.OXbZ0KoB4-/0/1784799941158?e=2147483647&amp;v=beta&amp;t=UrD2A3U5EVqZ6IpwPmbSFZu-ikVK8uBHF2MFFmv-lbo","View Creative")</f>
        <v>View Creative</v>
      </c>
      <c r="L1708" s="4" t="s">
        <v>106</v>
      </c>
      <c r="M1708" s="4" t="s">
        <v>5965</v>
      </c>
      <c r="O1708" s="4" t="s">
        <v>63</v>
      </c>
      <c r="P1708" s="4" t="s">
        <v>64</v>
      </c>
    </row>
    <row r="1709">
      <c r="A1709" s="4" t="s">
        <v>5965</v>
      </c>
      <c r="B1709" s="4" t="s">
        <v>5965</v>
      </c>
      <c r="C1709" s="4">
        <v>98.0</v>
      </c>
      <c r="D1709" s="5" t="str">
        <f>HYPERLINK("https://www.linkedin.com/ad-library/detail/1567390586","Open Ad")</f>
        <v>Open Ad</v>
      </c>
      <c r="E1709" s="4" t="s">
        <v>121</v>
      </c>
      <c r="F1709" s="4" t="s">
        <v>54</v>
      </c>
      <c r="G1709" s="4" t="s">
        <v>6046</v>
      </c>
      <c r="H1709" s="4" t="s">
        <v>49</v>
      </c>
      <c r="I1709" s="4" t="s">
        <v>6005</v>
      </c>
      <c r="J1709" s="4" t="s">
        <v>121</v>
      </c>
      <c r="K1709" s="5" t="str">
        <f>HYPERLINK("https://dms.licdn.com/playlist/vid/v2/D5605AQHRYPjj651EQQ/mp4-720p-30fp-crf28/B56Z_r.CzRG4CI-/0/1786370377571?e=2147483647&amp;v=beta&amp;t=DwRxyyEjhkdvca5YVnOxPUTjFbyB3-Rvx-X1lXsVJ9Y","View Creative")</f>
        <v>View Creative</v>
      </c>
      <c r="L1709" s="4" t="s">
        <v>106</v>
      </c>
      <c r="M1709" s="4" t="s">
        <v>5965</v>
      </c>
      <c r="O1709" s="4" t="s">
        <v>63</v>
      </c>
      <c r="P1709" s="4" t="s">
        <v>64</v>
      </c>
    </row>
    <row r="1710">
      <c r="A1710" s="4" t="s">
        <v>5965</v>
      </c>
      <c r="B1710" s="4" t="s">
        <v>5965</v>
      </c>
      <c r="C1710" s="4">
        <v>99.0</v>
      </c>
      <c r="D1710" s="5" t="str">
        <f>HYPERLINK("https://www.linkedin.com/ad-library/detail/1567320716","Open Ad")</f>
        <v>Open Ad</v>
      </c>
      <c r="E1710" s="4" t="s">
        <v>121</v>
      </c>
      <c r="F1710" s="4" t="s">
        <v>54</v>
      </c>
      <c r="G1710" s="4" t="s">
        <v>6047</v>
      </c>
      <c r="H1710" s="4" t="s">
        <v>49</v>
      </c>
      <c r="I1710" s="4" t="s">
        <v>6005</v>
      </c>
      <c r="J1710" s="4" t="s">
        <v>121</v>
      </c>
      <c r="K1710" s="5" t="str">
        <f>HYPERLINK("https://dms.licdn.com/playlist/vid/v2/D4E10AQFbU42CgG1Z7g/mp4-720p-30fp-crf28/B4EZ6E1cjuIkBk-/0/1780345071320?e=2147483647&amp;v=beta&amp;t=lm4Raasi9Hn2k_Jca5TAGdFZZmL4wlksoW4hHU6e3XU","View Creative")</f>
        <v>View Creative</v>
      </c>
      <c r="L1710" s="4" t="s">
        <v>106</v>
      </c>
      <c r="M1710" s="4" t="s">
        <v>5965</v>
      </c>
      <c r="O1710" s="4" t="s">
        <v>63</v>
      </c>
      <c r="P1710" s="4" t="s">
        <v>64</v>
      </c>
    </row>
    <row r="1711">
      <c r="A1711" s="4" t="s">
        <v>5965</v>
      </c>
      <c r="B1711" s="4" t="s">
        <v>5965</v>
      </c>
      <c r="C1711" s="4">
        <v>100.0</v>
      </c>
      <c r="D1711" s="5" t="str">
        <f>HYPERLINK("https://www.linkedin.com/ad-library/detail/1567280786","Open Ad")</f>
        <v>Open Ad</v>
      </c>
      <c r="E1711" s="4" t="s">
        <v>121</v>
      </c>
      <c r="F1711" s="4" t="s">
        <v>54</v>
      </c>
      <c r="G1711" s="4" t="s">
        <v>6049</v>
      </c>
      <c r="H1711" s="4" t="s">
        <v>49</v>
      </c>
      <c r="I1711" s="4" t="s">
        <v>6005</v>
      </c>
      <c r="J1711" s="4" t="s">
        <v>121</v>
      </c>
      <c r="K1711" s="5" t="str">
        <f>HYPERLINK("https://dms.licdn.com/playlist/vid/v2/D5610AQHCJpD_4X3r0w/mp4-360p-30fp-crf28/B56Z8jGxPuG0Bg-/0/1783000416146?e=2147483647&amp;v=beta&amp;t=buNqytXIKQbDSPmN-gF0MjkJ-TiOGUHb02s8kF2cYZo","View Creative")</f>
        <v>View Creative</v>
      </c>
      <c r="L1711" s="4" t="s">
        <v>106</v>
      </c>
      <c r="M1711" s="4" t="s">
        <v>5965</v>
      </c>
      <c r="O1711" s="4" t="s">
        <v>63</v>
      </c>
      <c r="P1711" s="4" t="s">
        <v>64</v>
      </c>
    </row>
    <row r="1712">
      <c r="A1712" s="4" t="s">
        <v>5965</v>
      </c>
      <c r="B1712" s="4" t="s">
        <v>5965</v>
      </c>
      <c r="C1712" s="4">
        <v>101.0</v>
      </c>
      <c r="D1712" s="5" t="str">
        <f>HYPERLINK("https://www.linkedin.com/ad-library/detail/1567240626","Open Ad")</f>
        <v>Open Ad</v>
      </c>
      <c r="E1712" s="4" t="s">
        <v>121</v>
      </c>
      <c r="F1712" s="4" t="s">
        <v>54</v>
      </c>
      <c r="G1712" s="4" t="s">
        <v>6047</v>
      </c>
      <c r="H1712" s="4" t="s">
        <v>49</v>
      </c>
      <c r="I1712" s="4" t="s">
        <v>6005</v>
      </c>
      <c r="J1712" s="4" t="s">
        <v>121</v>
      </c>
      <c r="K1712" s="5" t="str">
        <f>HYPERLINK("https://dms.licdn.com/playlist/vid/v2/D4E10AQFbU42CgG1Z7g/mp4-720p-30fp-crf28/B4EZ6E1cjuIkBk-/0/1780345071320?e=2147483647&amp;v=beta&amp;t=lm4Raasi9Hn2k_Jca5TAGdFZZmL4wlksoW4hHU6e3XU","View Creative")</f>
        <v>View Creative</v>
      </c>
      <c r="L1712" s="4" t="s">
        <v>106</v>
      </c>
      <c r="M1712" s="4" t="s">
        <v>5965</v>
      </c>
      <c r="O1712" s="4" t="s">
        <v>63</v>
      </c>
      <c r="P1712" s="4" t="s">
        <v>64</v>
      </c>
    </row>
    <row r="1713">
      <c r="A1713" s="4" t="s">
        <v>5965</v>
      </c>
      <c r="B1713" s="4" t="s">
        <v>5965</v>
      </c>
      <c r="C1713" s="4">
        <v>102.0</v>
      </c>
      <c r="D1713" s="5" t="str">
        <f>HYPERLINK("https://www.linkedin.com/ad-library/detail/1567240616","Open Ad")</f>
        <v>Open Ad</v>
      </c>
      <c r="E1713" s="4" t="s">
        <v>121</v>
      </c>
      <c r="F1713" s="4" t="s">
        <v>54</v>
      </c>
      <c r="G1713" s="4" t="s">
        <v>6044</v>
      </c>
      <c r="H1713" s="4" t="s">
        <v>49</v>
      </c>
      <c r="I1713" s="4" t="s">
        <v>6005</v>
      </c>
      <c r="J1713" s="4" t="s">
        <v>121</v>
      </c>
      <c r="K1713" s="5" t="str">
        <f>HYPERLINK("https://dms.licdn.com/playlist/vid/v2/D4E05AQGz-rO1oWg7ZQ/mp4-720p-30fp-crf28/B4EZ.OXbZ0KoB4-/0/1784799941158?e=2147483647&amp;v=beta&amp;t=UrD2A3U5EVqZ6IpwPmbSFZu-ikVK8uBHF2MFFmv-lbo","View Creative")</f>
        <v>View Creative</v>
      </c>
      <c r="L1713" s="4" t="s">
        <v>106</v>
      </c>
      <c r="M1713" s="4" t="s">
        <v>5965</v>
      </c>
      <c r="O1713" s="4" t="s">
        <v>63</v>
      </c>
      <c r="P1713" s="4" t="s">
        <v>64</v>
      </c>
    </row>
    <row r="1714">
      <c r="A1714" s="4" t="s">
        <v>5965</v>
      </c>
      <c r="B1714" s="4" t="s">
        <v>5965</v>
      </c>
      <c r="C1714" s="4">
        <v>103.0</v>
      </c>
      <c r="D1714" s="5" t="str">
        <f>HYPERLINK("https://www.linkedin.com/ad-library/detail/1567340526","Open Ad")</f>
        <v>Open Ad</v>
      </c>
      <c r="E1714" s="4" t="s">
        <v>121</v>
      </c>
      <c r="F1714" s="4" t="s">
        <v>54</v>
      </c>
      <c r="G1714" s="4" t="s">
        <v>6052</v>
      </c>
      <c r="H1714" s="4" t="s">
        <v>49</v>
      </c>
      <c r="I1714" s="4" t="s">
        <v>6005</v>
      </c>
      <c r="J1714" s="4" t="s">
        <v>121</v>
      </c>
      <c r="K1714" s="5" t="str">
        <f t="shared" ref="K1714:K1715" si="15">HYPERLINK("https://dms.licdn.com/playlist/vid/v2/D5610AQFSMcnW06imag/mp4-720p-30fp-crf28/B56Z.pe2QCKMBk-/0/1785254870903?e=2147483647&amp;v=beta&amp;t=g-3k8J4kc7bttKyXTLsE0c8iC3sdncRAqezIsmyhZN4","View Creative")</f>
        <v>View Creative</v>
      </c>
      <c r="L1714" s="4" t="s">
        <v>106</v>
      </c>
      <c r="M1714" s="4" t="s">
        <v>5965</v>
      </c>
      <c r="O1714" s="4" t="s">
        <v>63</v>
      </c>
      <c r="P1714" s="4" t="s">
        <v>64</v>
      </c>
    </row>
    <row r="1715">
      <c r="A1715" s="4" t="s">
        <v>5965</v>
      </c>
      <c r="B1715" s="4" t="s">
        <v>5965</v>
      </c>
      <c r="C1715" s="4">
        <v>104.0</v>
      </c>
      <c r="D1715" s="5" t="str">
        <f>HYPERLINK("https://www.linkedin.com/ad-library/detail/1567201386","Open Ad")</f>
        <v>Open Ad</v>
      </c>
      <c r="E1715" s="4" t="s">
        <v>121</v>
      </c>
      <c r="F1715" s="4" t="s">
        <v>54</v>
      </c>
      <c r="G1715" s="4" t="s">
        <v>6052</v>
      </c>
      <c r="H1715" s="4" t="s">
        <v>49</v>
      </c>
      <c r="I1715" s="4" t="s">
        <v>6005</v>
      </c>
      <c r="J1715" s="4" t="s">
        <v>121</v>
      </c>
      <c r="K1715" s="5" t="str">
        <f t="shared" si="15"/>
        <v>View Creative</v>
      </c>
      <c r="L1715" s="4" t="s">
        <v>106</v>
      </c>
      <c r="M1715" s="4" t="s">
        <v>5965</v>
      </c>
      <c r="O1715" s="4" t="s">
        <v>63</v>
      </c>
      <c r="P1715" s="4" t="s">
        <v>64</v>
      </c>
    </row>
    <row r="1716">
      <c r="A1716" s="4" t="s">
        <v>5965</v>
      </c>
      <c r="B1716" s="4" t="s">
        <v>5965</v>
      </c>
      <c r="C1716" s="4">
        <v>105.0</v>
      </c>
      <c r="D1716" s="5" t="str">
        <f>HYPERLINK("https://www.linkedin.com/ad-library/detail/1567201376","Open Ad")</f>
        <v>Open Ad</v>
      </c>
      <c r="E1716" s="4" t="s">
        <v>121</v>
      </c>
      <c r="F1716" s="4" t="s">
        <v>54</v>
      </c>
      <c r="G1716" s="4" t="s">
        <v>6031</v>
      </c>
      <c r="H1716" s="4" t="s">
        <v>49</v>
      </c>
      <c r="I1716" s="4" t="s">
        <v>6005</v>
      </c>
      <c r="J1716" s="4" t="s">
        <v>121</v>
      </c>
      <c r="K1716" s="5" t="str">
        <f>HYPERLINK("https://dms.licdn.com/playlist/vid/v2/D5610AQEYMxfT9huYsg/mp4-640p-30fp-crf28/B56Z9r5IasLABI-/0/1784221579230?e=2147483647&amp;v=beta&amp;t=wqawh6PBQUrCJZJ-XscUNS7gfMgItz12cEfcJuVzzWI","View Creative")</f>
        <v>View Creative</v>
      </c>
      <c r="L1716" s="4" t="s">
        <v>106</v>
      </c>
      <c r="M1716" s="4" t="s">
        <v>5965</v>
      </c>
      <c r="O1716" s="4" t="s">
        <v>63</v>
      </c>
      <c r="P1716" s="4" t="s">
        <v>64</v>
      </c>
    </row>
    <row r="1717">
      <c r="A1717" s="4" t="s">
        <v>5965</v>
      </c>
      <c r="B1717" s="4" t="s">
        <v>5965</v>
      </c>
      <c r="C1717" s="4">
        <v>106.0</v>
      </c>
      <c r="D1717" s="5" t="str">
        <f>HYPERLINK("https://www.linkedin.com/ad-library/detail/1567310706","Open Ad")</f>
        <v>Open Ad</v>
      </c>
      <c r="E1717" s="4" t="s">
        <v>121</v>
      </c>
      <c r="F1717" s="4" t="s">
        <v>54</v>
      </c>
      <c r="G1717" s="4" t="s">
        <v>6055</v>
      </c>
      <c r="H1717" s="4" t="s">
        <v>49</v>
      </c>
      <c r="I1717" s="4" t="s">
        <v>6005</v>
      </c>
      <c r="J1717" s="4" t="s">
        <v>121</v>
      </c>
      <c r="K1717" s="5" t="str">
        <f t="shared" ref="K1717:K1718" si="16">HYPERLINK("https://dms.licdn.com/playlist/vid/v2/D5610AQEgZSN1R6lkQg/mp4-360p-30fp-crf28/B56Z.pe6eZJoBg-/0/1785254888120?e=2147483647&amp;v=beta&amp;t=5h1R6KvMhc0CxepDbbh4l98qEndRxnaP-BM6oZz1ryY","View Creative")</f>
        <v>View Creative</v>
      </c>
      <c r="L1717" s="4" t="s">
        <v>106</v>
      </c>
      <c r="M1717" s="4" t="s">
        <v>5965</v>
      </c>
      <c r="O1717" s="4" t="s">
        <v>63</v>
      </c>
      <c r="P1717" s="4" t="s">
        <v>64</v>
      </c>
    </row>
    <row r="1718">
      <c r="A1718" s="4" t="s">
        <v>5965</v>
      </c>
      <c r="B1718" s="4" t="s">
        <v>5965</v>
      </c>
      <c r="C1718" s="4">
        <v>107.0</v>
      </c>
      <c r="D1718" s="5" t="str">
        <f>HYPERLINK("https://www.linkedin.com/ad-library/detail/1567220686","Open Ad")</f>
        <v>Open Ad</v>
      </c>
      <c r="E1718" s="4" t="s">
        <v>121</v>
      </c>
      <c r="F1718" s="4" t="s">
        <v>54</v>
      </c>
      <c r="G1718" s="4" t="s">
        <v>6055</v>
      </c>
      <c r="H1718" s="4" t="s">
        <v>49</v>
      </c>
      <c r="I1718" s="4" t="s">
        <v>6005</v>
      </c>
      <c r="J1718" s="4" t="s">
        <v>121</v>
      </c>
      <c r="K1718" s="5" t="str">
        <f t="shared" si="16"/>
        <v>View Creative</v>
      </c>
      <c r="L1718" s="4" t="s">
        <v>106</v>
      </c>
      <c r="M1718" s="4" t="s">
        <v>5965</v>
      </c>
      <c r="O1718" s="4" t="s">
        <v>63</v>
      </c>
      <c r="P1718" s="4" t="s">
        <v>64</v>
      </c>
    </row>
    <row r="1719">
      <c r="A1719" s="4" t="s">
        <v>5965</v>
      </c>
      <c r="B1719" s="4" t="s">
        <v>5965</v>
      </c>
      <c r="C1719" s="4">
        <v>108.0</v>
      </c>
      <c r="D1719" s="5" t="str">
        <f>HYPERLINK("https://www.linkedin.com/ad-library/detail/1567380536","Open Ad")</f>
        <v>Open Ad</v>
      </c>
      <c r="E1719" s="4" t="s">
        <v>121</v>
      </c>
      <c r="F1719" s="4" t="s">
        <v>54</v>
      </c>
      <c r="G1719" s="4" t="s">
        <v>6047</v>
      </c>
      <c r="H1719" s="4" t="s">
        <v>49</v>
      </c>
      <c r="I1719" s="4" t="s">
        <v>6005</v>
      </c>
      <c r="J1719" s="4" t="s">
        <v>121</v>
      </c>
      <c r="K1719" s="5" t="str">
        <f>HYPERLINK("https://dms.licdn.com/playlist/vid/v2/D4E10AQFbU42CgG1Z7g/mp4-720p-30fp-crf28/B4EZ6E1cjuIkBk-/0/1780345071320?e=2147483647&amp;v=beta&amp;t=lm4Raasi9Hn2k_Jca5TAGdFZZmL4wlksoW4hHU6e3XU","View Creative")</f>
        <v>View Creative</v>
      </c>
      <c r="L1719" s="4" t="s">
        <v>106</v>
      </c>
      <c r="M1719" s="4" t="s">
        <v>5965</v>
      </c>
      <c r="O1719" s="4" t="s">
        <v>63</v>
      </c>
      <c r="P1719" s="4" t="s">
        <v>64</v>
      </c>
    </row>
    <row r="1720">
      <c r="A1720" s="4" t="s">
        <v>5965</v>
      </c>
      <c r="B1720" s="4" t="s">
        <v>5965</v>
      </c>
      <c r="C1720" s="4">
        <v>109.0</v>
      </c>
      <c r="D1720" s="5" t="str">
        <f>HYPERLINK("https://www.linkedin.com/ad-library/detail/1567410486","Open Ad")</f>
        <v>Open Ad</v>
      </c>
      <c r="E1720" s="4" t="s">
        <v>121</v>
      </c>
      <c r="F1720" s="4" t="s">
        <v>54</v>
      </c>
      <c r="G1720" s="4" t="s">
        <v>6031</v>
      </c>
      <c r="H1720" s="4" t="s">
        <v>49</v>
      </c>
      <c r="I1720" s="4" t="s">
        <v>6005</v>
      </c>
      <c r="J1720" s="4" t="s">
        <v>121</v>
      </c>
      <c r="K1720" s="5" t="str">
        <f>HYPERLINK("https://dms.licdn.com/playlist/vid/v2/D5610AQEYMxfT9huYsg/mp4-640p-30fp-crf28/B56Z9r5IasLABI-/0/1784221579230?e=2147483647&amp;v=beta&amp;t=wqawh6PBQUrCJZJ-XscUNS7gfMgItz12cEfcJuVzzWI","View Creative")</f>
        <v>View Creative</v>
      </c>
      <c r="L1720" s="4" t="s">
        <v>106</v>
      </c>
      <c r="M1720" s="4" t="s">
        <v>5965</v>
      </c>
      <c r="O1720" s="4" t="s">
        <v>63</v>
      </c>
      <c r="P1720" s="4" t="s">
        <v>64</v>
      </c>
    </row>
    <row r="1721">
      <c r="A1721" s="4" t="s">
        <v>5965</v>
      </c>
      <c r="B1721" s="4" t="s">
        <v>5965</v>
      </c>
      <c r="C1721" s="4">
        <v>110.0</v>
      </c>
      <c r="D1721" s="5" t="str">
        <f>HYPERLINK("https://www.linkedin.com/ad-library/detail/1567380546","Open Ad")</f>
        <v>Open Ad</v>
      </c>
      <c r="E1721" s="4" t="s">
        <v>121</v>
      </c>
      <c r="F1721" s="4" t="s">
        <v>54</v>
      </c>
      <c r="G1721" s="4" t="s">
        <v>6046</v>
      </c>
      <c r="H1721" s="4" t="s">
        <v>49</v>
      </c>
      <c r="I1721" s="4" t="s">
        <v>6005</v>
      </c>
      <c r="J1721" s="4" t="s">
        <v>121</v>
      </c>
      <c r="K1721" s="5" t="str">
        <f>HYPERLINK("https://dms.licdn.com/playlist/vid/v2/D5605AQHRYPjj651EQQ/mp4-720p-30fp-crf28/B56Z_r.CzRG4CI-/0/1786370377571?e=2147483647&amp;v=beta&amp;t=DwRxyyEjhkdvca5YVnOxPUTjFbyB3-Rvx-X1lXsVJ9Y","View Creative")</f>
        <v>View Creative</v>
      </c>
      <c r="L1721" s="4" t="s">
        <v>106</v>
      </c>
      <c r="M1721" s="4" t="s">
        <v>5965</v>
      </c>
      <c r="O1721" s="4" t="s">
        <v>63</v>
      </c>
      <c r="P1721" s="4" t="s">
        <v>64</v>
      </c>
    </row>
    <row r="1722">
      <c r="A1722" s="4" t="s">
        <v>5965</v>
      </c>
      <c r="B1722" s="4" t="s">
        <v>5965</v>
      </c>
      <c r="C1722" s="4">
        <v>111.0</v>
      </c>
      <c r="D1722" s="5" t="str">
        <f>HYPERLINK("https://www.linkedin.com/ad-library/detail/1567190536","Open Ad")</f>
        <v>Open Ad</v>
      </c>
      <c r="E1722" s="4" t="s">
        <v>121</v>
      </c>
      <c r="F1722" s="4" t="s">
        <v>54</v>
      </c>
      <c r="G1722" s="4" t="s">
        <v>6059</v>
      </c>
      <c r="H1722" s="4" t="s">
        <v>49</v>
      </c>
      <c r="I1722" s="4" t="s">
        <v>6005</v>
      </c>
      <c r="J1722" s="4" t="s">
        <v>121</v>
      </c>
      <c r="K1722" s="5" t="str">
        <f>HYPERLINK("https://dms.licdn.com/playlist/vid/v2/D5610AQE-VfSgTRNyaw/mp4-360p-30fp-crf28/B56Z.uEO8SKEBg-/0/1785331783820?e=2147483647&amp;v=beta&amp;t=e9YZglcKCxI_lxTW8MHZKf8rDd_-EPTYRks5j3J7Xgg","View Creative")</f>
        <v>View Creative</v>
      </c>
      <c r="L1722" s="4" t="s">
        <v>106</v>
      </c>
      <c r="M1722" s="4" t="s">
        <v>5965</v>
      </c>
      <c r="O1722" s="4" t="s">
        <v>63</v>
      </c>
      <c r="P1722" s="4" t="s">
        <v>64</v>
      </c>
    </row>
    <row r="1723">
      <c r="A1723" s="4" t="s">
        <v>5965</v>
      </c>
      <c r="B1723" s="4" t="s">
        <v>5965</v>
      </c>
      <c r="C1723" s="4">
        <v>112.0</v>
      </c>
      <c r="D1723" s="5" t="str">
        <f>HYPERLINK("https://www.linkedin.com/ad-library/detail/1567360626","Open Ad")</f>
        <v>Open Ad</v>
      </c>
      <c r="E1723" s="4" t="s">
        <v>121</v>
      </c>
      <c r="F1723" s="4" t="s">
        <v>54</v>
      </c>
      <c r="G1723" s="4" t="s">
        <v>6049</v>
      </c>
      <c r="H1723" s="4" t="s">
        <v>49</v>
      </c>
      <c r="I1723" s="4" t="s">
        <v>6005</v>
      </c>
      <c r="J1723" s="4" t="s">
        <v>121</v>
      </c>
      <c r="K1723" s="5" t="str">
        <f>HYPERLINK("https://dms.licdn.com/playlist/vid/v2/D5610AQHCJpD_4X3r0w/mp4-360p-30fp-crf28/B56Z8jGxPuG0Bg-/0/1783000416146?e=2147483647&amp;v=beta&amp;t=buNqytXIKQbDSPmN-gF0MjkJ-TiOGUHb02s8kF2cYZo","View Creative")</f>
        <v>View Creative</v>
      </c>
      <c r="L1723" s="4" t="s">
        <v>106</v>
      </c>
      <c r="M1723" s="4" t="s">
        <v>5965</v>
      </c>
      <c r="O1723" s="4" t="s">
        <v>63</v>
      </c>
      <c r="P1723" s="4" t="s">
        <v>64</v>
      </c>
    </row>
    <row r="1724">
      <c r="A1724" s="4" t="s">
        <v>5965</v>
      </c>
      <c r="B1724" s="4" t="s">
        <v>5965</v>
      </c>
      <c r="C1724" s="4">
        <v>113.0</v>
      </c>
      <c r="D1724" s="5" t="str">
        <f>HYPERLINK("https://www.linkedin.com/ad-library/detail/1567300796","Open Ad")</f>
        <v>Open Ad</v>
      </c>
      <c r="E1724" s="4" t="s">
        <v>121</v>
      </c>
      <c r="F1724" s="4" t="s">
        <v>54</v>
      </c>
      <c r="G1724" s="4" t="s">
        <v>6046</v>
      </c>
      <c r="H1724" s="4" t="s">
        <v>49</v>
      </c>
      <c r="I1724" s="4" t="s">
        <v>6005</v>
      </c>
      <c r="J1724" s="4" t="s">
        <v>121</v>
      </c>
      <c r="K1724" s="5" t="str">
        <f>HYPERLINK("https://dms.licdn.com/playlist/vid/v2/D5605AQHRYPjj651EQQ/mp4-720p-30fp-crf28/B56Z_r.CzRG4CI-/0/1786370377571?e=2147483647&amp;v=beta&amp;t=DwRxyyEjhkdvca5YVnOxPUTjFbyB3-Rvx-X1lXsVJ9Y","View Creative")</f>
        <v>View Creative</v>
      </c>
      <c r="L1724" s="4" t="s">
        <v>106</v>
      </c>
      <c r="M1724" s="4" t="s">
        <v>5965</v>
      </c>
      <c r="O1724" s="4" t="s">
        <v>63</v>
      </c>
      <c r="P1724" s="4" t="s">
        <v>64</v>
      </c>
    </row>
    <row r="1725">
      <c r="A1725" s="4" t="s">
        <v>5965</v>
      </c>
      <c r="B1725" s="4" t="s">
        <v>5965</v>
      </c>
      <c r="C1725" s="4">
        <v>114.0</v>
      </c>
      <c r="D1725" s="5" t="str">
        <f>HYPERLINK("https://www.linkedin.com/ad-library/detail/1567230616","Open Ad")</f>
        <v>Open Ad</v>
      </c>
      <c r="E1725" s="4" t="s">
        <v>121</v>
      </c>
      <c r="F1725" s="4" t="s">
        <v>54</v>
      </c>
      <c r="G1725" s="4" t="s">
        <v>6052</v>
      </c>
      <c r="H1725" s="4" t="s">
        <v>49</v>
      </c>
      <c r="I1725" s="4" t="s">
        <v>6005</v>
      </c>
      <c r="J1725" s="4" t="s">
        <v>121</v>
      </c>
      <c r="K1725" s="5" t="str">
        <f>HYPERLINK("https://dms.licdn.com/playlist/vid/v2/D5610AQFSMcnW06imag/mp4-720p-30fp-crf28/B56Z.pe2QCKMBk-/0/1785254870903?e=2147483647&amp;v=beta&amp;t=g-3k8J4kc7bttKyXTLsE0c8iC3sdncRAqezIsmyhZN4","View Creative")</f>
        <v>View Creative</v>
      </c>
      <c r="L1725" s="4" t="s">
        <v>106</v>
      </c>
      <c r="M1725" s="4" t="s">
        <v>5965</v>
      </c>
      <c r="O1725" s="4" t="s">
        <v>63</v>
      </c>
      <c r="P1725" s="4" t="s">
        <v>64</v>
      </c>
    </row>
    <row r="1726">
      <c r="A1726" s="4" t="s">
        <v>5965</v>
      </c>
      <c r="B1726" s="4" t="s">
        <v>5965</v>
      </c>
      <c r="C1726" s="4">
        <v>115.0</v>
      </c>
      <c r="D1726" s="5" t="str">
        <f>HYPERLINK("https://www.linkedin.com/ad-library/detail/1567290596","Open Ad")</f>
        <v>Open Ad</v>
      </c>
      <c r="E1726" s="4" t="s">
        <v>121</v>
      </c>
      <c r="F1726" s="4" t="s">
        <v>54</v>
      </c>
      <c r="G1726" s="4" t="s">
        <v>6044</v>
      </c>
      <c r="H1726" s="4" t="s">
        <v>49</v>
      </c>
      <c r="I1726" s="4" t="s">
        <v>6005</v>
      </c>
      <c r="J1726" s="4" t="s">
        <v>121</v>
      </c>
      <c r="K1726" s="5" t="str">
        <f>HYPERLINK("https://dms.licdn.com/playlist/vid/v2/D4E05AQGz-rO1oWg7ZQ/mp4-720p-30fp-crf28/B4EZ.OXbZ0KoB4-/0/1784799941158?e=2147483647&amp;v=beta&amp;t=UrD2A3U5EVqZ6IpwPmbSFZu-ikVK8uBHF2MFFmv-lbo","View Creative")</f>
        <v>View Creative</v>
      </c>
      <c r="L1726" s="4" t="s">
        <v>106</v>
      </c>
      <c r="M1726" s="4" t="s">
        <v>5965</v>
      </c>
      <c r="O1726" s="4" t="s">
        <v>63</v>
      </c>
      <c r="P1726" s="4" t="s">
        <v>64</v>
      </c>
    </row>
    <row r="1727">
      <c r="A1727" s="4" t="s">
        <v>5965</v>
      </c>
      <c r="B1727" s="4" t="s">
        <v>5965</v>
      </c>
      <c r="C1727" s="4">
        <v>116.0</v>
      </c>
      <c r="D1727" s="5" t="str">
        <f>HYPERLINK("https://www.linkedin.com/ad-library/detail/1567310666","Open Ad")</f>
        <v>Open Ad</v>
      </c>
      <c r="E1727" s="4" t="s">
        <v>121</v>
      </c>
      <c r="F1727" s="4" t="s">
        <v>54</v>
      </c>
      <c r="G1727" s="4" t="s">
        <v>6059</v>
      </c>
      <c r="H1727" s="4" t="s">
        <v>49</v>
      </c>
      <c r="I1727" s="4" t="s">
        <v>6005</v>
      </c>
      <c r="J1727" s="4" t="s">
        <v>121</v>
      </c>
      <c r="K1727" s="5" t="str">
        <f>HYPERLINK("https://dms.licdn.com/playlist/vid/v2/D5610AQE-VfSgTRNyaw/mp4-360p-30fp-crf28/B56Z.uEO8SKEBg-/0/1785331783820?e=2147483647&amp;v=beta&amp;t=e9YZglcKCxI_lxTW8MHZKf8rDd_-EPTYRks5j3J7Xgg","View Creative")</f>
        <v>View Creative</v>
      </c>
      <c r="L1727" s="4" t="s">
        <v>106</v>
      </c>
      <c r="M1727" s="4" t="s">
        <v>5965</v>
      </c>
      <c r="O1727" s="4" t="s">
        <v>63</v>
      </c>
      <c r="P1727" s="4" t="s">
        <v>64</v>
      </c>
    </row>
    <row r="1728">
      <c r="A1728" s="4" t="s">
        <v>5965</v>
      </c>
      <c r="B1728" s="4" t="s">
        <v>5965</v>
      </c>
      <c r="C1728" s="4">
        <v>117.0</v>
      </c>
      <c r="D1728" s="5" t="str">
        <f>HYPERLINK("https://www.linkedin.com/ad-library/detail/1567220706","Open Ad")</f>
        <v>Open Ad</v>
      </c>
      <c r="E1728" s="4" t="s">
        <v>121</v>
      </c>
      <c r="F1728" s="4" t="s">
        <v>54</v>
      </c>
      <c r="G1728" s="4" t="s">
        <v>6064</v>
      </c>
      <c r="H1728" s="4" t="s">
        <v>49</v>
      </c>
      <c r="I1728" s="4" t="s">
        <v>6005</v>
      </c>
      <c r="J1728" s="4" t="s">
        <v>121</v>
      </c>
      <c r="K1728" s="5" t="str">
        <f t="shared" ref="K1728:K1729" si="17">HYPERLINK("https://dms.licdn.com/playlist/vid/v2/D5610AQHmpK6i5urdxw/mp4-640p-30fp-crf28/B56Z_9g3dnGcBI-/0/1786664686931?e=2147483647&amp;v=beta&amp;t=GCsbLwt4gnl3_O9GWS3zo0UqXqoJNExlwAjmUsNAqs8","View Creative")</f>
        <v>View Creative</v>
      </c>
      <c r="L1728" s="4" t="s">
        <v>106</v>
      </c>
      <c r="M1728" s="4" t="s">
        <v>5965</v>
      </c>
      <c r="O1728" s="4" t="s">
        <v>63</v>
      </c>
      <c r="P1728" s="4" t="s">
        <v>64</v>
      </c>
    </row>
    <row r="1729">
      <c r="A1729" s="4" t="s">
        <v>5965</v>
      </c>
      <c r="B1729" s="4" t="s">
        <v>5965</v>
      </c>
      <c r="C1729" s="4">
        <v>118.0</v>
      </c>
      <c r="D1729" s="5" t="str">
        <f>HYPERLINK("https://www.linkedin.com/ad-library/detail/1567320686","Open Ad")</f>
        <v>Open Ad</v>
      </c>
      <c r="E1729" s="4" t="s">
        <v>121</v>
      </c>
      <c r="F1729" s="4" t="s">
        <v>54</v>
      </c>
      <c r="G1729" s="4" t="s">
        <v>6064</v>
      </c>
      <c r="H1729" s="4" t="s">
        <v>49</v>
      </c>
      <c r="I1729" s="4" t="s">
        <v>6005</v>
      </c>
      <c r="J1729" s="4" t="s">
        <v>121</v>
      </c>
      <c r="K1729" s="5" t="str">
        <f t="shared" si="17"/>
        <v>View Creative</v>
      </c>
      <c r="L1729" s="4" t="s">
        <v>106</v>
      </c>
      <c r="M1729" s="4" t="s">
        <v>5965</v>
      </c>
      <c r="O1729" s="4" t="s">
        <v>63</v>
      </c>
      <c r="P1729" s="4" t="s">
        <v>64</v>
      </c>
    </row>
    <row r="1730">
      <c r="A1730" s="4" t="s">
        <v>5965</v>
      </c>
      <c r="B1730" s="4" t="s">
        <v>5965</v>
      </c>
      <c r="C1730" s="4">
        <v>119.0</v>
      </c>
      <c r="D1730" s="5" t="str">
        <f>HYPERLINK("https://www.linkedin.com/ad-library/detail/1567290606","Open Ad")</f>
        <v>Open Ad</v>
      </c>
      <c r="E1730" s="4" t="s">
        <v>121</v>
      </c>
      <c r="F1730" s="4" t="s">
        <v>54</v>
      </c>
      <c r="G1730" s="4" t="s">
        <v>6059</v>
      </c>
      <c r="H1730" s="4" t="s">
        <v>49</v>
      </c>
      <c r="I1730" s="4" t="s">
        <v>6005</v>
      </c>
      <c r="J1730" s="4" t="s">
        <v>121</v>
      </c>
      <c r="K1730" s="5" t="str">
        <f>HYPERLINK("https://dms.licdn.com/playlist/vid/v2/D5610AQE-VfSgTRNyaw/mp4-360p-30fp-crf28/B56Z.uEO8SKEBg-/0/1785331783820?e=2147483647&amp;v=beta&amp;t=e9YZglcKCxI_lxTW8MHZKf8rDd_-EPTYRks5j3J7Xgg","View Creative")</f>
        <v>View Creative</v>
      </c>
      <c r="L1730" s="4" t="s">
        <v>106</v>
      </c>
      <c r="M1730" s="4" t="s">
        <v>5965</v>
      </c>
      <c r="O1730" s="4" t="s">
        <v>63</v>
      </c>
      <c r="P1730" s="4" t="s">
        <v>64</v>
      </c>
    </row>
    <row r="1731">
      <c r="A1731" s="4" t="s">
        <v>5965</v>
      </c>
      <c r="B1731" s="4" t="s">
        <v>5965</v>
      </c>
      <c r="C1731" s="4">
        <v>120.0</v>
      </c>
      <c r="D1731" s="5" t="str">
        <f>HYPERLINK("https://www.linkedin.com/ad-library/detail/1567400536","Open Ad")</f>
        <v>Open Ad</v>
      </c>
      <c r="E1731" s="4" t="s">
        <v>121</v>
      </c>
      <c r="F1731" s="4" t="s">
        <v>54</v>
      </c>
      <c r="G1731" s="4" t="s">
        <v>6064</v>
      </c>
      <c r="H1731" s="4" t="s">
        <v>49</v>
      </c>
      <c r="I1731" s="4" t="s">
        <v>6005</v>
      </c>
      <c r="J1731" s="4" t="s">
        <v>121</v>
      </c>
      <c r="K1731" s="5" t="str">
        <f>HYPERLINK("https://dms.licdn.com/playlist/vid/v2/D5610AQHmpK6i5urdxw/mp4-640p-30fp-crf28/B56Z_9g3dnGcBI-/0/1786664686931?e=2147483647&amp;v=beta&amp;t=GCsbLwt4gnl3_O9GWS3zo0UqXqoJNExlwAjmUsNAqs8","View Creative")</f>
        <v>View Creative</v>
      </c>
      <c r="L1731" s="4" t="s">
        <v>106</v>
      </c>
      <c r="M1731" s="4" t="s">
        <v>5965</v>
      </c>
      <c r="O1731" s="4" t="s">
        <v>63</v>
      </c>
      <c r="P1731" s="4" t="s">
        <v>64</v>
      </c>
    </row>
    <row r="1732">
      <c r="A1732" s="4" t="s">
        <v>5965</v>
      </c>
      <c r="B1732" s="4" t="s">
        <v>5965</v>
      </c>
      <c r="C1732" s="4">
        <v>121.0</v>
      </c>
      <c r="D1732" s="5" t="str">
        <f>HYPERLINK("https://www.linkedin.com/ad-library/detail/1565694186","Open Ad")</f>
        <v>Open Ad</v>
      </c>
      <c r="E1732" s="4" t="s">
        <v>5970</v>
      </c>
      <c r="F1732" s="4" t="s">
        <v>54</v>
      </c>
      <c r="G1732" s="4" t="s">
        <v>5984</v>
      </c>
      <c r="H1732" s="4" t="s">
        <v>49</v>
      </c>
      <c r="I1732" s="4" t="s">
        <v>6005</v>
      </c>
      <c r="J1732" s="4" t="s">
        <v>5973</v>
      </c>
      <c r="K1732" s="4" t="s">
        <v>59</v>
      </c>
      <c r="L1732" s="4" t="s">
        <v>106</v>
      </c>
      <c r="M1732" s="4" t="s">
        <v>5965</v>
      </c>
      <c r="O1732" s="4" t="s">
        <v>63</v>
      </c>
      <c r="P1732" s="4" t="s">
        <v>64</v>
      </c>
    </row>
    <row r="1733">
      <c r="A1733" s="4" t="s">
        <v>5965</v>
      </c>
      <c r="B1733" s="4" t="s">
        <v>5965</v>
      </c>
      <c r="C1733" s="4">
        <v>122.0</v>
      </c>
      <c r="D1733" s="5" t="str">
        <f>HYPERLINK("https://www.linkedin.com/ad-library/detail/1565589686","Open Ad")</f>
        <v>Open Ad</v>
      </c>
      <c r="E1733" s="4" t="s">
        <v>78</v>
      </c>
      <c r="F1733" s="4" t="s">
        <v>54</v>
      </c>
      <c r="G1733" s="4" t="s">
        <v>6067</v>
      </c>
      <c r="H1733" s="4" t="s">
        <v>49</v>
      </c>
      <c r="I1733" s="4" t="s">
        <v>6005</v>
      </c>
      <c r="J1733" s="4" t="s">
        <v>78</v>
      </c>
      <c r="K1733" s="5" t="str">
        <f>HYPERLINK("https://media.licdn.com/dms/image/v2/D5610AQEhWScG0zSsQQ/image-shrink_1280/B56Z.ALhD2HIAc-/0/1784561931707?e=2147483647&amp;v=beta&amp;t=CNNXfqX_x8NHdQnVcD2yPE1JO0w4ekTKwdMaxJHCKn4","View Creative")</f>
        <v>View Creative</v>
      </c>
      <c r="L1733" s="4" t="s">
        <v>106</v>
      </c>
      <c r="M1733" s="4" t="s">
        <v>5965</v>
      </c>
      <c r="O1733" s="4" t="s">
        <v>63</v>
      </c>
      <c r="P1733" s="4" t="s">
        <v>64</v>
      </c>
    </row>
    <row r="1734">
      <c r="A1734" s="4" t="s">
        <v>5965</v>
      </c>
      <c r="B1734" s="4" t="s">
        <v>5965</v>
      </c>
      <c r="C1734" s="4">
        <v>123.0</v>
      </c>
      <c r="D1734" s="5" t="str">
        <f>HYPERLINK("https://www.linkedin.com/ad-library/detail/1567349936","Open Ad")</f>
        <v>Open Ad</v>
      </c>
      <c r="E1734" s="4" t="s">
        <v>5970</v>
      </c>
      <c r="F1734" s="4" t="s">
        <v>54</v>
      </c>
      <c r="G1734" s="4" t="s">
        <v>5971</v>
      </c>
      <c r="H1734" s="4" t="s">
        <v>49</v>
      </c>
      <c r="I1734" s="4" t="s">
        <v>6005</v>
      </c>
      <c r="J1734" s="4" t="s">
        <v>5973</v>
      </c>
      <c r="K1734" s="4" t="s">
        <v>59</v>
      </c>
      <c r="L1734" s="4" t="s">
        <v>106</v>
      </c>
      <c r="M1734" s="4" t="s">
        <v>5965</v>
      </c>
      <c r="O1734" s="4" t="s">
        <v>63</v>
      </c>
      <c r="P1734" s="4" t="s">
        <v>64</v>
      </c>
    </row>
    <row r="1735">
      <c r="A1735" s="4" t="s">
        <v>5965</v>
      </c>
      <c r="B1735" s="4" t="s">
        <v>5965</v>
      </c>
      <c r="C1735" s="4">
        <v>124.0</v>
      </c>
      <c r="D1735" s="5" t="str">
        <f>HYPERLINK("https://www.linkedin.com/ad-library/detail/1565701586","Open Ad")</f>
        <v>Open Ad</v>
      </c>
      <c r="E1735" s="4" t="s">
        <v>78</v>
      </c>
      <c r="F1735" s="4" t="s">
        <v>54</v>
      </c>
      <c r="G1735" s="4" t="s">
        <v>6069</v>
      </c>
      <c r="H1735" s="4" t="s">
        <v>49</v>
      </c>
      <c r="I1735" s="4" t="s">
        <v>6005</v>
      </c>
      <c r="J1735" s="4" t="s">
        <v>78</v>
      </c>
      <c r="K1735" s="5" t="str">
        <f>HYPERLINK("https://media.licdn.com/dms/image/v2/D4E10AQEqECWLz8eLfg/image-shrink_1280/B4EZ3UsZ.CGkAc-/0/1777389904287?e=2147483647&amp;v=beta&amp;t=0Mbfqk_hLfichGIBXrMjoO2DeoHez5SeK866pI13xWU","View Creative")</f>
        <v>View Creative</v>
      </c>
      <c r="L1735" s="4" t="s">
        <v>106</v>
      </c>
      <c r="M1735" s="4" t="s">
        <v>5965</v>
      </c>
      <c r="O1735" s="4" t="s">
        <v>63</v>
      </c>
      <c r="P1735" s="4" t="s">
        <v>64</v>
      </c>
    </row>
    <row r="1736">
      <c r="A1736" s="4" t="s">
        <v>5965</v>
      </c>
      <c r="B1736" s="4" t="s">
        <v>5965</v>
      </c>
      <c r="C1736" s="4">
        <v>125.0</v>
      </c>
      <c r="D1736" s="5" t="str">
        <f>HYPERLINK("https://www.linkedin.com/ad-library/detail/1567280736","Open Ad")</f>
        <v>Open Ad</v>
      </c>
      <c r="E1736" s="4" t="s">
        <v>121</v>
      </c>
      <c r="F1736" s="4" t="s">
        <v>54</v>
      </c>
      <c r="G1736" s="4" t="s">
        <v>6049</v>
      </c>
      <c r="H1736" s="4" t="s">
        <v>49</v>
      </c>
      <c r="I1736" s="4" t="s">
        <v>6005</v>
      </c>
      <c r="J1736" s="4" t="s">
        <v>121</v>
      </c>
      <c r="K1736" s="5" t="str">
        <f>HYPERLINK("https://dms.licdn.com/playlist/vid/v2/D5610AQHCJpD_4X3r0w/mp4-360p-30fp-crf28/B56Z8jGxPuG0Bg-/0/1783000416146?e=2147483647&amp;v=beta&amp;t=buNqytXIKQbDSPmN-gF0MjkJ-TiOGUHb02s8kF2cYZo","View Creative")</f>
        <v>View Creative</v>
      </c>
      <c r="L1736" s="4" t="s">
        <v>106</v>
      </c>
      <c r="M1736" s="4" t="s">
        <v>5965</v>
      </c>
      <c r="O1736" s="4" t="s">
        <v>63</v>
      </c>
      <c r="P1736" s="4" t="s">
        <v>64</v>
      </c>
    </row>
    <row r="1737">
      <c r="A1737" s="4" t="s">
        <v>5965</v>
      </c>
      <c r="B1737" s="4" t="s">
        <v>5965</v>
      </c>
      <c r="C1737" s="4">
        <v>126.0</v>
      </c>
      <c r="D1737" s="5" t="str">
        <f>HYPERLINK("https://www.linkedin.com/ad-library/detail/1567229966","Open Ad")</f>
        <v>Open Ad</v>
      </c>
      <c r="E1737" s="4" t="s">
        <v>5970</v>
      </c>
      <c r="F1737" s="4" t="s">
        <v>54</v>
      </c>
      <c r="G1737" s="4" t="s">
        <v>5971</v>
      </c>
      <c r="H1737" s="4" t="s">
        <v>49</v>
      </c>
      <c r="I1737" s="4" t="s">
        <v>6005</v>
      </c>
      <c r="J1737" s="4" t="s">
        <v>5973</v>
      </c>
      <c r="K1737" s="4" t="s">
        <v>59</v>
      </c>
      <c r="L1737" s="4" t="s">
        <v>106</v>
      </c>
      <c r="M1737" s="4" t="s">
        <v>5965</v>
      </c>
      <c r="O1737" s="4" t="s">
        <v>63</v>
      </c>
      <c r="P1737" s="4" t="s">
        <v>64</v>
      </c>
    </row>
    <row r="1738">
      <c r="A1738" s="4" t="s">
        <v>5965</v>
      </c>
      <c r="B1738" s="4" t="s">
        <v>5965</v>
      </c>
      <c r="C1738" s="4">
        <v>127.0</v>
      </c>
      <c r="D1738" s="5" t="str">
        <f>HYPERLINK("https://www.linkedin.com/ad-library/detail/1565599606","Open Ad")</f>
        <v>Open Ad</v>
      </c>
      <c r="E1738" s="4" t="s">
        <v>78</v>
      </c>
      <c r="F1738" s="4" t="s">
        <v>54</v>
      </c>
      <c r="G1738" s="4" t="s">
        <v>6072</v>
      </c>
      <c r="H1738" s="4" t="s">
        <v>49</v>
      </c>
      <c r="I1738" s="4" t="s">
        <v>6005</v>
      </c>
      <c r="J1738" s="4" t="s">
        <v>78</v>
      </c>
      <c r="K1738" s="5" t="str">
        <f>HYPERLINK("https://media.licdn.com/dms/image/v2/D5610AQH9yR_0PpAJoA/image-shrink_1280/B56aAgJIn4IEAc-/0/1787245661628?e=2147483647&amp;v=beta&amp;t=CqF8X07CERAPO8E_2YzsJgMx-mHFmKjIn82EdcCqZEE","View Creative")</f>
        <v>View Creative</v>
      </c>
      <c r="L1738" s="4" t="s">
        <v>106</v>
      </c>
      <c r="M1738" s="4" t="s">
        <v>5965</v>
      </c>
      <c r="O1738" s="4" t="s">
        <v>63</v>
      </c>
      <c r="P1738" s="4" t="s">
        <v>64</v>
      </c>
    </row>
    <row r="1739">
      <c r="A1739" s="4" t="s">
        <v>5965</v>
      </c>
      <c r="B1739" s="4" t="s">
        <v>5965</v>
      </c>
      <c r="C1739" s="4">
        <v>128.0</v>
      </c>
      <c r="D1739" s="5" t="str">
        <f>HYPERLINK("https://www.linkedin.com/ad-library/detail/1565890806","Open Ad")</f>
        <v>Open Ad</v>
      </c>
      <c r="E1739" s="4" t="s">
        <v>5970</v>
      </c>
      <c r="F1739" s="4" t="s">
        <v>54</v>
      </c>
      <c r="G1739" s="4" t="s">
        <v>5971</v>
      </c>
      <c r="H1739" s="4" t="s">
        <v>49</v>
      </c>
      <c r="I1739" s="4" t="s">
        <v>6005</v>
      </c>
      <c r="J1739" s="4" t="s">
        <v>5973</v>
      </c>
      <c r="K1739" s="4" t="s">
        <v>59</v>
      </c>
      <c r="L1739" s="4" t="s">
        <v>106</v>
      </c>
      <c r="M1739" s="4" t="s">
        <v>5965</v>
      </c>
      <c r="O1739" s="4" t="s">
        <v>63</v>
      </c>
      <c r="P1739" s="4" t="s">
        <v>64</v>
      </c>
    </row>
    <row r="1740">
      <c r="A1740" s="4" t="s">
        <v>5965</v>
      </c>
      <c r="B1740" s="4" t="s">
        <v>5965</v>
      </c>
      <c r="C1740" s="4">
        <v>129.0</v>
      </c>
      <c r="D1740" s="5" t="str">
        <f>HYPERLINK("https://www.linkedin.com/ad-library/detail/1565669206","Open Ad")</f>
        <v>Open Ad</v>
      </c>
      <c r="E1740" s="4" t="s">
        <v>78</v>
      </c>
      <c r="F1740" s="4" t="s">
        <v>54</v>
      </c>
      <c r="G1740" s="4" t="s">
        <v>6074</v>
      </c>
      <c r="H1740" s="4" t="s">
        <v>49</v>
      </c>
      <c r="I1740" s="4" t="s">
        <v>6005</v>
      </c>
      <c r="J1740" s="4" t="s">
        <v>78</v>
      </c>
      <c r="K1740" s="5" t="str">
        <f>HYPERLINK("https://media.licdn.com/dms/image/v2/D5622AQFeGh0Nti2Zmg/feedshare-shrink_1280/B56Z_IaUYgG0AQ-/0/1785773771225?e=2147483647&amp;v=beta&amp;t=LA0qAFOep-ii8fvQ1v2ki8IWWzEuY5pobqw62N817LM","View Creative")</f>
        <v>View Creative</v>
      </c>
      <c r="L1740" s="4" t="s">
        <v>106</v>
      </c>
      <c r="M1740" s="4" t="s">
        <v>5965</v>
      </c>
      <c r="O1740" s="4" t="s">
        <v>63</v>
      </c>
      <c r="P1740" s="4" t="s">
        <v>64</v>
      </c>
    </row>
    <row r="1741">
      <c r="A1741" s="4" t="s">
        <v>5965</v>
      </c>
      <c r="B1741" s="4" t="s">
        <v>5965</v>
      </c>
      <c r="C1741" s="4">
        <v>130.0</v>
      </c>
      <c r="D1741" s="5" t="str">
        <f>HYPERLINK("https://www.linkedin.com/ad-library/detail/1567200456","Open Ad")</f>
        <v>Open Ad</v>
      </c>
      <c r="E1741" s="4" t="s">
        <v>5970</v>
      </c>
      <c r="F1741" s="4" t="s">
        <v>54</v>
      </c>
      <c r="G1741" s="4" t="s">
        <v>5971</v>
      </c>
      <c r="H1741" s="4" t="s">
        <v>49</v>
      </c>
      <c r="I1741" s="4" t="s">
        <v>6005</v>
      </c>
      <c r="J1741" s="4" t="s">
        <v>5973</v>
      </c>
      <c r="K1741" s="4" t="s">
        <v>59</v>
      </c>
      <c r="L1741" s="4" t="s">
        <v>106</v>
      </c>
      <c r="M1741" s="4" t="s">
        <v>5965</v>
      </c>
      <c r="O1741" s="4" t="s">
        <v>63</v>
      </c>
      <c r="P1741" s="4" t="s">
        <v>64</v>
      </c>
    </row>
    <row r="1742">
      <c r="A1742" s="4" t="s">
        <v>5965</v>
      </c>
      <c r="B1742" s="4" t="s">
        <v>5965</v>
      </c>
      <c r="C1742" s="4">
        <v>131.0</v>
      </c>
      <c r="D1742" s="5" t="str">
        <f>HYPERLINK("https://www.linkedin.com/ad-library/detail/1567359966","Open Ad")</f>
        <v>Open Ad</v>
      </c>
      <c r="E1742" s="4" t="s">
        <v>5970</v>
      </c>
      <c r="F1742" s="4" t="s">
        <v>54</v>
      </c>
      <c r="G1742" s="4" t="s">
        <v>5984</v>
      </c>
      <c r="H1742" s="4" t="s">
        <v>49</v>
      </c>
      <c r="I1742" s="4" t="s">
        <v>6005</v>
      </c>
      <c r="J1742" s="4" t="s">
        <v>5973</v>
      </c>
      <c r="K1742" s="4" t="s">
        <v>59</v>
      </c>
      <c r="L1742" s="4" t="s">
        <v>106</v>
      </c>
      <c r="M1742" s="4" t="s">
        <v>5965</v>
      </c>
      <c r="O1742" s="4" t="s">
        <v>63</v>
      </c>
      <c r="P1742" s="4" t="s">
        <v>64</v>
      </c>
    </row>
    <row r="1743">
      <c r="A1743" s="4" t="s">
        <v>5965</v>
      </c>
      <c r="B1743" s="4" t="s">
        <v>5965</v>
      </c>
      <c r="C1743" s="4">
        <v>132.0</v>
      </c>
      <c r="D1743" s="5" t="str">
        <f>HYPERLINK("https://www.linkedin.com/ad-library/detail/1565629756","Open Ad")</f>
        <v>Open Ad</v>
      </c>
      <c r="E1743" s="4" t="s">
        <v>78</v>
      </c>
      <c r="F1743" s="4" t="s">
        <v>54</v>
      </c>
      <c r="G1743" s="4" t="s">
        <v>6076</v>
      </c>
      <c r="H1743" s="4" t="s">
        <v>49</v>
      </c>
      <c r="I1743" s="4" t="s">
        <v>6005</v>
      </c>
      <c r="J1743" s="4" t="s">
        <v>78</v>
      </c>
      <c r="K1743" s="5" t="str">
        <f>HYPERLINK("https://media.licdn.com/dms/image/v2/D5610AQFapQuTs5RyQg/image-shrink_1280/B56Z9h_6UCGcAg-/0/1784055572538?e=2147483647&amp;v=beta&amp;t=Kv2jNpyAeREV8VRiJojr6bkYk7Ofuq0wj6IaFzQHYEU","View Creative")</f>
        <v>View Creative</v>
      </c>
      <c r="L1743" s="4" t="s">
        <v>106</v>
      </c>
      <c r="M1743" s="4" t="s">
        <v>5965</v>
      </c>
      <c r="O1743" s="4" t="s">
        <v>63</v>
      </c>
      <c r="P1743" s="4" t="s">
        <v>64</v>
      </c>
    </row>
    <row r="1744">
      <c r="A1744" s="4" t="s">
        <v>5965</v>
      </c>
      <c r="B1744" s="4" t="s">
        <v>5965</v>
      </c>
      <c r="C1744" s="4">
        <v>133.0</v>
      </c>
      <c r="D1744" s="5" t="str">
        <f>HYPERLINK("https://www.linkedin.com/ad-library/detail/1565792226","Open Ad")</f>
        <v>Open Ad</v>
      </c>
      <c r="E1744" s="4" t="s">
        <v>5970</v>
      </c>
      <c r="F1744" s="4" t="s">
        <v>54</v>
      </c>
      <c r="G1744" s="4" t="s">
        <v>5984</v>
      </c>
      <c r="H1744" s="4" t="s">
        <v>49</v>
      </c>
      <c r="I1744" s="4" t="s">
        <v>6005</v>
      </c>
      <c r="J1744" s="4" t="s">
        <v>5973</v>
      </c>
      <c r="K1744" s="4" t="s">
        <v>59</v>
      </c>
      <c r="L1744" s="4" t="s">
        <v>106</v>
      </c>
      <c r="M1744" s="4" t="s">
        <v>5965</v>
      </c>
      <c r="O1744" s="4" t="s">
        <v>63</v>
      </c>
      <c r="P1744" s="4" t="s">
        <v>64</v>
      </c>
    </row>
    <row r="1745">
      <c r="A1745" s="4" t="s">
        <v>5965</v>
      </c>
      <c r="B1745" s="4" t="s">
        <v>5965</v>
      </c>
      <c r="C1745" s="4">
        <v>134.0</v>
      </c>
      <c r="D1745" s="5" t="str">
        <f>HYPERLINK("https://www.linkedin.com/ad-library/detail/1565731176","Open Ad")</f>
        <v>Open Ad</v>
      </c>
      <c r="E1745" s="4" t="s">
        <v>78</v>
      </c>
      <c r="F1745" s="4" t="s">
        <v>54</v>
      </c>
      <c r="G1745" s="4" t="s">
        <v>6078</v>
      </c>
      <c r="H1745" s="4" t="s">
        <v>49</v>
      </c>
      <c r="I1745" s="4" t="s">
        <v>6005</v>
      </c>
      <c r="J1745" s="4" t="s">
        <v>78</v>
      </c>
      <c r="K1745" s="5" t="str">
        <f>HYPERLINK("https://media.licdn.com/dms/image/v2/D5610AQG6ROzWPETGmA/image-shrink_1280/B56Z9dR6t1KEAg-/0/1783976406842?e=2147483647&amp;v=beta&amp;t=ubEWJ1uNOIKQkdyOqmhR2qOxm2aAjGOzZhSszx4lxv4","View Creative")</f>
        <v>View Creative</v>
      </c>
      <c r="L1745" s="4" t="s">
        <v>106</v>
      </c>
      <c r="M1745" s="4" t="s">
        <v>5965</v>
      </c>
      <c r="O1745" s="4" t="s">
        <v>63</v>
      </c>
      <c r="P1745" s="4" t="s">
        <v>64</v>
      </c>
    </row>
    <row r="1746">
      <c r="A1746" s="4" t="s">
        <v>5965</v>
      </c>
      <c r="B1746" s="4" t="s">
        <v>5965</v>
      </c>
      <c r="C1746" s="4">
        <v>135.0</v>
      </c>
      <c r="D1746" s="5" t="str">
        <f>HYPERLINK("https://www.linkedin.com/ad-library/detail/1567189946","Open Ad")</f>
        <v>Open Ad</v>
      </c>
      <c r="E1746" s="4" t="s">
        <v>5970</v>
      </c>
      <c r="F1746" s="4" t="s">
        <v>54</v>
      </c>
      <c r="G1746" s="4" t="s">
        <v>5984</v>
      </c>
      <c r="H1746" s="4" t="s">
        <v>49</v>
      </c>
      <c r="I1746" s="4" t="s">
        <v>6005</v>
      </c>
      <c r="J1746" s="4" t="s">
        <v>5973</v>
      </c>
      <c r="K1746" s="4" t="s">
        <v>59</v>
      </c>
      <c r="L1746" s="4" t="s">
        <v>106</v>
      </c>
      <c r="M1746" s="4" t="s">
        <v>5965</v>
      </c>
      <c r="O1746" s="4" t="s">
        <v>63</v>
      </c>
      <c r="P1746" s="4" t="s">
        <v>64</v>
      </c>
    </row>
    <row r="1747">
      <c r="A1747" s="4" t="s">
        <v>5965</v>
      </c>
      <c r="B1747" s="4" t="s">
        <v>5965</v>
      </c>
      <c r="C1747" s="4">
        <v>136.0</v>
      </c>
      <c r="D1747" s="5" t="str">
        <f>HYPERLINK("https://www.linkedin.com/ad-library/detail/1567329926","Open Ad")</f>
        <v>Open Ad</v>
      </c>
      <c r="E1747" s="4" t="s">
        <v>5970</v>
      </c>
      <c r="F1747" s="4" t="s">
        <v>54</v>
      </c>
      <c r="G1747" s="4" t="s">
        <v>5980</v>
      </c>
      <c r="H1747" s="4" t="s">
        <v>49</v>
      </c>
      <c r="I1747" s="4" t="s">
        <v>6005</v>
      </c>
      <c r="J1747" s="4" t="s">
        <v>5973</v>
      </c>
      <c r="K1747" s="4" t="s">
        <v>59</v>
      </c>
      <c r="L1747" s="4" t="s">
        <v>106</v>
      </c>
      <c r="M1747" s="4" t="s">
        <v>5965</v>
      </c>
      <c r="O1747" s="4" t="s">
        <v>63</v>
      </c>
      <c r="P1747" s="4" t="s">
        <v>64</v>
      </c>
    </row>
    <row r="1748">
      <c r="A1748" s="4" t="s">
        <v>5965</v>
      </c>
      <c r="B1748" s="4" t="s">
        <v>5965</v>
      </c>
      <c r="C1748" s="4">
        <v>137.0</v>
      </c>
      <c r="D1748" s="5" t="str">
        <f>HYPERLINK("https://www.linkedin.com/ad-library/detail/1565721336","Open Ad")</f>
        <v>Open Ad</v>
      </c>
      <c r="E1748" s="4" t="s">
        <v>78</v>
      </c>
      <c r="F1748" s="4" t="s">
        <v>54</v>
      </c>
      <c r="G1748" s="4" t="s">
        <v>6080</v>
      </c>
      <c r="H1748" s="4" t="s">
        <v>49</v>
      </c>
      <c r="I1748" s="4" t="s">
        <v>6005</v>
      </c>
      <c r="J1748" s="4" t="s">
        <v>78</v>
      </c>
      <c r="K1748" s="5" t="str">
        <f>HYPERLINK("https://media.licdn.com/dms/image/v2/D4E10AQGYRIIgGEIVqw/image-shrink_1280/B4EaAblpr_KYAc-/0/1787169250739?e=2147483647&amp;v=beta&amp;t=FODyphvpfuavIWLNs3GuJKg5XejBb-dZCddnzPP4D1A","View Creative")</f>
        <v>View Creative</v>
      </c>
      <c r="L1748" s="4" t="s">
        <v>106</v>
      </c>
      <c r="M1748" s="4" t="s">
        <v>5965</v>
      </c>
      <c r="O1748" s="4" t="s">
        <v>63</v>
      </c>
      <c r="P1748" s="4" t="s">
        <v>64</v>
      </c>
    </row>
    <row r="1749">
      <c r="A1749" s="4" t="s">
        <v>5965</v>
      </c>
      <c r="B1749" s="4" t="s">
        <v>5965</v>
      </c>
      <c r="C1749" s="4">
        <v>138.0</v>
      </c>
      <c r="D1749" s="5" t="str">
        <f>HYPERLINK("https://www.linkedin.com/ad-library/detail/1567300786","Open Ad")</f>
        <v>Open Ad</v>
      </c>
      <c r="E1749" s="4" t="s">
        <v>121</v>
      </c>
      <c r="F1749" s="4" t="s">
        <v>54</v>
      </c>
      <c r="G1749" s="4" t="s">
        <v>6055</v>
      </c>
      <c r="H1749" s="4" t="s">
        <v>49</v>
      </c>
      <c r="I1749" s="4" t="s">
        <v>6005</v>
      </c>
      <c r="J1749" s="4" t="s">
        <v>121</v>
      </c>
      <c r="K1749" s="5" t="str">
        <f>HYPERLINK("https://dms.licdn.com/playlist/vid/v2/D5610AQEgZSN1R6lkQg/mp4-360p-30fp-crf28/B56Z.pe6eZJoBg-/0/1785254888120?e=2147483647&amp;v=beta&amp;t=5h1R6KvMhc0CxepDbbh4l98qEndRxnaP-BM6oZz1ryY","View Creative")</f>
        <v>View Creative</v>
      </c>
      <c r="L1749" s="4" t="s">
        <v>106</v>
      </c>
      <c r="M1749" s="4" t="s">
        <v>5965</v>
      </c>
      <c r="O1749" s="4" t="s">
        <v>63</v>
      </c>
      <c r="P1749" s="4" t="s">
        <v>64</v>
      </c>
    </row>
    <row r="1750">
      <c r="A1750" s="4" t="s">
        <v>5965</v>
      </c>
      <c r="B1750" s="4" t="s">
        <v>5965</v>
      </c>
      <c r="C1750" s="4">
        <v>139.0</v>
      </c>
      <c r="D1750" s="5" t="str">
        <f>HYPERLINK("https://www.linkedin.com/ad-library/detail/1567309956","Open Ad")</f>
        <v>Open Ad</v>
      </c>
      <c r="E1750" s="4" t="s">
        <v>5970</v>
      </c>
      <c r="F1750" s="4" t="s">
        <v>54</v>
      </c>
      <c r="G1750" s="4" t="s">
        <v>5984</v>
      </c>
      <c r="H1750" s="4" t="s">
        <v>49</v>
      </c>
      <c r="I1750" s="4" t="s">
        <v>6005</v>
      </c>
      <c r="J1750" s="4" t="s">
        <v>5973</v>
      </c>
      <c r="K1750" s="4" t="s">
        <v>59</v>
      </c>
      <c r="L1750" s="4" t="s">
        <v>106</v>
      </c>
      <c r="M1750" s="4" t="s">
        <v>5965</v>
      </c>
      <c r="O1750" s="4" t="s">
        <v>63</v>
      </c>
      <c r="P1750" s="4" t="s">
        <v>64</v>
      </c>
    </row>
    <row r="1751">
      <c r="A1751" s="4" t="s">
        <v>5965</v>
      </c>
      <c r="B1751" s="4" t="s">
        <v>5965</v>
      </c>
      <c r="C1751" s="4">
        <v>140.0</v>
      </c>
      <c r="D1751" s="5" t="str">
        <f>HYPERLINK("https://www.linkedin.com/ad-library/detail/1567279946","Open Ad")</f>
        <v>Open Ad</v>
      </c>
      <c r="E1751" s="4" t="s">
        <v>5970</v>
      </c>
      <c r="F1751" s="4" t="s">
        <v>54</v>
      </c>
      <c r="G1751" s="4" t="s">
        <v>5980</v>
      </c>
      <c r="H1751" s="4" t="s">
        <v>49</v>
      </c>
      <c r="I1751" s="4" t="s">
        <v>6005</v>
      </c>
      <c r="J1751" s="4" t="s">
        <v>5973</v>
      </c>
      <c r="K1751" s="4" t="s">
        <v>59</v>
      </c>
      <c r="L1751" s="4" t="s">
        <v>106</v>
      </c>
      <c r="M1751" s="4" t="s">
        <v>5965</v>
      </c>
      <c r="O1751" s="4" t="s">
        <v>63</v>
      </c>
      <c r="P1751" s="4" t="s">
        <v>64</v>
      </c>
    </row>
    <row r="1752">
      <c r="A1752" s="4" t="s">
        <v>5965</v>
      </c>
      <c r="B1752" s="4" t="s">
        <v>5965</v>
      </c>
      <c r="C1752" s="4">
        <v>141.0</v>
      </c>
      <c r="D1752" s="5" t="str">
        <f>HYPERLINK("https://www.linkedin.com/ad-library/detail/1565762346","Open Ad")</f>
        <v>Open Ad</v>
      </c>
      <c r="E1752" s="4" t="s">
        <v>5970</v>
      </c>
      <c r="F1752" s="4" t="s">
        <v>54</v>
      </c>
      <c r="G1752" s="4" t="s">
        <v>5984</v>
      </c>
      <c r="H1752" s="4" t="s">
        <v>49</v>
      </c>
      <c r="I1752" s="4" t="s">
        <v>6005</v>
      </c>
      <c r="J1752" s="4" t="s">
        <v>5973</v>
      </c>
      <c r="K1752" s="4" t="s">
        <v>59</v>
      </c>
      <c r="L1752" s="4" t="s">
        <v>106</v>
      </c>
      <c r="M1752" s="4" t="s">
        <v>5965</v>
      </c>
      <c r="O1752" s="4" t="s">
        <v>63</v>
      </c>
      <c r="P1752" s="4" t="s">
        <v>64</v>
      </c>
    </row>
    <row r="1753">
      <c r="A1753" s="4" t="s">
        <v>5965</v>
      </c>
      <c r="B1753" s="4" t="s">
        <v>5965</v>
      </c>
      <c r="C1753" s="4">
        <v>142.0</v>
      </c>
      <c r="D1753" s="5" t="str">
        <f>HYPERLINK("https://www.linkedin.com/ad-library/detail/1567409916","Open Ad")</f>
        <v>Open Ad</v>
      </c>
      <c r="E1753" s="4" t="s">
        <v>5970</v>
      </c>
      <c r="F1753" s="4" t="s">
        <v>54</v>
      </c>
      <c r="G1753" s="4" t="s">
        <v>5980</v>
      </c>
      <c r="H1753" s="4" t="s">
        <v>49</v>
      </c>
      <c r="I1753" s="4" t="s">
        <v>6005</v>
      </c>
      <c r="J1753" s="4" t="s">
        <v>5973</v>
      </c>
      <c r="K1753" s="4" t="s">
        <v>59</v>
      </c>
      <c r="L1753" s="4" t="s">
        <v>106</v>
      </c>
      <c r="M1753" s="4" t="s">
        <v>5965</v>
      </c>
      <c r="O1753" s="4" t="s">
        <v>63</v>
      </c>
      <c r="P1753" s="4" t="s">
        <v>64</v>
      </c>
    </row>
    <row r="1754">
      <c r="A1754" s="4" t="s">
        <v>5965</v>
      </c>
      <c r="B1754" s="4" t="s">
        <v>5965</v>
      </c>
      <c r="C1754" s="4">
        <v>143.0</v>
      </c>
      <c r="D1754" s="5" t="str">
        <f>HYPERLINK("https://www.linkedin.com/ad-library/detail/1565821626","Open Ad")</f>
        <v>Open Ad</v>
      </c>
      <c r="E1754" s="4" t="s">
        <v>5970</v>
      </c>
      <c r="F1754" s="4" t="s">
        <v>54</v>
      </c>
      <c r="G1754" s="4" t="s">
        <v>5971</v>
      </c>
      <c r="H1754" s="4" t="s">
        <v>49</v>
      </c>
      <c r="I1754" s="4" t="s">
        <v>6005</v>
      </c>
      <c r="J1754" s="4" t="s">
        <v>5973</v>
      </c>
      <c r="K1754" s="4" t="s">
        <v>59</v>
      </c>
      <c r="L1754" s="4" t="s">
        <v>106</v>
      </c>
      <c r="M1754" s="4" t="s">
        <v>5965</v>
      </c>
      <c r="O1754" s="4" t="s">
        <v>63</v>
      </c>
      <c r="P1754" s="4" t="s">
        <v>64</v>
      </c>
    </row>
    <row r="1755">
      <c r="A1755" s="4" t="s">
        <v>5965</v>
      </c>
      <c r="B1755" s="4" t="s">
        <v>5965</v>
      </c>
      <c r="C1755" s="4">
        <v>144.0</v>
      </c>
      <c r="D1755" s="5" t="str">
        <f>HYPERLINK("https://www.linkedin.com/ad-library/detail/1565800226","Open Ad")</f>
        <v>Open Ad</v>
      </c>
      <c r="E1755" s="4" t="s">
        <v>78</v>
      </c>
      <c r="F1755" s="4" t="s">
        <v>54</v>
      </c>
      <c r="G1755" s="4" t="s">
        <v>6084</v>
      </c>
      <c r="H1755" s="4" t="s">
        <v>49</v>
      </c>
      <c r="I1755" s="4" t="s">
        <v>6005</v>
      </c>
      <c r="J1755" s="4" t="s">
        <v>78</v>
      </c>
      <c r="K1755" s="5" t="str">
        <f>HYPERLINK("https://media.licdn.com/dms/image/v2/D4E10AQGg8MhwP8BRyA/image-shrink_1280/B4EZ_9nWa6J4Ag-/0/1786666379554?e=2147483647&amp;v=beta&amp;t=2vJTPrPN5M2twXSE6ZgOtUIcDY5-l6ctOHpGERmK348","View Creative")</f>
        <v>View Creative</v>
      </c>
      <c r="L1755" s="4" t="s">
        <v>106</v>
      </c>
      <c r="M1755" s="4" t="s">
        <v>5965</v>
      </c>
      <c r="O1755" s="4" t="s">
        <v>63</v>
      </c>
      <c r="P1755" s="4" t="s">
        <v>64</v>
      </c>
    </row>
    <row r="1756">
      <c r="A1756" s="4" t="s">
        <v>5965</v>
      </c>
      <c r="B1756" s="4" t="s">
        <v>5965</v>
      </c>
      <c r="C1756" s="4">
        <v>145.0</v>
      </c>
      <c r="D1756" s="5" t="str">
        <f>HYPERLINK("https://www.linkedin.com/ad-library/detail/1565589216","Open Ad")</f>
        <v>Open Ad</v>
      </c>
      <c r="E1756" s="4" t="s">
        <v>78</v>
      </c>
      <c r="F1756" s="4" t="s">
        <v>54</v>
      </c>
      <c r="G1756" s="4" t="s">
        <v>6086</v>
      </c>
      <c r="H1756" s="4" t="s">
        <v>49</v>
      </c>
      <c r="I1756" s="4" t="s">
        <v>6005</v>
      </c>
      <c r="J1756" s="4" t="s">
        <v>78</v>
      </c>
      <c r="K1756" s="5" t="str">
        <f>HYPERLINK("https://media.licdn.com/dms/image/v2/D5610AQF5ONUziLB90Q/image-shrink_1280/B56Z8YuROrGcAc-/0/1782826211326?e=2147483647&amp;v=beta&amp;t=P2Cz2Aul20qMidWME_WS_vAnPWT-iq7vaBsEHckvets","View Creative")</f>
        <v>View Creative</v>
      </c>
      <c r="L1756" s="4" t="s">
        <v>106</v>
      </c>
      <c r="M1756" s="4" t="s">
        <v>5965</v>
      </c>
      <c r="O1756" s="4" t="s">
        <v>63</v>
      </c>
      <c r="P1756" s="4" t="s">
        <v>64</v>
      </c>
    </row>
    <row r="1757">
      <c r="A1757" s="4" t="s">
        <v>5965</v>
      </c>
      <c r="B1757" s="4" t="s">
        <v>5965</v>
      </c>
      <c r="C1757" s="4">
        <v>146.0</v>
      </c>
      <c r="D1757" s="5" t="str">
        <f>HYPERLINK("https://www.linkedin.com/ad-library/detail/1565649776","Open Ad")</f>
        <v>Open Ad</v>
      </c>
      <c r="E1757" s="4" t="s">
        <v>78</v>
      </c>
      <c r="F1757" s="4" t="s">
        <v>54</v>
      </c>
      <c r="G1757" s="4" t="s">
        <v>6078</v>
      </c>
      <c r="H1757" s="4" t="s">
        <v>49</v>
      </c>
      <c r="I1757" s="4" t="s">
        <v>6005</v>
      </c>
      <c r="J1757" s="4" t="s">
        <v>78</v>
      </c>
      <c r="K1757" s="5" t="str">
        <f>HYPERLINK("https://media.licdn.com/dms/image/v2/D5610AQG6ROzWPETGmA/image-shrink_1280/B56Z9dR6t1KEAg-/0/1783976406842?e=2147483647&amp;v=beta&amp;t=ubEWJ1uNOIKQkdyOqmhR2qOxm2aAjGOzZhSszx4lxv4","View Creative")</f>
        <v>View Creative</v>
      </c>
      <c r="L1757" s="4" t="s">
        <v>106</v>
      </c>
      <c r="M1757" s="4" t="s">
        <v>5965</v>
      </c>
      <c r="O1757" s="4" t="s">
        <v>63</v>
      </c>
      <c r="P1757" s="4" t="s">
        <v>64</v>
      </c>
    </row>
    <row r="1758">
      <c r="A1758" s="4" t="s">
        <v>5965</v>
      </c>
      <c r="B1758" s="4" t="s">
        <v>5965</v>
      </c>
      <c r="C1758" s="4">
        <v>147.0</v>
      </c>
      <c r="D1758" s="5" t="str">
        <f>HYPERLINK("https://www.linkedin.com/ad-library/detail/1562795866","Open Ad")</f>
        <v>Open Ad</v>
      </c>
      <c r="E1758" s="4" t="s">
        <v>5970</v>
      </c>
      <c r="F1758" s="4" t="s">
        <v>54</v>
      </c>
      <c r="G1758" s="4" t="s">
        <v>5971</v>
      </c>
      <c r="H1758" s="4" t="s">
        <v>49</v>
      </c>
      <c r="I1758" s="4" t="s">
        <v>6005</v>
      </c>
      <c r="J1758" s="4" t="s">
        <v>5973</v>
      </c>
      <c r="K1758" s="4" t="s">
        <v>59</v>
      </c>
      <c r="L1758" s="4" t="s">
        <v>106</v>
      </c>
      <c r="M1758" s="4" t="s">
        <v>5965</v>
      </c>
      <c r="O1758" s="4" t="s">
        <v>63</v>
      </c>
      <c r="P1758" s="4" t="s">
        <v>64</v>
      </c>
    </row>
    <row r="1759">
      <c r="A1759" s="4" t="s">
        <v>5965</v>
      </c>
      <c r="B1759" s="4" t="s">
        <v>5965</v>
      </c>
      <c r="C1759" s="4">
        <v>148.0</v>
      </c>
      <c r="D1759" s="5" t="str">
        <f>HYPERLINK("https://www.linkedin.com/ad-library/detail/1565810136","Open Ad")</f>
        <v>Open Ad</v>
      </c>
      <c r="E1759" s="4" t="s">
        <v>78</v>
      </c>
      <c r="F1759" s="4" t="s">
        <v>54</v>
      </c>
      <c r="G1759" s="4" t="s">
        <v>6069</v>
      </c>
      <c r="H1759" s="4" t="s">
        <v>49</v>
      </c>
      <c r="I1759" s="4" t="s">
        <v>6005</v>
      </c>
      <c r="J1759" s="4" t="s">
        <v>78</v>
      </c>
      <c r="K1759" s="5" t="str">
        <f>HYPERLINK("https://media.licdn.com/dms/image/v2/D4E10AQEqECWLz8eLfg/image-shrink_1280/B4EZ3UsZ.CGkAc-/0/1777389904287?e=2147483647&amp;v=beta&amp;t=0Mbfqk_hLfichGIBXrMjoO2DeoHez5SeK866pI13xWU","View Creative")</f>
        <v>View Creative</v>
      </c>
      <c r="L1759" s="4" t="s">
        <v>106</v>
      </c>
      <c r="M1759" s="4" t="s">
        <v>5965</v>
      </c>
      <c r="O1759" s="4" t="s">
        <v>63</v>
      </c>
      <c r="P1759" s="4" t="s">
        <v>64</v>
      </c>
    </row>
    <row r="1760">
      <c r="A1760" s="4" t="s">
        <v>5965</v>
      </c>
      <c r="B1760" s="4" t="s">
        <v>5965</v>
      </c>
      <c r="C1760" s="4">
        <v>149.0</v>
      </c>
      <c r="D1760" s="5" t="str">
        <f>HYPERLINK("https://www.linkedin.com/ad-library/detail/1565589626","Open Ad")</f>
        <v>Open Ad</v>
      </c>
      <c r="E1760" s="4" t="s">
        <v>78</v>
      </c>
      <c r="F1760" s="4" t="s">
        <v>54</v>
      </c>
      <c r="G1760" s="4" t="s">
        <v>6072</v>
      </c>
      <c r="H1760" s="4" t="s">
        <v>49</v>
      </c>
      <c r="I1760" s="4" t="s">
        <v>6005</v>
      </c>
      <c r="J1760" s="4" t="s">
        <v>78</v>
      </c>
      <c r="K1760" s="5" t="str">
        <f t="shared" ref="K1760:K1761" si="18">HYPERLINK("https://media.licdn.com/dms/image/v2/D5610AQH9yR_0PpAJoA/image-shrink_1280/B56aAgJIn4IEAc-/0/1787245661628?e=2147483647&amp;v=beta&amp;t=CqF8X07CERAPO8E_2YzsJgMx-mHFmKjIn82EdcCqZEE","View Creative")</f>
        <v>View Creative</v>
      </c>
      <c r="L1760" s="4" t="s">
        <v>106</v>
      </c>
      <c r="M1760" s="4" t="s">
        <v>5965</v>
      </c>
      <c r="O1760" s="4" t="s">
        <v>63</v>
      </c>
      <c r="P1760" s="4" t="s">
        <v>64</v>
      </c>
    </row>
    <row r="1761">
      <c r="A1761" s="4" t="s">
        <v>5965</v>
      </c>
      <c r="B1761" s="4" t="s">
        <v>5965</v>
      </c>
      <c r="C1761" s="4">
        <v>150.0</v>
      </c>
      <c r="D1761" s="5" t="str">
        <f>HYPERLINK("https://www.linkedin.com/ad-library/detail/1565701476","Open Ad")</f>
        <v>Open Ad</v>
      </c>
      <c r="E1761" s="4" t="s">
        <v>78</v>
      </c>
      <c r="F1761" s="4" t="s">
        <v>54</v>
      </c>
      <c r="G1761" s="4" t="s">
        <v>6072</v>
      </c>
      <c r="H1761" s="4" t="s">
        <v>49</v>
      </c>
      <c r="I1761" s="4" t="s">
        <v>6005</v>
      </c>
      <c r="J1761" s="4" t="s">
        <v>78</v>
      </c>
      <c r="K1761" s="5" t="str">
        <f t="shared" si="18"/>
        <v>View Creative</v>
      </c>
      <c r="L1761" s="4" t="s">
        <v>106</v>
      </c>
      <c r="M1761" s="4" t="s">
        <v>5965</v>
      </c>
      <c r="O1761" s="4" t="s">
        <v>63</v>
      </c>
      <c r="P1761" s="4" t="s">
        <v>64</v>
      </c>
    </row>
    <row r="1762">
      <c r="A1762" s="4" t="s">
        <v>5965</v>
      </c>
      <c r="B1762" s="4" t="s">
        <v>5965</v>
      </c>
      <c r="C1762" s="4">
        <v>151.0</v>
      </c>
      <c r="D1762" s="5" t="str">
        <f>HYPERLINK("https://www.linkedin.com/ad-library/detail/1565569746","Open Ad")</f>
        <v>Open Ad</v>
      </c>
      <c r="E1762" s="4" t="s">
        <v>78</v>
      </c>
      <c r="F1762" s="4" t="s">
        <v>54</v>
      </c>
      <c r="G1762" s="4" t="s">
        <v>6067</v>
      </c>
      <c r="H1762" s="4" t="s">
        <v>49</v>
      </c>
      <c r="I1762" s="4" t="s">
        <v>6005</v>
      </c>
      <c r="J1762" s="4" t="s">
        <v>78</v>
      </c>
      <c r="K1762" s="5" t="str">
        <f>HYPERLINK("https://media.licdn.com/dms/image/v2/D5610AQEhWScG0zSsQQ/image-shrink_1280/B56Z.ALhD2HIAc-/0/1784561931707?e=2147483647&amp;v=beta&amp;t=CNNXfqX_x8NHdQnVcD2yPE1JO0w4ekTKwdMaxJHCKn4","View Creative")</f>
        <v>View Creative</v>
      </c>
      <c r="L1762" s="4" t="s">
        <v>106</v>
      </c>
      <c r="M1762" s="4" t="s">
        <v>5965</v>
      </c>
      <c r="O1762" s="4" t="s">
        <v>63</v>
      </c>
      <c r="P1762" s="4" t="s">
        <v>64</v>
      </c>
    </row>
    <row r="1763">
      <c r="A1763" s="4" t="s">
        <v>5965</v>
      </c>
      <c r="B1763" s="4" t="s">
        <v>5965</v>
      </c>
      <c r="C1763" s="4">
        <v>152.0</v>
      </c>
      <c r="D1763" s="5" t="str">
        <f>HYPERLINK("https://www.linkedin.com/ad-library/detail/1565692246","Open Ad")</f>
        <v>Open Ad</v>
      </c>
      <c r="E1763" s="4" t="s">
        <v>78</v>
      </c>
      <c r="F1763" s="4" t="s">
        <v>54</v>
      </c>
      <c r="G1763" s="4" t="s">
        <v>6069</v>
      </c>
      <c r="H1763" s="4" t="s">
        <v>49</v>
      </c>
      <c r="I1763" s="4" t="s">
        <v>6005</v>
      </c>
      <c r="J1763" s="4" t="s">
        <v>78</v>
      </c>
      <c r="K1763" s="5" t="str">
        <f>HYPERLINK("https://media.licdn.com/dms/image/v2/D4E10AQEqECWLz8eLfg/image-shrink_1280/B4EZ3UsZ.CGkAc-/0/1777389904287?e=2147483647&amp;v=beta&amp;t=0Mbfqk_hLfichGIBXrMjoO2DeoHez5SeK866pI13xWU","View Creative")</f>
        <v>View Creative</v>
      </c>
      <c r="L1763" s="4" t="s">
        <v>106</v>
      </c>
      <c r="M1763" s="4" t="s">
        <v>5965</v>
      </c>
      <c r="O1763" s="4" t="s">
        <v>63</v>
      </c>
      <c r="P1763" s="4" t="s">
        <v>64</v>
      </c>
    </row>
    <row r="1764">
      <c r="A1764" s="4" t="s">
        <v>5965</v>
      </c>
      <c r="B1764" s="4" t="s">
        <v>5965</v>
      </c>
      <c r="C1764" s="4">
        <v>153.0</v>
      </c>
      <c r="D1764" s="5" t="str">
        <f>HYPERLINK("https://www.linkedin.com/ad-library/detail/1565589636","Open Ad")</f>
        <v>Open Ad</v>
      </c>
      <c r="E1764" s="4" t="s">
        <v>78</v>
      </c>
      <c r="F1764" s="4" t="s">
        <v>54</v>
      </c>
      <c r="G1764" s="4" t="s">
        <v>6080</v>
      </c>
      <c r="H1764" s="4" t="s">
        <v>49</v>
      </c>
      <c r="I1764" s="4" t="s">
        <v>6005</v>
      </c>
      <c r="J1764" s="4" t="s">
        <v>78</v>
      </c>
      <c r="K1764" s="5" t="str">
        <f>HYPERLINK("https://media.licdn.com/dms/image/v2/D4E10AQGYRIIgGEIVqw/image-shrink_1280/B4EaAblpr_KYAc-/0/1787169250739?e=2147483647&amp;v=beta&amp;t=FODyphvpfuavIWLNs3GuJKg5XejBb-dZCddnzPP4D1A","View Creative")</f>
        <v>View Creative</v>
      </c>
      <c r="L1764" s="4" t="s">
        <v>106</v>
      </c>
      <c r="M1764" s="4" t="s">
        <v>5965</v>
      </c>
      <c r="O1764" s="4" t="s">
        <v>63</v>
      </c>
      <c r="P1764" s="4" t="s">
        <v>64</v>
      </c>
    </row>
    <row r="1765">
      <c r="A1765" s="4" t="s">
        <v>5965</v>
      </c>
      <c r="B1765" s="4" t="s">
        <v>5965</v>
      </c>
      <c r="C1765" s="4">
        <v>154.0</v>
      </c>
      <c r="D1765" s="5" t="str">
        <f>HYPERLINK("https://www.linkedin.com/ad-library/detail/1565639286","Open Ad")</f>
        <v>Open Ad</v>
      </c>
      <c r="E1765" s="4" t="s">
        <v>78</v>
      </c>
      <c r="F1765" s="4" t="s">
        <v>54</v>
      </c>
      <c r="G1765" s="4" t="s">
        <v>6078</v>
      </c>
      <c r="H1765" s="4" t="s">
        <v>49</v>
      </c>
      <c r="I1765" s="4" t="s">
        <v>6005</v>
      </c>
      <c r="J1765" s="4" t="s">
        <v>78</v>
      </c>
      <c r="K1765" s="5" t="str">
        <f>HYPERLINK("https://media.licdn.com/dms/image/v2/D5610AQG6ROzWPETGmA/image-shrink_1280/B56Z9dR6t1KEAg-/0/1783976406842?e=2147483647&amp;v=beta&amp;t=ubEWJ1uNOIKQkdyOqmhR2qOxm2aAjGOzZhSszx4lxv4","View Creative")</f>
        <v>View Creative</v>
      </c>
      <c r="L1765" s="4" t="s">
        <v>106</v>
      </c>
      <c r="M1765" s="4" t="s">
        <v>5965</v>
      </c>
      <c r="O1765" s="4" t="s">
        <v>63</v>
      </c>
      <c r="P1765" s="4" t="s">
        <v>64</v>
      </c>
    </row>
    <row r="1766">
      <c r="A1766" s="4" t="s">
        <v>5965</v>
      </c>
      <c r="B1766" s="4" t="s">
        <v>5965</v>
      </c>
      <c r="C1766" s="4">
        <v>155.0</v>
      </c>
      <c r="D1766" s="5" t="str">
        <f>HYPERLINK("https://www.linkedin.com/ad-library/detail/1565221626","Open Ad")</f>
        <v>Open Ad</v>
      </c>
      <c r="E1766" s="4" t="s">
        <v>78</v>
      </c>
      <c r="F1766" s="4" t="s">
        <v>54</v>
      </c>
      <c r="G1766" s="4" t="s">
        <v>6072</v>
      </c>
      <c r="H1766" s="4" t="s">
        <v>49</v>
      </c>
      <c r="I1766" s="4" t="s">
        <v>6005</v>
      </c>
      <c r="J1766" s="4" t="s">
        <v>78</v>
      </c>
      <c r="K1766" s="5" t="str">
        <f>HYPERLINK("https://media.licdn.com/dms/image/v2/D5610AQH9yR_0PpAJoA/image-shrink_1280/B56aAgJIn4IEAc-/0/1787245661628?e=2147483647&amp;v=beta&amp;t=CqF8X07CERAPO8E_2YzsJgMx-mHFmKjIn82EdcCqZEE","View Creative")</f>
        <v>View Creative</v>
      </c>
      <c r="L1766" s="4" t="s">
        <v>106</v>
      </c>
      <c r="M1766" s="4" t="s">
        <v>5965</v>
      </c>
      <c r="O1766" s="4" t="s">
        <v>63</v>
      </c>
      <c r="P1766" s="4" t="s">
        <v>64</v>
      </c>
    </row>
    <row r="1767">
      <c r="A1767" s="4" t="s">
        <v>5965</v>
      </c>
      <c r="B1767" s="4" t="s">
        <v>5965</v>
      </c>
      <c r="C1767" s="4">
        <v>156.0</v>
      </c>
      <c r="D1767" s="5" t="str">
        <f>HYPERLINK("https://www.linkedin.com/ad-library/detail/1565740636","Open Ad")</f>
        <v>Open Ad</v>
      </c>
      <c r="E1767" s="4" t="s">
        <v>78</v>
      </c>
      <c r="F1767" s="4" t="s">
        <v>54</v>
      </c>
      <c r="G1767" s="4" t="s">
        <v>6074</v>
      </c>
      <c r="H1767" s="4" t="s">
        <v>49</v>
      </c>
      <c r="I1767" s="4" t="s">
        <v>6005</v>
      </c>
      <c r="J1767" s="4" t="s">
        <v>78</v>
      </c>
      <c r="K1767" s="5" t="str">
        <f>HYPERLINK("https://media.licdn.com/dms/image/v2/D5622AQFeGh0Nti2Zmg/feedshare-shrink_1280/B56Z_IaUYgG0AQ-/0/1785773771225?e=2147483647&amp;v=beta&amp;t=LA0qAFOep-ii8fvQ1v2ki8IWWzEuY5pobqw62N817LM","View Creative")</f>
        <v>View Creative</v>
      </c>
      <c r="L1767" s="4" t="s">
        <v>106</v>
      </c>
      <c r="M1767" s="4" t="s">
        <v>5965</v>
      </c>
      <c r="O1767" s="4" t="s">
        <v>63</v>
      </c>
      <c r="P1767" s="4" t="s">
        <v>64</v>
      </c>
    </row>
    <row r="1768">
      <c r="A1768" s="4" t="s">
        <v>5965</v>
      </c>
      <c r="B1768" s="4" t="s">
        <v>5965</v>
      </c>
      <c r="C1768" s="4">
        <v>157.0</v>
      </c>
      <c r="D1768" s="5" t="str">
        <f>HYPERLINK("https://www.linkedin.com/ad-library/detail/1565701546","Open Ad")</f>
        <v>Open Ad</v>
      </c>
      <c r="E1768" s="4" t="s">
        <v>78</v>
      </c>
      <c r="F1768" s="4" t="s">
        <v>54</v>
      </c>
      <c r="G1768" s="4" t="s">
        <v>6067</v>
      </c>
      <c r="H1768" s="4" t="s">
        <v>49</v>
      </c>
      <c r="I1768" s="4" t="s">
        <v>6005</v>
      </c>
      <c r="J1768" s="4" t="s">
        <v>78</v>
      </c>
      <c r="K1768" s="5" t="str">
        <f>HYPERLINK("https://media.licdn.com/dms/image/v2/D5610AQEhWScG0zSsQQ/image-shrink_1280/B56Z.ALhD2HIAc-/0/1784561931707?e=2147483647&amp;v=beta&amp;t=CNNXfqX_x8NHdQnVcD2yPE1JO0w4ekTKwdMaxJHCKn4","View Creative")</f>
        <v>View Creative</v>
      </c>
      <c r="L1768" s="4" t="s">
        <v>106</v>
      </c>
      <c r="M1768" s="4" t="s">
        <v>5965</v>
      </c>
      <c r="O1768" s="4" t="s">
        <v>63</v>
      </c>
      <c r="P1768" s="4" t="s">
        <v>64</v>
      </c>
    </row>
    <row r="1769">
      <c r="A1769" s="4" t="s">
        <v>5965</v>
      </c>
      <c r="B1769" s="4" t="s">
        <v>5965</v>
      </c>
      <c r="C1769" s="4">
        <v>158.0</v>
      </c>
      <c r="D1769" s="5" t="str">
        <f>HYPERLINK("https://www.linkedin.com/ad-library/detail/1565750546","Open Ad")</f>
        <v>Open Ad</v>
      </c>
      <c r="E1769" s="4" t="s">
        <v>78</v>
      </c>
      <c r="F1769" s="4" t="s">
        <v>54</v>
      </c>
      <c r="G1769" s="4" t="s">
        <v>6080</v>
      </c>
      <c r="H1769" s="4" t="s">
        <v>49</v>
      </c>
      <c r="I1769" s="4" t="s">
        <v>6005</v>
      </c>
      <c r="J1769" s="4" t="s">
        <v>78</v>
      </c>
      <c r="K1769" s="5" t="str">
        <f>HYPERLINK("https://media.licdn.com/dms/image/v2/D4E10AQGYRIIgGEIVqw/image-shrink_1280/B4EaAblpr_KYAc-/0/1787169250739?e=2147483647&amp;v=beta&amp;t=FODyphvpfuavIWLNs3GuJKg5XejBb-dZCddnzPP4D1A","View Creative")</f>
        <v>View Creative</v>
      </c>
      <c r="L1769" s="4" t="s">
        <v>106</v>
      </c>
      <c r="M1769" s="4" t="s">
        <v>5965</v>
      </c>
      <c r="O1769" s="4" t="s">
        <v>63</v>
      </c>
      <c r="P1769" s="4" t="s">
        <v>64</v>
      </c>
    </row>
    <row r="1770">
      <c r="A1770" s="4" t="s">
        <v>5965</v>
      </c>
      <c r="B1770" s="4" t="s">
        <v>5965</v>
      </c>
      <c r="C1770" s="4">
        <v>159.0</v>
      </c>
      <c r="D1770" s="5" t="str">
        <f>HYPERLINK("https://www.linkedin.com/ad-library/detail/1565790306","Open Ad")</f>
        <v>Open Ad</v>
      </c>
      <c r="E1770" s="4" t="s">
        <v>78</v>
      </c>
      <c r="F1770" s="4" t="s">
        <v>54</v>
      </c>
      <c r="G1770" s="4" t="s">
        <v>6086</v>
      </c>
      <c r="H1770" s="4" t="s">
        <v>49</v>
      </c>
      <c r="I1770" s="4" t="s">
        <v>6005</v>
      </c>
      <c r="J1770" s="4" t="s">
        <v>78</v>
      </c>
      <c r="K1770" s="5" t="str">
        <f>HYPERLINK("https://media.licdn.com/dms/image/v2/D5610AQF5ONUziLB90Q/image-shrink_1280/B56Z8YuROrGcAc-/0/1782826211326?e=2147483647&amp;v=beta&amp;t=P2Cz2Aul20qMidWME_WS_vAnPWT-iq7vaBsEHckvets","View Creative")</f>
        <v>View Creative</v>
      </c>
      <c r="L1770" s="4" t="s">
        <v>106</v>
      </c>
      <c r="M1770" s="4" t="s">
        <v>5965</v>
      </c>
      <c r="O1770" s="4" t="s">
        <v>63</v>
      </c>
      <c r="P1770" s="4" t="s">
        <v>64</v>
      </c>
    </row>
    <row r="1771">
      <c r="A1771" s="4" t="s">
        <v>5965</v>
      </c>
      <c r="B1771" s="4" t="s">
        <v>5965</v>
      </c>
      <c r="C1771" s="4">
        <v>160.0</v>
      </c>
      <c r="D1771" s="5" t="str">
        <f>HYPERLINK("https://www.linkedin.com/ad-library/detail/1565731166","Open Ad")</f>
        <v>Open Ad</v>
      </c>
      <c r="E1771" s="4" t="s">
        <v>78</v>
      </c>
      <c r="F1771" s="4" t="s">
        <v>54</v>
      </c>
      <c r="G1771" s="4" t="s">
        <v>6074</v>
      </c>
      <c r="H1771" s="4" t="s">
        <v>49</v>
      </c>
      <c r="I1771" s="4" t="s">
        <v>6005</v>
      </c>
      <c r="J1771" s="4" t="s">
        <v>78</v>
      </c>
      <c r="K1771" s="5" t="str">
        <f>HYPERLINK("https://media.licdn.com/dms/image/v2/D5622AQFeGh0Nti2Zmg/feedshare-shrink_1280/B56Z_IaUYgG0AQ-/0/1785773771225?e=2147483647&amp;v=beta&amp;t=LA0qAFOep-ii8fvQ1v2ki8IWWzEuY5pobqw62N817LM","View Creative")</f>
        <v>View Creative</v>
      </c>
      <c r="L1771" s="4" t="s">
        <v>106</v>
      </c>
      <c r="M1771" s="4" t="s">
        <v>5965</v>
      </c>
      <c r="O1771" s="4" t="s">
        <v>63</v>
      </c>
      <c r="P1771" s="4" t="s">
        <v>64</v>
      </c>
    </row>
    <row r="1772">
      <c r="A1772" s="4" t="s">
        <v>5965</v>
      </c>
      <c r="B1772" s="4" t="s">
        <v>5965</v>
      </c>
      <c r="C1772" s="4">
        <v>161.0</v>
      </c>
      <c r="D1772" s="5" t="str">
        <f>HYPERLINK("https://www.linkedin.com/ad-library/detail/1565721316","Open Ad")</f>
        <v>Open Ad</v>
      </c>
      <c r="E1772" s="4" t="s">
        <v>78</v>
      </c>
      <c r="F1772" s="4" t="s">
        <v>54</v>
      </c>
      <c r="G1772" s="4" t="s">
        <v>6086</v>
      </c>
      <c r="H1772" s="4" t="s">
        <v>49</v>
      </c>
      <c r="I1772" s="4" t="s">
        <v>6005</v>
      </c>
      <c r="J1772" s="4" t="s">
        <v>78</v>
      </c>
      <c r="K1772" s="5" t="str">
        <f>HYPERLINK("https://media.licdn.com/dms/image/v2/D5610AQF5ONUziLB90Q/image-shrink_1280/B56Z8YuROrGcAc-/0/1782826211326?e=2147483647&amp;v=beta&amp;t=P2Cz2Aul20qMidWME_WS_vAnPWT-iq7vaBsEHckvets","View Creative")</f>
        <v>View Creative</v>
      </c>
      <c r="L1772" s="4" t="s">
        <v>106</v>
      </c>
      <c r="M1772" s="4" t="s">
        <v>5965</v>
      </c>
      <c r="O1772" s="4" t="s">
        <v>63</v>
      </c>
      <c r="P1772" s="4" t="s">
        <v>64</v>
      </c>
    </row>
    <row r="1773">
      <c r="A1773" s="4" t="s">
        <v>5965</v>
      </c>
      <c r="B1773" s="4" t="s">
        <v>5965</v>
      </c>
      <c r="C1773" s="4">
        <v>162.0</v>
      </c>
      <c r="D1773" s="5" t="str">
        <f>HYPERLINK("https://www.linkedin.com/ad-library/detail/1565721306","Open Ad")</f>
        <v>Open Ad</v>
      </c>
      <c r="E1773" s="4" t="s">
        <v>78</v>
      </c>
      <c r="F1773" s="4" t="s">
        <v>54</v>
      </c>
      <c r="G1773" s="4" t="s">
        <v>6084</v>
      </c>
      <c r="H1773" s="4" t="s">
        <v>49</v>
      </c>
      <c r="I1773" s="4" t="s">
        <v>6005</v>
      </c>
      <c r="J1773" s="4" t="s">
        <v>78</v>
      </c>
      <c r="K1773" s="5" t="str">
        <f>HYPERLINK("https://media.licdn.com/dms/image/v2/D4E10AQGg8MhwP8BRyA/image-shrink_1280/B4EZ_9nWa6J4Ag-/0/1786666379554?e=2147483647&amp;v=beta&amp;t=2vJTPrPN5M2twXSE6ZgOtUIcDY5-l6ctOHpGERmK348","View Creative")</f>
        <v>View Creative</v>
      </c>
      <c r="L1773" s="4" t="s">
        <v>106</v>
      </c>
      <c r="M1773" s="4" t="s">
        <v>5965</v>
      </c>
      <c r="O1773" s="4" t="s">
        <v>63</v>
      </c>
      <c r="P1773" s="4" t="s">
        <v>64</v>
      </c>
    </row>
    <row r="1774">
      <c r="A1774" s="4" t="s">
        <v>5965</v>
      </c>
      <c r="B1774" s="4" t="s">
        <v>5965</v>
      </c>
      <c r="C1774" s="4">
        <v>163.0</v>
      </c>
      <c r="D1774" s="5" t="str">
        <f>HYPERLINK("https://www.linkedin.com/ad-library/detail/1565700956","Open Ad")</f>
        <v>Open Ad</v>
      </c>
      <c r="E1774" s="4" t="s">
        <v>78</v>
      </c>
      <c r="F1774" s="4" t="s">
        <v>54</v>
      </c>
      <c r="G1774" s="4" t="s">
        <v>6076</v>
      </c>
      <c r="H1774" s="4" t="s">
        <v>49</v>
      </c>
      <c r="I1774" s="4" t="s">
        <v>6005</v>
      </c>
      <c r="J1774" s="4" t="s">
        <v>78</v>
      </c>
      <c r="K1774" s="5" t="str">
        <f>HYPERLINK("https://media.licdn.com/dms/image/v2/D5610AQFapQuTs5RyQg/image-shrink_1280/B56Z9h_6UCGcAg-/0/1784055572538?e=2147483647&amp;v=beta&amp;t=Kv2jNpyAeREV8VRiJojr6bkYk7Ofuq0wj6IaFzQHYEU","View Creative")</f>
        <v>View Creative</v>
      </c>
      <c r="L1774" s="4" t="s">
        <v>106</v>
      </c>
      <c r="M1774" s="4" t="s">
        <v>5965</v>
      </c>
      <c r="O1774" s="4" t="s">
        <v>63</v>
      </c>
      <c r="P1774" s="4" t="s">
        <v>64</v>
      </c>
    </row>
    <row r="1775">
      <c r="A1775" s="4" t="s">
        <v>5965</v>
      </c>
      <c r="B1775" s="4" t="s">
        <v>5965</v>
      </c>
      <c r="C1775" s="4">
        <v>164.0</v>
      </c>
      <c r="D1775" s="5" t="str">
        <f>HYPERLINK("https://www.linkedin.com/ad-library/detail/1565211826","Open Ad")</f>
        <v>Open Ad</v>
      </c>
      <c r="E1775" s="4" t="s">
        <v>78</v>
      </c>
      <c r="F1775" s="4" t="s">
        <v>54</v>
      </c>
      <c r="G1775" s="4" t="s">
        <v>6072</v>
      </c>
      <c r="H1775" s="4" t="s">
        <v>49</v>
      </c>
      <c r="I1775" s="4" t="s">
        <v>6005</v>
      </c>
      <c r="J1775" s="4" t="s">
        <v>78</v>
      </c>
      <c r="K1775" s="5" t="str">
        <f t="shared" ref="K1775:K1776" si="19">HYPERLINK("https://media.licdn.com/dms/image/v2/D5610AQH9yR_0PpAJoA/image-shrink_1280/B56aAgJIn4IEAc-/0/1787245661628?e=2147483647&amp;v=beta&amp;t=CqF8X07CERAPO8E_2YzsJgMx-mHFmKjIn82EdcCqZEE","View Creative")</f>
        <v>View Creative</v>
      </c>
      <c r="L1775" s="4" t="s">
        <v>106</v>
      </c>
      <c r="M1775" s="4" t="s">
        <v>5965</v>
      </c>
      <c r="O1775" s="4" t="s">
        <v>63</v>
      </c>
      <c r="P1775" s="4" t="s">
        <v>64</v>
      </c>
    </row>
    <row r="1776">
      <c r="A1776" s="4" t="s">
        <v>5965</v>
      </c>
      <c r="B1776" s="4" t="s">
        <v>5965</v>
      </c>
      <c r="C1776" s="4">
        <v>165.0</v>
      </c>
      <c r="D1776" s="5" t="str">
        <f>HYPERLINK("https://www.linkedin.com/ad-library/detail/1565271166","Open Ad")</f>
        <v>Open Ad</v>
      </c>
      <c r="E1776" s="4" t="s">
        <v>78</v>
      </c>
      <c r="F1776" s="4" t="s">
        <v>54</v>
      </c>
      <c r="G1776" s="4" t="s">
        <v>6072</v>
      </c>
      <c r="H1776" s="4" t="s">
        <v>49</v>
      </c>
      <c r="I1776" s="4" t="s">
        <v>6005</v>
      </c>
      <c r="J1776" s="4" t="s">
        <v>78</v>
      </c>
      <c r="K1776" s="5" t="str">
        <f t="shared" si="19"/>
        <v>View Creative</v>
      </c>
      <c r="L1776" s="4" t="s">
        <v>106</v>
      </c>
      <c r="M1776" s="4" t="s">
        <v>5965</v>
      </c>
      <c r="O1776" s="4" t="s">
        <v>63</v>
      </c>
      <c r="P1776" s="4" t="s">
        <v>64</v>
      </c>
    </row>
    <row r="1777">
      <c r="A1777" s="4" t="s">
        <v>5965</v>
      </c>
      <c r="B1777" s="4" t="s">
        <v>5965</v>
      </c>
      <c r="C1777" s="4">
        <v>166.0</v>
      </c>
      <c r="D1777" s="5" t="str">
        <f>HYPERLINK("https://www.linkedin.com/ad-library/detail/1565740976","Open Ad")</f>
        <v>Open Ad</v>
      </c>
      <c r="E1777" s="4" t="s">
        <v>78</v>
      </c>
      <c r="F1777" s="4" t="s">
        <v>54</v>
      </c>
      <c r="G1777" s="4" t="s">
        <v>6076</v>
      </c>
      <c r="H1777" s="4" t="s">
        <v>49</v>
      </c>
      <c r="I1777" s="4" t="s">
        <v>6005</v>
      </c>
      <c r="J1777" s="4" t="s">
        <v>78</v>
      </c>
      <c r="K1777" s="5" t="str">
        <f>HYPERLINK("https://media.licdn.com/dms/image/v2/D5610AQFapQuTs5RyQg/image-shrink_1280/B56Z9h_6UCGcAg-/0/1784055572538?e=2147483647&amp;v=beta&amp;t=Kv2jNpyAeREV8VRiJojr6bkYk7Ofuq0wj6IaFzQHYEU","View Creative")</f>
        <v>View Creative</v>
      </c>
      <c r="L1777" s="4" t="s">
        <v>106</v>
      </c>
      <c r="M1777" s="4" t="s">
        <v>5965</v>
      </c>
      <c r="O1777" s="4" t="s">
        <v>63</v>
      </c>
      <c r="P1777" s="4" t="s">
        <v>64</v>
      </c>
    </row>
    <row r="1778">
      <c r="A1778" s="4" t="s">
        <v>5965</v>
      </c>
      <c r="B1778" s="4" t="s">
        <v>5965</v>
      </c>
      <c r="C1778" s="4">
        <v>167.0</v>
      </c>
      <c r="D1778" s="5" t="str">
        <f>HYPERLINK("https://www.linkedin.com/ad-library/detail/1565679026","Open Ad")</f>
        <v>Open Ad</v>
      </c>
      <c r="E1778" s="4" t="s">
        <v>78</v>
      </c>
      <c r="F1778" s="4" t="s">
        <v>54</v>
      </c>
      <c r="G1778" s="4" t="s">
        <v>6084</v>
      </c>
      <c r="H1778" s="4" t="s">
        <v>49</v>
      </c>
      <c r="I1778" s="4" t="s">
        <v>6005</v>
      </c>
      <c r="J1778" s="4" t="s">
        <v>78</v>
      </c>
      <c r="K1778" s="5" t="str">
        <f>HYPERLINK("https://media.licdn.com/dms/image/v2/D4E10AQGg8MhwP8BRyA/image-shrink_1280/B4EZ_9nWa6J4Ag-/0/1786666379554?e=2147483647&amp;v=beta&amp;t=2vJTPrPN5M2twXSE6ZgOtUIcDY5-l6ctOHpGERmK348","View Creative")</f>
        <v>View Creative</v>
      </c>
      <c r="L1778" s="4" t="s">
        <v>106</v>
      </c>
      <c r="M1778" s="4" t="s">
        <v>5965</v>
      </c>
      <c r="O1778" s="4" t="s">
        <v>63</v>
      </c>
      <c r="P1778" s="4" t="s">
        <v>64</v>
      </c>
    </row>
    <row r="1779">
      <c r="A1779" s="4" t="s">
        <v>5965</v>
      </c>
      <c r="B1779" s="4" t="s">
        <v>5965</v>
      </c>
      <c r="C1779" s="4">
        <v>168.0</v>
      </c>
      <c r="D1779" s="5" t="str">
        <f>HYPERLINK("https://www.linkedin.com/ad-library/detail/1565330896","Open Ad")</f>
        <v>Open Ad</v>
      </c>
      <c r="E1779" s="4" t="s">
        <v>78</v>
      </c>
      <c r="F1779" s="4" t="s">
        <v>54</v>
      </c>
      <c r="G1779" s="4" t="s">
        <v>6072</v>
      </c>
      <c r="H1779" s="4" t="s">
        <v>49</v>
      </c>
      <c r="I1779" s="4" t="s">
        <v>6005</v>
      </c>
      <c r="J1779" s="4" t="s">
        <v>78</v>
      </c>
      <c r="K1779" s="5" t="str">
        <f>HYPERLINK("https://media.licdn.com/dms/image/v2/D5610AQH9yR_0PpAJoA/image-shrink_1280/B56aAgJIn4IEAc-/0/1787245661628?e=2147483647&amp;v=beta&amp;t=CqF8X07CERAPO8E_2YzsJgMx-mHFmKjIn82EdcCqZEE","View Creative")</f>
        <v>View Creative</v>
      </c>
      <c r="L1779" s="4" t="s">
        <v>106</v>
      </c>
      <c r="M1779" s="4" t="s">
        <v>5965</v>
      </c>
      <c r="O1779" s="4" t="s">
        <v>63</v>
      </c>
      <c r="P1779" s="4" t="s">
        <v>64</v>
      </c>
    </row>
    <row r="1780">
      <c r="A1780" s="4" t="s">
        <v>5965</v>
      </c>
      <c r="B1780" s="4" t="s">
        <v>5965</v>
      </c>
      <c r="C1780" s="4">
        <v>169.0</v>
      </c>
      <c r="D1780" s="5" t="str">
        <f>HYPERLINK("https://www.linkedin.com/ad-library/detail/1560947506","Open Ad")</f>
        <v>Open Ad</v>
      </c>
      <c r="E1780" s="4" t="s">
        <v>78</v>
      </c>
      <c r="F1780" s="4" t="s">
        <v>54</v>
      </c>
      <c r="G1780" s="4" t="s">
        <v>6084</v>
      </c>
      <c r="H1780" s="4" t="s">
        <v>49</v>
      </c>
      <c r="I1780" s="4" t="s">
        <v>6005</v>
      </c>
      <c r="J1780" s="4" t="s">
        <v>78</v>
      </c>
      <c r="K1780" s="5" t="str">
        <f>HYPERLINK("https://media.licdn.com/dms/image/v2/D4E10AQGg8MhwP8BRyA/image-shrink_1280/B4EZ_9nWa6J4Ag-/0/1786666379554?e=2147483647&amp;v=beta&amp;t=2vJTPrPN5M2twXSE6ZgOtUIcDY5-l6ctOHpGERmK348","View Creative")</f>
        <v>View Creative</v>
      </c>
      <c r="L1780" s="4" t="s">
        <v>106</v>
      </c>
      <c r="M1780" s="4" t="s">
        <v>5965</v>
      </c>
      <c r="O1780" s="4" t="s">
        <v>63</v>
      </c>
      <c r="P1780" s="4" t="s">
        <v>64</v>
      </c>
    </row>
    <row r="1781">
      <c r="A1781" s="4" t="s">
        <v>5965</v>
      </c>
      <c r="B1781" s="4" t="s">
        <v>5965</v>
      </c>
      <c r="C1781" s="4">
        <v>170.0</v>
      </c>
      <c r="D1781" s="5" t="str">
        <f>HYPERLINK("https://www.linkedin.com/ad-library/detail/1561034086","Open Ad")</f>
        <v>Open Ad</v>
      </c>
      <c r="E1781" s="4" t="s">
        <v>78</v>
      </c>
      <c r="F1781" s="4" t="s">
        <v>54</v>
      </c>
      <c r="G1781" s="4" t="s">
        <v>6080</v>
      </c>
      <c r="H1781" s="4" t="s">
        <v>49</v>
      </c>
      <c r="I1781" s="4" t="s">
        <v>6005</v>
      </c>
      <c r="J1781" s="4" t="s">
        <v>78</v>
      </c>
      <c r="K1781" s="5" t="str">
        <f t="shared" ref="K1781:K1782" si="20">HYPERLINK("https://media.licdn.com/dms/image/v2/D4E10AQGYRIIgGEIVqw/image-shrink_1280/B4EaAblpr_KYAc-/0/1787169250739?e=2147483647&amp;v=beta&amp;t=FODyphvpfuavIWLNs3GuJKg5XejBb-dZCddnzPP4D1A","View Creative")</f>
        <v>View Creative</v>
      </c>
      <c r="L1781" s="4" t="s">
        <v>106</v>
      </c>
      <c r="M1781" s="4" t="s">
        <v>5965</v>
      </c>
      <c r="O1781" s="4" t="s">
        <v>63</v>
      </c>
      <c r="P1781" s="4" t="s">
        <v>64</v>
      </c>
    </row>
    <row r="1782">
      <c r="A1782" s="4" t="s">
        <v>5965</v>
      </c>
      <c r="B1782" s="4" t="s">
        <v>5965</v>
      </c>
      <c r="C1782" s="4">
        <v>171.0</v>
      </c>
      <c r="D1782" s="5" t="str">
        <f>HYPERLINK("https://www.linkedin.com/ad-library/detail/1560878096","Open Ad")</f>
        <v>Open Ad</v>
      </c>
      <c r="E1782" s="4" t="s">
        <v>78</v>
      </c>
      <c r="F1782" s="4" t="s">
        <v>54</v>
      </c>
      <c r="G1782" s="4" t="s">
        <v>6080</v>
      </c>
      <c r="H1782" s="4" t="s">
        <v>49</v>
      </c>
      <c r="I1782" s="4" t="s">
        <v>6005</v>
      </c>
      <c r="J1782" s="4" t="s">
        <v>78</v>
      </c>
      <c r="K1782" s="5" t="str">
        <f t="shared" si="20"/>
        <v>View Creative</v>
      </c>
      <c r="L1782" s="4" t="s">
        <v>106</v>
      </c>
      <c r="M1782" s="4" t="s">
        <v>5965</v>
      </c>
      <c r="O1782" s="4" t="s">
        <v>63</v>
      </c>
      <c r="P1782" s="4" t="s">
        <v>64</v>
      </c>
    </row>
    <row r="1783">
      <c r="A1783" s="4" t="s">
        <v>5965</v>
      </c>
      <c r="B1783" s="4" t="s">
        <v>5965</v>
      </c>
      <c r="C1783" s="4">
        <v>172.0</v>
      </c>
      <c r="D1783" s="5" t="str">
        <f>HYPERLINK("https://www.linkedin.com/ad-library/detail/1561016226","Open Ad")</f>
        <v>Open Ad</v>
      </c>
      <c r="E1783" s="4" t="s">
        <v>78</v>
      </c>
      <c r="F1783" s="4" t="s">
        <v>54</v>
      </c>
      <c r="G1783" s="4" t="s">
        <v>6084</v>
      </c>
      <c r="H1783" s="4" t="s">
        <v>49</v>
      </c>
      <c r="I1783" s="4" t="s">
        <v>6005</v>
      </c>
      <c r="J1783" s="4" t="s">
        <v>78</v>
      </c>
      <c r="K1783" s="5" t="str">
        <f>HYPERLINK("https://media.licdn.com/dms/image/v2/D4E10AQGg8MhwP8BRyA/image-shrink_1280/B4EZ_9nWa6J4Ag-/0/1786666379554?e=2147483647&amp;v=beta&amp;t=2vJTPrPN5M2twXSE6ZgOtUIcDY5-l6ctOHpGERmK348","View Creative")</f>
        <v>View Creative</v>
      </c>
      <c r="L1783" s="4" t="s">
        <v>106</v>
      </c>
      <c r="M1783" s="4" t="s">
        <v>5965</v>
      </c>
      <c r="O1783" s="4" t="s">
        <v>63</v>
      </c>
      <c r="P1783" s="4" t="s">
        <v>64</v>
      </c>
    </row>
    <row r="1784">
      <c r="A1784" s="4" t="s">
        <v>5965</v>
      </c>
      <c r="B1784" s="4" t="s">
        <v>5965</v>
      </c>
      <c r="C1784" s="4">
        <v>173.0</v>
      </c>
      <c r="D1784" s="5" t="str">
        <f>HYPERLINK("https://www.linkedin.com/ad-library/detail/1561044236","Open Ad")</f>
        <v>Open Ad</v>
      </c>
      <c r="E1784" s="4" t="s">
        <v>5970</v>
      </c>
      <c r="F1784" s="4" t="s">
        <v>54</v>
      </c>
      <c r="G1784" s="4" t="s">
        <v>5980</v>
      </c>
      <c r="H1784" s="4" t="s">
        <v>49</v>
      </c>
      <c r="I1784" s="4" t="s">
        <v>6005</v>
      </c>
      <c r="J1784" s="4" t="s">
        <v>5973</v>
      </c>
      <c r="K1784" s="4" t="s">
        <v>59</v>
      </c>
      <c r="L1784" s="4" t="s">
        <v>106</v>
      </c>
      <c r="M1784" s="4" t="s">
        <v>5965</v>
      </c>
      <c r="O1784" s="4" t="s">
        <v>63</v>
      </c>
      <c r="P1784" s="4" t="s">
        <v>64</v>
      </c>
    </row>
    <row r="1785">
      <c r="A1785" s="4" t="s">
        <v>5965</v>
      </c>
      <c r="B1785" s="4" t="s">
        <v>5965</v>
      </c>
      <c r="C1785" s="4">
        <v>174.0</v>
      </c>
      <c r="D1785" s="5" t="str">
        <f>HYPERLINK("https://www.linkedin.com/ad-library/detail/1561034066","Open Ad")</f>
        <v>Open Ad</v>
      </c>
      <c r="E1785" s="4" t="s">
        <v>78</v>
      </c>
      <c r="F1785" s="4" t="s">
        <v>54</v>
      </c>
      <c r="G1785" s="4" t="s">
        <v>6080</v>
      </c>
      <c r="H1785" s="4" t="s">
        <v>49</v>
      </c>
      <c r="I1785" s="4" t="s">
        <v>6005</v>
      </c>
      <c r="J1785" s="4" t="s">
        <v>78</v>
      </c>
      <c r="K1785" s="5" t="str">
        <f t="shared" ref="K1785:K1787" si="21">HYPERLINK("https://media.licdn.com/dms/image/v2/D4E10AQGYRIIgGEIVqw/image-shrink_1280/B4EaAblpr_KYAc-/0/1787169250739?e=2147483647&amp;v=beta&amp;t=FODyphvpfuavIWLNs3GuJKg5XejBb-dZCddnzPP4D1A","View Creative")</f>
        <v>View Creative</v>
      </c>
      <c r="L1785" s="4" t="s">
        <v>106</v>
      </c>
      <c r="M1785" s="4" t="s">
        <v>5965</v>
      </c>
      <c r="O1785" s="4" t="s">
        <v>63</v>
      </c>
      <c r="P1785" s="4" t="s">
        <v>64</v>
      </c>
    </row>
    <row r="1786">
      <c r="A1786" s="4" t="s">
        <v>5965</v>
      </c>
      <c r="B1786" s="4" t="s">
        <v>5965</v>
      </c>
      <c r="C1786" s="4">
        <v>175.0</v>
      </c>
      <c r="D1786" s="5" t="str">
        <f>HYPERLINK("https://www.linkedin.com/ad-library/detail/1561034076","Open Ad")</f>
        <v>Open Ad</v>
      </c>
      <c r="E1786" s="4" t="s">
        <v>78</v>
      </c>
      <c r="F1786" s="4" t="s">
        <v>54</v>
      </c>
      <c r="G1786" s="4" t="s">
        <v>6080</v>
      </c>
      <c r="H1786" s="4" t="s">
        <v>49</v>
      </c>
      <c r="I1786" s="4" t="s">
        <v>6005</v>
      </c>
      <c r="J1786" s="4" t="s">
        <v>78</v>
      </c>
      <c r="K1786" s="5" t="str">
        <f t="shared" si="21"/>
        <v>View Creative</v>
      </c>
      <c r="L1786" s="4" t="s">
        <v>106</v>
      </c>
      <c r="M1786" s="4" t="s">
        <v>5965</v>
      </c>
      <c r="O1786" s="4" t="s">
        <v>63</v>
      </c>
      <c r="P1786" s="4" t="s">
        <v>64</v>
      </c>
    </row>
    <row r="1787">
      <c r="A1787" s="4" t="s">
        <v>5965</v>
      </c>
      <c r="B1787" s="4" t="s">
        <v>5965</v>
      </c>
      <c r="C1787" s="4">
        <v>176.0</v>
      </c>
      <c r="D1787" s="5" t="str">
        <f>HYPERLINK("https://www.linkedin.com/ad-library/detail/1560947526","Open Ad")</f>
        <v>Open Ad</v>
      </c>
      <c r="E1787" s="4" t="s">
        <v>78</v>
      </c>
      <c r="F1787" s="4" t="s">
        <v>54</v>
      </c>
      <c r="G1787" s="4" t="s">
        <v>6080</v>
      </c>
      <c r="H1787" s="4" t="s">
        <v>49</v>
      </c>
      <c r="I1787" s="4" t="s">
        <v>6005</v>
      </c>
      <c r="J1787" s="4" t="s">
        <v>78</v>
      </c>
      <c r="K1787" s="5" t="str">
        <f t="shared" si="21"/>
        <v>View Creative</v>
      </c>
      <c r="L1787" s="4" t="s">
        <v>106</v>
      </c>
      <c r="M1787" s="4" t="s">
        <v>5965</v>
      </c>
      <c r="O1787" s="4" t="s">
        <v>63</v>
      </c>
      <c r="P1787" s="4" t="s">
        <v>64</v>
      </c>
    </row>
    <row r="1788">
      <c r="A1788" s="4" t="s">
        <v>5965</v>
      </c>
      <c r="B1788" s="4" t="s">
        <v>5965</v>
      </c>
      <c r="C1788" s="4">
        <v>177.0</v>
      </c>
      <c r="D1788" s="5" t="str">
        <f>HYPERLINK("https://www.linkedin.com/ad-library/detail/1560867306","Open Ad")</f>
        <v>Open Ad</v>
      </c>
      <c r="E1788" s="4" t="s">
        <v>121</v>
      </c>
      <c r="F1788" s="4" t="s">
        <v>54</v>
      </c>
      <c r="G1788" s="4" t="s">
        <v>6064</v>
      </c>
      <c r="H1788" s="4" t="s">
        <v>49</v>
      </c>
      <c r="I1788" s="4" t="s">
        <v>6005</v>
      </c>
      <c r="J1788" s="4" t="s">
        <v>121</v>
      </c>
      <c r="K1788" s="5" t="str">
        <f>HYPERLINK("https://dms.licdn.com/playlist/vid/v2/D5610AQHmpK6i5urdxw/mp4-640p-30fp-crf28/B56Z_9g3dnGcBI-/0/1786664686931?e=2147483647&amp;v=beta&amp;t=GCsbLwt4gnl3_O9GWS3zo0UqXqoJNExlwAjmUsNAqs8","View Creative")</f>
        <v>View Creative</v>
      </c>
      <c r="L1788" s="4" t="s">
        <v>106</v>
      </c>
      <c r="M1788" s="4" t="s">
        <v>5965</v>
      </c>
      <c r="O1788" s="4" t="s">
        <v>63</v>
      </c>
      <c r="P1788" s="4" t="s">
        <v>64</v>
      </c>
    </row>
    <row r="1789">
      <c r="A1789" s="4" t="s">
        <v>5965</v>
      </c>
      <c r="B1789" s="4" t="s">
        <v>5965</v>
      </c>
      <c r="C1789" s="4">
        <v>178.0</v>
      </c>
      <c r="D1789" s="5" t="str">
        <f>HYPERLINK("https://www.linkedin.com/ad-library/detail/1560937696","Open Ad")</f>
        <v>Open Ad</v>
      </c>
      <c r="E1789" s="4" t="s">
        <v>78</v>
      </c>
      <c r="F1789" s="4" t="s">
        <v>54</v>
      </c>
      <c r="G1789" s="4" t="s">
        <v>6084</v>
      </c>
      <c r="H1789" s="4" t="s">
        <v>49</v>
      </c>
      <c r="I1789" s="4" t="s">
        <v>6005</v>
      </c>
      <c r="J1789" s="4" t="s">
        <v>78</v>
      </c>
      <c r="K1789" s="5" t="str">
        <f>HYPERLINK("https://media.licdn.com/dms/image/v2/D4E10AQGg8MhwP8BRyA/image-shrink_1280/B4EZ_9nWa6J4Ag-/0/1786666379554?e=2147483647&amp;v=beta&amp;t=2vJTPrPN5M2twXSE6ZgOtUIcDY5-l6ctOHpGERmK348","View Creative")</f>
        <v>View Creative</v>
      </c>
      <c r="L1789" s="4" t="s">
        <v>106</v>
      </c>
      <c r="M1789" s="4" t="s">
        <v>5965</v>
      </c>
      <c r="O1789" s="4" t="s">
        <v>63</v>
      </c>
      <c r="P1789" s="4" t="s">
        <v>64</v>
      </c>
    </row>
    <row r="1790">
      <c r="A1790" s="4" t="s">
        <v>5965</v>
      </c>
      <c r="B1790" s="4" t="s">
        <v>5965</v>
      </c>
      <c r="C1790" s="4">
        <v>179.0</v>
      </c>
      <c r="D1790" s="5" t="str">
        <f>HYPERLINK("https://www.linkedin.com/ad-library/detail/1560917286","Open Ad")</f>
        <v>Open Ad</v>
      </c>
      <c r="E1790" s="4" t="s">
        <v>5970</v>
      </c>
      <c r="F1790" s="4" t="s">
        <v>54</v>
      </c>
      <c r="G1790" s="4" t="s">
        <v>6028</v>
      </c>
      <c r="H1790" s="4" t="s">
        <v>49</v>
      </c>
      <c r="I1790" s="4" t="s">
        <v>6005</v>
      </c>
      <c r="J1790" s="4" t="s">
        <v>5973</v>
      </c>
      <c r="K1790" s="4" t="s">
        <v>59</v>
      </c>
      <c r="L1790" s="4" t="s">
        <v>106</v>
      </c>
      <c r="M1790" s="4" t="s">
        <v>5965</v>
      </c>
      <c r="O1790" s="4" t="s">
        <v>63</v>
      </c>
      <c r="P1790" s="4" t="s">
        <v>64</v>
      </c>
    </row>
    <row r="1791">
      <c r="A1791" s="4" t="s">
        <v>5965</v>
      </c>
      <c r="B1791" s="4" t="s">
        <v>5965</v>
      </c>
      <c r="C1791" s="4">
        <v>180.0</v>
      </c>
      <c r="D1791" s="5" t="str">
        <f>HYPERLINK("https://www.linkedin.com/ad-library/detail/1560907836","Open Ad")</f>
        <v>Open Ad</v>
      </c>
      <c r="E1791" s="4" t="s">
        <v>78</v>
      </c>
      <c r="F1791" s="4" t="s">
        <v>54</v>
      </c>
      <c r="G1791" s="4" t="s">
        <v>6084</v>
      </c>
      <c r="H1791" s="4" t="s">
        <v>49</v>
      </c>
      <c r="I1791" s="4" t="s">
        <v>6005</v>
      </c>
      <c r="J1791" s="4" t="s">
        <v>78</v>
      </c>
      <c r="K1791" s="5" t="str">
        <f>HYPERLINK("https://media.licdn.com/dms/image/v2/D4E10AQGg8MhwP8BRyA/image-shrink_1280/B4EZ_9nWa6J4Ag-/0/1786666379554?e=2147483647&amp;v=beta&amp;t=2vJTPrPN5M2twXSE6ZgOtUIcDY5-l6ctOHpGERmK348","View Creative")</f>
        <v>View Creative</v>
      </c>
      <c r="L1791" s="4" t="s">
        <v>106</v>
      </c>
      <c r="M1791" s="4" t="s">
        <v>5965</v>
      </c>
      <c r="O1791" s="4" t="s">
        <v>63</v>
      </c>
      <c r="P1791" s="4" t="s">
        <v>64</v>
      </c>
    </row>
    <row r="1792">
      <c r="A1792" s="4" t="s">
        <v>5965</v>
      </c>
      <c r="B1792" s="4" t="s">
        <v>5965</v>
      </c>
      <c r="C1792" s="4">
        <v>181.0</v>
      </c>
      <c r="D1792" s="5" t="str">
        <f>HYPERLINK("https://www.linkedin.com/ad-library/detail/1560957396","Open Ad")</f>
        <v>Open Ad</v>
      </c>
      <c r="E1792" s="4" t="s">
        <v>78</v>
      </c>
      <c r="F1792" s="4" t="s">
        <v>54</v>
      </c>
      <c r="G1792" s="4" t="s">
        <v>6080</v>
      </c>
      <c r="H1792" s="4" t="s">
        <v>49</v>
      </c>
      <c r="I1792" s="4" t="s">
        <v>6005</v>
      </c>
      <c r="J1792" s="4" t="s">
        <v>78</v>
      </c>
      <c r="K1792" s="5" t="str">
        <f>HYPERLINK("https://media.licdn.com/dms/image/v2/D4E10AQGYRIIgGEIVqw/image-shrink_1280/B4EaAblpr_KYAc-/0/1787169250739?e=2147483647&amp;v=beta&amp;t=FODyphvpfuavIWLNs3GuJKg5XejBb-dZCddnzPP4D1A","View Creative")</f>
        <v>View Creative</v>
      </c>
      <c r="L1792" s="4" t="s">
        <v>106</v>
      </c>
      <c r="M1792" s="4" t="s">
        <v>5965</v>
      </c>
      <c r="O1792" s="4" t="s">
        <v>63</v>
      </c>
      <c r="P1792" s="4" t="s">
        <v>64</v>
      </c>
    </row>
    <row r="1793">
      <c r="A1793" s="4" t="s">
        <v>5965</v>
      </c>
      <c r="B1793" s="4" t="s">
        <v>5965</v>
      </c>
      <c r="C1793" s="4">
        <v>182.0</v>
      </c>
      <c r="D1793" s="5" t="str">
        <f>HYPERLINK("https://www.linkedin.com/ad-library/detail/1560917186","Open Ad")</f>
        <v>Open Ad</v>
      </c>
      <c r="E1793" s="4" t="s">
        <v>78</v>
      </c>
      <c r="F1793" s="4" t="s">
        <v>54</v>
      </c>
      <c r="G1793" s="4" t="s">
        <v>6084</v>
      </c>
      <c r="H1793" s="4" t="s">
        <v>49</v>
      </c>
      <c r="I1793" s="4" t="s">
        <v>6005</v>
      </c>
      <c r="J1793" s="4" t="s">
        <v>78</v>
      </c>
      <c r="K1793" s="5" t="str">
        <f t="shared" ref="K1793:K1795" si="22">HYPERLINK("https://media.licdn.com/dms/image/v2/D4E10AQGg8MhwP8BRyA/image-shrink_1280/B4EZ_9nWa6J4Ag-/0/1786666379554?e=2147483647&amp;v=beta&amp;t=2vJTPrPN5M2twXSE6ZgOtUIcDY5-l6ctOHpGERmK348","View Creative")</f>
        <v>View Creative</v>
      </c>
      <c r="L1793" s="4" t="s">
        <v>106</v>
      </c>
      <c r="M1793" s="4" t="s">
        <v>5965</v>
      </c>
      <c r="O1793" s="4" t="s">
        <v>63</v>
      </c>
      <c r="P1793" s="4" t="s">
        <v>64</v>
      </c>
    </row>
    <row r="1794">
      <c r="A1794" s="4" t="s">
        <v>5965</v>
      </c>
      <c r="B1794" s="4" t="s">
        <v>5965</v>
      </c>
      <c r="C1794" s="4">
        <v>183.0</v>
      </c>
      <c r="D1794" s="5" t="str">
        <f>HYPERLINK("https://www.linkedin.com/ad-library/detail/1560957386","Open Ad")</f>
        <v>Open Ad</v>
      </c>
      <c r="E1794" s="4" t="s">
        <v>78</v>
      </c>
      <c r="F1794" s="4" t="s">
        <v>54</v>
      </c>
      <c r="G1794" s="4" t="s">
        <v>6084</v>
      </c>
      <c r="H1794" s="4" t="s">
        <v>49</v>
      </c>
      <c r="I1794" s="4" t="s">
        <v>6005</v>
      </c>
      <c r="J1794" s="4" t="s">
        <v>78</v>
      </c>
      <c r="K1794" s="5" t="str">
        <f t="shared" si="22"/>
        <v>View Creative</v>
      </c>
      <c r="L1794" s="4" t="s">
        <v>106</v>
      </c>
      <c r="M1794" s="4" t="s">
        <v>5965</v>
      </c>
      <c r="O1794" s="4" t="s">
        <v>63</v>
      </c>
      <c r="P1794" s="4" t="s">
        <v>64</v>
      </c>
    </row>
    <row r="1795">
      <c r="A1795" s="4" t="s">
        <v>5965</v>
      </c>
      <c r="B1795" s="4" t="s">
        <v>5965</v>
      </c>
      <c r="C1795" s="4">
        <v>184.0</v>
      </c>
      <c r="D1795" s="5" t="str">
        <f>HYPERLINK("https://www.linkedin.com/ad-library/detail/1560907816","Open Ad")</f>
        <v>Open Ad</v>
      </c>
      <c r="E1795" s="4" t="s">
        <v>78</v>
      </c>
      <c r="F1795" s="4" t="s">
        <v>54</v>
      </c>
      <c r="G1795" s="4" t="s">
        <v>6084</v>
      </c>
      <c r="H1795" s="4" t="s">
        <v>49</v>
      </c>
      <c r="I1795" s="4" t="s">
        <v>6005</v>
      </c>
      <c r="J1795" s="4" t="s">
        <v>78</v>
      </c>
      <c r="K1795" s="5" t="str">
        <f t="shared" si="22"/>
        <v>View Creative</v>
      </c>
      <c r="L1795" s="4" t="s">
        <v>106</v>
      </c>
      <c r="M1795" s="4" t="s">
        <v>5965</v>
      </c>
      <c r="O1795" s="4" t="s">
        <v>63</v>
      </c>
      <c r="P1795" s="4" t="s">
        <v>64</v>
      </c>
    </row>
    <row r="1796">
      <c r="A1796" s="4" t="s">
        <v>5965</v>
      </c>
      <c r="B1796" s="4" t="s">
        <v>5965</v>
      </c>
      <c r="C1796" s="4">
        <v>185.0</v>
      </c>
      <c r="D1796" s="5" t="str">
        <f>HYPERLINK("https://www.linkedin.com/ad-library/detail/1561053686","Open Ad")</f>
        <v>Open Ad</v>
      </c>
      <c r="E1796" s="4" t="s">
        <v>78</v>
      </c>
      <c r="F1796" s="4" t="s">
        <v>54</v>
      </c>
      <c r="G1796" s="4" t="s">
        <v>6080</v>
      </c>
      <c r="H1796" s="4" t="s">
        <v>49</v>
      </c>
      <c r="I1796" s="4" t="s">
        <v>6005</v>
      </c>
      <c r="J1796" s="4" t="s">
        <v>78</v>
      </c>
      <c r="K1796" s="5" t="str">
        <f t="shared" ref="K1796:K1798" si="23">HYPERLINK("https://media.licdn.com/dms/image/v2/D4E10AQGYRIIgGEIVqw/image-shrink_1280/B4EaAblpr_KYAc-/0/1787169250739?e=2147483647&amp;v=beta&amp;t=FODyphvpfuavIWLNs3GuJKg5XejBb-dZCddnzPP4D1A","View Creative")</f>
        <v>View Creative</v>
      </c>
      <c r="L1796" s="4" t="s">
        <v>106</v>
      </c>
      <c r="M1796" s="4" t="s">
        <v>5965</v>
      </c>
      <c r="O1796" s="4" t="s">
        <v>63</v>
      </c>
      <c r="P1796" s="4" t="s">
        <v>64</v>
      </c>
    </row>
    <row r="1797">
      <c r="A1797" s="4" t="s">
        <v>5965</v>
      </c>
      <c r="B1797" s="4" t="s">
        <v>5965</v>
      </c>
      <c r="C1797" s="4">
        <v>186.0</v>
      </c>
      <c r="D1797" s="5" t="str">
        <f>HYPERLINK("https://www.linkedin.com/ad-library/detail/1560867496","Open Ad")</f>
        <v>Open Ad</v>
      </c>
      <c r="E1797" s="4" t="s">
        <v>78</v>
      </c>
      <c r="F1797" s="4" t="s">
        <v>54</v>
      </c>
      <c r="G1797" s="4" t="s">
        <v>6080</v>
      </c>
      <c r="H1797" s="4" t="s">
        <v>49</v>
      </c>
      <c r="I1797" s="4" t="s">
        <v>6005</v>
      </c>
      <c r="J1797" s="4" t="s">
        <v>78</v>
      </c>
      <c r="K1797" s="5" t="str">
        <f t="shared" si="23"/>
        <v>View Creative</v>
      </c>
      <c r="L1797" s="4" t="s">
        <v>106</v>
      </c>
      <c r="M1797" s="4" t="s">
        <v>5965</v>
      </c>
      <c r="O1797" s="4" t="s">
        <v>63</v>
      </c>
      <c r="P1797" s="4" t="s">
        <v>64</v>
      </c>
    </row>
    <row r="1798">
      <c r="A1798" s="4" t="s">
        <v>5965</v>
      </c>
      <c r="B1798" s="4" t="s">
        <v>5965</v>
      </c>
      <c r="C1798" s="4">
        <v>187.0</v>
      </c>
      <c r="D1798" s="5" t="str">
        <f>HYPERLINK("https://www.linkedin.com/ad-library/detail/1560927246","Open Ad")</f>
        <v>Open Ad</v>
      </c>
      <c r="E1798" s="4" t="s">
        <v>78</v>
      </c>
      <c r="F1798" s="4" t="s">
        <v>54</v>
      </c>
      <c r="G1798" s="4" t="s">
        <v>6080</v>
      </c>
      <c r="H1798" s="4" t="s">
        <v>49</v>
      </c>
      <c r="I1798" s="4" t="s">
        <v>6005</v>
      </c>
      <c r="J1798" s="4" t="s">
        <v>78</v>
      </c>
      <c r="K1798" s="5" t="str">
        <f t="shared" si="23"/>
        <v>View Creative</v>
      </c>
      <c r="L1798" s="4" t="s">
        <v>106</v>
      </c>
      <c r="M1798" s="4" t="s">
        <v>5965</v>
      </c>
      <c r="O1798" s="4" t="s">
        <v>63</v>
      </c>
      <c r="P1798" s="4" t="s">
        <v>64</v>
      </c>
    </row>
    <row r="1799">
      <c r="A1799" s="4" t="s">
        <v>5965</v>
      </c>
      <c r="B1799" s="4" t="s">
        <v>5965</v>
      </c>
      <c r="C1799" s="4">
        <v>188.0</v>
      </c>
      <c r="D1799" s="5" t="str">
        <f>HYPERLINK("https://www.linkedin.com/ad-library/detail/1560927236","Open Ad")</f>
        <v>Open Ad</v>
      </c>
      <c r="E1799" s="4" t="s">
        <v>78</v>
      </c>
      <c r="F1799" s="4" t="s">
        <v>54</v>
      </c>
      <c r="G1799" s="4" t="s">
        <v>6084</v>
      </c>
      <c r="H1799" s="4" t="s">
        <v>49</v>
      </c>
      <c r="I1799" s="4" t="s">
        <v>6005</v>
      </c>
      <c r="J1799" s="4" t="s">
        <v>78</v>
      </c>
      <c r="K1799" s="5" t="str">
        <f>HYPERLINK("https://media.licdn.com/dms/image/v2/D4E10AQGg8MhwP8BRyA/image-shrink_1280/B4EZ_9nWa6J4Ag-/0/1786666379554?e=2147483647&amp;v=beta&amp;t=2vJTPrPN5M2twXSE6ZgOtUIcDY5-l6ctOHpGERmK348","View Creative")</f>
        <v>View Creative</v>
      </c>
      <c r="L1799" s="4" t="s">
        <v>106</v>
      </c>
      <c r="M1799" s="4" t="s">
        <v>5965</v>
      </c>
      <c r="O1799" s="4" t="s">
        <v>63</v>
      </c>
      <c r="P1799" s="4" t="s">
        <v>64</v>
      </c>
    </row>
    <row r="1800">
      <c r="A1800" s="4" t="s">
        <v>5965</v>
      </c>
      <c r="B1800" s="4" t="s">
        <v>5965</v>
      </c>
      <c r="C1800" s="4">
        <v>189.0</v>
      </c>
      <c r="D1800" s="5" t="str">
        <f>HYPERLINK("https://www.linkedin.com/ad-library/detail/1560847936","Open Ad")</f>
        <v>Open Ad</v>
      </c>
      <c r="E1800" s="4" t="s">
        <v>78</v>
      </c>
      <c r="F1800" s="4" t="s">
        <v>54</v>
      </c>
      <c r="G1800" s="4" t="s">
        <v>6080</v>
      </c>
      <c r="H1800" s="4" t="s">
        <v>49</v>
      </c>
      <c r="I1800" s="4" t="s">
        <v>6005</v>
      </c>
      <c r="J1800" s="4" t="s">
        <v>78</v>
      </c>
      <c r="K1800" s="5" t="str">
        <f>HYPERLINK("https://media.licdn.com/dms/image/v2/D4E10AQGYRIIgGEIVqw/image-shrink_1280/B4EaAblpr_KYAc-/0/1787169250739?e=2147483647&amp;v=beta&amp;t=FODyphvpfuavIWLNs3GuJKg5XejBb-dZCddnzPP4D1A","View Creative")</f>
        <v>View Creative</v>
      </c>
      <c r="L1800" s="4" t="s">
        <v>106</v>
      </c>
      <c r="M1800" s="4" t="s">
        <v>5965</v>
      </c>
      <c r="O1800" s="4" t="s">
        <v>63</v>
      </c>
      <c r="P1800" s="4" t="s">
        <v>64</v>
      </c>
    </row>
    <row r="1801">
      <c r="A1801" s="4" t="s">
        <v>5965</v>
      </c>
      <c r="B1801" s="4" t="s">
        <v>5965</v>
      </c>
      <c r="C1801" s="4">
        <v>190.0</v>
      </c>
      <c r="D1801" s="5" t="str">
        <f>HYPERLINK("https://www.linkedin.com/ad-library/detail/1560986636","Open Ad")</f>
        <v>Open Ad</v>
      </c>
      <c r="E1801" s="4" t="s">
        <v>78</v>
      </c>
      <c r="F1801" s="4" t="s">
        <v>54</v>
      </c>
      <c r="G1801" s="4" t="s">
        <v>6084</v>
      </c>
      <c r="H1801" s="4" t="s">
        <v>49</v>
      </c>
      <c r="I1801" s="4" t="s">
        <v>6005</v>
      </c>
      <c r="J1801" s="4" t="s">
        <v>78</v>
      </c>
      <c r="K1801" s="5" t="str">
        <f t="shared" ref="K1801:K1802" si="24">HYPERLINK("https://media.licdn.com/dms/image/v2/D4E10AQGg8MhwP8BRyA/image-shrink_1280/B4EZ_9nWa6J4Ag-/0/1786666379554?e=2147483647&amp;v=beta&amp;t=2vJTPrPN5M2twXSE6ZgOtUIcDY5-l6ctOHpGERmK348","View Creative")</f>
        <v>View Creative</v>
      </c>
      <c r="L1801" s="4" t="s">
        <v>106</v>
      </c>
      <c r="M1801" s="4" t="s">
        <v>5965</v>
      </c>
      <c r="O1801" s="4" t="s">
        <v>63</v>
      </c>
      <c r="P1801" s="4" t="s">
        <v>64</v>
      </c>
    </row>
    <row r="1802">
      <c r="A1802" s="4" t="s">
        <v>5965</v>
      </c>
      <c r="B1802" s="4" t="s">
        <v>5965</v>
      </c>
      <c r="C1802" s="4">
        <v>191.0</v>
      </c>
      <c r="D1802" s="5" t="str">
        <f>HYPERLINK("https://www.linkedin.com/ad-library/detail/1560818796","Open Ad")</f>
        <v>Open Ad</v>
      </c>
      <c r="E1802" s="4" t="s">
        <v>78</v>
      </c>
      <c r="F1802" s="4" t="s">
        <v>54</v>
      </c>
      <c r="G1802" s="4" t="s">
        <v>6084</v>
      </c>
      <c r="H1802" s="4" t="s">
        <v>49</v>
      </c>
      <c r="I1802" s="4" t="s">
        <v>6005</v>
      </c>
      <c r="J1802" s="4" t="s">
        <v>78</v>
      </c>
      <c r="K1802" s="5" t="str">
        <f t="shared" si="24"/>
        <v>View Creative</v>
      </c>
      <c r="L1802" s="4" t="s">
        <v>106</v>
      </c>
      <c r="M1802" s="4" t="s">
        <v>5965</v>
      </c>
      <c r="O1802" s="4" t="s">
        <v>63</v>
      </c>
      <c r="P1802" s="4" t="s">
        <v>64</v>
      </c>
    </row>
    <row r="1803">
      <c r="A1803" s="4" t="s">
        <v>5965</v>
      </c>
      <c r="B1803" s="4" t="s">
        <v>5965</v>
      </c>
      <c r="C1803" s="4">
        <v>192.0</v>
      </c>
      <c r="D1803" s="5" t="str">
        <f>HYPERLINK("https://www.linkedin.com/ad-library/detail/1561024746","Open Ad")</f>
        <v>Open Ad</v>
      </c>
      <c r="E1803" s="4" t="s">
        <v>78</v>
      </c>
      <c r="F1803" s="4" t="s">
        <v>54</v>
      </c>
      <c r="G1803" s="4" t="s">
        <v>6080</v>
      </c>
      <c r="H1803" s="4" t="s">
        <v>49</v>
      </c>
      <c r="I1803" s="4" t="s">
        <v>6005</v>
      </c>
      <c r="J1803" s="4" t="s">
        <v>78</v>
      </c>
      <c r="K1803" s="5" t="str">
        <f>HYPERLINK("https://media.licdn.com/dms/image/v2/D4E10AQGYRIIgGEIVqw/image-shrink_1280/B4EaAblpr_KYAc-/0/1787169250739?e=2147483647&amp;v=beta&amp;t=FODyphvpfuavIWLNs3GuJKg5XejBb-dZCddnzPP4D1A","View Creative")</f>
        <v>View Creative</v>
      </c>
      <c r="L1803" s="4" t="s">
        <v>106</v>
      </c>
      <c r="M1803" s="4" t="s">
        <v>5965</v>
      </c>
      <c r="O1803" s="4" t="s">
        <v>63</v>
      </c>
      <c r="P1803" s="4" t="s">
        <v>64</v>
      </c>
    </row>
    <row r="1804">
      <c r="A1804" s="4" t="s">
        <v>5965</v>
      </c>
      <c r="B1804" s="4" t="s">
        <v>5965</v>
      </c>
      <c r="C1804" s="4">
        <v>193.0</v>
      </c>
      <c r="D1804" s="5" t="str">
        <f>HYPERLINK("https://www.linkedin.com/ad-library/detail/1556562676","Open Ad")</f>
        <v>Open Ad</v>
      </c>
      <c r="E1804" s="4" t="s">
        <v>5970</v>
      </c>
      <c r="F1804" s="4" t="s">
        <v>54</v>
      </c>
      <c r="G1804" s="4" t="s">
        <v>6028</v>
      </c>
      <c r="H1804" s="4" t="s">
        <v>49</v>
      </c>
      <c r="I1804" s="4" t="s">
        <v>6005</v>
      </c>
      <c r="J1804" s="4" t="s">
        <v>5973</v>
      </c>
      <c r="K1804" s="4" t="s">
        <v>59</v>
      </c>
      <c r="L1804" s="4" t="s">
        <v>106</v>
      </c>
      <c r="M1804" s="4" t="s">
        <v>5965</v>
      </c>
      <c r="O1804" s="4" t="s">
        <v>63</v>
      </c>
      <c r="P1804" s="4" t="s">
        <v>64</v>
      </c>
    </row>
    <row r="1805">
      <c r="A1805" s="4" t="s">
        <v>5965</v>
      </c>
      <c r="B1805" s="4" t="s">
        <v>5965</v>
      </c>
      <c r="C1805" s="4">
        <v>194.0</v>
      </c>
      <c r="D1805" s="5" t="str">
        <f>HYPERLINK("https://www.linkedin.com/ad-library/detail/1557022546","Open Ad")</f>
        <v>Open Ad</v>
      </c>
      <c r="E1805" s="4" t="s">
        <v>5970</v>
      </c>
      <c r="F1805" s="4" t="s">
        <v>54</v>
      </c>
      <c r="G1805" s="4" t="s">
        <v>6028</v>
      </c>
      <c r="H1805" s="4" t="s">
        <v>49</v>
      </c>
      <c r="I1805" s="4" t="s">
        <v>6005</v>
      </c>
      <c r="J1805" s="4" t="s">
        <v>5973</v>
      </c>
      <c r="K1805" s="4" t="s">
        <v>59</v>
      </c>
      <c r="L1805" s="4" t="s">
        <v>106</v>
      </c>
      <c r="M1805" s="4" t="s">
        <v>5965</v>
      </c>
      <c r="O1805" s="4" t="s">
        <v>63</v>
      </c>
      <c r="P1805" s="4" t="s">
        <v>64</v>
      </c>
    </row>
    <row r="1806">
      <c r="A1806" s="4" t="s">
        <v>5965</v>
      </c>
      <c r="B1806" s="4" t="s">
        <v>5965</v>
      </c>
      <c r="C1806" s="4">
        <v>195.0</v>
      </c>
      <c r="D1806" s="5" t="str">
        <f>HYPERLINK("https://www.linkedin.com/ad-library/detail/1556922996","Open Ad")</f>
        <v>Open Ad</v>
      </c>
      <c r="E1806" s="4" t="s">
        <v>5970</v>
      </c>
      <c r="F1806" s="4" t="s">
        <v>54</v>
      </c>
      <c r="G1806" s="4" t="s">
        <v>5980</v>
      </c>
      <c r="H1806" s="4" t="s">
        <v>49</v>
      </c>
      <c r="I1806" s="4" t="s">
        <v>6005</v>
      </c>
      <c r="J1806" s="4" t="s">
        <v>5973</v>
      </c>
      <c r="K1806" s="4" t="s">
        <v>59</v>
      </c>
      <c r="L1806" s="4" t="s">
        <v>106</v>
      </c>
      <c r="M1806" s="4" t="s">
        <v>5965</v>
      </c>
      <c r="O1806" s="4" t="s">
        <v>63</v>
      </c>
      <c r="P1806" s="4" t="s">
        <v>64</v>
      </c>
    </row>
    <row r="1807">
      <c r="A1807" s="4" t="s">
        <v>5965</v>
      </c>
      <c r="B1807" s="4" t="s">
        <v>5965</v>
      </c>
      <c r="C1807" s="4">
        <v>196.0</v>
      </c>
      <c r="D1807" s="5" t="str">
        <f>HYPERLINK("https://www.linkedin.com/ad-library/detail/1560966646","Open Ad")</f>
        <v>Open Ad</v>
      </c>
      <c r="E1807" s="4" t="s">
        <v>121</v>
      </c>
      <c r="F1807" s="4" t="s">
        <v>54</v>
      </c>
      <c r="G1807" s="4" t="s">
        <v>6064</v>
      </c>
      <c r="H1807" s="4" t="s">
        <v>49</v>
      </c>
      <c r="I1807" s="4" t="s">
        <v>6005</v>
      </c>
      <c r="J1807" s="4" t="s">
        <v>121</v>
      </c>
      <c r="K1807" s="5" t="str">
        <f>HYPERLINK("https://dms.licdn.com/playlist/vid/v2/D5610AQHmpK6i5urdxw/mp4-640p-30fp-crf28/B56Z_9g3dnGcBI-/0/1786664686931?e=2147483647&amp;v=beta&amp;t=GCsbLwt4gnl3_O9GWS3zo0UqXqoJNExlwAjmUsNAqs8","View Creative")</f>
        <v>View Creative</v>
      </c>
      <c r="L1807" s="4" t="s">
        <v>106</v>
      </c>
      <c r="M1807" s="4" t="s">
        <v>5965</v>
      </c>
      <c r="O1807" s="4" t="s">
        <v>63</v>
      </c>
      <c r="P1807" s="4" t="s">
        <v>64</v>
      </c>
    </row>
    <row r="1808">
      <c r="A1808" s="4" t="s">
        <v>5965</v>
      </c>
      <c r="B1808" s="4" t="s">
        <v>5965</v>
      </c>
      <c r="C1808" s="4">
        <v>197.0</v>
      </c>
      <c r="D1808" s="5" t="str">
        <f>HYPERLINK("https://www.linkedin.com/ad-library/detail/1553822396","Open Ad")</f>
        <v>Open Ad</v>
      </c>
      <c r="E1808" s="4" t="s">
        <v>78</v>
      </c>
      <c r="F1808" s="4" t="s">
        <v>54</v>
      </c>
      <c r="G1808" s="4" t="s">
        <v>6115</v>
      </c>
      <c r="H1808" s="4" t="s">
        <v>49</v>
      </c>
      <c r="I1808" s="4" t="s">
        <v>6005</v>
      </c>
      <c r="J1808" s="4" t="s">
        <v>78</v>
      </c>
      <c r="K1808" s="5" t="str">
        <f>HYPERLINK("https://media.licdn.com/dms/image/v2/D5610AQHFfjbCTN-dvA/image-shrink_1280/B56Z_sYYtrGsAc-/0/1786377243930/Profound_GM_SEOShift_1x11png?e=2147483647&amp;v=beta&amp;t=K2HnNkfefN4yKanNO6XcCia00T4_yqzbxVBVyf8CLmk","View Creative")</f>
        <v>View Creative</v>
      </c>
      <c r="L1808" s="4" t="s">
        <v>106</v>
      </c>
      <c r="M1808" s="4" t="s">
        <v>5965</v>
      </c>
      <c r="O1808" s="4" t="s">
        <v>63</v>
      </c>
      <c r="P1808" s="4" t="s">
        <v>64</v>
      </c>
    </row>
    <row r="1809">
      <c r="A1809" s="4" t="s">
        <v>5965</v>
      </c>
      <c r="B1809" s="4" t="s">
        <v>5965</v>
      </c>
      <c r="C1809" s="4">
        <v>198.0</v>
      </c>
      <c r="D1809" s="5" t="str">
        <f>HYPERLINK("https://www.linkedin.com/ad-library/detail/1556562716","Open Ad")</f>
        <v>Open Ad</v>
      </c>
      <c r="E1809" s="4" t="s">
        <v>5970</v>
      </c>
      <c r="F1809" s="4" t="s">
        <v>54</v>
      </c>
      <c r="G1809" s="4" t="s">
        <v>6116</v>
      </c>
      <c r="H1809" s="4" t="s">
        <v>49</v>
      </c>
      <c r="I1809" s="4" t="s">
        <v>6005</v>
      </c>
      <c r="J1809" s="4" t="s">
        <v>5973</v>
      </c>
      <c r="K1809" s="4" t="s">
        <v>59</v>
      </c>
      <c r="L1809" s="4" t="s">
        <v>106</v>
      </c>
      <c r="M1809" s="4" t="s">
        <v>5965</v>
      </c>
      <c r="O1809" s="4" t="s">
        <v>63</v>
      </c>
      <c r="P1809" s="4" t="s">
        <v>64</v>
      </c>
    </row>
    <row r="1810">
      <c r="A1810" s="4" t="s">
        <v>5965</v>
      </c>
      <c r="B1810" s="4" t="s">
        <v>5965</v>
      </c>
      <c r="C1810" s="4">
        <v>199.0</v>
      </c>
      <c r="D1810" s="5" t="str">
        <f>HYPERLINK("https://www.linkedin.com/ad-library/detail/1560937436","Open Ad")</f>
        <v>Open Ad</v>
      </c>
      <c r="E1810" s="4" t="s">
        <v>121</v>
      </c>
      <c r="F1810" s="4" t="s">
        <v>54</v>
      </c>
      <c r="G1810" s="4" t="s">
        <v>6064</v>
      </c>
      <c r="H1810" s="4" t="s">
        <v>49</v>
      </c>
      <c r="I1810" s="4" t="s">
        <v>6005</v>
      </c>
      <c r="J1810" s="4" t="s">
        <v>121</v>
      </c>
      <c r="K1810" s="5" t="str">
        <f>HYPERLINK("https://dms.licdn.com/playlist/vid/v2/D5610AQHmpK6i5urdxw/mp4-640p-30fp-crf28/B56Z_9g3dnGcBI-/0/1786664686931?e=2147483647&amp;v=beta&amp;t=GCsbLwt4gnl3_O9GWS3zo0UqXqoJNExlwAjmUsNAqs8","View Creative")</f>
        <v>View Creative</v>
      </c>
      <c r="L1810" s="4" t="s">
        <v>106</v>
      </c>
      <c r="M1810" s="4" t="s">
        <v>5965</v>
      </c>
      <c r="O1810" s="4" t="s">
        <v>63</v>
      </c>
      <c r="P1810" s="4" t="s">
        <v>64</v>
      </c>
    </row>
    <row r="1811">
      <c r="A1811" s="4" t="s">
        <v>5965</v>
      </c>
      <c r="B1811" s="4" t="s">
        <v>5965</v>
      </c>
      <c r="C1811" s="4">
        <v>200.0</v>
      </c>
      <c r="D1811" s="5" t="str">
        <f>HYPERLINK("https://www.linkedin.com/ad-library/detail/1556488756","Open Ad")</f>
        <v>Open Ad</v>
      </c>
      <c r="E1811" s="4" t="s">
        <v>5970</v>
      </c>
      <c r="F1811" s="4" t="s">
        <v>54</v>
      </c>
      <c r="G1811" s="4" t="s">
        <v>5980</v>
      </c>
      <c r="H1811" s="4" t="s">
        <v>49</v>
      </c>
      <c r="I1811" s="4" t="s">
        <v>6005</v>
      </c>
      <c r="J1811" s="4" t="s">
        <v>5973</v>
      </c>
      <c r="K1811" s="4" t="s">
        <v>59</v>
      </c>
      <c r="L1811" s="4" t="s">
        <v>106</v>
      </c>
      <c r="M1811" s="4" t="s">
        <v>5965</v>
      </c>
      <c r="O1811" s="4" t="s">
        <v>63</v>
      </c>
      <c r="P1811" s="4" t="s">
        <v>64</v>
      </c>
    </row>
    <row r="1812">
      <c r="A1812" s="4" t="s">
        <v>5965</v>
      </c>
      <c r="B1812" s="4" t="s">
        <v>5965</v>
      </c>
      <c r="C1812" s="4">
        <v>201.0</v>
      </c>
      <c r="D1812" s="5" t="str">
        <f>HYPERLINK("https://www.linkedin.com/ad-library/detail/1556872926","Open Ad")</f>
        <v>Open Ad</v>
      </c>
      <c r="E1812" s="4" t="s">
        <v>5970</v>
      </c>
      <c r="F1812" s="4" t="s">
        <v>54</v>
      </c>
      <c r="G1812" s="4" t="s">
        <v>6116</v>
      </c>
      <c r="H1812" s="4" t="s">
        <v>49</v>
      </c>
      <c r="I1812" s="4" t="s">
        <v>6005</v>
      </c>
      <c r="J1812" s="4" t="s">
        <v>5973</v>
      </c>
      <c r="K1812" s="4" t="s">
        <v>59</v>
      </c>
      <c r="L1812" s="4" t="s">
        <v>106</v>
      </c>
      <c r="M1812" s="4" t="s">
        <v>5965</v>
      </c>
      <c r="O1812" s="4" t="s">
        <v>63</v>
      </c>
      <c r="P1812" s="4" t="s">
        <v>64</v>
      </c>
    </row>
    <row r="1813">
      <c r="A1813" s="4" t="s">
        <v>5965</v>
      </c>
      <c r="B1813" s="4" t="s">
        <v>5965</v>
      </c>
      <c r="C1813" s="4">
        <v>202.0</v>
      </c>
      <c r="D1813" s="5" t="str">
        <f>HYPERLINK("https://www.linkedin.com/ad-library/detail/1556702766","Open Ad")</f>
        <v>Open Ad</v>
      </c>
      <c r="E1813" s="4" t="s">
        <v>5970</v>
      </c>
      <c r="F1813" s="4" t="s">
        <v>54</v>
      </c>
      <c r="G1813" s="4" t="s">
        <v>6116</v>
      </c>
      <c r="H1813" s="4" t="s">
        <v>49</v>
      </c>
      <c r="I1813" s="4" t="s">
        <v>6005</v>
      </c>
      <c r="J1813" s="4" t="s">
        <v>5973</v>
      </c>
      <c r="K1813" s="4" t="s">
        <v>59</v>
      </c>
      <c r="L1813" s="4" t="s">
        <v>106</v>
      </c>
      <c r="M1813" s="4" t="s">
        <v>5965</v>
      </c>
      <c r="O1813" s="4" t="s">
        <v>63</v>
      </c>
      <c r="P1813" s="4" t="s">
        <v>64</v>
      </c>
    </row>
    <row r="1814">
      <c r="A1814" s="4" t="s">
        <v>5965</v>
      </c>
      <c r="B1814" s="4" t="s">
        <v>5965</v>
      </c>
      <c r="C1814" s="4">
        <v>203.0</v>
      </c>
      <c r="D1814" s="5" t="str">
        <f>HYPERLINK("https://www.linkedin.com/ad-library/detail/1557031356","Open Ad")</f>
        <v>Open Ad</v>
      </c>
      <c r="E1814" s="4" t="s">
        <v>5970</v>
      </c>
      <c r="F1814" s="4" t="s">
        <v>54</v>
      </c>
      <c r="G1814" s="4" t="s">
        <v>6028</v>
      </c>
      <c r="H1814" s="4" t="s">
        <v>49</v>
      </c>
      <c r="I1814" s="4" t="s">
        <v>6005</v>
      </c>
      <c r="J1814" s="4" t="s">
        <v>5973</v>
      </c>
      <c r="K1814" s="4" t="s">
        <v>59</v>
      </c>
      <c r="L1814" s="4" t="s">
        <v>106</v>
      </c>
      <c r="M1814" s="4" t="s">
        <v>5965</v>
      </c>
      <c r="O1814" s="4" t="s">
        <v>63</v>
      </c>
      <c r="P1814" s="4" t="s">
        <v>64</v>
      </c>
    </row>
    <row r="1815">
      <c r="A1815" s="4" t="s">
        <v>5965</v>
      </c>
      <c r="B1815" s="4" t="s">
        <v>5965</v>
      </c>
      <c r="C1815" s="4">
        <v>204.0</v>
      </c>
      <c r="D1815" s="5" t="str">
        <f>HYPERLINK("https://www.linkedin.com/ad-library/detail/1556504956","Open Ad")</f>
        <v>Open Ad</v>
      </c>
      <c r="E1815" s="4" t="s">
        <v>5970</v>
      </c>
      <c r="F1815" s="4" t="s">
        <v>54</v>
      </c>
      <c r="G1815" s="4" t="s">
        <v>6116</v>
      </c>
      <c r="H1815" s="4" t="s">
        <v>49</v>
      </c>
      <c r="I1815" s="4" t="s">
        <v>6005</v>
      </c>
      <c r="J1815" s="4" t="s">
        <v>5973</v>
      </c>
      <c r="K1815" s="4" t="s">
        <v>59</v>
      </c>
      <c r="L1815" s="4" t="s">
        <v>106</v>
      </c>
      <c r="M1815" s="4" t="s">
        <v>5965</v>
      </c>
      <c r="O1815" s="4" t="s">
        <v>63</v>
      </c>
      <c r="P1815" s="4" t="s">
        <v>64</v>
      </c>
    </row>
    <row r="1816">
      <c r="A1816" s="4" t="s">
        <v>5965</v>
      </c>
      <c r="B1816" s="4" t="s">
        <v>5965</v>
      </c>
      <c r="C1816" s="4">
        <v>205.0</v>
      </c>
      <c r="D1816" s="5" t="str">
        <f>HYPERLINK("https://www.linkedin.com/ad-library/detail/1557012926","Open Ad")</f>
        <v>Open Ad</v>
      </c>
      <c r="E1816" s="4" t="s">
        <v>5970</v>
      </c>
      <c r="F1816" s="4" t="s">
        <v>54</v>
      </c>
      <c r="G1816" s="4" t="s">
        <v>6116</v>
      </c>
      <c r="H1816" s="4" t="s">
        <v>49</v>
      </c>
      <c r="I1816" s="4" t="s">
        <v>6005</v>
      </c>
      <c r="J1816" s="4" t="s">
        <v>5973</v>
      </c>
      <c r="K1816" s="4" t="s">
        <v>59</v>
      </c>
      <c r="L1816" s="4" t="s">
        <v>106</v>
      </c>
      <c r="M1816" s="4" t="s">
        <v>5965</v>
      </c>
      <c r="O1816" s="4" t="s">
        <v>63</v>
      </c>
      <c r="P1816" s="4" t="s">
        <v>64</v>
      </c>
    </row>
    <row r="1817">
      <c r="A1817" s="4" t="s">
        <v>5965</v>
      </c>
      <c r="B1817" s="4" t="s">
        <v>5965</v>
      </c>
      <c r="C1817" s="4">
        <v>206.0</v>
      </c>
      <c r="D1817" s="5" t="str">
        <f>HYPERLINK("https://www.linkedin.com/ad-library/detail/1560907516","Open Ad")</f>
        <v>Open Ad</v>
      </c>
      <c r="E1817" s="4" t="s">
        <v>121</v>
      </c>
      <c r="F1817" s="4" t="s">
        <v>54</v>
      </c>
      <c r="G1817" s="4" t="s">
        <v>6064</v>
      </c>
      <c r="H1817" s="4" t="s">
        <v>49</v>
      </c>
      <c r="I1817" s="4" t="s">
        <v>6005</v>
      </c>
      <c r="J1817" s="4" t="s">
        <v>121</v>
      </c>
      <c r="K1817" s="5" t="str">
        <f t="shared" ref="K1817:K1819" si="25">HYPERLINK("https://dms.licdn.com/playlist/vid/v2/D5610AQHmpK6i5urdxw/mp4-640p-30fp-crf28/B56Z_9g3dnGcBI-/0/1786664686931?e=2147483647&amp;v=beta&amp;t=GCsbLwt4gnl3_O9GWS3zo0UqXqoJNExlwAjmUsNAqs8","View Creative")</f>
        <v>View Creative</v>
      </c>
      <c r="L1817" s="4" t="s">
        <v>106</v>
      </c>
      <c r="M1817" s="4" t="s">
        <v>5965</v>
      </c>
      <c r="O1817" s="4" t="s">
        <v>63</v>
      </c>
      <c r="P1817" s="4" t="s">
        <v>64</v>
      </c>
    </row>
    <row r="1818">
      <c r="A1818" s="4" t="s">
        <v>5965</v>
      </c>
      <c r="B1818" s="4" t="s">
        <v>5965</v>
      </c>
      <c r="C1818" s="4">
        <v>207.0</v>
      </c>
      <c r="D1818" s="5" t="str">
        <f>HYPERLINK("https://www.linkedin.com/ad-library/detail/1561033806","Open Ad")</f>
        <v>Open Ad</v>
      </c>
      <c r="E1818" s="4" t="s">
        <v>121</v>
      </c>
      <c r="F1818" s="4" t="s">
        <v>54</v>
      </c>
      <c r="G1818" s="4" t="s">
        <v>6064</v>
      </c>
      <c r="H1818" s="4" t="s">
        <v>49</v>
      </c>
      <c r="I1818" s="4" t="s">
        <v>6005</v>
      </c>
      <c r="J1818" s="4" t="s">
        <v>121</v>
      </c>
      <c r="K1818" s="5" t="str">
        <f t="shared" si="25"/>
        <v>View Creative</v>
      </c>
      <c r="L1818" s="4" t="s">
        <v>106</v>
      </c>
      <c r="M1818" s="4" t="s">
        <v>5965</v>
      </c>
      <c r="O1818" s="4" t="s">
        <v>63</v>
      </c>
      <c r="P1818" s="4" t="s">
        <v>64</v>
      </c>
    </row>
    <row r="1819">
      <c r="A1819" s="4" t="s">
        <v>5965</v>
      </c>
      <c r="B1819" s="4" t="s">
        <v>5965</v>
      </c>
      <c r="C1819" s="4">
        <v>208.0</v>
      </c>
      <c r="D1819" s="5" t="str">
        <f>HYPERLINK("https://www.linkedin.com/ad-library/detail/1560828736","Open Ad")</f>
        <v>Open Ad</v>
      </c>
      <c r="E1819" s="4" t="s">
        <v>121</v>
      </c>
      <c r="F1819" s="4" t="s">
        <v>54</v>
      </c>
      <c r="G1819" s="4" t="s">
        <v>6064</v>
      </c>
      <c r="H1819" s="4" t="s">
        <v>49</v>
      </c>
      <c r="I1819" s="4" t="s">
        <v>6005</v>
      </c>
      <c r="J1819" s="4" t="s">
        <v>121</v>
      </c>
      <c r="K1819" s="5" t="str">
        <f t="shared" si="25"/>
        <v>View Creative</v>
      </c>
      <c r="L1819" s="4" t="s">
        <v>106</v>
      </c>
      <c r="M1819" s="4" t="s">
        <v>5965</v>
      </c>
      <c r="O1819" s="4" t="s">
        <v>63</v>
      </c>
      <c r="P1819" s="4" t="s">
        <v>64</v>
      </c>
    </row>
    <row r="1820">
      <c r="A1820" s="4" t="s">
        <v>5965</v>
      </c>
      <c r="B1820" s="4" t="s">
        <v>5965</v>
      </c>
      <c r="C1820" s="4">
        <v>209.0</v>
      </c>
      <c r="D1820" s="5" t="str">
        <f>HYPERLINK("https://www.linkedin.com/ad-library/detail/1509114024","Open Ad")</f>
        <v>Open Ad</v>
      </c>
      <c r="E1820" s="4" t="s">
        <v>78</v>
      </c>
      <c r="F1820" s="4" t="s">
        <v>54</v>
      </c>
      <c r="G1820" s="4" t="s">
        <v>6128</v>
      </c>
      <c r="H1820" s="4" t="s">
        <v>49</v>
      </c>
      <c r="I1820" s="4" t="s">
        <v>6005</v>
      </c>
      <c r="J1820" s="4" t="s">
        <v>78</v>
      </c>
      <c r="K1820" s="5" t="str">
        <f>HYPERLINK("https://media.licdn.com/dms/image/v2/D4E22AQGDO6QNUoEHeQ/feedshare-shrink_1280/B4EZ30IqhDJUAM-/0/1777917405566?e=2147483647&amp;v=beta&amp;t=j4ry-6uvb4eBmynQ7SHY_OPs9jU4iM3E5OHx3CGIVwU","View Creative")</f>
        <v>View Creative</v>
      </c>
      <c r="L1820" s="4" t="s">
        <v>106</v>
      </c>
      <c r="M1820" s="4" t="s">
        <v>5965</v>
      </c>
      <c r="O1820" s="4" t="s">
        <v>63</v>
      </c>
      <c r="P1820" s="4" t="s">
        <v>64</v>
      </c>
    </row>
    <row r="1821">
      <c r="A1821" s="4" t="s">
        <v>5965</v>
      </c>
      <c r="B1821" s="4" t="s">
        <v>5965</v>
      </c>
      <c r="C1821" s="4">
        <v>210.0</v>
      </c>
      <c r="D1821" s="5" t="str">
        <f>HYPERLINK("https://www.linkedin.com/ad-library/detail/1556613566","Open Ad")</f>
        <v>Open Ad</v>
      </c>
      <c r="E1821" s="4" t="s">
        <v>5970</v>
      </c>
      <c r="F1821" s="4" t="s">
        <v>54</v>
      </c>
      <c r="G1821" s="4" t="s">
        <v>6116</v>
      </c>
      <c r="H1821" s="4" t="s">
        <v>49</v>
      </c>
      <c r="I1821" s="4" t="s">
        <v>6005</v>
      </c>
      <c r="J1821" s="4" t="s">
        <v>5973</v>
      </c>
      <c r="K1821" s="4" t="s">
        <v>59</v>
      </c>
      <c r="L1821" s="4" t="s">
        <v>106</v>
      </c>
      <c r="M1821" s="4" t="s">
        <v>5965</v>
      </c>
      <c r="O1821" s="4" t="s">
        <v>63</v>
      </c>
      <c r="P1821" s="4" t="s">
        <v>64</v>
      </c>
    </row>
    <row r="1822">
      <c r="A1822" s="4" t="s">
        <v>5965</v>
      </c>
      <c r="B1822" s="4" t="s">
        <v>5965</v>
      </c>
      <c r="C1822" s="4">
        <v>211.0</v>
      </c>
      <c r="D1822" s="5" t="str">
        <f>HYPERLINK("https://www.linkedin.com/ad-library/detail/1560828726","Open Ad")</f>
        <v>Open Ad</v>
      </c>
      <c r="E1822" s="4" t="s">
        <v>121</v>
      </c>
      <c r="F1822" s="4" t="s">
        <v>54</v>
      </c>
      <c r="G1822" s="4" t="s">
        <v>6064</v>
      </c>
      <c r="H1822" s="4" t="s">
        <v>49</v>
      </c>
      <c r="I1822" s="4" t="s">
        <v>6005</v>
      </c>
      <c r="J1822" s="4" t="s">
        <v>121</v>
      </c>
      <c r="K1822" s="5" t="str">
        <f t="shared" ref="K1822:K1825" si="26">HYPERLINK("https://dms.licdn.com/playlist/vid/v2/D5610AQHmpK6i5urdxw/mp4-640p-30fp-crf28/B56Z_9g3dnGcBI-/0/1786664686931?e=2147483647&amp;v=beta&amp;t=GCsbLwt4gnl3_O9GWS3zo0UqXqoJNExlwAjmUsNAqs8","View Creative")</f>
        <v>View Creative</v>
      </c>
      <c r="L1822" s="4" t="s">
        <v>106</v>
      </c>
      <c r="M1822" s="4" t="s">
        <v>5965</v>
      </c>
      <c r="O1822" s="4" t="s">
        <v>63</v>
      </c>
      <c r="P1822" s="4" t="s">
        <v>64</v>
      </c>
    </row>
    <row r="1823">
      <c r="A1823" s="4" t="s">
        <v>5965</v>
      </c>
      <c r="B1823" s="4" t="s">
        <v>5965</v>
      </c>
      <c r="C1823" s="4">
        <v>212.0</v>
      </c>
      <c r="D1823" s="5" t="str">
        <f>HYPERLINK("https://www.linkedin.com/ad-library/detail/1561024556","Open Ad")</f>
        <v>Open Ad</v>
      </c>
      <c r="E1823" s="4" t="s">
        <v>121</v>
      </c>
      <c r="F1823" s="4" t="s">
        <v>54</v>
      </c>
      <c r="G1823" s="4" t="s">
        <v>6064</v>
      </c>
      <c r="H1823" s="4" t="s">
        <v>49</v>
      </c>
      <c r="I1823" s="4" t="s">
        <v>6005</v>
      </c>
      <c r="J1823" s="4" t="s">
        <v>121</v>
      </c>
      <c r="K1823" s="5" t="str">
        <f t="shared" si="26"/>
        <v>View Creative</v>
      </c>
      <c r="L1823" s="4" t="s">
        <v>106</v>
      </c>
      <c r="M1823" s="4" t="s">
        <v>5965</v>
      </c>
      <c r="O1823" s="4" t="s">
        <v>63</v>
      </c>
      <c r="P1823" s="4" t="s">
        <v>64</v>
      </c>
    </row>
    <row r="1824">
      <c r="A1824" s="4" t="s">
        <v>5965</v>
      </c>
      <c r="B1824" s="4" t="s">
        <v>5965</v>
      </c>
      <c r="C1824" s="4">
        <v>213.0</v>
      </c>
      <c r="D1824" s="5" t="str">
        <f>HYPERLINK("https://www.linkedin.com/ad-library/detail/1560877846","Open Ad")</f>
        <v>Open Ad</v>
      </c>
      <c r="E1824" s="4" t="s">
        <v>121</v>
      </c>
      <c r="F1824" s="4" t="s">
        <v>54</v>
      </c>
      <c r="G1824" s="4" t="s">
        <v>6064</v>
      </c>
      <c r="H1824" s="4" t="s">
        <v>49</v>
      </c>
      <c r="I1824" s="4" t="s">
        <v>6005</v>
      </c>
      <c r="J1824" s="4" t="s">
        <v>121</v>
      </c>
      <c r="K1824" s="5" t="str">
        <f t="shared" si="26"/>
        <v>View Creative</v>
      </c>
      <c r="L1824" s="4" t="s">
        <v>106</v>
      </c>
      <c r="M1824" s="4" t="s">
        <v>5965</v>
      </c>
      <c r="O1824" s="4" t="s">
        <v>63</v>
      </c>
      <c r="P1824" s="4" t="s">
        <v>64</v>
      </c>
    </row>
    <row r="1825">
      <c r="A1825" s="4" t="s">
        <v>5965</v>
      </c>
      <c r="B1825" s="4" t="s">
        <v>5965</v>
      </c>
      <c r="C1825" s="4">
        <v>214.0</v>
      </c>
      <c r="D1825" s="5" t="str">
        <f>HYPERLINK("https://www.linkedin.com/ad-library/detail/1560877856","Open Ad")</f>
        <v>Open Ad</v>
      </c>
      <c r="E1825" s="4" t="s">
        <v>121</v>
      </c>
      <c r="F1825" s="4" t="s">
        <v>54</v>
      </c>
      <c r="G1825" s="4" t="s">
        <v>6064</v>
      </c>
      <c r="H1825" s="4" t="s">
        <v>49</v>
      </c>
      <c r="I1825" s="4" t="s">
        <v>6005</v>
      </c>
      <c r="J1825" s="4" t="s">
        <v>121</v>
      </c>
      <c r="K1825" s="5" t="str">
        <f t="shared" si="26"/>
        <v>View Creative</v>
      </c>
      <c r="L1825" s="4" t="s">
        <v>106</v>
      </c>
      <c r="M1825" s="4" t="s">
        <v>5965</v>
      </c>
      <c r="O1825" s="4" t="s">
        <v>63</v>
      </c>
      <c r="P1825" s="4" t="s">
        <v>64</v>
      </c>
    </row>
    <row r="1826">
      <c r="A1826" s="4" t="s">
        <v>5965</v>
      </c>
      <c r="B1826" s="4" t="s">
        <v>5965</v>
      </c>
      <c r="C1826" s="4">
        <v>215.0</v>
      </c>
      <c r="D1826" s="5" t="str">
        <f>HYPERLINK("https://www.linkedin.com/ad-library/detail/1553812316","Open Ad")</f>
        <v>Open Ad</v>
      </c>
      <c r="E1826" s="4" t="s">
        <v>78</v>
      </c>
      <c r="F1826" s="4" t="s">
        <v>54</v>
      </c>
      <c r="G1826" s="4" t="s">
        <v>6115</v>
      </c>
      <c r="H1826" s="4" t="s">
        <v>49</v>
      </c>
      <c r="I1826" s="4" t="s">
        <v>6005</v>
      </c>
      <c r="J1826" s="4" t="s">
        <v>78</v>
      </c>
      <c r="K1826" s="5" t="str">
        <f>HYPERLINK("https://media.licdn.com/dms/image/v2/D5610AQGCArVcCr1v4Q/image-shrink_1280/B56Z_sYjPEKMAc-/0/1786377287113/Profound_GM_The90Stat_1x11png?e=2147483647&amp;v=beta&amp;t=ARJ5ncTsFN32_-jnIdsYAEVQhbSj3ZGdGZn9YCeVGRE","View Creative")</f>
        <v>View Creative</v>
      </c>
      <c r="L1826" s="4" t="s">
        <v>106</v>
      </c>
      <c r="M1826" s="4" t="s">
        <v>5965</v>
      </c>
      <c r="O1826" s="4" t="s">
        <v>63</v>
      </c>
      <c r="P1826" s="4" t="s">
        <v>64</v>
      </c>
    </row>
    <row r="1827">
      <c r="A1827" s="4" t="s">
        <v>5965</v>
      </c>
      <c r="B1827" s="4" t="s">
        <v>5965</v>
      </c>
      <c r="C1827" s="4">
        <v>216.0</v>
      </c>
      <c r="D1827" s="5" t="str">
        <f>HYPERLINK("https://www.linkedin.com/ad-library/detail/1556933376","Open Ad")</f>
        <v>Open Ad</v>
      </c>
      <c r="E1827" s="4" t="s">
        <v>5970</v>
      </c>
      <c r="F1827" s="4" t="s">
        <v>54</v>
      </c>
      <c r="G1827" s="4" t="s">
        <v>5980</v>
      </c>
      <c r="H1827" s="4" t="s">
        <v>49</v>
      </c>
      <c r="I1827" s="4" t="s">
        <v>6005</v>
      </c>
      <c r="J1827" s="4" t="s">
        <v>5973</v>
      </c>
      <c r="K1827" s="4" t="s">
        <v>59</v>
      </c>
      <c r="L1827" s="4" t="s">
        <v>106</v>
      </c>
      <c r="M1827" s="4" t="s">
        <v>5965</v>
      </c>
      <c r="O1827" s="4" t="s">
        <v>63</v>
      </c>
      <c r="P1827" s="4" t="s">
        <v>64</v>
      </c>
    </row>
    <row r="1828">
      <c r="A1828" s="4" t="s">
        <v>5965</v>
      </c>
      <c r="B1828" s="4" t="s">
        <v>5965</v>
      </c>
      <c r="C1828" s="4">
        <v>217.0</v>
      </c>
      <c r="D1828" s="5" t="str">
        <f>HYPERLINK("https://www.linkedin.com/ad-library/detail/1508287654","Open Ad")</f>
        <v>Open Ad</v>
      </c>
      <c r="E1828" s="4" t="s">
        <v>78</v>
      </c>
      <c r="F1828" s="4" t="s">
        <v>54</v>
      </c>
      <c r="G1828" s="4" t="s">
        <v>6137</v>
      </c>
      <c r="H1828" s="4" t="s">
        <v>49</v>
      </c>
      <c r="I1828" s="4" t="s">
        <v>6005</v>
      </c>
      <c r="J1828" s="4" t="s">
        <v>78</v>
      </c>
      <c r="K1828" s="5" t="str">
        <f>HYPERLINK("https://media.licdn.com/dms/image/v2/D5622AQE_F9zmHmJ0sQ/feedshare-shrink_1280/B56aAQqFMuIMAM-/0/1786985862272?e=2147483647&amp;v=beta&amp;t=Pd0UfsTiOZwD4r2CUs7jGsmuMB54Xh0tPEARAPb9YUM","View Creative")</f>
        <v>View Creative</v>
      </c>
      <c r="L1828" s="4" t="s">
        <v>106</v>
      </c>
      <c r="M1828" s="4" t="s">
        <v>5965</v>
      </c>
      <c r="O1828" s="4" t="s">
        <v>63</v>
      </c>
      <c r="P1828" s="4" t="s">
        <v>64</v>
      </c>
    </row>
    <row r="1829">
      <c r="A1829" s="4" t="s">
        <v>5965</v>
      </c>
      <c r="B1829" s="4" t="s">
        <v>5965</v>
      </c>
      <c r="C1829" s="4">
        <v>218.0</v>
      </c>
      <c r="D1829" s="5" t="str">
        <f>HYPERLINK("https://www.linkedin.com/ad-library/detail/1546456336","Open Ad")</f>
        <v>Open Ad</v>
      </c>
      <c r="E1829" s="4" t="s">
        <v>121</v>
      </c>
      <c r="F1829" s="4" t="s">
        <v>54</v>
      </c>
      <c r="G1829" s="4" t="s">
        <v>6046</v>
      </c>
      <c r="H1829" s="4" t="s">
        <v>49</v>
      </c>
      <c r="I1829" s="4" t="s">
        <v>6005</v>
      </c>
      <c r="J1829" s="4" t="s">
        <v>121</v>
      </c>
      <c r="K1829" s="5" t="str">
        <f t="shared" ref="K1829:K1830" si="27">HYPERLINK("https://dms.licdn.com/playlist/vid/v2/D5605AQHRYPjj651EQQ/mp4-720p-30fp-crf28/B56Z_r.CzRG4CI-/0/1786370377571?e=2147483647&amp;v=beta&amp;t=DwRxyyEjhkdvca5YVnOxPUTjFbyB3-Rvx-X1lXsVJ9Y","View Creative")</f>
        <v>View Creative</v>
      </c>
      <c r="L1829" s="4" t="s">
        <v>106</v>
      </c>
      <c r="M1829" s="4" t="s">
        <v>5965</v>
      </c>
      <c r="O1829" s="4" t="s">
        <v>63</v>
      </c>
      <c r="P1829" s="4" t="s">
        <v>64</v>
      </c>
    </row>
    <row r="1830">
      <c r="A1830" s="4" t="s">
        <v>5965</v>
      </c>
      <c r="B1830" s="4" t="s">
        <v>5965</v>
      </c>
      <c r="C1830" s="4">
        <v>219.0</v>
      </c>
      <c r="D1830" s="5" t="str">
        <f>HYPERLINK("https://www.linkedin.com/ad-library/detail/1546367286","Open Ad")</f>
        <v>Open Ad</v>
      </c>
      <c r="E1830" s="4" t="s">
        <v>121</v>
      </c>
      <c r="F1830" s="4" t="s">
        <v>54</v>
      </c>
      <c r="G1830" s="4" t="s">
        <v>6046</v>
      </c>
      <c r="H1830" s="4" t="s">
        <v>49</v>
      </c>
      <c r="I1830" s="4" t="s">
        <v>6005</v>
      </c>
      <c r="J1830" s="4" t="s">
        <v>121</v>
      </c>
      <c r="K1830" s="5" t="str">
        <f t="shared" si="27"/>
        <v>View Creative</v>
      </c>
      <c r="L1830" s="4" t="s">
        <v>106</v>
      </c>
      <c r="M1830" s="4" t="s">
        <v>5965</v>
      </c>
      <c r="O1830" s="4" t="s">
        <v>63</v>
      </c>
      <c r="P1830" s="4" t="s">
        <v>64</v>
      </c>
    </row>
    <row r="1831">
      <c r="A1831" s="4" t="s">
        <v>5965</v>
      </c>
      <c r="B1831" s="4" t="s">
        <v>5965</v>
      </c>
      <c r="C1831" s="4">
        <v>220.0</v>
      </c>
      <c r="D1831" s="5" t="str">
        <f>HYPERLINK("https://www.linkedin.com/ad-library/detail/1553792766","Open Ad")</f>
        <v>Open Ad</v>
      </c>
      <c r="E1831" s="4" t="s">
        <v>78</v>
      </c>
      <c r="F1831" s="4" t="s">
        <v>54</v>
      </c>
      <c r="G1831" s="4" t="s">
        <v>6115</v>
      </c>
      <c r="H1831" s="4" t="s">
        <v>49</v>
      </c>
      <c r="I1831" s="4" t="s">
        <v>6005</v>
      </c>
      <c r="J1831" s="4" t="s">
        <v>78</v>
      </c>
      <c r="K1831" s="5" t="str">
        <f>HYPERLINK("https://media.licdn.com/dms/image/v2/D5610AQFMbD1nRCmKig/image-shrink_1280/B56Z_sYxHeJsAc-/0/1786377344055/Profound_GM_37Stat_1x1png?e=2147483647&amp;v=beta&amp;t=8I-InHtprJMHfmZmPNfrQkm5TTrP1LFO-dsoL6eUajE","View Creative")</f>
        <v>View Creative</v>
      </c>
      <c r="L1831" s="4" t="s">
        <v>106</v>
      </c>
      <c r="M1831" s="4" t="s">
        <v>5965</v>
      </c>
      <c r="O1831" s="4" t="s">
        <v>63</v>
      </c>
      <c r="P1831" s="4" t="s">
        <v>64</v>
      </c>
    </row>
    <row r="1832">
      <c r="A1832" s="4" t="s">
        <v>5965</v>
      </c>
      <c r="B1832" s="4" t="s">
        <v>5965</v>
      </c>
      <c r="C1832" s="4">
        <v>221.0</v>
      </c>
      <c r="D1832" s="5" t="str">
        <f>HYPERLINK("https://www.linkedin.com/ad-library/detail/1553870376","Open Ad")</f>
        <v>Open Ad</v>
      </c>
      <c r="E1832" s="4" t="s">
        <v>5970</v>
      </c>
      <c r="F1832" s="4" t="s">
        <v>54</v>
      </c>
      <c r="G1832" s="4" t="s">
        <v>6028</v>
      </c>
      <c r="H1832" s="4" t="s">
        <v>49</v>
      </c>
      <c r="I1832" s="4" t="s">
        <v>6005</v>
      </c>
      <c r="J1832" s="4" t="s">
        <v>5973</v>
      </c>
      <c r="K1832" s="4" t="s">
        <v>59</v>
      </c>
      <c r="L1832" s="4" t="s">
        <v>106</v>
      </c>
      <c r="M1832" s="4" t="s">
        <v>5965</v>
      </c>
      <c r="O1832" s="4" t="s">
        <v>63</v>
      </c>
      <c r="P1832" s="4" t="s">
        <v>64</v>
      </c>
    </row>
    <row r="1833">
      <c r="A1833" s="4" t="s">
        <v>5965</v>
      </c>
      <c r="B1833" s="4" t="s">
        <v>5965</v>
      </c>
      <c r="C1833" s="4">
        <v>222.0</v>
      </c>
      <c r="D1833" s="5" t="str">
        <f>HYPERLINK("https://www.linkedin.com/ad-library/detail/1546456346","Open Ad")</f>
        <v>Open Ad</v>
      </c>
      <c r="E1833" s="4" t="s">
        <v>121</v>
      </c>
      <c r="F1833" s="4" t="s">
        <v>54</v>
      </c>
      <c r="G1833" s="4" t="s">
        <v>6046</v>
      </c>
      <c r="H1833" s="4" t="s">
        <v>49</v>
      </c>
      <c r="I1833" s="4" t="s">
        <v>6005</v>
      </c>
      <c r="J1833" s="4" t="s">
        <v>121</v>
      </c>
      <c r="K1833" s="5" t="str">
        <f t="shared" ref="K1833:K1835" si="28">HYPERLINK("https://dms.licdn.com/playlist/vid/v2/D5605AQHRYPjj651EQQ/mp4-720p-30fp-crf28/B56Z_r.CzRG4CI-/0/1786370377571?e=2147483647&amp;v=beta&amp;t=DwRxyyEjhkdvca5YVnOxPUTjFbyB3-Rvx-X1lXsVJ9Y","View Creative")</f>
        <v>View Creative</v>
      </c>
      <c r="L1833" s="4" t="s">
        <v>106</v>
      </c>
      <c r="M1833" s="4" t="s">
        <v>5965</v>
      </c>
      <c r="O1833" s="4" t="s">
        <v>63</v>
      </c>
      <c r="P1833" s="4" t="s">
        <v>64</v>
      </c>
    </row>
    <row r="1834">
      <c r="A1834" s="4" t="s">
        <v>5965</v>
      </c>
      <c r="B1834" s="4" t="s">
        <v>5965</v>
      </c>
      <c r="C1834" s="4">
        <v>223.0</v>
      </c>
      <c r="D1834" s="5" t="str">
        <f>HYPERLINK("https://www.linkedin.com/ad-library/detail/1546297716","Open Ad")</f>
        <v>Open Ad</v>
      </c>
      <c r="E1834" s="4" t="s">
        <v>121</v>
      </c>
      <c r="F1834" s="4" t="s">
        <v>54</v>
      </c>
      <c r="G1834" s="4" t="s">
        <v>6046</v>
      </c>
      <c r="H1834" s="4" t="s">
        <v>49</v>
      </c>
      <c r="I1834" s="4" t="s">
        <v>6005</v>
      </c>
      <c r="J1834" s="4" t="s">
        <v>121</v>
      </c>
      <c r="K1834" s="5" t="str">
        <f t="shared" si="28"/>
        <v>View Creative</v>
      </c>
      <c r="L1834" s="4" t="s">
        <v>106</v>
      </c>
      <c r="M1834" s="4" t="s">
        <v>5965</v>
      </c>
      <c r="O1834" s="4" t="s">
        <v>63</v>
      </c>
      <c r="P1834" s="4" t="s">
        <v>64</v>
      </c>
    </row>
    <row r="1835">
      <c r="A1835" s="4" t="s">
        <v>5965</v>
      </c>
      <c r="B1835" s="4" t="s">
        <v>5965</v>
      </c>
      <c r="C1835" s="4">
        <v>224.0</v>
      </c>
      <c r="D1835" s="5" t="str">
        <f>HYPERLINK("https://www.linkedin.com/ad-library/detail/1546278096","Open Ad")</f>
        <v>Open Ad</v>
      </c>
      <c r="E1835" s="4" t="s">
        <v>121</v>
      </c>
      <c r="F1835" s="4" t="s">
        <v>54</v>
      </c>
      <c r="G1835" s="4" t="s">
        <v>6046</v>
      </c>
      <c r="H1835" s="4" t="s">
        <v>49</v>
      </c>
      <c r="I1835" s="4" t="s">
        <v>6005</v>
      </c>
      <c r="J1835" s="4" t="s">
        <v>121</v>
      </c>
      <c r="K1835" s="5" t="str">
        <f t="shared" si="28"/>
        <v>View Creative</v>
      </c>
      <c r="L1835" s="4" t="s">
        <v>106</v>
      </c>
      <c r="M1835" s="4" t="s">
        <v>5965</v>
      </c>
      <c r="O1835" s="4" t="s">
        <v>63</v>
      </c>
      <c r="P1835" s="4" t="s">
        <v>64</v>
      </c>
    </row>
    <row r="1836">
      <c r="A1836" s="4" t="s">
        <v>5965</v>
      </c>
      <c r="B1836" s="4" t="s">
        <v>5965</v>
      </c>
      <c r="C1836" s="4">
        <v>225.0</v>
      </c>
      <c r="D1836" s="5" t="str">
        <f>HYPERLINK("https://www.linkedin.com/ad-library/detail/1553931816","Open Ad")</f>
        <v>Open Ad</v>
      </c>
      <c r="E1836" s="4" t="s">
        <v>78</v>
      </c>
      <c r="F1836" s="4" t="s">
        <v>54</v>
      </c>
      <c r="G1836" s="4" t="s">
        <v>6115</v>
      </c>
      <c r="H1836" s="4" t="s">
        <v>49</v>
      </c>
      <c r="I1836" s="4" t="s">
        <v>6005</v>
      </c>
      <c r="J1836" s="4" t="s">
        <v>78</v>
      </c>
      <c r="K1836" s="5" t="str">
        <f>HYPERLINK("https://media.licdn.com/dms/image/v2/D5610AQGQf9YCUEy6ow/image-shrink_1280/B56Z_sYCIuGQAk-/0/1786377151464/Profound_GM_TheRealityCheck_1x11png?e=2147483647&amp;v=beta&amp;t=zCppuPHQTkTVOU4TJwl5pRa5Zq35X7SEHbaNR-AzfsU","View Creative")</f>
        <v>View Creative</v>
      </c>
      <c r="L1836" s="4" t="s">
        <v>106</v>
      </c>
      <c r="M1836" s="4" t="s">
        <v>5965</v>
      </c>
      <c r="O1836" s="4" t="s">
        <v>63</v>
      </c>
      <c r="P1836" s="4" t="s">
        <v>64</v>
      </c>
    </row>
    <row r="1837">
      <c r="A1837" s="4" t="s">
        <v>5965</v>
      </c>
      <c r="B1837" s="4" t="s">
        <v>5965</v>
      </c>
      <c r="C1837" s="4">
        <v>226.0</v>
      </c>
      <c r="D1837" s="5" t="str">
        <f>HYPERLINK("https://www.linkedin.com/ad-library/detail/1553920906","Open Ad")</f>
        <v>Open Ad</v>
      </c>
      <c r="E1837" s="4" t="s">
        <v>5970</v>
      </c>
      <c r="F1837" s="4" t="s">
        <v>54</v>
      </c>
      <c r="G1837" s="4" t="s">
        <v>6028</v>
      </c>
      <c r="H1837" s="4" t="s">
        <v>49</v>
      </c>
      <c r="I1837" s="4" t="s">
        <v>6005</v>
      </c>
      <c r="J1837" s="4" t="s">
        <v>5973</v>
      </c>
      <c r="K1837" s="4" t="s">
        <v>59</v>
      </c>
      <c r="L1837" s="4" t="s">
        <v>106</v>
      </c>
      <c r="M1837" s="4" t="s">
        <v>5965</v>
      </c>
      <c r="O1837" s="4" t="s">
        <v>63</v>
      </c>
      <c r="P1837" s="4" t="s">
        <v>64</v>
      </c>
    </row>
    <row r="1838">
      <c r="A1838" s="4" t="s">
        <v>5965</v>
      </c>
      <c r="B1838" s="4" t="s">
        <v>5965</v>
      </c>
      <c r="C1838" s="4">
        <v>227.0</v>
      </c>
      <c r="D1838" s="5" t="str">
        <f>HYPERLINK("https://www.linkedin.com/ad-library/detail/1553950476","Open Ad")</f>
        <v>Open Ad</v>
      </c>
      <c r="E1838" s="4" t="s">
        <v>5970</v>
      </c>
      <c r="F1838" s="4" t="s">
        <v>54</v>
      </c>
      <c r="G1838" s="4" t="s">
        <v>6028</v>
      </c>
      <c r="H1838" s="4" t="s">
        <v>49</v>
      </c>
      <c r="I1838" s="4" t="s">
        <v>6005</v>
      </c>
      <c r="J1838" s="4" t="s">
        <v>5973</v>
      </c>
      <c r="K1838" s="4" t="s">
        <v>59</v>
      </c>
      <c r="L1838" s="4" t="s">
        <v>106</v>
      </c>
      <c r="M1838" s="4" t="s">
        <v>5965</v>
      </c>
      <c r="O1838" s="4" t="s">
        <v>63</v>
      </c>
      <c r="P1838" s="4" t="s">
        <v>64</v>
      </c>
    </row>
    <row r="1839">
      <c r="A1839" s="4" t="s">
        <v>5965</v>
      </c>
      <c r="B1839" s="4" t="s">
        <v>5965</v>
      </c>
      <c r="C1839" s="4">
        <v>228.0</v>
      </c>
      <c r="D1839" s="5" t="str">
        <f>HYPERLINK("https://www.linkedin.com/ad-library/detail/1546446656","Open Ad")</f>
        <v>Open Ad</v>
      </c>
      <c r="E1839" s="4" t="s">
        <v>121</v>
      </c>
      <c r="F1839" s="4" t="s">
        <v>54</v>
      </c>
      <c r="G1839" s="4" t="s">
        <v>6046</v>
      </c>
      <c r="H1839" s="4" t="s">
        <v>49</v>
      </c>
      <c r="I1839" s="4" t="s">
        <v>6005</v>
      </c>
      <c r="J1839" s="4" t="s">
        <v>121</v>
      </c>
      <c r="K1839" s="5" t="str">
        <f>HYPERLINK("https://dms.licdn.com/playlist/vid/v2/D5605AQHRYPjj651EQQ/mp4-720p-30fp-crf28/B56Z_r.CzRG4CI-/0/1786370377571?e=2147483647&amp;v=beta&amp;t=DwRxyyEjhkdvca5YVnOxPUTjFbyB3-Rvx-X1lXsVJ9Y","View Creative")</f>
        <v>View Creative</v>
      </c>
      <c r="L1839" s="4" t="s">
        <v>106</v>
      </c>
      <c r="M1839" s="4" t="s">
        <v>5965</v>
      </c>
      <c r="O1839" s="4" t="s">
        <v>63</v>
      </c>
      <c r="P1839" s="4" t="s">
        <v>64</v>
      </c>
    </row>
    <row r="1840">
      <c r="A1840" s="4" t="s">
        <v>5965</v>
      </c>
      <c r="B1840" s="4" t="s">
        <v>5965</v>
      </c>
      <c r="C1840" s="4">
        <v>229.0</v>
      </c>
      <c r="D1840" s="5" t="str">
        <f>HYPERLINK("https://www.linkedin.com/ad-library/detail/1553781366","Open Ad")</f>
        <v>Open Ad</v>
      </c>
      <c r="E1840" s="4" t="s">
        <v>78</v>
      </c>
      <c r="F1840" s="4" t="s">
        <v>54</v>
      </c>
      <c r="G1840" s="4" t="s">
        <v>6115</v>
      </c>
      <c r="H1840" s="4" t="s">
        <v>49</v>
      </c>
      <c r="I1840" s="4" t="s">
        <v>6005</v>
      </c>
      <c r="J1840" s="4" t="s">
        <v>78</v>
      </c>
      <c r="K1840" s="5" t="str">
        <f>HYPERLINK("https://media.licdn.com/dms/image/v2/D5610AQHFfjbCTN-dvA/image-shrink_1280/B56Z_sYYtrGsAc-/0/1786377243930/Profound_GM_SEOShift_1x11png?e=2147483647&amp;v=beta&amp;t=K2HnNkfefN4yKanNO6XcCia00T4_yqzbxVBVyf8CLmk","View Creative")</f>
        <v>View Creative</v>
      </c>
      <c r="L1840" s="4" t="s">
        <v>106</v>
      </c>
      <c r="M1840" s="4" t="s">
        <v>5965</v>
      </c>
      <c r="O1840" s="4" t="s">
        <v>63</v>
      </c>
      <c r="P1840" s="4" t="s">
        <v>64</v>
      </c>
    </row>
    <row r="1841">
      <c r="A1841" s="4" t="s">
        <v>5965</v>
      </c>
      <c r="B1841" s="4" t="s">
        <v>5965</v>
      </c>
      <c r="C1841" s="4">
        <v>230.0</v>
      </c>
      <c r="D1841" s="5" t="str">
        <f>HYPERLINK("https://www.linkedin.com/ad-library/detail/1419787986","Open Ad")</f>
        <v>Open Ad</v>
      </c>
      <c r="E1841" s="4" t="s">
        <v>121</v>
      </c>
      <c r="F1841" s="4" t="s">
        <v>54</v>
      </c>
      <c r="G1841" s="4" t="s">
        <v>6046</v>
      </c>
      <c r="H1841" s="4" t="s">
        <v>49</v>
      </c>
      <c r="I1841" s="4" t="s">
        <v>6005</v>
      </c>
      <c r="J1841" s="4" t="s">
        <v>121</v>
      </c>
      <c r="K1841" s="5" t="str">
        <f>HYPERLINK("https://dms.licdn.com/playlist/vid/v2/D5605AQHRYPjj651EQQ/mp4-720p-30fp-crf28/B56Z_r.CzRG4CI-/0/1786370377571?e=2147483647&amp;v=beta&amp;t=DwRxyyEjhkdvca5YVnOxPUTjFbyB3-Rvx-X1lXsVJ9Y","View Creative")</f>
        <v>View Creative</v>
      </c>
      <c r="L1841" s="4" t="s">
        <v>106</v>
      </c>
      <c r="M1841" s="4" t="s">
        <v>5965</v>
      </c>
      <c r="O1841" s="4" t="s">
        <v>63</v>
      </c>
      <c r="P1841" s="4" t="s">
        <v>64</v>
      </c>
    </row>
    <row r="1842">
      <c r="A1842" s="4" t="s">
        <v>5965</v>
      </c>
      <c r="B1842" s="4" t="s">
        <v>5965</v>
      </c>
      <c r="C1842" s="4">
        <v>231.0</v>
      </c>
      <c r="D1842" s="5" t="str">
        <f>HYPERLINK("https://www.linkedin.com/ad-library/detail/1553950506","Open Ad")</f>
        <v>Open Ad</v>
      </c>
      <c r="E1842" s="4" t="s">
        <v>78</v>
      </c>
      <c r="F1842" s="4" t="s">
        <v>54</v>
      </c>
      <c r="G1842" s="4" t="s">
        <v>6115</v>
      </c>
      <c r="H1842" s="4" t="s">
        <v>49</v>
      </c>
      <c r="I1842" s="4" t="s">
        <v>6005</v>
      </c>
      <c r="J1842" s="4" t="s">
        <v>78</v>
      </c>
      <c r="K1842" s="5" t="str">
        <f>HYPERLINK("https://media.licdn.com/dms/image/v2/D5610AQGCArVcCr1v4Q/image-shrink_1280/B56Z_sYjPEKMAc-/0/1786377287113/Profound_GM_The90Stat_1x11png?e=2147483647&amp;v=beta&amp;t=ARJ5ncTsFN32_-jnIdsYAEVQhbSj3ZGdGZn9YCeVGRE","View Creative")</f>
        <v>View Creative</v>
      </c>
      <c r="L1842" s="4" t="s">
        <v>106</v>
      </c>
      <c r="M1842" s="4" t="s">
        <v>5965</v>
      </c>
      <c r="O1842" s="4" t="s">
        <v>63</v>
      </c>
      <c r="P1842" s="4" t="s">
        <v>64</v>
      </c>
    </row>
    <row r="1843">
      <c r="A1843" s="4" t="s">
        <v>5965</v>
      </c>
      <c r="B1843" s="4" t="s">
        <v>5965</v>
      </c>
      <c r="C1843" s="4">
        <v>232.0</v>
      </c>
      <c r="D1843" s="5" t="str">
        <f>HYPERLINK("https://www.linkedin.com/ad-library/detail/1553881256","Open Ad")</f>
        <v>Open Ad</v>
      </c>
      <c r="E1843" s="4" t="s">
        <v>5970</v>
      </c>
      <c r="F1843" s="4" t="s">
        <v>54</v>
      </c>
      <c r="G1843" s="4" t="s">
        <v>6028</v>
      </c>
      <c r="H1843" s="4" t="s">
        <v>49</v>
      </c>
      <c r="I1843" s="4" t="s">
        <v>6005</v>
      </c>
      <c r="J1843" s="4" t="s">
        <v>5973</v>
      </c>
      <c r="K1843" s="4" t="s">
        <v>59</v>
      </c>
      <c r="L1843" s="4" t="s">
        <v>106</v>
      </c>
      <c r="M1843" s="4" t="s">
        <v>5965</v>
      </c>
      <c r="O1843" s="4" t="s">
        <v>63</v>
      </c>
      <c r="P1843" s="4" t="s">
        <v>64</v>
      </c>
    </row>
    <row r="1844">
      <c r="A1844" s="4" t="s">
        <v>5965</v>
      </c>
      <c r="B1844" s="4" t="s">
        <v>5965</v>
      </c>
      <c r="C1844" s="4">
        <v>233.0</v>
      </c>
      <c r="D1844" s="5" t="str">
        <f>HYPERLINK("https://www.linkedin.com/ad-library/detail/1553911196","Open Ad")</f>
        <v>Open Ad</v>
      </c>
      <c r="E1844" s="4" t="s">
        <v>78</v>
      </c>
      <c r="F1844" s="4" t="s">
        <v>54</v>
      </c>
      <c r="G1844" s="4" t="s">
        <v>6115</v>
      </c>
      <c r="H1844" s="4" t="s">
        <v>49</v>
      </c>
      <c r="I1844" s="4" t="s">
        <v>6005</v>
      </c>
      <c r="J1844" s="4" t="s">
        <v>78</v>
      </c>
      <c r="K1844" s="5" t="str">
        <f>HYPERLINK("https://media.licdn.com/dms/image/v2/D5610AQGCArVcCr1v4Q/image-shrink_1280/B56Z_sYjPEKMAc-/0/1786377287113/Profound_GM_The90Stat_1x11png?e=2147483647&amp;v=beta&amp;t=ARJ5ncTsFN32_-jnIdsYAEVQhbSj3ZGdGZn9YCeVGRE","View Creative")</f>
        <v>View Creative</v>
      </c>
      <c r="L1844" s="4" t="s">
        <v>106</v>
      </c>
      <c r="M1844" s="4" t="s">
        <v>5965</v>
      </c>
      <c r="O1844" s="4" t="s">
        <v>63</v>
      </c>
      <c r="P1844" s="4" t="s">
        <v>64</v>
      </c>
    </row>
    <row r="1845">
      <c r="A1845" s="4" t="s">
        <v>5965</v>
      </c>
      <c r="B1845" s="4" t="s">
        <v>5965</v>
      </c>
      <c r="C1845" s="4">
        <v>234.0</v>
      </c>
      <c r="D1845" s="5" t="str">
        <f>HYPERLINK("https://www.linkedin.com/ad-library/detail/1546337036","Open Ad")</f>
        <v>Open Ad</v>
      </c>
      <c r="E1845" s="4" t="s">
        <v>121</v>
      </c>
      <c r="F1845" s="4" t="s">
        <v>54</v>
      </c>
      <c r="G1845" s="4" t="s">
        <v>6046</v>
      </c>
      <c r="H1845" s="4" t="s">
        <v>49</v>
      </c>
      <c r="I1845" s="4" t="s">
        <v>6005</v>
      </c>
      <c r="J1845" s="4" t="s">
        <v>121</v>
      </c>
      <c r="K1845" s="5" t="str">
        <f t="shared" ref="K1845:K1846" si="29">HYPERLINK("https://dms.licdn.com/playlist/vid/v2/D5605AQHRYPjj651EQQ/mp4-720p-30fp-crf28/B56Z_r.CzRG4CI-/0/1786370377571?e=2147483647&amp;v=beta&amp;t=DwRxyyEjhkdvca5YVnOxPUTjFbyB3-Rvx-X1lXsVJ9Y","View Creative")</f>
        <v>View Creative</v>
      </c>
      <c r="L1845" s="4" t="s">
        <v>106</v>
      </c>
      <c r="M1845" s="4" t="s">
        <v>5965</v>
      </c>
      <c r="O1845" s="4" t="s">
        <v>63</v>
      </c>
      <c r="P1845" s="4" t="s">
        <v>64</v>
      </c>
    </row>
    <row r="1846">
      <c r="A1846" s="4" t="s">
        <v>5965</v>
      </c>
      <c r="B1846" s="4" t="s">
        <v>5965</v>
      </c>
      <c r="C1846" s="4">
        <v>235.0</v>
      </c>
      <c r="D1846" s="5" t="str">
        <f>HYPERLINK("https://www.linkedin.com/ad-library/detail/1546337046","Open Ad")</f>
        <v>Open Ad</v>
      </c>
      <c r="E1846" s="4" t="s">
        <v>121</v>
      </c>
      <c r="F1846" s="4" t="s">
        <v>54</v>
      </c>
      <c r="G1846" s="4" t="s">
        <v>6046</v>
      </c>
      <c r="H1846" s="4" t="s">
        <v>49</v>
      </c>
      <c r="I1846" s="4" t="s">
        <v>6005</v>
      </c>
      <c r="J1846" s="4" t="s">
        <v>121</v>
      </c>
      <c r="K1846" s="5" t="str">
        <f t="shared" si="29"/>
        <v>View Creative</v>
      </c>
      <c r="L1846" s="4" t="s">
        <v>106</v>
      </c>
      <c r="M1846" s="4" t="s">
        <v>5965</v>
      </c>
      <c r="O1846" s="4" t="s">
        <v>63</v>
      </c>
      <c r="P1846" s="4" t="s">
        <v>64</v>
      </c>
    </row>
    <row r="1847">
      <c r="A1847" s="4" t="s">
        <v>5965</v>
      </c>
      <c r="B1847" s="4" t="s">
        <v>5965</v>
      </c>
      <c r="C1847" s="4">
        <v>236.0</v>
      </c>
      <c r="D1847" s="5" t="str">
        <f>HYPERLINK("https://www.linkedin.com/ad-library/detail/1553831246","Open Ad")</f>
        <v>Open Ad</v>
      </c>
      <c r="E1847" s="4" t="s">
        <v>78</v>
      </c>
      <c r="F1847" s="4" t="s">
        <v>54</v>
      </c>
      <c r="G1847" s="4" t="s">
        <v>6115</v>
      </c>
      <c r="H1847" s="4" t="s">
        <v>49</v>
      </c>
      <c r="I1847" s="4" t="s">
        <v>6005</v>
      </c>
      <c r="J1847" s="4" t="s">
        <v>78</v>
      </c>
      <c r="K1847" s="5" t="str">
        <f>HYPERLINK("https://media.licdn.com/dms/image/v2/D5610AQGQf9YCUEy6ow/image-shrink_1280/B56Z_sYCIuGQAk-/0/1786377151464/Profound_GM_TheRealityCheck_1x11png?e=2147483647&amp;v=beta&amp;t=zCppuPHQTkTVOU4TJwl5pRa5Zq35X7SEHbaNR-AzfsU","View Creative")</f>
        <v>View Creative</v>
      </c>
      <c r="L1847" s="4" t="s">
        <v>106</v>
      </c>
      <c r="M1847" s="4" t="s">
        <v>5965</v>
      </c>
      <c r="O1847" s="4" t="s">
        <v>63</v>
      </c>
      <c r="P1847" s="4" t="s">
        <v>64</v>
      </c>
    </row>
    <row r="1848">
      <c r="A1848" s="4" t="s">
        <v>5965</v>
      </c>
      <c r="B1848" s="4" t="s">
        <v>5965</v>
      </c>
      <c r="C1848" s="4">
        <v>237.0</v>
      </c>
      <c r="D1848" s="5" t="str">
        <f>HYPERLINK("https://www.linkedin.com/ad-library/detail/1419812046","Open Ad")</f>
        <v>Open Ad</v>
      </c>
      <c r="E1848" s="4" t="s">
        <v>78</v>
      </c>
      <c r="F1848" s="4" t="s">
        <v>54</v>
      </c>
      <c r="G1848" s="4" t="s">
        <v>6115</v>
      </c>
      <c r="H1848" s="4" t="s">
        <v>49</v>
      </c>
      <c r="I1848" s="4" t="s">
        <v>6005</v>
      </c>
      <c r="J1848" s="4" t="s">
        <v>78</v>
      </c>
      <c r="K1848" s="5" t="str">
        <f>HYPERLINK("https://media.licdn.com/dms/image/v2/D5610AQFMbD1nRCmKig/image-shrink_1280/B56Z_sYxHeJsAc-/0/1786377344055/Profound_GM_37Stat_1x1png?e=2147483647&amp;v=beta&amp;t=8I-InHtprJMHfmZmPNfrQkm5TTrP1LFO-dsoL6eUajE","View Creative")</f>
        <v>View Creative</v>
      </c>
      <c r="L1848" s="4" t="s">
        <v>106</v>
      </c>
      <c r="M1848" s="4" t="s">
        <v>5965</v>
      </c>
      <c r="O1848" s="4" t="s">
        <v>63</v>
      </c>
      <c r="P1848" s="4" t="s">
        <v>64</v>
      </c>
    </row>
    <row r="1849">
      <c r="A1849" s="4" t="s">
        <v>5965</v>
      </c>
      <c r="B1849" s="4" t="s">
        <v>5965</v>
      </c>
      <c r="C1849" s="4">
        <v>238.0</v>
      </c>
      <c r="D1849" s="5" t="str">
        <f>HYPERLINK("https://www.linkedin.com/ad-library/detail/1553811506","Open Ad")</f>
        <v>Open Ad</v>
      </c>
      <c r="E1849" s="4" t="s">
        <v>78</v>
      </c>
      <c r="F1849" s="4" t="s">
        <v>54</v>
      </c>
      <c r="G1849" s="4" t="s">
        <v>6115</v>
      </c>
      <c r="H1849" s="4" t="s">
        <v>49</v>
      </c>
      <c r="I1849" s="4" t="s">
        <v>6005</v>
      </c>
      <c r="J1849" s="4" t="s">
        <v>78</v>
      </c>
      <c r="K1849" s="5" t="str">
        <f>HYPERLINK("https://media.licdn.com/dms/image/v2/D5610AQGQf9YCUEy6ow/image-shrink_1280/B56Z_sYCIuGQAk-/0/1786377151464/Profound_GM_TheRealityCheck_1x11png?e=2147483647&amp;v=beta&amp;t=zCppuPHQTkTVOU4TJwl5pRa5Zq35X7SEHbaNR-AzfsU","View Creative")</f>
        <v>View Creative</v>
      </c>
      <c r="L1849" s="4" t="s">
        <v>106</v>
      </c>
      <c r="M1849" s="4" t="s">
        <v>5965</v>
      </c>
      <c r="O1849" s="4" t="s">
        <v>63</v>
      </c>
      <c r="P1849" s="4" t="s">
        <v>64</v>
      </c>
    </row>
    <row r="1850">
      <c r="A1850" s="4" t="s">
        <v>5965</v>
      </c>
      <c r="B1850" s="4" t="s">
        <v>5965</v>
      </c>
      <c r="C1850" s="4">
        <v>239.0</v>
      </c>
      <c r="D1850" s="5" t="str">
        <f>HYPERLINK("https://www.linkedin.com/ad-library/detail/1553771216","Open Ad")</f>
        <v>Open Ad</v>
      </c>
      <c r="E1850" s="4" t="s">
        <v>78</v>
      </c>
      <c r="F1850" s="4" t="s">
        <v>54</v>
      </c>
      <c r="G1850" s="4" t="s">
        <v>6115</v>
      </c>
      <c r="H1850" s="4" t="s">
        <v>49</v>
      </c>
      <c r="I1850" s="4" t="s">
        <v>6005</v>
      </c>
      <c r="J1850" s="4" t="s">
        <v>78</v>
      </c>
      <c r="K1850" s="5" t="str">
        <f>HYPERLINK("https://media.licdn.com/dms/image/v2/D5610AQFMbD1nRCmKig/image-shrink_1280/B56Z_sYxHeJsAc-/0/1786377344055/Profound_GM_37Stat_1x1png?e=2147483647&amp;v=beta&amp;t=8I-InHtprJMHfmZmPNfrQkm5TTrP1LFO-dsoL6eUajE","View Creative")</f>
        <v>View Creative</v>
      </c>
      <c r="L1850" s="4" t="s">
        <v>106</v>
      </c>
      <c r="M1850" s="4" t="s">
        <v>5965</v>
      </c>
      <c r="O1850" s="4" t="s">
        <v>63</v>
      </c>
      <c r="P1850" s="4" t="s">
        <v>64</v>
      </c>
    </row>
    <row r="1851">
      <c r="A1851" s="4" t="s">
        <v>5965</v>
      </c>
      <c r="B1851" s="4" t="s">
        <v>5965</v>
      </c>
      <c r="C1851" s="4">
        <v>240.0</v>
      </c>
      <c r="D1851" s="5" t="str">
        <f>HYPERLINK("https://www.linkedin.com/ad-library/detail/1553732036","Open Ad")</f>
        <v>Open Ad</v>
      </c>
      <c r="E1851" s="4" t="s">
        <v>78</v>
      </c>
      <c r="F1851" s="4" t="s">
        <v>54</v>
      </c>
      <c r="G1851" s="4" t="s">
        <v>6115</v>
      </c>
      <c r="H1851" s="4" t="s">
        <v>49</v>
      </c>
      <c r="I1851" s="4" t="s">
        <v>6005</v>
      </c>
      <c r="J1851" s="4" t="s">
        <v>78</v>
      </c>
      <c r="K1851" s="5" t="str">
        <f>HYPERLINK("https://media.licdn.com/dms/image/v2/D5610AQHFfjbCTN-dvA/image-shrink_1280/B56Z_sYYtrGsAc-/0/1786377243930/Profound_GM_SEOShift_1x11png?e=2147483647&amp;v=beta&amp;t=K2HnNkfefN4yKanNO6XcCia00T4_yqzbxVBVyf8CLmk","View Creative")</f>
        <v>View Creative</v>
      </c>
      <c r="L1851" s="4" t="s">
        <v>106</v>
      </c>
      <c r="M1851" s="4" t="s">
        <v>5965</v>
      </c>
      <c r="O1851" s="4" t="s">
        <v>63</v>
      </c>
      <c r="P1851" s="4" t="s">
        <v>64</v>
      </c>
    </row>
    <row r="1852">
      <c r="A1852" s="4" t="s">
        <v>5965</v>
      </c>
      <c r="B1852" s="4" t="s">
        <v>5965</v>
      </c>
      <c r="C1852" s="4">
        <v>241.0</v>
      </c>
      <c r="D1852" s="5" t="str">
        <f>HYPERLINK("https://www.linkedin.com/ad-library/detail/1546427056","Open Ad")</f>
        <v>Open Ad</v>
      </c>
      <c r="E1852" s="4" t="s">
        <v>121</v>
      </c>
      <c r="F1852" s="4" t="s">
        <v>54</v>
      </c>
      <c r="G1852" s="4" t="s">
        <v>6046</v>
      </c>
      <c r="H1852" s="4" t="s">
        <v>49</v>
      </c>
      <c r="I1852" s="4" t="s">
        <v>6005</v>
      </c>
      <c r="J1852" s="4" t="s">
        <v>121</v>
      </c>
      <c r="K1852" s="5" t="str">
        <f>HYPERLINK("https://dms.licdn.com/playlist/vid/v2/D5605AQHRYPjj651EQQ/mp4-720p-30fp-crf28/B56Z_r.CzRG4CI-/0/1786370377571?e=2147483647&amp;v=beta&amp;t=DwRxyyEjhkdvca5YVnOxPUTjFbyB3-Rvx-X1lXsVJ9Y","View Creative")</f>
        <v>View Creative</v>
      </c>
      <c r="L1852" s="4" t="s">
        <v>106</v>
      </c>
      <c r="M1852" s="4" t="s">
        <v>5965</v>
      </c>
      <c r="O1852" s="4" t="s">
        <v>63</v>
      </c>
      <c r="P1852" s="4" t="s">
        <v>64</v>
      </c>
    </row>
    <row r="1853">
      <c r="A1853" s="4" t="s">
        <v>5965</v>
      </c>
      <c r="B1853" s="4" t="s">
        <v>5965</v>
      </c>
      <c r="C1853" s="4">
        <v>242.0</v>
      </c>
      <c r="D1853" s="5" t="str">
        <f>HYPERLINK("https://www.linkedin.com/ad-library/detail/1544329996","Open Ad")</f>
        <v>Open Ad</v>
      </c>
      <c r="E1853" s="4" t="s">
        <v>78</v>
      </c>
      <c r="F1853" s="4" t="s">
        <v>54</v>
      </c>
      <c r="G1853" s="4" t="s">
        <v>6074</v>
      </c>
      <c r="H1853" s="4" t="s">
        <v>49</v>
      </c>
      <c r="I1853" s="4" t="s">
        <v>6005</v>
      </c>
      <c r="J1853" s="4" t="s">
        <v>78</v>
      </c>
      <c r="K1853" s="5" t="str">
        <f t="shared" ref="K1853:K1855" si="30">HYPERLINK("https://media.licdn.com/dms/image/v2/D5622AQFeGh0Nti2Zmg/feedshare-shrink_1280/B56Z_IaUYgG0AQ-/0/1785773771225?e=2147483647&amp;v=beta&amp;t=LA0qAFOep-ii8fvQ1v2ki8IWWzEuY5pobqw62N817LM","View Creative")</f>
        <v>View Creative</v>
      </c>
      <c r="L1853" s="4" t="s">
        <v>106</v>
      </c>
      <c r="M1853" s="4" t="s">
        <v>5965</v>
      </c>
      <c r="O1853" s="4" t="s">
        <v>63</v>
      </c>
      <c r="P1853" s="4" t="s">
        <v>64</v>
      </c>
    </row>
    <row r="1854">
      <c r="A1854" s="4" t="s">
        <v>5965</v>
      </c>
      <c r="B1854" s="4" t="s">
        <v>5965</v>
      </c>
      <c r="C1854" s="4">
        <v>243.0</v>
      </c>
      <c r="D1854" s="5" t="str">
        <f>HYPERLINK("https://www.linkedin.com/ad-library/detail/1544359986","Open Ad")</f>
        <v>Open Ad</v>
      </c>
      <c r="E1854" s="4" t="s">
        <v>78</v>
      </c>
      <c r="F1854" s="4" t="s">
        <v>54</v>
      </c>
      <c r="G1854" s="4" t="s">
        <v>6074</v>
      </c>
      <c r="H1854" s="4" t="s">
        <v>49</v>
      </c>
      <c r="I1854" s="4" t="s">
        <v>6005</v>
      </c>
      <c r="J1854" s="4" t="s">
        <v>78</v>
      </c>
      <c r="K1854" s="5" t="str">
        <f t="shared" si="30"/>
        <v>View Creative</v>
      </c>
      <c r="L1854" s="4" t="s">
        <v>106</v>
      </c>
      <c r="M1854" s="4" t="s">
        <v>5965</v>
      </c>
      <c r="O1854" s="4" t="s">
        <v>63</v>
      </c>
      <c r="P1854" s="4" t="s">
        <v>64</v>
      </c>
    </row>
    <row r="1855">
      <c r="A1855" s="4" t="s">
        <v>5965</v>
      </c>
      <c r="B1855" s="4" t="s">
        <v>5965</v>
      </c>
      <c r="C1855" s="4">
        <v>244.0</v>
      </c>
      <c r="D1855" s="5" t="str">
        <f>HYPERLINK("https://www.linkedin.com/ad-library/detail/1544449916","Open Ad")</f>
        <v>Open Ad</v>
      </c>
      <c r="E1855" s="4" t="s">
        <v>78</v>
      </c>
      <c r="F1855" s="4" t="s">
        <v>54</v>
      </c>
      <c r="G1855" s="4" t="s">
        <v>6074</v>
      </c>
      <c r="H1855" s="4" t="s">
        <v>49</v>
      </c>
      <c r="I1855" s="4" t="s">
        <v>6005</v>
      </c>
      <c r="J1855" s="4" t="s">
        <v>78</v>
      </c>
      <c r="K1855" s="5" t="str">
        <f t="shared" si="30"/>
        <v>View Creative</v>
      </c>
      <c r="L1855" s="4" t="s">
        <v>106</v>
      </c>
      <c r="M1855" s="4" t="s">
        <v>5965</v>
      </c>
      <c r="O1855" s="4" t="s">
        <v>63</v>
      </c>
      <c r="P1855" s="4" t="s">
        <v>64</v>
      </c>
    </row>
    <row r="1856">
      <c r="A1856" s="4" t="s">
        <v>5965</v>
      </c>
      <c r="B1856" s="4" t="s">
        <v>5965</v>
      </c>
      <c r="C1856" s="4">
        <v>245.0</v>
      </c>
      <c r="D1856" s="5" t="str">
        <f>HYPERLINK("https://www.linkedin.com/ad-library/detail/1540533996","Open Ad")</f>
        <v>Open Ad</v>
      </c>
      <c r="E1856" s="4" t="s">
        <v>5970</v>
      </c>
      <c r="F1856" s="4" t="s">
        <v>54</v>
      </c>
      <c r="G1856" s="4" t="s">
        <v>5980</v>
      </c>
      <c r="H1856" s="4" t="s">
        <v>49</v>
      </c>
      <c r="I1856" s="4" t="s">
        <v>6005</v>
      </c>
      <c r="J1856" s="4" t="s">
        <v>5973</v>
      </c>
      <c r="K1856" s="4" t="s">
        <v>59</v>
      </c>
      <c r="L1856" s="4" t="s">
        <v>106</v>
      </c>
      <c r="M1856" s="4" t="s">
        <v>5965</v>
      </c>
      <c r="O1856" s="4" t="s">
        <v>63</v>
      </c>
      <c r="P1856" s="4" t="s">
        <v>64</v>
      </c>
    </row>
    <row r="1857">
      <c r="A1857" s="4" t="s">
        <v>5965</v>
      </c>
      <c r="B1857" s="4" t="s">
        <v>5965</v>
      </c>
      <c r="C1857" s="4">
        <v>246.0</v>
      </c>
      <c r="D1857" s="5" t="str">
        <f>HYPERLINK("https://www.linkedin.com/ad-library/detail/1539442626","Open Ad")</f>
        <v>Open Ad</v>
      </c>
      <c r="E1857" s="4" t="s">
        <v>78</v>
      </c>
      <c r="F1857" s="4" t="s">
        <v>54</v>
      </c>
      <c r="G1857" s="4" t="s">
        <v>6115</v>
      </c>
      <c r="H1857" s="4" t="s">
        <v>49</v>
      </c>
      <c r="I1857" s="4" t="s">
        <v>6005</v>
      </c>
      <c r="J1857" s="4" t="s">
        <v>78</v>
      </c>
      <c r="K1857" s="5" t="str">
        <f>HYPERLINK("https://media.licdn.com/dms/image/v2/D5610AQGCArVcCr1v4Q/image-shrink_1280/B56Z_sYjPEKMAc-/0/1786377287113/Profound_GM_The90Stat_1x11png?e=2147483647&amp;v=beta&amp;t=ARJ5ncTsFN32_-jnIdsYAEVQhbSj3ZGdGZn9YCeVGRE","View Creative")</f>
        <v>View Creative</v>
      </c>
      <c r="L1857" s="4" t="s">
        <v>106</v>
      </c>
      <c r="M1857" s="4" t="s">
        <v>5965</v>
      </c>
      <c r="O1857" s="4" t="s">
        <v>63</v>
      </c>
      <c r="P1857" s="4" t="s">
        <v>64</v>
      </c>
    </row>
    <row r="1858">
      <c r="A1858" s="4" t="s">
        <v>5965</v>
      </c>
      <c r="B1858" s="4" t="s">
        <v>5965</v>
      </c>
      <c r="C1858" s="4">
        <v>247.0</v>
      </c>
      <c r="D1858" s="5" t="str">
        <f>HYPERLINK("https://www.linkedin.com/ad-library/detail/1544269986","Open Ad")</f>
        <v>Open Ad</v>
      </c>
      <c r="E1858" s="4" t="s">
        <v>78</v>
      </c>
      <c r="F1858" s="4" t="s">
        <v>54</v>
      </c>
      <c r="G1858" s="4" t="s">
        <v>6074</v>
      </c>
      <c r="H1858" s="4" t="s">
        <v>49</v>
      </c>
      <c r="I1858" s="4" t="s">
        <v>6005</v>
      </c>
      <c r="J1858" s="4" t="s">
        <v>78</v>
      </c>
      <c r="K1858" s="5" t="str">
        <f t="shared" ref="K1858:K1859" si="31">HYPERLINK("https://media.licdn.com/dms/image/v2/D5622AQFeGh0Nti2Zmg/feedshare-shrink_1280/B56Z_IaUYgG0AQ-/0/1785773771225?e=2147483647&amp;v=beta&amp;t=LA0qAFOep-ii8fvQ1v2ki8IWWzEuY5pobqw62N817LM","View Creative")</f>
        <v>View Creative</v>
      </c>
      <c r="L1858" s="4" t="s">
        <v>106</v>
      </c>
      <c r="M1858" s="4" t="s">
        <v>5965</v>
      </c>
      <c r="O1858" s="4" t="s">
        <v>63</v>
      </c>
      <c r="P1858" s="4" t="s">
        <v>64</v>
      </c>
    </row>
    <row r="1859">
      <c r="A1859" s="4" t="s">
        <v>5965</v>
      </c>
      <c r="B1859" s="4" t="s">
        <v>5965</v>
      </c>
      <c r="C1859" s="4">
        <v>248.0</v>
      </c>
      <c r="D1859" s="5" t="str">
        <f>HYPERLINK("https://www.linkedin.com/ad-library/detail/1544349986","Open Ad")</f>
        <v>Open Ad</v>
      </c>
      <c r="E1859" s="4" t="s">
        <v>78</v>
      </c>
      <c r="F1859" s="4" t="s">
        <v>54</v>
      </c>
      <c r="G1859" s="4" t="s">
        <v>6074</v>
      </c>
      <c r="H1859" s="4" t="s">
        <v>49</v>
      </c>
      <c r="I1859" s="4" t="s">
        <v>6005</v>
      </c>
      <c r="J1859" s="4" t="s">
        <v>78</v>
      </c>
      <c r="K1859" s="5" t="str">
        <f t="shared" si="31"/>
        <v>View Creative</v>
      </c>
      <c r="L1859" s="4" t="s">
        <v>106</v>
      </c>
      <c r="M1859" s="4" t="s">
        <v>5965</v>
      </c>
      <c r="O1859" s="4" t="s">
        <v>63</v>
      </c>
      <c r="P1859" s="4" t="s">
        <v>64</v>
      </c>
    </row>
    <row r="1860">
      <c r="A1860" s="4" t="s">
        <v>5965</v>
      </c>
      <c r="B1860" s="4" t="s">
        <v>5965</v>
      </c>
      <c r="C1860" s="4">
        <v>249.0</v>
      </c>
      <c r="D1860" s="5" t="str">
        <f>HYPERLINK("https://www.linkedin.com/ad-library/detail/1540238866","Open Ad")</f>
        <v>Open Ad</v>
      </c>
      <c r="E1860" s="4" t="s">
        <v>5970</v>
      </c>
      <c r="F1860" s="4" t="s">
        <v>54</v>
      </c>
      <c r="G1860" s="4" t="s">
        <v>6015</v>
      </c>
      <c r="H1860" s="4" t="s">
        <v>49</v>
      </c>
      <c r="I1860" s="4" t="s">
        <v>6005</v>
      </c>
      <c r="J1860" s="4" t="s">
        <v>5973</v>
      </c>
      <c r="K1860" s="4" t="s">
        <v>59</v>
      </c>
      <c r="L1860" s="4" t="s">
        <v>106</v>
      </c>
      <c r="M1860" s="4" t="s">
        <v>5965</v>
      </c>
      <c r="O1860" s="4" t="s">
        <v>63</v>
      </c>
      <c r="P1860" s="4" t="s">
        <v>64</v>
      </c>
    </row>
    <row r="1861">
      <c r="A1861" s="4" t="s">
        <v>5965</v>
      </c>
      <c r="B1861" s="4" t="s">
        <v>5965</v>
      </c>
      <c r="C1861" s="4">
        <v>250.0</v>
      </c>
      <c r="D1861" s="5" t="str">
        <f>HYPERLINK("https://www.linkedin.com/ad-library/detail/1544369986","Open Ad")</f>
        <v>Open Ad</v>
      </c>
      <c r="E1861" s="4" t="s">
        <v>78</v>
      </c>
      <c r="F1861" s="4" t="s">
        <v>54</v>
      </c>
      <c r="G1861" s="4" t="s">
        <v>6074</v>
      </c>
      <c r="H1861" s="4" t="s">
        <v>49</v>
      </c>
      <c r="I1861" s="4" t="s">
        <v>6005</v>
      </c>
      <c r="J1861" s="4" t="s">
        <v>78</v>
      </c>
      <c r="K1861" s="5" t="str">
        <f>HYPERLINK("https://media.licdn.com/dms/image/v2/D5622AQFeGh0Nti2Zmg/feedshare-shrink_1280/B56Z_IaUYgG0AQ-/0/1785773771225?e=2147483647&amp;v=beta&amp;t=LA0qAFOep-ii8fvQ1v2ki8IWWzEuY5pobqw62N817LM","View Creative")</f>
        <v>View Creative</v>
      </c>
      <c r="L1861" s="4" t="s">
        <v>106</v>
      </c>
      <c r="M1861" s="4" t="s">
        <v>5965</v>
      </c>
      <c r="O1861" s="4" t="s">
        <v>63</v>
      </c>
      <c r="P1861" s="4" t="s">
        <v>64</v>
      </c>
    </row>
    <row r="1862">
      <c r="A1862" s="4" t="s">
        <v>5965</v>
      </c>
      <c r="B1862" s="4" t="s">
        <v>5965</v>
      </c>
      <c r="C1862" s="4">
        <v>251.0</v>
      </c>
      <c r="D1862" s="5" t="str">
        <f>HYPERLINK("https://www.linkedin.com/ad-library/detail/1540553856","Open Ad")</f>
        <v>Open Ad</v>
      </c>
      <c r="E1862" s="4" t="s">
        <v>5970</v>
      </c>
      <c r="F1862" s="4" t="s">
        <v>54</v>
      </c>
      <c r="G1862" s="4" t="s">
        <v>5980</v>
      </c>
      <c r="H1862" s="4" t="s">
        <v>49</v>
      </c>
      <c r="I1862" s="4" t="s">
        <v>6005</v>
      </c>
      <c r="J1862" s="4" t="s">
        <v>5973</v>
      </c>
      <c r="K1862" s="4" t="s">
        <v>59</v>
      </c>
      <c r="L1862" s="4" t="s">
        <v>106</v>
      </c>
      <c r="M1862" s="4" t="s">
        <v>5965</v>
      </c>
      <c r="O1862" s="4" t="s">
        <v>63</v>
      </c>
      <c r="P1862" s="4" t="s">
        <v>64</v>
      </c>
    </row>
    <row r="1863">
      <c r="A1863" s="4" t="s">
        <v>5965</v>
      </c>
      <c r="B1863" s="4" t="s">
        <v>5965</v>
      </c>
      <c r="C1863" s="4">
        <v>252.0</v>
      </c>
      <c r="D1863" s="5" t="str">
        <f>HYPERLINK("https://www.linkedin.com/ad-library/detail/1540278966","Open Ad")</f>
        <v>Open Ad</v>
      </c>
      <c r="E1863" s="4" t="s">
        <v>5970</v>
      </c>
      <c r="F1863" s="4" t="s">
        <v>54</v>
      </c>
      <c r="G1863" s="4" t="s">
        <v>5980</v>
      </c>
      <c r="H1863" s="4" t="s">
        <v>49</v>
      </c>
      <c r="I1863" s="4" t="s">
        <v>6005</v>
      </c>
      <c r="J1863" s="4" t="s">
        <v>5973</v>
      </c>
      <c r="K1863" s="4" t="s">
        <v>59</v>
      </c>
      <c r="L1863" s="4" t="s">
        <v>106</v>
      </c>
      <c r="M1863" s="4" t="s">
        <v>5965</v>
      </c>
      <c r="O1863" s="4" t="s">
        <v>63</v>
      </c>
      <c r="P1863" s="4" t="s">
        <v>64</v>
      </c>
    </row>
    <row r="1864">
      <c r="A1864" s="4" t="s">
        <v>5965</v>
      </c>
      <c r="B1864" s="4" t="s">
        <v>5965</v>
      </c>
      <c r="C1864" s="4">
        <v>253.0</v>
      </c>
      <c r="D1864" s="5" t="str">
        <f>HYPERLINK("https://www.linkedin.com/ad-library/detail/1540653286","Open Ad")</f>
        <v>Open Ad</v>
      </c>
      <c r="E1864" s="4" t="s">
        <v>5970</v>
      </c>
      <c r="F1864" s="4" t="s">
        <v>54</v>
      </c>
      <c r="G1864" s="4" t="s">
        <v>5980</v>
      </c>
      <c r="H1864" s="4" t="s">
        <v>49</v>
      </c>
      <c r="I1864" s="4" t="s">
        <v>6005</v>
      </c>
      <c r="J1864" s="4" t="s">
        <v>5973</v>
      </c>
      <c r="K1864" s="4" t="s">
        <v>59</v>
      </c>
      <c r="L1864" s="4" t="s">
        <v>106</v>
      </c>
      <c r="M1864" s="4" t="s">
        <v>5965</v>
      </c>
      <c r="O1864" s="4" t="s">
        <v>63</v>
      </c>
      <c r="P1864" s="4" t="s">
        <v>64</v>
      </c>
    </row>
    <row r="1865">
      <c r="A1865" s="4" t="s">
        <v>5965</v>
      </c>
      <c r="B1865" s="4" t="s">
        <v>5965</v>
      </c>
      <c r="C1865" s="4">
        <v>254.0</v>
      </c>
      <c r="D1865" s="5" t="str">
        <f>HYPERLINK("https://www.linkedin.com/ad-library/detail/1540573686","Open Ad")</f>
        <v>Open Ad</v>
      </c>
      <c r="E1865" s="4" t="s">
        <v>5970</v>
      </c>
      <c r="F1865" s="4" t="s">
        <v>54</v>
      </c>
      <c r="G1865" s="4" t="s">
        <v>5980</v>
      </c>
      <c r="H1865" s="4" t="s">
        <v>49</v>
      </c>
      <c r="I1865" s="4" t="s">
        <v>6005</v>
      </c>
      <c r="J1865" s="4" t="s">
        <v>5973</v>
      </c>
      <c r="K1865" s="4" t="s">
        <v>59</v>
      </c>
      <c r="L1865" s="4" t="s">
        <v>106</v>
      </c>
      <c r="M1865" s="4" t="s">
        <v>5965</v>
      </c>
      <c r="O1865" s="4" t="s">
        <v>63</v>
      </c>
      <c r="P1865" s="4" t="s">
        <v>64</v>
      </c>
    </row>
    <row r="1866">
      <c r="A1866" s="4" t="s">
        <v>5965</v>
      </c>
      <c r="B1866" s="4" t="s">
        <v>5965</v>
      </c>
      <c r="C1866" s="4">
        <v>255.0</v>
      </c>
      <c r="D1866" s="5" t="str">
        <f>HYPERLINK("https://www.linkedin.com/ad-library/detail/1540229326","Open Ad")</f>
        <v>Open Ad</v>
      </c>
      <c r="E1866" s="4" t="s">
        <v>5970</v>
      </c>
      <c r="F1866" s="4" t="s">
        <v>54</v>
      </c>
      <c r="G1866" s="4" t="s">
        <v>5980</v>
      </c>
      <c r="H1866" s="4" t="s">
        <v>49</v>
      </c>
      <c r="I1866" s="4" t="s">
        <v>6005</v>
      </c>
      <c r="J1866" s="4" t="s">
        <v>5973</v>
      </c>
      <c r="K1866" s="4" t="s">
        <v>59</v>
      </c>
      <c r="L1866" s="4" t="s">
        <v>106</v>
      </c>
      <c r="M1866" s="4" t="s">
        <v>5965</v>
      </c>
      <c r="O1866" s="4" t="s">
        <v>63</v>
      </c>
      <c r="P1866" s="4" t="s">
        <v>64</v>
      </c>
    </row>
    <row r="1867">
      <c r="A1867" s="4" t="s">
        <v>5965</v>
      </c>
      <c r="B1867" s="4" t="s">
        <v>5965</v>
      </c>
      <c r="C1867" s="4">
        <v>256.0</v>
      </c>
      <c r="D1867" s="5" t="str">
        <f>HYPERLINK("https://www.linkedin.com/ad-library/detail/1544399956","Open Ad")</f>
        <v>Open Ad</v>
      </c>
      <c r="E1867" s="4" t="s">
        <v>78</v>
      </c>
      <c r="F1867" s="4" t="s">
        <v>54</v>
      </c>
      <c r="G1867" s="4" t="s">
        <v>6074</v>
      </c>
      <c r="H1867" s="4" t="s">
        <v>49</v>
      </c>
      <c r="I1867" s="4" t="s">
        <v>6005</v>
      </c>
      <c r="J1867" s="4" t="s">
        <v>78</v>
      </c>
      <c r="K1867" s="5" t="str">
        <f>HYPERLINK("https://media.licdn.com/dms/image/v2/D5622AQFeGh0Nti2Zmg/feedshare-shrink_1280/B56Z_IaUYgG0AQ-/0/1785773771225?e=2147483647&amp;v=beta&amp;t=LA0qAFOep-ii8fvQ1v2ki8IWWzEuY5pobqw62N817LM","View Creative")</f>
        <v>View Creative</v>
      </c>
      <c r="L1867" s="4" t="s">
        <v>106</v>
      </c>
      <c r="M1867" s="4" t="s">
        <v>5965</v>
      </c>
      <c r="O1867" s="4" t="s">
        <v>63</v>
      </c>
      <c r="P1867" s="4" t="s">
        <v>64</v>
      </c>
    </row>
    <row r="1868">
      <c r="A1868" s="4" t="s">
        <v>5965</v>
      </c>
      <c r="B1868" s="4" t="s">
        <v>5965</v>
      </c>
      <c r="C1868" s="4">
        <v>257.0</v>
      </c>
      <c r="D1868" s="5" t="str">
        <f>HYPERLINK("https://www.linkedin.com/ad-library/detail/1540682766","Open Ad")</f>
        <v>Open Ad</v>
      </c>
      <c r="E1868" s="4" t="s">
        <v>5970</v>
      </c>
      <c r="F1868" s="4" t="s">
        <v>54</v>
      </c>
      <c r="G1868" s="4" t="s">
        <v>5980</v>
      </c>
      <c r="H1868" s="4" t="s">
        <v>49</v>
      </c>
      <c r="I1868" s="4" t="s">
        <v>6005</v>
      </c>
      <c r="J1868" s="4" t="s">
        <v>5973</v>
      </c>
      <c r="K1868" s="4" t="s">
        <v>59</v>
      </c>
      <c r="L1868" s="4" t="s">
        <v>106</v>
      </c>
      <c r="M1868" s="4" t="s">
        <v>5965</v>
      </c>
      <c r="O1868" s="4" t="s">
        <v>63</v>
      </c>
      <c r="P1868" s="4" t="s">
        <v>64</v>
      </c>
    </row>
    <row r="1869">
      <c r="A1869" s="4" t="s">
        <v>5965</v>
      </c>
      <c r="B1869" s="4" t="s">
        <v>5965</v>
      </c>
      <c r="C1869" s="4">
        <v>258.0</v>
      </c>
      <c r="D1869" s="5" t="str">
        <f>HYPERLINK("https://www.linkedin.com/ad-library/detail/1544369996","Open Ad")</f>
        <v>Open Ad</v>
      </c>
      <c r="E1869" s="4" t="s">
        <v>78</v>
      </c>
      <c r="F1869" s="4" t="s">
        <v>54</v>
      </c>
      <c r="G1869" s="4" t="s">
        <v>6074</v>
      </c>
      <c r="H1869" s="4" t="s">
        <v>49</v>
      </c>
      <c r="I1869" s="4" t="s">
        <v>6005</v>
      </c>
      <c r="J1869" s="4" t="s">
        <v>78</v>
      </c>
      <c r="K1869" s="5" t="str">
        <f t="shared" ref="K1869:K1870" si="32">HYPERLINK("https://media.licdn.com/dms/image/v2/D5622AQFeGh0Nti2Zmg/feedshare-shrink_1280/B56Z_IaUYgG0AQ-/0/1785773771225?e=2147483647&amp;v=beta&amp;t=LA0qAFOep-ii8fvQ1v2ki8IWWzEuY5pobqw62N817LM","View Creative")</f>
        <v>View Creative</v>
      </c>
      <c r="L1869" s="4" t="s">
        <v>106</v>
      </c>
      <c r="M1869" s="4" t="s">
        <v>5965</v>
      </c>
      <c r="O1869" s="4" t="s">
        <v>63</v>
      </c>
      <c r="P1869" s="4" t="s">
        <v>64</v>
      </c>
    </row>
    <row r="1870">
      <c r="A1870" s="4" t="s">
        <v>5965</v>
      </c>
      <c r="B1870" s="4" t="s">
        <v>5965</v>
      </c>
      <c r="C1870" s="4">
        <v>259.0</v>
      </c>
      <c r="D1870" s="5" t="str">
        <f>HYPERLINK("https://www.linkedin.com/ad-library/detail/1544240036","Open Ad")</f>
        <v>Open Ad</v>
      </c>
      <c r="E1870" s="4" t="s">
        <v>78</v>
      </c>
      <c r="F1870" s="4" t="s">
        <v>54</v>
      </c>
      <c r="G1870" s="4" t="s">
        <v>6074</v>
      </c>
      <c r="H1870" s="4" t="s">
        <v>49</v>
      </c>
      <c r="I1870" s="4" t="s">
        <v>6005</v>
      </c>
      <c r="J1870" s="4" t="s">
        <v>78</v>
      </c>
      <c r="K1870" s="5" t="str">
        <f t="shared" si="32"/>
        <v>View Creative</v>
      </c>
      <c r="L1870" s="4" t="s">
        <v>106</v>
      </c>
      <c r="M1870" s="4" t="s">
        <v>5965</v>
      </c>
      <c r="O1870" s="4" t="s">
        <v>63</v>
      </c>
      <c r="P1870" s="4" t="s">
        <v>64</v>
      </c>
    </row>
    <row r="1871">
      <c r="A1871" s="4" t="s">
        <v>5965</v>
      </c>
      <c r="B1871" s="4" t="s">
        <v>5965</v>
      </c>
      <c r="C1871" s="4">
        <v>260.0</v>
      </c>
      <c r="D1871" s="5" t="str">
        <f>HYPERLINK("https://www.linkedin.com/ad-library/detail/1540504146","Open Ad")</f>
        <v>Open Ad</v>
      </c>
      <c r="E1871" s="4" t="s">
        <v>5970</v>
      </c>
      <c r="F1871" s="4" t="s">
        <v>54</v>
      </c>
      <c r="G1871" s="4" t="s">
        <v>6015</v>
      </c>
      <c r="H1871" s="4" t="s">
        <v>49</v>
      </c>
      <c r="I1871" s="4" t="s">
        <v>6005</v>
      </c>
      <c r="J1871" s="4" t="s">
        <v>5973</v>
      </c>
      <c r="K1871" s="4" t="s">
        <v>59</v>
      </c>
      <c r="L1871" s="4" t="s">
        <v>106</v>
      </c>
      <c r="M1871" s="4" t="s">
        <v>5965</v>
      </c>
      <c r="O1871" s="4" t="s">
        <v>63</v>
      </c>
      <c r="P1871" s="4" t="s">
        <v>64</v>
      </c>
    </row>
    <row r="1872">
      <c r="A1872" s="4" t="s">
        <v>5965</v>
      </c>
      <c r="B1872" s="4" t="s">
        <v>5965</v>
      </c>
      <c r="C1872" s="4">
        <v>261.0</v>
      </c>
      <c r="D1872" s="5" t="str">
        <f>HYPERLINK("https://www.linkedin.com/ad-library/detail/1540514096","Open Ad")</f>
        <v>Open Ad</v>
      </c>
      <c r="E1872" s="4" t="s">
        <v>5970</v>
      </c>
      <c r="F1872" s="4" t="s">
        <v>54</v>
      </c>
      <c r="G1872" s="4" t="s">
        <v>5980</v>
      </c>
      <c r="H1872" s="4" t="s">
        <v>49</v>
      </c>
      <c r="I1872" s="4" t="s">
        <v>6005</v>
      </c>
      <c r="J1872" s="4" t="s">
        <v>5973</v>
      </c>
      <c r="K1872" s="4" t="s">
        <v>59</v>
      </c>
      <c r="L1872" s="4" t="s">
        <v>106</v>
      </c>
      <c r="M1872" s="4" t="s">
        <v>5965</v>
      </c>
      <c r="O1872" s="4" t="s">
        <v>63</v>
      </c>
      <c r="P1872" s="4" t="s">
        <v>64</v>
      </c>
    </row>
    <row r="1873">
      <c r="A1873" s="4" t="s">
        <v>5965</v>
      </c>
      <c r="B1873" s="4" t="s">
        <v>5965</v>
      </c>
      <c r="C1873" s="4">
        <v>262.0</v>
      </c>
      <c r="D1873" s="5" t="str">
        <f>HYPERLINK("https://www.linkedin.com/ad-library/detail/1544409976","Open Ad")</f>
        <v>Open Ad</v>
      </c>
      <c r="E1873" s="4" t="s">
        <v>78</v>
      </c>
      <c r="F1873" s="4" t="s">
        <v>54</v>
      </c>
      <c r="G1873" s="4" t="s">
        <v>6074</v>
      </c>
      <c r="H1873" s="4" t="s">
        <v>49</v>
      </c>
      <c r="I1873" s="4" t="s">
        <v>6005</v>
      </c>
      <c r="J1873" s="4" t="s">
        <v>78</v>
      </c>
      <c r="K1873" s="5" t="str">
        <f>HYPERLINK("https://media.licdn.com/dms/image/v2/D5622AQFeGh0Nti2Zmg/feedshare-shrink_1280/B56Z_IaUYgG0AQ-/0/1785773771225?e=2147483647&amp;v=beta&amp;t=LA0qAFOep-ii8fvQ1v2ki8IWWzEuY5pobqw62N817LM","View Creative")</f>
        <v>View Creative</v>
      </c>
      <c r="L1873" s="4" t="s">
        <v>106</v>
      </c>
      <c r="M1873" s="4" t="s">
        <v>5965</v>
      </c>
      <c r="O1873" s="4" t="s">
        <v>63</v>
      </c>
      <c r="P1873" s="4" t="s">
        <v>64</v>
      </c>
    </row>
    <row r="1874">
      <c r="A1874" s="4" t="s">
        <v>5965</v>
      </c>
      <c r="B1874" s="4" t="s">
        <v>5965</v>
      </c>
      <c r="C1874" s="4">
        <v>263.0</v>
      </c>
      <c r="D1874" s="5" t="str">
        <f>HYPERLINK("https://www.linkedin.com/ad-library/detail/1540318966","Open Ad")</f>
        <v>Open Ad</v>
      </c>
      <c r="E1874" s="4" t="s">
        <v>5970</v>
      </c>
      <c r="F1874" s="4" t="s">
        <v>54</v>
      </c>
      <c r="G1874" s="4" t="s">
        <v>6015</v>
      </c>
      <c r="H1874" s="4" t="s">
        <v>49</v>
      </c>
      <c r="I1874" s="4" t="s">
        <v>6005</v>
      </c>
      <c r="J1874" s="4" t="s">
        <v>5973</v>
      </c>
      <c r="K1874" s="4" t="s">
        <v>59</v>
      </c>
      <c r="L1874" s="4" t="s">
        <v>106</v>
      </c>
      <c r="M1874" s="4" t="s">
        <v>5965</v>
      </c>
      <c r="O1874" s="4" t="s">
        <v>63</v>
      </c>
      <c r="P1874" s="4" t="s">
        <v>64</v>
      </c>
    </row>
    <row r="1875">
      <c r="A1875" s="4" t="s">
        <v>5965</v>
      </c>
      <c r="B1875" s="4" t="s">
        <v>5965</v>
      </c>
      <c r="C1875" s="4">
        <v>264.0</v>
      </c>
      <c r="D1875" s="5" t="str">
        <f>HYPERLINK("https://www.linkedin.com/ad-library/detail/1540613426","Open Ad")</f>
        <v>Open Ad</v>
      </c>
      <c r="E1875" s="4" t="s">
        <v>5970</v>
      </c>
      <c r="F1875" s="4" t="s">
        <v>54</v>
      </c>
      <c r="G1875" s="4" t="s">
        <v>5980</v>
      </c>
      <c r="H1875" s="4" t="s">
        <v>49</v>
      </c>
      <c r="I1875" s="4" t="s">
        <v>6005</v>
      </c>
      <c r="J1875" s="4" t="s">
        <v>5973</v>
      </c>
      <c r="K1875" s="4" t="s">
        <v>59</v>
      </c>
      <c r="L1875" s="4" t="s">
        <v>106</v>
      </c>
      <c r="M1875" s="4" t="s">
        <v>5965</v>
      </c>
      <c r="O1875" s="4" t="s">
        <v>63</v>
      </c>
      <c r="P1875" s="4" t="s">
        <v>64</v>
      </c>
    </row>
    <row r="1876">
      <c r="A1876" s="4" t="s">
        <v>5965</v>
      </c>
      <c r="B1876" s="4" t="s">
        <v>5965</v>
      </c>
      <c r="C1876" s="4">
        <v>265.0</v>
      </c>
      <c r="D1876" s="5" t="str">
        <f>HYPERLINK("https://www.linkedin.com/ad-library/detail/1539230786","Open Ad")</f>
        <v>Open Ad</v>
      </c>
      <c r="E1876" s="4" t="s">
        <v>5970</v>
      </c>
      <c r="F1876" s="4" t="s">
        <v>54</v>
      </c>
      <c r="G1876" s="4" t="s">
        <v>6015</v>
      </c>
      <c r="H1876" s="4" t="s">
        <v>49</v>
      </c>
      <c r="I1876" s="4" t="s">
        <v>6005</v>
      </c>
      <c r="J1876" s="4" t="s">
        <v>5973</v>
      </c>
      <c r="K1876" s="4" t="s">
        <v>59</v>
      </c>
      <c r="L1876" s="4" t="s">
        <v>106</v>
      </c>
      <c r="M1876" s="4" t="s">
        <v>5965</v>
      </c>
      <c r="O1876" s="4" t="s">
        <v>63</v>
      </c>
      <c r="P1876" s="4" t="s">
        <v>64</v>
      </c>
    </row>
    <row r="1877">
      <c r="A1877" s="4" t="s">
        <v>5965</v>
      </c>
      <c r="B1877" s="4" t="s">
        <v>5965</v>
      </c>
      <c r="C1877" s="4">
        <v>266.0</v>
      </c>
      <c r="D1877" s="5" t="str">
        <f>HYPERLINK("https://www.linkedin.com/ad-library/detail/1539612466","Open Ad")</f>
        <v>Open Ad</v>
      </c>
      <c r="E1877" s="4" t="s">
        <v>78</v>
      </c>
      <c r="F1877" s="4" t="s">
        <v>54</v>
      </c>
      <c r="G1877" s="4" t="s">
        <v>6115</v>
      </c>
      <c r="H1877" s="4" t="s">
        <v>49</v>
      </c>
      <c r="I1877" s="4" t="s">
        <v>6005</v>
      </c>
      <c r="J1877" s="4" t="s">
        <v>78</v>
      </c>
      <c r="K1877" s="5" t="str">
        <f>HYPERLINK("https://media.licdn.com/dms/image/v2/D5610AQFMbD1nRCmKig/image-shrink_1280/B56Z_sYxHeJsAc-/0/1786377344055/Profound_GM_37Stat_1x1png?e=2147483647&amp;v=beta&amp;t=8I-InHtprJMHfmZmPNfrQkm5TTrP1LFO-dsoL6eUajE","View Creative")</f>
        <v>View Creative</v>
      </c>
      <c r="L1877" s="4" t="s">
        <v>106</v>
      </c>
      <c r="M1877" s="4" t="s">
        <v>5965</v>
      </c>
      <c r="O1877" s="4" t="s">
        <v>63</v>
      </c>
      <c r="P1877" s="4" t="s">
        <v>64</v>
      </c>
    </row>
    <row r="1878">
      <c r="A1878" s="4" t="s">
        <v>5965</v>
      </c>
      <c r="B1878" s="4" t="s">
        <v>5965</v>
      </c>
      <c r="C1878" s="4">
        <v>267.0</v>
      </c>
      <c r="D1878" s="5" t="str">
        <f>HYPERLINK("https://www.linkedin.com/ad-library/detail/1539612246","Open Ad")</f>
        <v>Open Ad</v>
      </c>
      <c r="E1878" s="4" t="s">
        <v>78</v>
      </c>
      <c r="F1878" s="4" t="s">
        <v>54</v>
      </c>
      <c r="G1878" s="4" t="s">
        <v>6115</v>
      </c>
      <c r="H1878" s="4" t="s">
        <v>49</v>
      </c>
      <c r="I1878" s="4" t="s">
        <v>6005</v>
      </c>
      <c r="J1878" s="4" t="s">
        <v>78</v>
      </c>
      <c r="K1878" s="5" t="str">
        <f>HYPERLINK("https://media.licdn.com/dms/image/v2/D5610AQGCArVcCr1v4Q/image-shrink_1280/B56Z_sYjPEKMAc-/0/1786377287113/Profound_GM_The90Stat_1x11png?e=2147483647&amp;v=beta&amp;t=ARJ5ncTsFN32_-jnIdsYAEVQhbSj3ZGdGZn9YCeVGRE","View Creative")</f>
        <v>View Creative</v>
      </c>
      <c r="L1878" s="4" t="s">
        <v>106</v>
      </c>
      <c r="M1878" s="4" t="s">
        <v>5965</v>
      </c>
      <c r="O1878" s="4" t="s">
        <v>63</v>
      </c>
      <c r="P1878" s="4" t="s">
        <v>64</v>
      </c>
    </row>
    <row r="1879">
      <c r="A1879" s="4" t="s">
        <v>5965</v>
      </c>
      <c r="B1879" s="4" t="s">
        <v>5965</v>
      </c>
      <c r="C1879" s="4">
        <v>268.0</v>
      </c>
      <c r="D1879" s="5" t="str">
        <f>HYPERLINK("https://www.linkedin.com/ad-library/detail/1539400626","Open Ad")</f>
        <v>Open Ad</v>
      </c>
      <c r="E1879" s="4" t="s">
        <v>78</v>
      </c>
      <c r="F1879" s="4" t="s">
        <v>54</v>
      </c>
      <c r="G1879" s="4" t="s">
        <v>6036</v>
      </c>
      <c r="H1879" s="4" t="s">
        <v>49</v>
      </c>
      <c r="I1879" s="4" t="s">
        <v>6005</v>
      </c>
      <c r="J1879" s="4" t="s">
        <v>78</v>
      </c>
      <c r="K1879" s="4" t="s">
        <v>59</v>
      </c>
      <c r="L1879" s="4" t="s">
        <v>106</v>
      </c>
      <c r="M1879" s="4" t="s">
        <v>5965</v>
      </c>
      <c r="O1879" s="4" t="s">
        <v>63</v>
      </c>
      <c r="P1879" s="4" t="s">
        <v>64</v>
      </c>
    </row>
    <row r="1880">
      <c r="A1880" s="4" t="s">
        <v>5965</v>
      </c>
      <c r="B1880" s="4" t="s">
        <v>5965</v>
      </c>
      <c r="C1880" s="4">
        <v>269.0</v>
      </c>
      <c r="D1880" s="5" t="str">
        <f>HYPERLINK("https://www.linkedin.com/ad-library/detail/1539210526","Open Ad")</f>
        <v>Open Ad</v>
      </c>
      <c r="E1880" s="4" t="s">
        <v>78</v>
      </c>
      <c r="F1880" s="4" t="s">
        <v>54</v>
      </c>
      <c r="G1880" s="4" t="s">
        <v>6036</v>
      </c>
      <c r="H1880" s="4" t="s">
        <v>49</v>
      </c>
      <c r="I1880" s="4" t="s">
        <v>6005</v>
      </c>
      <c r="J1880" s="4" t="s">
        <v>78</v>
      </c>
      <c r="K1880" s="4" t="s">
        <v>59</v>
      </c>
      <c r="L1880" s="4" t="s">
        <v>106</v>
      </c>
      <c r="M1880" s="4" t="s">
        <v>5965</v>
      </c>
      <c r="O1880" s="4" t="s">
        <v>63</v>
      </c>
      <c r="P1880" s="4" t="s">
        <v>64</v>
      </c>
    </row>
    <row r="1881">
      <c r="A1881" s="4" t="s">
        <v>5965</v>
      </c>
      <c r="B1881" s="4" t="s">
        <v>5965</v>
      </c>
      <c r="C1881" s="4">
        <v>270.0</v>
      </c>
      <c r="D1881" s="5" t="str">
        <f>HYPERLINK("https://www.linkedin.com/ad-library/detail/1539170766","Open Ad")</f>
        <v>Open Ad</v>
      </c>
      <c r="E1881" s="4" t="s">
        <v>78</v>
      </c>
      <c r="F1881" s="4" t="s">
        <v>54</v>
      </c>
      <c r="G1881" s="4" t="s">
        <v>6036</v>
      </c>
      <c r="H1881" s="4" t="s">
        <v>49</v>
      </c>
      <c r="I1881" s="4" t="s">
        <v>6005</v>
      </c>
      <c r="J1881" s="4" t="s">
        <v>78</v>
      </c>
      <c r="K1881" s="4" t="s">
        <v>59</v>
      </c>
      <c r="L1881" s="4" t="s">
        <v>106</v>
      </c>
      <c r="M1881" s="4" t="s">
        <v>5965</v>
      </c>
      <c r="O1881" s="4" t="s">
        <v>63</v>
      </c>
      <c r="P1881" s="4" t="s">
        <v>64</v>
      </c>
    </row>
    <row r="1882">
      <c r="A1882" s="4" t="s">
        <v>5965</v>
      </c>
      <c r="B1882" s="4" t="s">
        <v>5965</v>
      </c>
      <c r="C1882" s="4">
        <v>271.0</v>
      </c>
      <c r="D1882" s="5" t="str">
        <f>HYPERLINK("https://www.linkedin.com/ad-library/detail/1539280696","Open Ad")</f>
        <v>Open Ad</v>
      </c>
      <c r="E1882" s="4" t="s">
        <v>78</v>
      </c>
      <c r="F1882" s="4" t="s">
        <v>54</v>
      </c>
      <c r="G1882" s="4" t="s">
        <v>6029</v>
      </c>
      <c r="H1882" s="4" t="s">
        <v>49</v>
      </c>
      <c r="I1882" s="4" t="s">
        <v>6005</v>
      </c>
      <c r="J1882" s="4" t="s">
        <v>78</v>
      </c>
      <c r="K1882" s="4" t="s">
        <v>59</v>
      </c>
      <c r="L1882" s="4" t="s">
        <v>106</v>
      </c>
      <c r="M1882" s="4" t="s">
        <v>5965</v>
      </c>
      <c r="O1882" s="4" t="s">
        <v>63</v>
      </c>
      <c r="P1882" s="4" t="s">
        <v>64</v>
      </c>
    </row>
    <row r="1883">
      <c r="A1883" s="4" t="s">
        <v>5965</v>
      </c>
      <c r="B1883" s="4" t="s">
        <v>5965</v>
      </c>
      <c r="C1883" s="4">
        <v>272.0</v>
      </c>
      <c r="D1883" s="5" t="str">
        <f>HYPERLINK("https://www.linkedin.com/ad-library/detail/1539602166","Open Ad")</f>
        <v>Open Ad</v>
      </c>
      <c r="E1883" s="4" t="s">
        <v>78</v>
      </c>
      <c r="F1883" s="4" t="s">
        <v>54</v>
      </c>
      <c r="G1883" s="4" t="s">
        <v>6115</v>
      </c>
      <c r="H1883" s="4" t="s">
        <v>49</v>
      </c>
      <c r="I1883" s="4" t="s">
        <v>6005</v>
      </c>
      <c r="J1883" s="4" t="s">
        <v>78</v>
      </c>
      <c r="K1883" s="5" t="str">
        <f>HYPERLINK("https://media.licdn.com/dms/image/v2/D5610AQGQf9YCUEy6ow/image-shrink_1280/B56Z_sYCIuGQAk-/0/1786377151464/Profound_GM_TheRealityCheck_1x11png?e=2147483647&amp;v=beta&amp;t=zCppuPHQTkTVOU4TJwl5pRa5Zq35X7SEHbaNR-AzfsU","View Creative")</f>
        <v>View Creative</v>
      </c>
      <c r="L1883" s="4" t="s">
        <v>106</v>
      </c>
      <c r="M1883" s="4" t="s">
        <v>5965</v>
      </c>
      <c r="O1883" s="4" t="s">
        <v>63</v>
      </c>
      <c r="P1883" s="4" t="s">
        <v>64</v>
      </c>
    </row>
    <row r="1884">
      <c r="A1884" s="4" t="s">
        <v>5965</v>
      </c>
      <c r="B1884" s="4" t="s">
        <v>5965</v>
      </c>
      <c r="C1884" s="4">
        <v>273.0</v>
      </c>
      <c r="D1884" s="5" t="str">
        <f>HYPERLINK("https://www.linkedin.com/ad-library/detail/1539360666","Open Ad")</f>
        <v>Open Ad</v>
      </c>
      <c r="E1884" s="4" t="s">
        <v>78</v>
      </c>
      <c r="F1884" s="4" t="s">
        <v>54</v>
      </c>
      <c r="G1884" s="4" t="s">
        <v>6037</v>
      </c>
      <c r="H1884" s="4" t="s">
        <v>49</v>
      </c>
      <c r="I1884" s="4" t="s">
        <v>6005</v>
      </c>
      <c r="J1884" s="4" t="s">
        <v>78</v>
      </c>
      <c r="K1884" s="4" t="s">
        <v>59</v>
      </c>
      <c r="L1884" s="4" t="s">
        <v>106</v>
      </c>
      <c r="M1884" s="4" t="s">
        <v>5965</v>
      </c>
      <c r="O1884" s="4" t="s">
        <v>63</v>
      </c>
      <c r="P1884" s="4" t="s">
        <v>64</v>
      </c>
    </row>
    <row r="1885">
      <c r="A1885" s="4" t="s">
        <v>5965</v>
      </c>
      <c r="B1885" s="4" t="s">
        <v>5965</v>
      </c>
      <c r="C1885" s="4">
        <v>274.0</v>
      </c>
      <c r="D1885" s="5" t="str">
        <f>HYPERLINK("https://www.linkedin.com/ad-library/detail/1539622016","Open Ad")</f>
        <v>Open Ad</v>
      </c>
      <c r="E1885" s="4" t="s">
        <v>78</v>
      </c>
      <c r="F1885" s="4" t="s">
        <v>54</v>
      </c>
      <c r="G1885" s="4" t="s">
        <v>6115</v>
      </c>
      <c r="H1885" s="4" t="s">
        <v>49</v>
      </c>
      <c r="I1885" s="4" t="s">
        <v>6005</v>
      </c>
      <c r="J1885" s="4" t="s">
        <v>78</v>
      </c>
      <c r="K1885" s="5" t="str">
        <f>HYPERLINK("https://media.licdn.com/dms/image/v2/D5610AQFMbD1nRCmKig/image-shrink_1280/B56Z_sYxHeJsAc-/0/1786377344055/Profound_GM_37Stat_1x1png?e=2147483647&amp;v=beta&amp;t=8I-InHtprJMHfmZmPNfrQkm5TTrP1LFO-dsoL6eUajE","View Creative")</f>
        <v>View Creative</v>
      </c>
      <c r="L1885" s="4" t="s">
        <v>106</v>
      </c>
      <c r="M1885" s="4" t="s">
        <v>5965</v>
      </c>
      <c r="O1885" s="4" t="s">
        <v>63</v>
      </c>
      <c r="P1885" s="4" t="s">
        <v>64</v>
      </c>
    </row>
    <row r="1886">
      <c r="A1886" s="4" t="s">
        <v>5965</v>
      </c>
      <c r="B1886" s="4" t="s">
        <v>5965</v>
      </c>
      <c r="C1886" s="4">
        <v>275.0</v>
      </c>
      <c r="D1886" s="5" t="str">
        <f>HYPERLINK("https://www.linkedin.com/ad-library/detail/1539432676","Open Ad")</f>
        <v>Open Ad</v>
      </c>
      <c r="E1886" s="4" t="s">
        <v>78</v>
      </c>
      <c r="F1886" s="4" t="s">
        <v>54</v>
      </c>
      <c r="G1886" s="4" t="s">
        <v>6115</v>
      </c>
      <c r="H1886" s="4" t="s">
        <v>49</v>
      </c>
      <c r="I1886" s="4" t="s">
        <v>6005</v>
      </c>
      <c r="J1886" s="4" t="s">
        <v>78</v>
      </c>
      <c r="K1886" s="5" t="str">
        <f>HYPERLINK("https://media.licdn.com/dms/image/v2/D5610AQGQf9YCUEy6ow/image-shrink_1280/B56Z_sYCIuGQAk-/0/1786377151464/Profound_GM_TheRealityCheck_1x11png?e=2147483647&amp;v=beta&amp;t=zCppuPHQTkTVOU4TJwl5pRa5Zq35X7SEHbaNR-AzfsU","View Creative")</f>
        <v>View Creative</v>
      </c>
      <c r="L1886" s="4" t="s">
        <v>106</v>
      </c>
      <c r="M1886" s="4" t="s">
        <v>5965</v>
      </c>
      <c r="O1886" s="4" t="s">
        <v>63</v>
      </c>
      <c r="P1886" s="4" t="s">
        <v>64</v>
      </c>
    </row>
    <row r="1887">
      <c r="A1887" s="4" t="s">
        <v>5965</v>
      </c>
      <c r="B1887" s="4" t="s">
        <v>5965</v>
      </c>
      <c r="C1887" s="4">
        <v>276.0</v>
      </c>
      <c r="D1887" s="5" t="str">
        <f>HYPERLINK("https://www.linkedin.com/ad-library/detail/1539330766","Open Ad")</f>
        <v>Open Ad</v>
      </c>
      <c r="E1887" s="4" t="s">
        <v>78</v>
      </c>
      <c r="F1887" s="4" t="s">
        <v>54</v>
      </c>
      <c r="G1887" s="4" t="s">
        <v>6033</v>
      </c>
      <c r="H1887" s="4" t="s">
        <v>49</v>
      </c>
      <c r="I1887" s="4" t="s">
        <v>6005</v>
      </c>
      <c r="J1887" s="4" t="s">
        <v>78</v>
      </c>
      <c r="K1887" s="4" t="s">
        <v>59</v>
      </c>
      <c r="L1887" s="4" t="s">
        <v>106</v>
      </c>
      <c r="M1887" s="4" t="s">
        <v>5965</v>
      </c>
      <c r="O1887" s="4" t="s">
        <v>63</v>
      </c>
      <c r="P1887" s="4" t="s">
        <v>64</v>
      </c>
    </row>
    <row r="1888">
      <c r="A1888" s="4" t="s">
        <v>5965</v>
      </c>
      <c r="B1888" s="4" t="s">
        <v>5965</v>
      </c>
      <c r="C1888" s="4">
        <v>277.0</v>
      </c>
      <c r="D1888" s="5" t="str">
        <f>HYPERLINK("https://www.linkedin.com/ad-library/detail/1539562246","Open Ad")</f>
        <v>Open Ad</v>
      </c>
      <c r="E1888" s="4" t="s">
        <v>78</v>
      </c>
      <c r="F1888" s="4" t="s">
        <v>54</v>
      </c>
      <c r="G1888" s="4" t="s">
        <v>6115</v>
      </c>
      <c r="H1888" s="4" t="s">
        <v>49</v>
      </c>
      <c r="I1888" s="4" t="s">
        <v>6005</v>
      </c>
      <c r="J1888" s="4" t="s">
        <v>78</v>
      </c>
      <c r="K1888" s="5" t="str">
        <f>HYPERLINK("https://media.licdn.com/dms/image/v2/D5610AQGCArVcCr1v4Q/image-shrink_1280/B56Z_sYjPEKMAc-/0/1786377287113/Profound_GM_The90Stat_1x11png?e=2147483647&amp;v=beta&amp;t=ARJ5ncTsFN32_-jnIdsYAEVQhbSj3ZGdGZn9YCeVGRE","View Creative")</f>
        <v>View Creative</v>
      </c>
      <c r="L1888" s="4" t="s">
        <v>106</v>
      </c>
      <c r="M1888" s="4" t="s">
        <v>5965</v>
      </c>
      <c r="O1888" s="4" t="s">
        <v>63</v>
      </c>
      <c r="P1888" s="4" t="s">
        <v>64</v>
      </c>
    </row>
    <row r="1889">
      <c r="A1889" s="4" t="s">
        <v>5965</v>
      </c>
      <c r="B1889" s="4" t="s">
        <v>5965</v>
      </c>
      <c r="C1889" s="4">
        <v>278.0</v>
      </c>
      <c r="D1889" s="5" t="str">
        <f>HYPERLINK("https://www.linkedin.com/ad-library/detail/1539482516","Open Ad")</f>
        <v>Open Ad</v>
      </c>
      <c r="E1889" s="4" t="s">
        <v>78</v>
      </c>
      <c r="F1889" s="4" t="s">
        <v>54</v>
      </c>
      <c r="G1889" s="4" t="s">
        <v>6115</v>
      </c>
      <c r="H1889" s="4" t="s">
        <v>49</v>
      </c>
      <c r="I1889" s="4" t="s">
        <v>6005</v>
      </c>
      <c r="J1889" s="4" t="s">
        <v>78</v>
      </c>
      <c r="K1889" s="5" t="str">
        <f>HYPERLINK("https://media.licdn.com/dms/image/v2/D5610AQFMbD1nRCmKig/image-shrink_1280/B56Z_sYxHeJsAc-/0/1786377344055/Profound_GM_37Stat_1x1png?e=2147483647&amp;v=beta&amp;t=8I-InHtprJMHfmZmPNfrQkm5TTrP1LFO-dsoL6eUajE","View Creative")</f>
        <v>View Creative</v>
      </c>
      <c r="L1889" s="4" t="s">
        <v>106</v>
      </c>
      <c r="M1889" s="4" t="s">
        <v>5965</v>
      </c>
      <c r="O1889" s="4" t="s">
        <v>63</v>
      </c>
      <c r="P1889" s="4" t="s">
        <v>64</v>
      </c>
    </row>
    <row r="1890">
      <c r="A1890" s="4" t="s">
        <v>5965</v>
      </c>
      <c r="B1890" s="4" t="s">
        <v>5965</v>
      </c>
      <c r="C1890" s="4">
        <v>279.0</v>
      </c>
      <c r="D1890" s="5" t="str">
        <f>HYPERLINK("https://www.linkedin.com/ad-library/detail/1539330746","Open Ad")</f>
        <v>Open Ad</v>
      </c>
      <c r="E1890" s="4" t="s">
        <v>78</v>
      </c>
      <c r="F1890" s="4" t="s">
        <v>54</v>
      </c>
      <c r="G1890" s="4" t="s">
        <v>6033</v>
      </c>
      <c r="H1890" s="4" t="s">
        <v>49</v>
      </c>
      <c r="I1890" s="4" t="s">
        <v>6005</v>
      </c>
      <c r="J1890" s="4" t="s">
        <v>78</v>
      </c>
      <c r="K1890" s="4" t="s">
        <v>59</v>
      </c>
      <c r="L1890" s="4" t="s">
        <v>106</v>
      </c>
      <c r="M1890" s="4" t="s">
        <v>5965</v>
      </c>
      <c r="O1890" s="4" t="s">
        <v>63</v>
      </c>
      <c r="P1890" s="4" t="s">
        <v>64</v>
      </c>
    </row>
    <row r="1891">
      <c r="A1891" s="4" t="s">
        <v>5965</v>
      </c>
      <c r="B1891" s="4" t="s">
        <v>5965</v>
      </c>
      <c r="C1891" s="4">
        <v>280.0</v>
      </c>
      <c r="D1891" s="5" t="str">
        <f>HYPERLINK("https://www.linkedin.com/ad-library/detail/1539200716","Open Ad")</f>
        <v>Open Ad</v>
      </c>
      <c r="E1891" s="4" t="s">
        <v>78</v>
      </c>
      <c r="F1891" s="4" t="s">
        <v>54</v>
      </c>
      <c r="G1891" s="4" t="s">
        <v>6029</v>
      </c>
      <c r="H1891" s="4" t="s">
        <v>49</v>
      </c>
      <c r="I1891" s="4" t="s">
        <v>6005</v>
      </c>
      <c r="J1891" s="4" t="s">
        <v>78</v>
      </c>
      <c r="K1891" s="4" t="s">
        <v>59</v>
      </c>
      <c r="L1891" s="4" t="s">
        <v>106</v>
      </c>
      <c r="M1891" s="4" t="s">
        <v>5965</v>
      </c>
      <c r="O1891" s="4" t="s">
        <v>63</v>
      </c>
      <c r="P1891" s="4" t="s">
        <v>64</v>
      </c>
    </row>
    <row r="1892">
      <c r="A1892" s="4" t="s">
        <v>5965</v>
      </c>
      <c r="B1892" s="4" t="s">
        <v>5965</v>
      </c>
      <c r="C1892" s="4">
        <v>281.0</v>
      </c>
      <c r="D1892" s="5" t="str">
        <f>HYPERLINK("https://www.linkedin.com/ad-library/detail/1539410566","Open Ad")</f>
        <v>Open Ad</v>
      </c>
      <c r="E1892" s="4" t="s">
        <v>5970</v>
      </c>
      <c r="F1892" s="4" t="s">
        <v>54</v>
      </c>
      <c r="G1892" s="4" t="s">
        <v>5980</v>
      </c>
      <c r="H1892" s="4" t="s">
        <v>49</v>
      </c>
      <c r="I1892" s="4" t="s">
        <v>6005</v>
      </c>
      <c r="J1892" s="4" t="s">
        <v>5973</v>
      </c>
      <c r="K1892" s="4" t="s">
        <v>59</v>
      </c>
      <c r="L1892" s="4" t="s">
        <v>106</v>
      </c>
      <c r="M1892" s="4" t="s">
        <v>5965</v>
      </c>
      <c r="O1892" s="4" t="s">
        <v>63</v>
      </c>
      <c r="P1892" s="4" t="s">
        <v>64</v>
      </c>
    </row>
    <row r="1893">
      <c r="A1893" s="4" t="s">
        <v>5965</v>
      </c>
      <c r="B1893" s="4" t="s">
        <v>5965</v>
      </c>
      <c r="C1893" s="4">
        <v>282.0</v>
      </c>
      <c r="D1893" s="5" t="str">
        <f>HYPERLINK("https://www.linkedin.com/ad-library/detail/1539532166","Open Ad")</f>
        <v>Open Ad</v>
      </c>
      <c r="E1893" s="4" t="s">
        <v>78</v>
      </c>
      <c r="F1893" s="4" t="s">
        <v>54</v>
      </c>
      <c r="G1893" s="4" t="s">
        <v>6115</v>
      </c>
      <c r="H1893" s="4" t="s">
        <v>49</v>
      </c>
      <c r="I1893" s="4" t="s">
        <v>6005</v>
      </c>
      <c r="J1893" s="4" t="s">
        <v>78</v>
      </c>
      <c r="K1893" s="5" t="str">
        <f>HYPERLINK("https://media.licdn.com/dms/image/v2/D5610AQHFfjbCTN-dvA/image-shrink_1280/B56Z_sYYtrGsAc-/0/1786377243930/Profound_GM_SEOShift_1x11png?e=2147483647&amp;v=beta&amp;t=K2HnNkfefN4yKanNO6XcCia00T4_yqzbxVBVyf8CLmk","View Creative")</f>
        <v>View Creative</v>
      </c>
      <c r="L1893" s="4" t="s">
        <v>106</v>
      </c>
      <c r="M1893" s="4" t="s">
        <v>5965</v>
      </c>
      <c r="O1893" s="4" t="s">
        <v>63</v>
      </c>
      <c r="P1893" s="4" t="s">
        <v>64</v>
      </c>
    </row>
    <row r="1894">
      <c r="A1894" s="4" t="s">
        <v>5965</v>
      </c>
      <c r="B1894" s="4" t="s">
        <v>5965</v>
      </c>
      <c r="C1894" s="4">
        <v>283.0</v>
      </c>
      <c r="D1894" s="5" t="str">
        <f>HYPERLINK("https://www.linkedin.com/ad-library/detail/1539370656","Open Ad")</f>
        <v>Open Ad</v>
      </c>
      <c r="E1894" s="4" t="s">
        <v>78</v>
      </c>
      <c r="F1894" s="4" t="s">
        <v>54</v>
      </c>
      <c r="G1894" s="4" t="s">
        <v>6029</v>
      </c>
      <c r="H1894" s="4" t="s">
        <v>49</v>
      </c>
      <c r="I1894" s="4" t="s">
        <v>6005</v>
      </c>
      <c r="J1894" s="4" t="s">
        <v>78</v>
      </c>
      <c r="K1894" s="4" t="s">
        <v>59</v>
      </c>
      <c r="L1894" s="4" t="s">
        <v>106</v>
      </c>
      <c r="M1894" s="4" t="s">
        <v>5965</v>
      </c>
      <c r="O1894" s="4" t="s">
        <v>63</v>
      </c>
      <c r="P1894" s="4" t="s">
        <v>64</v>
      </c>
    </row>
    <row r="1895">
      <c r="A1895" s="4" t="s">
        <v>5965</v>
      </c>
      <c r="B1895" s="4" t="s">
        <v>5965</v>
      </c>
      <c r="C1895" s="4">
        <v>284.0</v>
      </c>
      <c r="D1895" s="5" t="str">
        <f>HYPERLINK("https://www.linkedin.com/ad-library/detail/1539240626","Open Ad")</f>
        <v>Open Ad</v>
      </c>
      <c r="E1895" s="4" t="s">
        <v>78</v>
      </c>
      <c r="F1895" s="4" t="s">
        <v>54</v>
      </c>
      <c r="G1895" s="4" t="s">
        <v>6034</v>
      </c>
      <c r="H1895" s="4" t="s">
        <v>49</v>
      </c>
      <c r="I1895" s="4" t="s">
        <v>6005</v>
      </c>
      <c r="J1895" s="4" t="s">
        <v>78</v>
      </c>
      <c r="K1895" s="4" t="s">
        <v>59</v>
      </c>
      <c r="L1895" s="4" t="s">
        <v>106</v>
      </c>
      <c r="M1895" s="4" t="s">
        <v>5965</v>
      </c>
      <c r="O1895" s="4" t="s">
        <v>63</v>
      </c>
      <c r="P1895" s="4" t="s">
        <v>64</v>
      </c>
    </row>
    <row r="1896">
      <c r="A1896" s="4" t="s">
        <v>5965</v>
      </c>
      <c r="B1896" s="4" t="s">
        <v>5965</v>
      </c>
      <c r="C1896" s="4">
        <v>285.0</v>
      </c>
      <c r="D1896" s="5" t="str">
        <f>HYPERLINK("https://www.linkedin.com/ad-library/detail/1539651906","Open Ad")</f>
        <v>Open Ad</v>
      </c>
      <c r="E1896" s="4" t="s">
        <v>78</v>
      </c>
      <c r="F1896" s="4" t="s">
        <v>54</v>
      </c>
      <c r="G1896" s="4" t="s">
        <v>6115</v>
      </c>
      <c r="H1896" s="4" t="s">
        <v>49</v>
      </c>
      <c r="I1896" s="4" t="s">
        <v>6005</v>
      </c>
      <c r="J1896" s="4" t="s">
        <v>78</v>
      </c>
      <c r="K1896" s="5" t="str">
        <f>HYPERLINK("https://media.licdn.com/dms/image/v2/D5610AQGQf9YCUEy6ow/image-shrink_1280/B56Z_sYCIuGQAk-/0/1786377151464/Profound_GM_TheRealityCheck_1x11png?e=2147483647&amp;v=beta&amp;t=zCppuPHQTkTVOU4TJwl5pRa5Zq35X7SEHbaNR-AzfsU","View Creative")</f>
        <v>View Creative</v>
      </c>
      <c r="L1896" s="4" t="s">
        <v>106</v>
      </c>
      <c r="M1896" s="4" t="s">
        <v>5965</v>
      </c>
      <c r="O1896" s="4" t="s">
        <v>63</v>
      </c>
      <c r="P1896" s="4" t="s">
        <v>64</v>
      </c>
    </row>
    <row r="1897">
      <c r="A1897" s="4" t="s">
        <v>5965</v>
      </c>
      <c r="B1897" s="4" t="s">
        <v>5965</v>
      </c>
      <c r="C1897" s="4">
        <v>286.0</v>
      </c>
      <c r="D1897" s="5" t="str">
        <f>HYPERLINK("https://www.linkedin.com/ad-library/detail/1539300626","Open Ad")</f>
        <v>Open Ad</v>
      </c>
      <c r="E1897" s="4" t="s">
        <v>78</v>
      </c>
      <c r="F1897" s="4" t="s">
        <v>54</v>
      </c>
      <c r="G1897" s="4" t="s">
        <v>6034</v>
      </c>
      <c r="H1897" s="4" t="s">
        <v>49</v>
      </c>
      <c r="I1897" s="4" t="s">
        <v>6005</v>
      </c>
      <c r="J1897" s="4" t="s">
        <v>78</v>
      </c>
      <c r="K1897" s="4" t="s">
        <v>59</v>
      </c>
      <c r="L1897" s="4" t="s">
        <v>106</v>
      </c>
      <c r="M1897" s="4" t="s">
        <v>5965</v>
      </c>
      <c r="O1897" s="4" t="s">
        <v>63</v>
      </c>
      <c r="P1897" s="4" t="s">
        <v>64</v>
      </c>
    </row>
    <row r="1898">
      <c r="A1898" s="4" t="s">
        <v>5965</v>
      </c>
      <c r="B1898" s="4" t="s">
        <v>5965</v>
      </c>
      <c r="C1898" s="4">
        <v>287.0</v>
      </c>
      <c r="D1898" s="5" t="str">
        <f>HYPERLINK("https://www.linkedin.com/ad-library/detail/1539522426","Open Ad")</f>
        <v>Open Ad</v>
      </c>
      <c r="E1898" s="4" t="s">
        <v>78</v>
      </c>
      <c r="F1898" s="4" t="s">
        <v>54</v>
      </c>
      <c r="G1898" s="4" t="s">
        <v>6115</v>
      </c>
      <c r="H1898" s="4" t="s">
        <v>49</v>
      </c>
      <c r="I1898" s="4" t="s">
        <v>6005</v>
      </c>
      <c r="J1898" s="4" t="s">
        <v>78</v>
      </c>
      <c r="K1898" s="5" t="str">
        <f t="shared" ref="K1898:K1899" si="33">HYPERLINK("https://media.licdn.com/dms/image/v2/D5610AQHFfjbCTN-dvA/image-shrink_1280/B56Z_sYYtrGsAc-/0/1786377243930/Profound_GM_SEOShift_1x11png?e=2147483647&amp;v=beta&amp;t=K2HnNkfefN4yKanNO6XcCia00T4_yqzbxVBVyf8CLmk","View Creative")</f>
        <v>View Creative</v>
      </c>
      <c r="L1898" s="4" t="s">
        <v>106</v>
      </c>
      <c r="M1898" s="4" t="s">
        <v>5965</v>
      </c>
      <c r="O1898" s="4" t="s">
        <v>63</v>
      </c>
      <c r="P1898" s="4" t="s">
        <v>64</v>
      </c>
    </row>
    <row r="1899">
      <c r="A1899" s="4" t="s">
        <v>5965</v>
      </c>
      <c r="B1899" s="4" t="s">
        <v>5965</v>
      </c>
      <c r="C1899" s="4">
        <v>288.0</v>
      </c>
      <c r="D1899" s="5" t="str">
        <f>HYPERLINK("https://www.linkedin.com/ad-library/detail/1539592476","Open Ad")</f>
        <v>Open Ad</v>
      </c>
      <c r="E1899" s="4" t="s">
        <v>78</v>
      </c>
      <c r="F1899" s="4" t="s">
        <v>54</v>
      </c>
      <c r="G1899" s="4" t="s">
        <v>6115</v>
      </c>
      <c r="H1899" s="4" t="s">
        <v>49</v>
      </c>
      <c r="I1899" s="4" t="s">
        <v>6005</v>
      </c>
      <c r="J1899" s="4" t="s">
        <v>78</v>
      </c>
      <c r="K1899" s="5" t="str">
        <f t="shared" si="33"/>
        <v>View Creative</v>
      </c>
      <c r="L1899" s="4" t="s">
        <v>106</v>
      </c>
      <c r="M1899" s="4" t="s">
        <v>5965</v>
      </c>
      <c r="O1899" s="4" t="s">
        <v>63</v>
      </c>
      <c r="P1899" s="4" t="s">
        <v>64</v>
      </c>
    </row>
    <row r="1900">
      <c r="A1900" s="4" t="s">
        <v>5965</v>
      </c>
      <c r="B1900" s="4" t="s">
        <v>5965</v>
      </c>
      <c r="C1900" s="4">
        <v>289.0</v>
      </c>
      <c r="D1900" s="5" t="str">
        <f>HYPERLINK("https://www.linkedin.com/ad-library/detail/1539390606","Open Ad")</f>
        <v>Open Ad</v>
      </c>
      <c r="E1900" s="4" t="s">
        <v>78</v>
      </c>
      <c r="F1900" s="4" t="s">
        <v>54</v>
      </c>
      <c r="G1900" s="4" t="s">
        <v>6227</v>
      </c>
      <c r="H1900" s="4" t="s">
        <v>49</v>
      </c>
      <c r="I1900" s="4" t="s">
        <v>6005</v>
      </c>
      <c r="J1900" s="4" t="s">
        <v>78</v>
      </c>
      <c r="K1900" s="5" t="str">
        <f>HYPERLINK("https://media.licdn.com/dms/image/v2/D5610AQGeqnWAUh7epw/image-shrink_1280/B56Z9JWXKUJoAc-/0/1783642026908/StaticA_1_1png?e=2147483647&amp;v=beta&amp;t=VtoLRIIvB_6SmNkFagK7x5k7ozf_O0g25FDHr-3O0Cg","View Creative")</f>
        <v>View Creative</v>
      </c>
      <c r="L1900" s="4" t="s">
        <v>106</v>
      </c>
      <c r="M1900" s="4" t="s">
        <v>5965</v>
      </c>
      <c r="O1900" s="4" t="s">
        <v>63</v>
      </c>
      <c r="P1900" s="4" t="s">
        <v>64</v>
      </c>
    </row>
    <row r="1901">
      <c r="A1901" s="4" t="s">
        <v>5965</v>
      </c>
      <c r="B1901" s="4" t="s">
        <v>5965</v>
      </c>
      <c r="C1901" s="4">
        <v>290.0</v>
      </c>
      <c r="D1901" s="5" t="str">
        <f>HYPERLINK("https://www.linkedin.com/ad-library/detail/1539310666","Open Ad")</f>
        <v>Open Ad</v>
      </c>
      <c r="E1901" s="4" t="s">
        <v>78</v>
      </c>
      <c r="F1901" s="4" t="s">
        <v>54</v>
      </c>
      <c r="G1901" s="4" t="s">
        <v>6036</v>
      </c>
      <c r="H1901" s="4" t="s">
        <v>49</v>
      </c>
      <c r="I1901" s="4" t="s">
        <v>6005</v>
      </c>
      <c r="J1901" s="4" t="s">
        <v>78</v>
      </c>
      <c r="K1901" s="4" t="s">
        <v>59</v>
      </c>
      <c r="L1901" s="4" t="s">
        <v>106</v>
      </c>
      <c r="M1901" s="4" t="s">
        <v>5965</v>
      </c>
      <c r="O1901" s="4" t="s">
        <v>63</v>
      </c>
      <c r="P1901" s="4" t="s">
        <v>64</v>
      </c>
    </row>
    <row r="1902">
      <c r="A1902" s="4" t="s">
        <v>5965</v>
      </c>
      <c r="B1902" s="4" t="s">
        <v>5965</v>
      </c>
      <c r="C1902" s="4">
        <v>291.0</v>
      </c>
      <c r="D1902" s="5" t="str">
        <f>HYPERLINK("https://www.linkedin.com/ad-library/detail/1539280686","Open Ad")</f>
        <v>Open Ad</v>
      </c>
      <c r="E1902" s="4" t="s">
        <v>5970</v>
      </c>
      <c r="F1902" s="4" t="s">
        <v>54</v>
      </c>
      <c r="G1902" s="4" t="s">
        <v>5980</v>
      </c>
      <c r="H1902" s="4" t="s">
        <v>49</v>
      </c>
      <c r="I1902" s="4" t="s">
        <v>6005</v>
      </c>
      <c r="J1902" s="4" t="s">
        <v>5973</v>
      </c>
      <c r="K1902" s="4" t="s">
        <v>59</v>
      </c>
      <c r="L1902" s="4" t="s">
        <v>106</v>
      </c>
      <c r="M1902" s="4" t="s">
        <v>5965</v>
      </c>
      <c r="O1902" s="4" t="s">
        <v>63</v>
      </c>
      <c r="P1902" s="4" t="s">
        <v>64</v>
      </c>
    </row>
    <row r="1903">
      <c r="A1903" s="4" t="s">
        <v>5965</v>
      </c>
      <c r="B1903" s="4" t="s">
        <v>5965</v>
      </c>
      <c r="C1903" s="4">
        <v>292.0</v>
      </c>
      <c r="D1903" s="5" t="str">
        <f>HYPERLINK("https://www.linkedin.com/ad-library/detail/1539230706","Open Ad")</f>
        <v>Open Ad</v>
      </c>
      <c r="E1903" s="4" t="s">
        <v>5970</v>
      </c>
      <c r="F1903" s="4" t="s">
        <v>54</v>
      </c>
      <c r="G1903" s="4" t="s">
        <v>5980</v>
      </c>
      <c r="H1903" s="4" t="s">
        <v>49</v>
      </c>
      <c r="I1903" s="4" t="s">
        <v>6005</v>
      </c>
      <c r="J1903" s="4" t="s">
        <v>5973</v>
      </c>
      <c r="K1903" s="4" t="s">
        <v>59</v>
      </c>
      <c r="L1903" s="4" t="s">
        <v>106</v>
      </c>
      <c r="M1903" s="4" t="s">
        <v>5965</v>
      </c>
      <c r="O1903" s="4" t="s">
        <v>63</v>
      </c>
      <c r="P1903" s="4" t="s">
        <v>64</v>
      </c>
    </row>
    <row r="1904">
      <c r="A1904" s="4" t="s">
        <v>5965</v>
      </c>
      <c r="B1904" s="4" t="s">
        <v>5965</v>
      </c>
      <c r="C1904" s="4">
        <v>293.0</v>
      </c>
      <c r="D1904" s="5" t="str">
        <f>HYPERLINK("https://www.linkedin.com/ad-library/detail/1539230726","Open Ad")</f>
        <v>Open Ad</v>
      </c>
      <c r="E1904" s="4" t="s">
        <v>78</v>
      </c>
      <c r="F1904" s="4" t="s">
        <v>54</v>
      </c>
      <c r="G1904" s="4" t="s">
        <v>6033</v>
      </c>
      <c r="H1904" s="4" t="s">
        <v>49</v>
      </c>
      <c r="I1904" s="4" t="s">
        <v>6005</v>
      </c>
      <c r="J1904" s="4" t="s">
        <v>78</v>
      </c>
      <c r="K1904" s="4" t="s">
        <v>59</v>
      </c>
      <c r="L1904" s="4" t="s">
        <v>106</v>
      </c>
      <c r="M1904" s="4" t="s">
        <v>5965</v>
      </c>
      <c r="O1904" s="4" t="s">
        <v>63</v>
      </c>
      <c r="P1904" s="4" t="s">
        <v>64</v>
      </c>
    </row>
    <row r="1905">
      <c r="A1905" s="4" t="s">
        <v>5965</v>
      </c>
      <c r="B1905" s="4" t="s">
        <v>5965</v>
      </c>
      <c r="C1905" s="4">
        <v>294.0</v>
      </c>
      <c r="D1905" s="5" t="str">
        <f>HYPERLINK("https://www.linkedin.com/ad-library/detail/1539230736","Open Ad")</f>
        <v>Open Ad</v>
      </c>
      <c r="E1905" s="4" t="s">
        <v>78</v>
      </c>
      <c r="F1905" s="4" t="s">
        <v>54</v>
      </c>
      <c r="G1905" s="4" t="s">
        <v>6037</v>
      </c>
      <c r="H1905" s="4" t="s">
        <v>49</v>
      </c>
      <c r="I1905" s="4" t="s">
        <v>6005</v>
      </c>
      <c r="J1905" s="4" t="s">
        <v>78</v>
      </c>
      <c r="K1905" s="4" t="s">
        <v>59</v>
      </c>
      <c r="L1905" s="4" t="s">
        <v>106</v>
      </c>
      <c r="M1905" s="4" t="s">
        <v>5965</v>
      </c>
      <c r="O1905" s="4" t="s">
        <v>63</v>
      </c>
      <c r="P1905" s="4" t="s">
        <v>64</v>
      </c>
    </row>
    <row r="1906">
      <c r="A1906" s="4" t="s">
        <v>5965</v>
      </c>
      <c r="B1906" s="4" t="s">
        <v>5965</v>
      </c>
      <c r="C1906" s="4">
        <v>295.0</v>
      </c>
      <c r="D1906" s="5" t="str">
        <f>HYPERLINK("https://www.linkedin.com/ad-library/detail/1539360656","Open Ad")</f>
        <v>Open Ad</v>
      </c>
      <c r="E1906" s="4" t="s">
        <v>78</v>
      </c>
      <c r="F1906" s="4" t="s">
        <v>54</v>
      </c>
      <c r="G1906" s="4" t="s">
        <v>6234</v>
      </c>
      <c r="H1906" s="4" t="s">
        <v>49</v>
      </c>
      <c r="I1906" s="4" t="s">
        <v>6005</v>
      </c>
      <c r="J1906" s="4" t="s">
        <v>78</v>
      </c>
      <c r="K1906" s="5" t="str">
        <f>HYPERLINK("https://media.licdn.com/dms/image/v2/D5610AQGeqnWAUh7epw/image-shrink_1280/B56Z9JWXKUJoAc-/0/1783642026908/StaticA_1_1png?e=2147483647&amp;v=beta&amp;t=VtoLRIIvB_6SmNkFagK7x5k7ozf_O0g25FDHr-3O0Cg","View Creative")</f>
        <v>View Creative</v>
      </c>
      <c r="L1906" s="4" t="s">
        <v>106</v>
      </c>
      <c r="M1906" s="4" t="s">
        <v>5965</v>
      </c>
      <c r="O1906" s="4" t="s">
        <v>63</v>
      </c>
      <c r="P1906" s="4" t="s">
        <v>64</v>
      </c>
    </row>
    <row r="1907">
      <c r="A1907" s="4" t="s">
        <v>5965</v>
      </c>
      <c r="B1907" s="4" t="s">
        <v>5965</v>
      </c>
      <c r="C1907" s="4">
        <v>296.0</v>
      </c>
      <c r="D1907" s="5" t="str">
        <f>HYPERLINK("https://www.linkedin.com/ad-library/detail/1539380556","Open Ad")</f>
        <v>Open Ad</v>
      </c>
      <c r="E1907" s="4" t="s">
        <v>78</v>
      </c>
      <c r="F1907" s="4" t="s">
        <v>54</v>
      </c>
      <c r="G1907" s="4" t="s">
        <v>6037</v>
      </c>
      <c r="H1907" s="4" t="s">
        <v>49</v>
      </c>
      <c r="I1907" s="4" t="s">
        <v>6005</v>
      </c>
      <c r="J1907" s="4" t="s">
        <v>78</v>
      </c>
      <c r="K1907" s="4" t="s">
        <v>59</v>
      </c>
      <c r="L1907" s="4" t="s">
        <v>106</v>
      </c>
      <c r="M1907" s="4" t="s">
        <v>5965</v>
      </c>
      <c r="O1907" s="4" t="s">
        <v>63</v>
      </c>
      <c r="P1907" s="4" t="s">
        <v>64</v>
      </c>
    </row>
    <row r="1908">
      <c r="A1908" s="4" t="s">
        <v>5965</v>
      </c>
      <c r="B1908" s="4" t="s">
        <v>5965</v>
      </c>
      <c r="C1908" s="4">
        <v>297.0</v>
      </c>
      <c r="D1908" s="5" t="str">
        <f>HYPERLINK("https://www.linkedin.com/ad-library/detail/1539380546","Open Ad")</f>
        <v>Open Ad</v>
      </c>
      <c r="E1908" s="4" t="s">
        <v>5970</v>
      </c>
      <c r="F1908" s="4" t="s">
        <v>54</v>
      </c>
      <c r="G1908" s="4" t="s">
        <v>5980</v>
      </c>
      <c r="H1908" s="4" t="s">
        <v>49</v>
      </c>
      <c r="I1908" s="4" t="s">
        <v>6005</v>
      </c>
      <c r="J1908" s="4" t="s">
        <v>5973</v>
      </c>
      <c r="K1908" s="4" t="s">
        <v>59</v>
      </c>
      <c r="L1908" s="4" t="s">
        <v>106</v>
      </c>
      <c r="M1908" s="4" t="s">
        <v>5965</v>
      </c>
      <c r="O1908" s="4" t="s">
        <v>63</v>
      </c>
      <c r="P1908" s="4" t="s">
        <v>64</v>
      </c>
    </row>
    <row r="1909">
      <c r="A1909" s="4" t="s">
        <v>5965</v>
      </c>
      <c r="B1909" s="4" t="s">
        <v>5965</v>
      </c>
      <c r="C1909" s="4">
        <v>298.0</v>
      </c>
      <c r="D1909" s="5" t="str">
        <f>HYPERLINK("https://www.linkedin.com/ad-library/detail/1539290586","Open Ad")</f>
        <v>Open Ad</v>
      </c>
      <c r="E1909" s="4" t="s">
        <v>78</v>
      </c>
      <c r="F1909" s="4" t="s">
        <v>54</v>
      </c>
      <c r="G1909" s="4" t="s">
        <v>6029</v>
      </c>
      <c r="H1909" s="4" t="s">
        <v>49</v>
      </c>
      <c r="I1909" s="4" t="s">
        <v>6005</v>
      </c>
      <c r="J1909" s="4" t="s">
        <v>78</v>
      </c>
      <c r="K1909" s="4" t="s">
        <v>59</v>
      </c>
      <c r="L1909" s="4" t="s">
        <v>106</v>
      </c>
      <c r="M1909" s="4" t="s">
        <v>5965</v>
      </c>
      <c r="O1909" s="4" t="s">
        <v>63</v>
      </c>
      <c r="P1909" s="4" t="s">
        <v>64</v>
      </c>
    </row>
    <row r="1910">
      <c r="A1910" s="4" t="s">
        <v>5965</v>
      </c>
      <c r="B1910" s="4" t="s">
        <v>5965</v>
      </c>
      <c r="C1910" s="4">
        <v>299.0</v>
      </c>
      <c r="D1910" s="5" t="str">
        <f>HYPERLINK("https://www.linkedin.com/ad-library/detail/1539330726","Open Ad")</f>
        <v>Open Ad</v>
      </c>
      <c r="E1910" s="4" t="s">
        <v>78</v>
      </c>
      <c r="F1910" s="4" t="s">
        <v>54</v>
      </c>
      <c r="G1910" s="4" t="s">
        <v>6036</v>
      </c>
      <c r="H1910" s="4" t="s">
        <v>49</v>
      </c>
      <c r="I1910" s="4" t="s">
        <v>6005</v>
      </c>
      <c r="J1910" s="4" t="s">
        <v>78</v>
      </c>
      <c r="K1910" s="4" t="s">
        <v>59</v>
      </c>
      <c r="L1910" s="4" t="s">
        <v>106</v>
      </c>
      <c r="M1910" s="4" t="s">
        <v>5965</v>
      </c>
      <c r="O1910" s="4" t="s">
        <v>63</v>
      </c>
      <c r="P1910" s="4" t="s">
        <v>64</v>
      </c>
    </row>
    <row r="1911">
      <c r="A1911" s="4" t="s">
        <v>5965</v>
      </c>
      <c r="B1911" s="4" t="s">
        <v>5965</v>
      </c>
      <c r="C1911" s="4">
        <v>300.0</v>
      </c>
      <c r="D1911" s="5" t="str">
        <f>HYPERLINK("https://www.linkedin.com/ad-library/detail/1539290596","Open Ad")</f>
        <v>Open Ad</v>
      </c>
      <c r="E1911" s="4" t="s">
        <v>5970</v>
      </c>
      <c r="F1911" s="4" t="s">
        <v>54</v>
      </c>
      <c r="G1911" s="4" t="s">
        <v>6015</v>
      </c>
      <c r="H1911" s="4" t="s">
        <v>49</v>
      </c>
      <c r="I1911" s="4" t="s">
        <v>6005</v>
      </c>
      <c r="J1911" s="4" t="s">
        <v>5973</v>
      </c>
      <c r="K1911" s="4" t="s">
        <v>59</v>
      </c>
      <c r="L1911" s="4" t="s">
        <v>106</v>
      </c>
      <c r="M1911" s="4" t="s">
        <v>5965</v>
      </c>
      <c r="O1911" s="4" t="s">
        <v>63</v>
      </c>
      <c r="P1911" s="4" t="s">
        <v>64</v>
      </c>
    </row>
    <row r="1912">
      <c r="A1912" s="4" t="s">
        <v>5965</v>
      </c>
      <c r="B1912" s="4" t="s">
        <v>5965</v>
      </c>
      <c r="C1912" s="4">
        <v>301.0</v>
      </c>
      <c r="D1912" s="5" t="str">
        <f>HYPERLINK("https://www.linkedin.com/ad-library/detail/1539330716","Open Ad")</f>
        <v>Open Ad</v>
      </c>
      <c r="E1912" s="4" t="s">
        <v>78</v>
      </c>
      <c r="F1912" s="4" t="s">
        <v>54</v>
      </c>
      <c r="G1912" s="4" t="s">
        <v>6033</v>
      </c>
      <c r="H1912" s="4" t="s">
        <v>49</v>
      </c>
      <c r="I1912" s="4" t="s">
        <v>6005</v>
      </c>
      <c r="J1912" s="4" t="s">
        <v>78</v>
      </c>
      <c r="K1912" s="4" t="s">
        <v>59</v>
      </c>
      <c r="L1912" s="4" t="s">
        <v>106</v>
      </c>
      <c r="M1912" s="4" t="s">
        <v>5965</v>
      </c>
      <c r="O1912" s="4" t="s">
        <v>63</v>
      </c>
      <c r="P1912" s="4" t="s">
        <v>64</v>
      </c>
    </row>
    <row r="1913">
      <c r="A1913" s="4" t="s">
        <v>5965</v>
      </c>
      <c r="B1913" s="4" t="s">
        <v>5965</v>
      </c>
      <c r="C1913" s="4">
        <v>302.0</v>
      </c>
      <c r="D1913" s="5" t="str">
        <f>HYPERLINK("https://www.linkedin.com/ad-library/detail/1539180496","Open Ad")</f>
        <v>Open Ad</v>
      </c>
      <c r="E1913" s="4" t="s">
        <v>78</v>
      </c>
      <c r="F1913" s="4" t="s">
        <v>54</v>
      </c>
      <c r="G1913" s="4" t="s">
        <v>6034</v>
      </c>
      <c r="H1913" s="4" t="s">
        <v>49</v>
      </c>
      <c r="I1913" s="4" t="s">
        <v>6005</v>
      </c>
      <c r="J1913" s="4" t="s">
        <v>78</v>
      </c>
      <c r="K1913" s="4" t="s">
        <v>59</v>
      </c>
      <c r="L1913" s="4" t="s">
        <v>106</v>
      </c>
      <c r="M1913" s="4" t="s">
        <v>5965</v>
      </c>
      <c r="O1913" s="4" t="s">
        <v>63</v>
      </c>
      <c r="P1913" s="4" t="s">
        <v>64</v>
      </c>
    </row>
    <row r="1914">
      <c r="A1914" s="4" t="s">
        <v>5965</v>
      </c>
      <c r="B1914" s="4" t="s">
        <v>5965</v>
      </c>
      <c r="C1914" s="4">
        <v>303.0</v>
      </c>
      <c r="D1914" s="5" t="str">
        <f>HYPERLINK("https://www.linkedin.com/ad-library/detail/1539190616","Open Ad")</f>
        <v>Open Ad</v>
      </c>
      <c r="E1914" s="4" t="s">
        <v>78</v>
      </c>
      <c r="F1914" s="4" t="s">
        <v>54</v>
      </c>
      <c r="G1914" s="4" t="s">
        <v>6242</v>
      </c>
      <c r="H1914" s="4" t="s">
        <v>49</v>
      </c>
      <c r="I1914" s="4" t="s">
        <v>6005</v>
      </c>
      <c r="J1914" s="4" t="s">
        <v>78</v>
      </c>
      <c r="K1914" s="4" t="s">
        <v>59</v>
      </c>
      <c r="L1914" s="4" t="s">
        <v>106</v>
      </c>
      <c r="M1914" s="4" t="s">
        <v>5965</v>
      </c>
      <c r="O1914" s="4" t="s">
        <v>63</v>
      </c>
      <c r="P1914" s="4" t="s">
        <v>64</v>
      </c>
    </row>
    <row r="1915">
      <c r="A1915" s="4" t="s">
        <v>5965</v>
      </c>
      <c r="B1915" s="4" t="s">
        <v>5965</v>
      </c>
      <c r="C1915" s="4">
        <v>304.0</v>
      </c>
      <c r="D1915" s="5" t="str">
        <f>HYPERLINK("https://www.linkedin.com/ad-library/detail/1539240586","Open Ad")</f>
        <v>Open Ad</v>
      </c>
      <c r="E1915" s="4" t="s">
        <v>78</v>
      </c>
      <c r="F1915" s="4" t="s">
        <v>54</v>
      </c>
      <c r="G1915" s="4" t="s">
        <v>6033</v>
      </c>
      <c r="H1915" s="4" t="s">
        <v>49</v>
      </c>
      <c r="I1915" s="4" t="s">
        <v>6005</v>
      </c>
      <c r="J1915" s="4" t="s">
        <v>78</v>
      </c>
      <c r="K1915" s="4" t="s">
        <v>59</v>
      </c>
      <c r="L1915" s="4" t="s">
        <v>106</v>
      </c>
      <c r="M1915" s="4" t="s">
        <v>5965</v>
      </c>
      <c r="O1915" s="4" t="s">
        <v>63</v>
      </c>
      <c r="P1915" s="4" t="s">
        <v>64</v>
      </c>
    </row>
    <row r="1916">
      <c r="A1916" s="4" t="s">
        <v>5965</v>
      </c>
      <c r="B1916" s="4" t="s">
        <v>5965</v>
      </c>
      <c r="C1916" s="4">
        <v>305.0</v>
      </c>
      <c r="D1916" s="5" t="str">
        <f>HYPERLINK("https://www.linkedin.com/ad-library/detail/1539350506","Open Ad")</f>
        <v>Open Ad</v>
      </c>
      <c r="E1916" s="4" t="s">
        <v>5970</v>
      </c>
      <c r="F1916" s="4" t="s">
        <v>54</v>
      </c>
      <c r="G1916" s="4" t="s">
        <v>6015</v>
      </c>
      <c r="H1916" s="4" t="s">
        <v>49</v>
      </c>
      <c r="I1916" s="4" t="s">
        <v>6005</v>
      </c>
      <c r="J1916" s="4" t="s">
        <v>5973</v>
      </c>
      <c r="K1916" s="4" t="s">
        <v>59</v>
      </c>
      <c r="L1916" s="4" t="s">
        <v>106</v>
      </c>
      <c r="M1916" s="4" t="s">
        <v>5965</v>
      </c>
      <c r="O1916" s="4" t="s">
        <v>63</v>
      </c>
      <c r="P1916" s="4" t="s">
        <v>64</v>
      </c>
    </row>
    <row r="1917">
      <c r="A1917" s="4" t="s">
        <v>5965</v>
      </c>
      <c r="B1917" s="4" t="s">
        <v>5965</v>
      </c>
      <c r="C1917" s="4">
        <v>306.0</v>
      </c>
      <c r="D1917" s="5" t="str">
        <f>HYPERLINK("https://www.linkedin.com/ad-library/detail/1539290566","Open Ad")</f>
        <v>Open Ad</v>
      </c>
      <c r="E1917" s="4" t="s">
        <v>5970</v>
      </c>
      <c r="F1917" s="4" t="s">
        <v>54</v>
      </c>
      <c r="G1917" s="4" t="s">
        <v>5980</v>
      </c>
      <c r="H1917" s="4" t="s">
        <v>49</v>
      </c>
      <c r="I1917" s="4" t="s">
        <v>6005</v>
      </c>
      <c r="J1917" s="4" t="s">
        <v>5973</v>
      </c>
      <c r="K1917" s="4" t="s">
        <v>59</v>
      </c>
      <c r="L1917" s="4" t="s">
        <v>106</v>
      </c>
      <c r="M1917" s="4" t="s">
        <v>5965</v>
      </c>
      <c r="O1917" s="4" t="s">
        <v>63</v>
      </c>
      <c r="P1917" s="4" t="s">
        <v>64</v>
      </c>
    </row>
    <row r="1918">
      <c r="A1918" s="4" t="s">
        <v>5965</v>
      </c>
      <c r="B1918" s="4" t="s">
        <v>5965</v>
      </c>
      <c r="C1918" s="4">
        <v>307.0</v>
      </c>
      <c r="D1918" s="5" t="str">
        <f>HYPERLINK("https://www.linkedin.com/ad-library/detail/1539300616","Open Ad")</f>
        <v>Open Ad</v>
      </c>
      <c r="E1918" s="4" t="s">
        <v>78</v>
      </c>
      <c r="F1918" s="4" t="s">
        <v>54</v>
      </c>
      <c r="G1918" s="4" t="s">
        <v>6036</v>
      </c>
      <c r="H1918" s="4" t="s">
        <v>49</v>
      </c>
      <c r="I1918" s="4" t="s">
        <v>6005</v>
      </c>
      <c r="J1918" s="4" t="s">
        <v>78</v>
      </c>
      <c r="K1918" s="4" t="s">
        <v>59</v>
      </c>
      <c r="L1918" s="4" t="s">
        <v>106</v>
      </c>
      <c r="M1918" s="4" t="s">
        <v>5965</v>
      </c>
      <c r="O1918" s="4" t="s">
        <v>63</v>
      </c>
      <c r="P1918" s="4" t="s">
        <v>64</v>
      </c>
    </row>
    <row r="1919">
      <c r="A1919" s="4" t="s">
        <v>5965</v>
      </c>
      <c r="B1919" s="4" t="s">
        <v>5965</v>
      </c>
      <c r="C1919" s="4">
        <v>308.0</v>
      </c>
      <c r="D1919" s="5" t="str">
        <f>HYPERLINK("https://www.linkedin.com/ad-library/detail/1539170716","Open Ad")</f>
        <v>Open Ad</v>
      </c>
      <c r="E1919" s="4" t="s">
        <v>78</v>
      </c>
      <c r="F1919" s="4" t="s">
        <v>54</v>
      </c>
      <c r="G1919" s="4" t="s">
        <v>6242</v>
      </c>
      <c r="H1919" s="4" t="s">
        <v>49</v>
      </c>
      <c r="I1919" s="4" t="s">
        <v>6005</v>
      </c>
      <c r="J1919" s="4" t="s">
        <v>78</v>
      </c>
      <c r="K1919" s="4" t="s">
        <v>59</v>
      </c>
      <c r="L1919" s="4" t="s">
        <v>106</v>
      </c>
      <c r="M1919" s="4" t="s">
        <v>5965</v>
      </c>
      <c r="O1919" s="4" t="s">
        <v>63</v>
      </c>
      <c r="P1919" s="4" t="s">
        <v>64</v>
      </c>
    </row>
    <row r="1920">
      <c r="A1920" s="4" t="s">
        <v>5965</v>
      </c>
      <c r="B1920" s="4" t="s">
        <v>5965</v>
      </c>
      <c r="C1920" s="4">
        <v>309.0</v>
      </c>
      <c r="D1920" s="5" t="str">
        <f>HYPERLINK("https://www.linkedin.com/ad-library/detail/1539240606","Open Ad")</f>
        <v>Open Ad</v>
      </c>
      <c r="E1920" s="4" t="s">
        <v>78</v>
      </c>
      <c r="F1920" s="4" t="s">
        <v>54</v>
      </c>
      <c r="G1920" s="4" t="s">
        <v>6033</v>
      </c>
      <c r="H1920" s="4" t="s">
        <v>49</v>
      </c>
      <c r="I1920" s="4" t="s">
        <v>6005</v>
      </c>
      <c r="J1920" s="4" t="s">
        <v>78</v>
      </c>
      <c r="K1920" s="4" t="s">
        <v>59</v>
      </c>
      <c r="L1920" s="4" t="s">
        <v>106</v>
      </c>
      <c r="M1920" s="4" t="s">
        <v>5965</v>
      </c>
      <c r="O1920" s="4" t="s">
        <v>63</v>
      </c>
      <c r="P1920" s="4" t="s">
        <v>64</v>
      </c>
    </row>
    <row r="1921">
      <c r="A1921" s="4" t="s">
        <v>5965</v>
      </c>
      <c r="B1921" s="4" t="s">
        <v>5965</v>
      </c>
      <c r="C1921" s="4">
        <v>310.0</v>
      </c>
      <c r="D1921" s="5" t="str">
        <f>HYPERLINK("https://www.linkedin.com/ad-library/detail/1539410506","Open Ad")</f>
        <v>Open Ad</v>
      </c>
      <c r="E1921" s="4" t="s">
        <v>5970</v>
      </c>
      <c r="F1921" s="4" t="s">
        <v>54</v>
      </c>
      <c r="G1921" s="4" t="s">
        <v>6015</v>
      </c>
      <c r="H1921" s="4" t="s">
        <v>49</v>
      </c>
      <c r="I1921" s="4" t="s">
        <v>6005</v>
      </c>
      <c r="J1921" s="4" t="s">
        <v>5973</v>
      </c>
      <c r="K1921" s="4" t="s">
        <v>59</v>
      </c>
      <c r="L1921" s="4" t="s">
        <v>106</v>
      </c>
      <c r="M1921" s="4" t="s">
        <v>5965</v>
      </c>
      <c r="O1921" s="4" t="s">
        <v>63</v>
      </c>
      <c r="P1921" s="4" t="s">
        <v>64</v>
      </c>
    </row>
    <row r="1922">
      <c r="A1922" s="4" t="s">
        <v>5965</v>
      </c>
      <c r="B1922" s="4" t="s">
        <v>5965</v>
      </c>
      <c r="C1922" s="4">
        <v>311.0</v>
      </c>
      <c r="D1922" s="5" t="str">
        <f>HYPERLINK("https://www.linkedin.com/ad-library/detail/1539220556","Open Ad")</f>
        <v>Open Ad</v>
      </c>
      <c r="E1922" s="4" t="s">
        <v>78</v>
      </c>
      <c r="F1922" s="4" t="s">
        <v>54</v>
      </c>
      <c r="G1922" s="4" t="s">
        <v>6037</v>
      </c>
      <c r="H1922" s="4" t="s">
        <v>49</v>
      </c>
      <c r="I1922" s="4" t="s">
        <v>6005</v>
      </c>
      <c r="J1922" s="4" t="s">
        <v>78</v>
      </c>
      <c r="K1922" s="4" t="s">
        <v>59</v>
      </c>
      <c r="L1922" s="4" t="s">
        <v>106</v>
      </c>
      <c r="M1922" s="4" t="s">
        <v>5965</v>
      </c>
      <c r="O1922" s="4" t="s">
        <v>63</v>
      </c>
      <c r="P1922" s="4" t="s">
        <v>64</v>
      </c>
    </row>
    <row r="1923">
      <c r="A1923" s="4" t="s">
        <v>5965</v>
      </c>
      <c r="B1923" s="4" t="s">
        <v>5965</v>
      </c>
      <c r="C1923" s="4">
        <v>312.0</v>
      </c>
      <c r="D1923" s="5" t="str">
        <f>HYPERLINK("https://www.linkedin.com/ad-library/detail/1539200696","Open Ad")</f>
        <v>Open Ad</v>
      </c>
      <c r="E1923" s="4" t="s">
        <v>78</v>
      </c>
      <c r="F1923" s="4" t="s">
        <v>54</v>
      </c>
      <c r="G1923" s="4" t="s">
        <v>6029</v>
      </c>
      <c r="H1923" s="4" t="s">
        <v>49</v>
      </c>
      <c r="I1923" s="4" t="s">
        <v>6005</v>
      </c>
      <c r="J1923" s="4" t="s">
        <v>78</v>
      </c>
      <c r="K1923" s="4" t="s">
        <v>59</v>
      </c>
      <c r="L1923" s="4" t="s">
        <v>106</v>
      </c>
      <c r="M1923" s="4" t="s">
        <v>5965</v>
      </c>
      <c r="O1923" s="4" t="s">
        <v>63</v>
      </c>
      <c r="P1923" s="4" t="s">
        <v>64</v>
      </c>
    </row>
    <row r="1924">
      <c r="A1924" s="4" t="s">
        <v>5965</v>
      </c>
      <c r="B1924" s="4" t="s">
        <v>5965</v>
      </c>
      <c r="C1924" s="4">
        <v>313.0</v>
      </c>
      <c r="D1924" s="5" t="str">
        <f>HYPERLINK("https://www.linkedin.com/ad-library/detail/1539170696","Open Ad")</f>
        <v>Open Ad</v>
      </c>
      <c r="E1924" s="4" t="s">
        <v>78</v>
      </c>
      <c r="F1924" s="4" t="s">
        <v>54</v>
      </c>
      <c r="G1924" s="4" t="s">
        <v>6036</v>
      </c>
      <c r="H1924" s="4" t="s">
        <v>49</v>
      </c>
      <c r="I1924" s="4" t="s">
        <v>6005</v>
      </c>
      <c r="J1924" s="4" t="s">
        <v>78</v>
      </c>
      <c r="K1924" s="4" t="s">
        <v>59</v>
      </c>
      <c r="L1924" s="4" t="s">
        <v>106</v>
      </c>
      <c r="M1924" s="4" t="s">
        <v>5965</v>
      </c>
      <c r="O1924" s="4" t="s">
        <v>63</v>
      </c>
      <c r="P1924" s="4" t="s">
        <v>64</v>
      </c>
    </row>
    <row r="1925">
      <c r="A1925" s="4" t="s">
        <v>5965</v>
      </c>
      <c r="B1925" s="4" t="s">
        <v>5965</v>
      </c>
      <c r="C1925" s="4">
        <v>314.0</v>
      </c>
      <c r="D1925" s="5" t="str">
        <f>HYPERLINK("https://www.linkedin.com/ad-library/detail/1539360596","Open Ad")</f>
        <v>Open Ad</v>
      </c>
      <c r="E1925" s="4" t="s">
        <v>78</v>
      </c>
      <c r="F1925" s="4" t="s">
        <v>54</v>
      </c>
      <c r="G1925" s="4" t="s">
        <v>6034</v>
      </c>
      <c r="H1925" s="4" t="s">
        <v>49</v>
      </c>
      <c r="I1925" s="4" t="s">
        <v>6005</v>
      </c>
      <c r="J1925" s="4" t="s">
        <v>78</v>
      </c>
      <c r="K1925" s="4" t="s">
        <v>59</v>
      </c>
      <c r="L1925" s="4" t="s">
        <v>106</v>
      </c>
      <c r="M1925" s="4" t="s">
        <v>5965</v>
      </c>
      <c r="O1925" s="4" t="s">
        <v>63</v>
      </c>
      <c r="P1925" s="4" t="s">
        <v>64</v>
      </c>
    </row>
    <row r="1926">
      <c r="A1926" s="4" t="s">
        <v>5965</v>
      </c>
      <c r="B1926" s="4" t="s">
        <v>5965</v>
      </c>
      <c r="C1926" s="4">
        <v>315.0</v>
      </c>
      <c r="D1926" s="5" t="str">
        <f>HYPERLINK("https://www.linkedin.com/ad-library/detail/1539230696","Open Ad")</f>
        <v>Open Ad</v>
      </c>
      <c r="E1926" s="4" t="s">
        <v>78</v>
      </c>
      <c r="F1926" s="4" t="s">
        <v>54</v>
      </c>
      <c r="G1926" s="4" t="s">
        <v>6227</v>
      </c>
      <c r="H1926" s="4" t="s">
        <v>49</v>
      </c>
      <c r="I1926" s="4" t="s">
        <v>6005</v>
      </c>
      <c r="J1926" s="4" t="s">
        <v>78</v>
      </c>
      <c r="K1926" s="5" t="str">
        <f>HYPERLINK("https://media.licdn.com/dms/image/v2/D5610AQGeqnWAUh7epw/image-shrink_1280/B56Z9JWXKUJoAc-/0/1783642026908/StaticA_1_1png?e=2147483647&amp;v=beta&amp;t=VtoLRIIvB_6SmNkFagK7x5k7ozf_O0g25FDHr-3O0Cg","View Creative")</f>
        <v>View Creative</v>
      </c>
      <c r="L1926" s="4" t="s">
        <v>106</v>
      </c>
      <c r="M1926" s="4" t="s">
        <v>5965</v>
      </c>
      <c r="O1926" s="4" t="s">
        <v>63</v>
      </c>
      <c r="P1926" s="4" t="s">
        <v>64</v>
      </c>
    </row>
    <row r="1927">
      <c r="A1927" s="4" t="s">
        <v>5965</v>
      </c>
      <c r="B1927" s="4" t="s">
        <v>5965</v>
      </c>
      <c r="C1927" s="4">
        <v>316.0</v>
      </c>
      <c r="D1927" s="5" t="str">
        <f>HYPERLINK("https://www.linkedin.com/ad-library/detail/1539400586","Open Ad")</f>
        <v>Open Ad</v>
      </c>
      <c r="E1927" s="4" t="s">
        <v>78</v>
      </c>
      <c r="F1927" s="4" t="s">
        <v>54</v>
      </c>
      <c r="G1927" s="4" t="s">
        <v>6251</v>
      </c>
      <c r="H1927" s="4" t="s">
        <v>49</v>
      </c>
      <c r="I1927" s="4" t="s">
        <v>6005</v>
      </c>
      <c r="J1927" s="4" t="s">
        <v>78</v>
      </c>
      <c r="K1927" s="5" t="str">
        <f>HYPERLINK("https://media.licdn.com/dms/image/v2/D5610AQHtT-BpHIdKlQ/image-shrink_1280/B56Z9Mv_AuGQAc-/0/1783699075522/StaticB_1_1png?e=2147483647&amp;v=beta&amp;t=VVED26XSFFiKyG6WnQSnhBql3EltELrjof_2fGTA4Ok","View Creative")</f>
        <v>View Creative</v>
      </c>
      <c r="L1927" s="4" t="s">
        <v>106</v>
      </c>
      <c r="M1927" s="4" t="s">
        <v>5965</v>
      </c>
      <c r="O1927" s="4" t="s">
        <v>63</v>
      </c>
      <c r="P1927" s="4" t="s">
        <v>64</v>
      </c>
    </row>
    <row r="1928">
      <c r="A1928" s="4" t="s">
        <v>5965</v>
      </c>
      <c r="B1928" s="4" t="s">
        <v>5965</v>
      </c>
      <c r="C1928" s="4">
        <v>317.0</v>
      </c>
      <c r="D1928" s="5" t="str">
        <f>HYPERLINK("https://www.linkedin.com/ad-library/detail/1539310656","Open Ad")</f>
        <v>Open Ad</v>
      </c>
      <c r="E1928" s="4" t="s">
        <v>78</v>
      </c>
      <c r="F1928" s="4" t="s">
        <v>54</v>
      </c>
      <c r="G1928" s="4" t="s">
        <v>6251</v>
      </c>
      <c r="H1928" s="4" t="s">
        <v>49</v>
      </c>
      <c r="I1928" s="4" t="s">
        <v>6005</v>
      </c>
      <c r="J1928" s="4" t="s">
        <v>78</v>
      </c>
      <c r="K1928" s="5" t="str">
        <f>HYPERLINK("https://media.licdn.com/dms/image/v2/D5610AQHEvvijYsI_tQ/image-shrink_1280/B56Z9Mvp9QHUAc-/0/1783698989137/StaticA_1_1png?e=2147483647&amp;v=beta&amp;t=MTZtkJ7l5gqylxrRaIdNRy7LYGh-h4daLFiI3M0fauw","View Creative")</f>
        <v>View Creative</v>
      </c>
      <c r="L1928" s="4" t="s">
        <v>106</v>
      </c>
      <c r="M1928" s="4" t="s">
        <v>5965</v>
      </c>
      <c r="O1928" s="4" t="s">
        <v>63</v>
      </c>
      <c r="P1928" s="4" t="s">
        <v>64</v>
      </c>
    </row>
    <row r="1929">
      <c r="A1929" s="4" t="s">
        <v>5965</v>
      </c>
      <c r="B1929" s="4" t="s">
        <v>5965</v>
      </c>
      <c r="C1929" s="4">
        <v>318.0</v>
      </c>
      <c r="D1929" s="5" t="str">
        <f>HYPERLINK("https://www.linkedin.com/ad-library/detail/1539400576","Open Ad")</f>
        <v>Open Ad</v>
      </c>
      <c r="E1929" s="4" t="s">
        <v>78</v>
      </c>
      <c r="F1929" s="4" t="s">
        <v>54</v>
      </c>
      <c r="G1929" s="4" t="s">
        <v>6034</v>
      </c>
      <c r="H1929" s="4" t="s">
        <v>49</v>
      </c>
      <c r="I1929" s="4" t="s">
        <v>6005</v>
      </c>
      <c r="J1929" s="4" t="s">
        <v>78</v>
      </c>
      <c r="K1929" s="4" t="s">
        <v>59</v>
      </c>
      <c r="L1929" s="4" t="s">
        <v>106</v>
      </c>
      <c r="M1929" s="4" t="s">
        <v>5965</v>
      </c>
      <c r="O1929" s="4" t="s">
        <v>63</v>
      </c>
      <c r="P1929" s="4" t="s">
        <v>64</v>
      </c>
    </row>
    <row r="1930">
      <c r="A1930" s="4" t="s">
        <v>5965</v>
      </c>
      <c r="B1930" s="4" t="s">
        <v>5965</v>
      </c>
      <c r="C1930" s="4">
        <v>319.0</v>
      </c>
      <c r="D1930" s="5" t="str">
        <f>HYPERLINK("https://www.linkedin.com/ad-library/detail/1539360626","Open Ad")</f>
        <v>Open Ad</v>
      </c>
      <c r="E1930" s="4" t="s">
        <v>78</v>
      </c>
      <c r="F1930" s="4" t="s">
        <v>54</v>
      </c>
      <c r="G1930" s="4" t="s">
        <v>6227</v>
      </c>
      <c r="H1930" s="4" t="s">
        <v>49</v>
      </c>
      <c r="I1930" s="4" t="s">
        <v>6005</v>
      </c>
      <c r="J1930" s="4" t="s">
        <v>78</v>
      </c>
      <c r="K1930" s="5" t="str">
        <f>HYPERLINK("https://media.licdn.com/dms/image/v2/D5610AQGeqnWAUh7epw/image-shrink_1280/B56Z9JWXKUJoAc-/0/1783642026908/StaticA_1_1png?e=2147483647&amp;v=beta&amp;t=VtoLRIIvB_6SmNkFagK7x5k7ozf_O0g25FDHr-3O0Cg","View Creative")</f>
        <v>View Creative</v>
      </c>
      <c r="L1930" s="4" t="s">
        <v>106</v>
      </c>
      <c r="M1930" s="4" t="s">
        <v>5965</v>
      </c>
      <c r="O1930" s="4" t="s">
        <v>63</v>
      </c>
      <c r="P1930" s="4" t="s">
        <v>64</v>
      </c>
    </row>
    <row r="1931">
      <c r="A1931" s="4" t="s">
        <v>5965</v>
      </c>
      <c r="B1931" s="4" t="s">
        <v>5965</v>
      </c>
      <c r="C1931" s="4">
        <v>320.0</v>
      </c>
      <c r="D1931" s="5" t="str">
        <f>HYPERLINK("https://www.linkedin.com/ad-library/detail/1539360646","Open Ad")</f>
        <v>Open Ad</v>
      </c>
      <c r="E1931" s="4" t="s">
        <v>121</v>
      </c>
      <c r="F1931" s="4" t="s">
        <v>54</v>
      </c>
      <c r="G1931" s="4" t="s">
        <v>6234</v>
      </c>
      <c r="H1931" s="4" t="s">
        <v>49</v>
      </c>
      <c r="I1931" s="4" t="s">
        <v>6005</v>
      </c>
      <c r="J1931" s="4" t="s">
        <v>121</v>
      </c>
      <c r="K1931" s="5" t="str">
        <f>HYPERLINK("https://dms.licdn.com/playlist/vid/v2/D5610AQGkgKeLU74ILQ/progressive-servable-video/B56Z9hvf3JKgAY-/0/1784051270316?e=2147483647&amp;v=beta&amp;t=V4d6Gtg2Tm_7eNkIGNTfwXZNbFVZhf2lkGahZpMiJ60","View Creative")</f>
        <v>View Creative</v>
      </c>
      <c r="L1931" s="4" t="s">
        <v>106</v>
      </c>
      <c r="M1931" s="4" t="s">
        <v>5965</v>
      </c>
      <c r="O1931" s="4" t="s">
        <v>63</v>
      </c>
      <c r="P1931" s="4" t="s">
        <v>64</v>
      </c>
    </row>
    <row r="1932">
      <c r="A1932" s="4" t="s">
        <v>5965</v>
      </c>
      <c r="B1932" s="4" t="s">
        <v>5965</v>
      </c>
      <c r="C1932" s="4">
        <v>321.0</v>
      </c>
      <c r="D1932" s="5" t="str">
        <f>HYPERLINK("https://www.linkedin.com/ad-library/detail/1539210496","Open Ad")</f>
        <v>Open Ad</v>
      </c>
      <c r="E1932" s="4" t="s">
        <v>121</v>
      </c>
      <c r="F1932" s="4" t="s">
        <v>54</v>
      </c>
      <c r="G1932" s="4" t="s">
        <v>6254</v>
      </c>
      <c r="H1932" s="4" t="s">
        <v>49</v>
      </c>
      <c r="I1932" s="4" t="s">
        <v>6005</v>
      </c>
      <c r="J1932" s="4" t="s">
        <v>121</v>
      </c>
      <c r="K1932" s="5" t="str">
        <f>HYPERLINK("https://dms.licdn.com/playlist/vid/v2/D5610AQEtQfuXDVOiXg/progressive-servable-video/B56Z9Mz00yIUAg-/0/1783700082646?e=2147483647&amp;v=beta&amp;t=wyK6PvsqvmZIB_2t2o5kOQbhGwkPTdZDU9WzVACYGRY","View Creative")</f>
        <v>View Creative</v>
      </c>
      <c r="L1932" s="4" t="s">
        <v>106</v>
      </c>
      <c r="M1932" s="4" t="s">
        <v>5965</v>
      </c>
      <c r="O1932" s="4" t="s">
        <v>63</v>
      </c>
      <c r="P1932" s="4" t="s">
        <v>64</v>
      </c>
    </row>
    <row r="1933">
      <c r="A1933" s="4" t="s">
        <v>5965</v>
      </c>
      <c r="B1933" s="4" t="s">
        <v>5965</v>
      </c>
      <c r="C1933" s="4">
        <v>322.0</v>
      </c>
      <c r="D1933" s="5" t="str">
        <f>HYPERLINK("https://www.linkedin.com/ad-library/detail/1539190576","Open Ad")</f>
        <v>Open Ad</v>
      </c>
      <c r="E1933" s="4" t="s">
        <v>78</v>
      </c>
      <c r="F1933" s="4" t="s">
        <v>54</v>
      </c>
      <c r="G1933" s="4" t="s">
        <v>6037</v>
      </c>
      <c r="H1933" s="4" t="s">
        <v>49</v>
      </c>
      <c r="I1933" s="4" t="s">
        <v>6005</v>
      </c>
      <c r="J1933" s="4" t="s">
        <v>78</v>
      </c>
      <c r="K1933" s="4" t="s">
        <v>59</v>
      </c>
      <c r="L1933" s="4" t="s">
        <v>106</v>
      </c>
      <c r="M1933" s="4" t="s">
        <v>5965</v>
      </c>
      <c r="O1933" s="4" t="s">
        <v>63</v>
      </c>
      <c r="P1933" s="4" t="s">
        <v>64</v>
      </c>
    </row>
    <row r="1934">
      <c r="A1934" s="4" t="s">
        <v>5965</v>
      </c>
      <c r="B1934" s="4" t="s">
        <v>5965</v>
      </c>
      <c r="C1934" s="4">
        <v>323.0</v>
      </c>
      <c r="D1934" s="5" t="str">
        <f>HYPERLINK("https://www.linkedin.com/ad-library/detail/1539360636","Open Ad")</f>
        <v>Open Ad</v>
      </c>
      <c r="E1934" s="4" t="s">
        <v>121</v>
      </c>
      <c r="F1934" s="4" t="s">
        <v>54</v>
      </c>
      <c r="G1934" s="4" t="s">
        <v>6227</v>
      </c>
      <c r="H1934" s="4" t="s">
        <v>49</v>
      </c>
      <c r="I1934" s="4" t="s">
        <v>6005</v>
      </c>
      <c r="J1934" s="4" t="s">
        <v>121</v>
      </c>
      <c r="K1934" s="5" t="str">
        <f>HYPERLINK("https://dms.licdn.com/playlist/vid/v2/D5610AQGkgKeLU74ILQ/progressive-servable-video/B56Z9hvf3JKgAY-/0/1784051270316?e=2147483647&amp;v=beta&amp;t=V4d6Gtg2Tm_7eNkIGNTfwXZNbFVZhf2lkGahZpMiJ60","View Creative")</f>
        <v>View Creative</v>
      </c>
      <c r="L1934" s="4" t="s">
        <v>106</v>
      </c>
      <c r="M1934" s="4" t="s">
        <v>5965</v>
      </c>
      <c r="O1934" s="4" t="s">
        <v>63</v>
      </c>
      <c r="P1934" s="4" t="s">
        <v>64</v>
      </c>
    </row>
    <row r="1935">
      <c r="A1935" s="4" t="s">
        <v>5965</v>
      </c>
      <c r="B1935" s="4" t="s">
        <v>5965</v>
      </c>
      <c r="C1935" s="4">
        <v>324.0</v>
      </c>
      <c r="D1935" s="5" t="str">
        <f>HYPERLINK("https://www.linkedin.com/ad-library/detail/1539190586","Open Ad")</f>
        <v>Open Ad</v>
      </c>
      <c r="E1935" s="4" t="s">
        <v>78</v>
      </c>
      <c r="F1935" s="4" t="s">
        <v>54</v>
      </c>
      <c r="G1935" s="4" t="s">
        <v>6029</v>
      </c>
      <c r="H1935" s="4" t="s">
        <v>49</v>
      </c>
      <c r="I1935" s="4" t="s">
        <v>6005</v>
      </c>
      <c r="J1935" s="4" t="s">
        <v>78</v>
      </c>
      <c r="K1935" s="4" t="s">
        <v>59</v>
      </c>
      <c r="L1935" s="4" t="s">
        <v>106</v>
      </c>
      <c r="M1935" s="4" t="s">
        <v>5965</v>
      </c>
      <c r="O1935" s="4" t="s">
        <v>63</v>
      </c>
      <c r="P1935" s="4" t="s">
        <v>64</v>
      </c>
    </row>
    <row r="1936">
      <c r="A1936" s="4" t="s">
        <v>5965</v>
      </c>
      <c r="B1936" s="4" t="s">
        <v>5965</v>
      </c>
      <c r="C1936" s="4">
        <v>325.0</v>
      </c>
      <c r="D1936" s="5" t="str">
        <f>HYPERLINK("https://www.linkedin.com/ad-library/detail/1539300586","Open Ad")</f>
        <v>Open Ad</v>
      </c>
      <c r="E1936" s="4" t="s">
        <v>78</v>
      </c>
      <c r="F1936" s="4" t="s">
        <v>54</v>
      </c>
      <c r="G1936" s="4" t="s">
        <v>6029</v>
      </c>
      <c r="H1936" s="4" t="s">
        <v>49</v>
      </c>
      <c r="I1936" s="4" t="s">
        <v>6005</v>
      </c>
      <c r="J1936" s="4" t="s">
        <v>78</v>
      </c>
      <c r="K1936" s="4" t="s">
        <v>59</v>
      </c>
      <c r="L1936" s="4" t="s">
        <v>106</v>
      </c>
      <c r="M1936" s="4" t="s">
        <v>5965</v>
      </c>
      <c r="O1936" s="4" t="s">
        <v>63</v>
      </c>
      <c r="P1936" s="4" t="s">
        <v>64</v>
      </c>
    </row>
    <row r="1937">
      <c r="A1937" s="4" t="s">
        <v>5965</v>
      </c>
      <c r="B1937" s="4" t="s">
        <v>5965</v>
      </c>
      <c r="C1937" s="4">
        <v>326.0</v>
      </c>
      <c r="D1937" s="5" t="str">
        <f>HYPERLINK("https://www.linkedin.com/ad-library/detail/1539300596","Open Ad")</f>
        <v>Open Ad</v>
      </c>
      <c r="E1937" s="4" t="s">
        <v>121</v>
      </c>
      <c r="F1937" s="4" t="s">
        <v>54</v>
      </c>
      <c r="G1937" s="4" t="s">
        <v>6254</v>
      </c>
      <c r="H1937" s="4" t="s">
        <v>49</v>
      </c>
      <c r="I1937" s="4" t="s">
        <v>6005</v>
      </c>
      <c r="J1937" s="4" t="s">
        <v>121</v>
      </c>
      <c r="K1937" s="5" t="str">
        <f>HYPERLINK("https://dms.licdn.com/playlist/vid/v2/D5610AQHAC-6rkD2EcQ/mp4-720p-30fp-crf28/B56Z9M0IthG0CE-/0/1783700165654?e=2147483647&amp;v=beta&amp;t=IRp-d5Zc0ABShKpd1S3EP4MXYHD5JYVSGD17gLNqDe8","View Creative")</f>
        <v>View Creative</v>
      </c>
      <c r="L1937" s="4" t="s">
        <v>106</v>
      </c>
      <c r="M1937" s="4" t="s">
        <v>5965</v>
      </c>
      <c r="O1937" s="4" t="s">
        <v>63</v>
      </c>
      <c r="P1937" s="4" t="s">
        <v>64</v>
      </c>
    </row>
    <row r="1938">
      <c r="A1938" s="4" t="s">
        <v>5965</v>
      </c>
      <c r="B1938" s="4" t="s">
        <v>5965</v>
      </c>
      <c r="C1938" s="4">
        <v>327.0</v>
      </c>
      <c r="D1938" s="5" t="str">
        <f>HYPERLINK("https://www.linkedin.com/ad-library/detail/1539180486","Open Ad")</f>
        <v>Open Ad</v>
      </c>
      <c r="E1938" s="4" t="s">
        <v>78</v>
      </c>
      <c r="F1938" s="4" t="s">
        <v>54</v>
      </c>
      <c r="G1938" s="4" t="s">
        <v>6029</v>
      </c>
      <c r="H1938" s="4" t="s">
        <v>49</v>
      </c>
      <c r="I1938" s="4" t="s">
        <v>6005</v>
      </c>
      <c r="J1938" s="4" t="s">
        <v>78</v>
      </c>
      <c r="K1938" s="4" t="s">
        <v>59</v>
      </c>
      <c r="L1938" s="4" t="s">
        <v>106</v>
      </c>
      <c r="M1938" s="4" t="s">
        <v>5965</v>
      </c>
      <c r="O1938" s="4" t="s">
        <v>63</v>
      </c>
      <c r="P1938" s="4" t="s">
        <v>64</v>
      </c>
    </row>
    <row r="1939">
      <c r="A1939" s="4" t="s">
        <v>5965</v>
      </c>
      <c r="B1939" s="4" t="s">
        <v>5965</v>
      </c>
      <c r="C1939" s="4">
        <v>328.0</v>
      </c>
      <c r="D1939" s="5" t="str">
        <f>HYPERLINK("https://www.linkedin.com/ad-library/detail/1539380516","Open Ad")</f>
        <v>Open Ad</v>
      </c>
      <c r="E1939" s="4" t="s">
        <v>78</v>
      </c>
      <c r="F1939" s="4" t="s">
        <v>54</v>
      </c>
      <c r="G1939" s="4" t="s">
        <v>6037</v>
      </c>
      <c r="H1939" s="4" t="s">
        <v>49</v>
      </c>
      <c r="I1939" s="4" t="s">
        <v>6005</v>
      </c>
      <c r="J1939" s="4" t="s">
        <v>78</v>
      </c>
      <c r="K1939" s="4" t="s">
        <v>59</v>
      </c>
      <c r="L1939" s="4" t="s">
        <v>106</v>
      </c>
      <c r="M1939" s="4" t="s">
        <v>5965</v>
      </c>
      <c r="O1939" s="4" t="s">
        <v>63</v>
      </c>
      <c r="P1939" s="4" t="s">
        <v>64</v>
      </c>
    </row>
    <row r="1940">
      <c r="A1940" s="4" t="s">
        <v>5965</v>
      </c>
      <c r="B1940" s="4" t="s">
        <v>5965</v>
      </c>
      <c r="C1940" s="4">
        <v>329.0</v>
      </c>
      <c r="D1940" s="5" t="str">
        <f>HYPERLINK("https://www.linkedin.com/ad-library/detail/1539250606","Open Ad")</f>
        <v>Open Ad</v>
      </c>
      <c r="E1940" s="4" t="s">
        <v>78</v>
      </c>
      <c r="F1940" s="4" t="s">
        <v>54</v>
      </c>
      <c r="G1940" s="4" t="s">
        <v>6260</v>
      </c>
      <c r="H1940" s="4" t="s">
        <v>49</v>
      </c>
      <c r="I1940" s="4" t="s">
        <v>6005</v>
      </c>
      <c r="J1940" s="4" t="s">
        <v>78</v>
      </c>
      <c r="K1940" s="4" t="s">
        <v>59</v>
      </c>
      <c r="L1940" s="4" t="s">
        <v>106</v>
      </c>
      <c r="M1940" s="4" t="s">
        <v>5965</v>
      </c>
      <c r="O1940" s="4" t="s">
        <v>63</v>
      </c>
      <c r="P1940" s="4" t="s">
        <v>64</v>
      </c>
    </row>
    <row r="1941">
      <c r="A1941" s="4" t="s">
        <v>5965</v>
      </c>
      <c r="B1941" s="4" t="s">
        <v>5965</v>
      </c>
      <c r="C1941" s="4">
        <v>330.0</v>
      </c>
      <c r="D1941" s="5" t="str">
        <f>HYPERLINK("https://www.linkedin.com/ad-library/detail/1539360606","Open Ad")</f>
        <v>Open Ad</v>
      </c>
      <c r="E1941" s="4" t="s">
        <v>78</v>
      </c>
      <c r="F1941" s="4" t="s">
        <v>54</v>
      </c>
      <c r="G1941" s="4" t="s">
        <v>6037</v>
      </c>
      <c r="H1941" s="4" t="s">
        <v>49</v>
      </c>
      <c r="I1941" s="4" t="s">
        <v>6005</v>
      </c>
      <c r="J1941" s="4" t="s">
        <v>78</v>
      </c>
      <c r="K1941" s="4" t="s">
        <v>59</v>
      </c>
      <c r="L1941" s="4" t="s">
        <v>106</v>
      </c>
      <c r="M1941" s="4" t="s">
        <v>5965</v>
      </c>
      <c r="O1941" s="4" t="s">
        <v>63</v>
      </c>
      <c r="P1941" s="4" t="s">
        <v>64</v>
      </c>
    </row>
    <row r="1942">
      <c r="A1942" s="4" t="s">
        <v>5965</v>
      </c>
      <c r="B1942" s="4" t="s">
        <v>5965</v>
      </c>
      <c r="C1942" s="4">
        <v>331.0</v>
      </c>
      <c r="D1942" s="5" t="str">
        <f>HYPERLINK("https://www.linkedin.com/ad-library/detail/1539330696","Open Ad")</f>
        <v>Open Ad</v>
      </c>
      <c r="E1942" s="4" t="s">
        <v>121</v>
      </c>
      <c r="F1942" s="4" t="s">
        <v>54</v>
      </c>
      <c r="G1942" s="4" t="s">
        <v>6251</v>
      </c>
      <c r="H1942" s="4" t="s">
        <v>49</v>
      </c>
      <c r="I1942" s="4" t="s">
        <v>6005</v>
      </c>
      <c r="J1942" s="4" t="s">
        <v>121</v>
      </c>
      <c r="K1942" s="5" t="str">
        <f>HYPERLINK("https://dms.licdn.com/playlist/vid/v2/D5610AQEtQfuXDVOiXg/progressive-servable-video/B56Z9Mz00yIUAg-/0/1783700082646?e=2147483647&amp;v=beta&amp;t=wyK6PvsqvmZIB_2t2o5kOQbhGwkPTdZDU9WzVACYGRY","View Creative")</f>
        <v>View Creative</v>
      </c>
      <c r="L1942" s="4" t="s">
        <v>106</v>
      </c>
      <c r="M1942" s="4" t="s">
        <v>5965</v>
      </c>
      <c r="O1942" s="4" t="s">
        <v>63</v>
      </c>
      <c r="P1942" s="4" t="s">
        <v>64</v>
      </c>
    </row>
    <row r="1943">
      <c r="A1943" s="4" t="s">
        <v>5965</v>
      </c>
      <c r="B1943" s="4" t="s">
        <v>5965</v>
      </c>
      <c r="C1943" s="4">
        <v>332.0</v>
      </c>
      <c r="D1943" s="5" t="str">
        <f>HYPERLINK("https://www.linkedin.com/ad-library/detail/1539400596","Open Ad")</f>
        <v>Open Ad</v>
      </c>
      <c r="E1943" s="4" t="s">
        <v>121</v>
      </c>
      <c r="F1943" s="4" t="s">
        <v>54</v>
      </c>
      <c r="G1943" s="4" t="s">
        <v>6234</v>
      </c>
      <c r="H1943" s="4" t="s">
        <v>49</v>
      </c>
      <c r="I1943" s="4" t="s">
        <v>6005</v>
      </c>
      <c r="J1943" s="4" t="s">
        <v>121</v>
      </c>
      <c r="K1943" s="5" t="str">
        <f>HYPERLINK("https://dms.licdn.com/playlist/vid/v2/D5610AQGkgKeLU74ILQ/progressive-servable-video/B56Z9hvf3JKgAY-/0/1784051270316?e=2147483647&amp;v=beta&amp;t=V4d6Gtg2Tm_7eNkIGNTfwXZNbFVZhf2lkGahZpMiJ60","View Creative")</f>
        <v>View Creative</v>
      </c>
      <c r="L1943" s="4" t="s">
        <v>106</v>
      </c>
      <c r="M1943" s="4" t="s">
        <v>5965</v>
      </c>
      <c r="O1943" s="4" t="s">
        <v>63</v>
      </c>
      <c r="P1943" s="4" t="s">
        <v>64</v>
      </c>
    </row>
    <row r="1944">
      <c r="A1944" s="4" t="s">
        <v>5965</v>
      </c>
      <c r="B1944" s="4" t="s">
        <v>5965</v>
      </c>
      <c r="C1944" s="4">
        <v>333.0</v>
      </c>
      <c r="D1944" s="5" t="str">
        <f>HYPERLINK("https://www.linkedin.com/ad-library/detail/1539200676","Open Ad")</f>
        <v>Open Ad</v>
      </c>
      <c r="E1944" s="4" t="s">
        <v>121</v>
      </c>
      <c r="F1944" s="4" t="s">
        <v>54</v>
      </c>
      <c r="G1944" s="4" t="s">
        <v>6254</v>
      </c>
      <c r="H1944" s="4" t="s">
        <v>49</v>
      </c>
      <c r="I1944" s="4" t="s">
        <v>6005</v>
      </c>
      <c r="J1944" s="4" t="s">
        <v>121</v>
      </c>
      <c r="K1944" s="5" t="str">
        <f>HYPERLINK("https://dms.licdn.com/playlist/vid/v2/D5610AQEtQfuXDVOiXg/progressive-servable-video/B56Z9Mz00yIUAg-/0/1783700082646?e=2147483647&amp;v=beta&amp;t=wyK6PvsqvmZIB_2t2o5kOQbhGwkPTdZDU9WzVACYGRY","View Creative")</f>
        <v>View Creative</v>
      </c>
      <c r="L1944" s="4" t="s">
        <v>106</v>
      </c>
      <c r="M1944" s="4" t="s">
        <v>5965</v>
      </c>
      <c r="O1944" s="4" t="s">
        <v>63</v>
      </c>
      <c r="P1944" s="4" t="s">
        <v>64</v>
      </c>
    </row>
    <row r="1945">
      <c r="A1945" s="4" t="s">
        <v>5965</v>
      </c>
      <c r="B1945" s="4" t="s">
        <v>5965</v>
      </c>
      <c r="C1945" s="4">
        <v>334.0</v>
      </c>
      <c r="D1945" s="5" t="str">
        <f>HYPERLINK("https://www.linkedin.com/ad-library/detail/1539350496","Open Ad")</f>
        <v>Open Ad</v>
      </c>
      <c r="E1945" s="4" t="s">
        <v>121</v>
      </c>
      <c r="F1945" s="4" t="s">
        <v>54</v>
      </c>
      <c r="G1945" s="4" t="s">
        <v>6234</v>
      </c>
      <c r="H1945" s="4" t="s">
        <v>49</v>
      </c>
      <c r="I1945" s="4" t="s">
        <v>6005</v>
      </c>
      <c r="J1945" s="4" t="s">
        <v>121</v>
      </c>
      <c r="K1945" s="5" t="str">
        <f>HYPERLINK("https://dms.licdn.com/playlist/vid/v2/D5610AQElQnh6MPL7gQ/mp4-640p-30fp-crf28/B56Z9hwEeDGgBo-/0/1784051422101?e=2147483647&amp;v=beta&amp;t=n6O9PrgSfT0hVQ4c2w4atkiCaX9_sTRGRbzi62OVpFs","View Creative")</f>
        <v>View Creative</v>
      </c>
      <c r="L1945" s="4" t="s">
        <v>106</v>
      </c>
      <c r="M1945" s="4" t="s">
        <v>5965</v>
      </c>
      <c r="O1945" s="4" t="s">
        <v>63</v>
      </c>
      <c r="P1945" s="4" t="s">
        <v>64</v>
      </c>
    </row>
    <row r="1946">
      <c r="A1946" s="4" t="s">
        <v>5965</v>
      </c>
      <c r="B1946" s="4" t="s">
        <v>5965</v>
      </c>
      <c r="C1946" s="4">
        <v>335.0</v>
      </c>
      <c r="D1946" s="5" t="str">
        <f>HYPERLINK("https://www.linkedin.com/ad-library/detail/1539260746","Open Ad")</f>
        <v>Open Ad</v>
      </c>
      <c r="E1946" s="4" t="s">
        <v>121</v>
      </c>
      <c r="F1946" s="4" t="s">
        <v>54</v>
      </c>
      <c r="G1946" s="4" t="s">
        <v>6234</v>
      </c>
      <c r="H1946" s="4" t="s">
        <v>49</v>
      </c>
      <c r="I1946" s="4" t="s">
        <v>6005</v>
      </c>
      <c r="J1946" s="4" t="s">
        <v>121</v>
      </c>
      <c r="K1946" s="5" t="str">
        <f>HYPERLINK("https://dms.licdn.com/playlist/vid/v2/D5610AQGkgKeLU74ILQ/progressive-servable-video/B56Z9hvf3JKgAY-/0/1784051270316?e=2147483647&amp;v=beta&amp;t=V4d6Gtg2Tm_7eNkIGNTfwXZNbFVZhf2lkGahZpMiJ60","View Creative")</f>
        <v>View Creative</v>
      </c>
      <c r="L1946" s="4" t="s">
        <v>106</v>
      </c>
      <c r="M1946" s="4" t="s">
        <v>5965</v>
      </c>
      <c r="O1946" s="4" t="s">
        <v>63</v>
      </c>
      <c r="P1946" s="4" t="s">
        <v>64</v>
      </c>
    </row>
    <row r="1947">
      <c r="A1947" s="4" t="s">
        <v>5965</v>
      </c>
      <c r="B1947" s="4" t="s">
        <v>5965</v>
      </c>
      <c r="C1947" s="4">
        <v>336.0</v>
      </c>
      <c r="D1947" s="5" t="str">
        <f>HYPERLINK("https://www.linkedin.com/ad-library/detail/1539370556","Open Ad")</f>
        <v>Open Ad</v>
      </c>
      <c r="E1947" s="4" t="s">
        <v>78</v>
      </c>
      <c r="F1947" s="4" t="s">
        <v>54</v>
      </c>
      <c r="G1947" s="4" t="s">
        <v>6260</v>
      </c>
      <c r="H1947" s="4" t="s">
        <v>49</v>
      </c>
      <c r="I1947" s="4" t="s">
        <v>6005</v>
      </c>
      <c r="J1947" s="4" t="s">
        <v>78</v>
      </c>
      <c r="K1947" s="4" t="s">
        <v>59</v>
      </c>
      <c r="L1947" s="4" t="s">
        <v>106</v>
      </c>
      <c r="M1947" s="4" t="s">
        <v>5965</v>
      </c>
      <c r="O1947" s="4" t="s">
        <v>63</v>
      </c>
      <c r="P1947" s="4" t="s">
        <v>64</v>
      </c>
    </row>
    <row r="1948">
      <c r="A1948" s="4" t="s">
        <v>5965</v>
      </c>
      <c r="B1948" s="4" t="s">
        <v>5965</v>
      </c>
      <c r="C1948" s="4">
        <v>337.0</v>
      </c>
      <c r="D1948" s="5" t="str">
        <f>HYPERLINK("https://www.linkedin.com/ad-library/detail/1539260716","Open Ad")</f>
        <v>Open Ad</v>
      </c>
      <c r="E1948" s="4" t="s">
        <v>5970</v>
      </c>
      <c r="F1948" s="4" t="s">
        <v>54</v>
      </c>
      <c r="G1948" s="4" t="s">
        <v>5980</v>
      </c>
      <c r="H1948" s="4" t="s">
        <v>49</v>
      </c>
      <c r="I1948" s="4" t="s">
        <v>6005</v>
      </c>
      <c r="J1948" s="4" t="s">
        <v>5973</v>
      </c>
      <c r="K1948" s="4" t="s">
        <v>59</v>
      </c>
      <c r="L1948" s="4" t="s">
        <v>106</v>
      </c>
      <c r="M1948" s="4" t="s">
        <v>5965</v>
      </c>
      <c r="O1948" s="4" t="s">
        <v>63</v>
      </c>
      <c r="P1948" s="4" t="s">
        <v>64</v>
      </c>
    </row>
    <row r="1949">
      <c r="A1949" s="4" t="s">
        <v>5965</v>
      </c>
      <c r="B1949" s="4" t="s">
        <v>5965</v>
      </c>
      <c r="C1949" s="4">
        <v>338.0</v>
      </c>
      <c r="D1949" s="5" t="str">
        <f>HYPERLINK("https://www.linkedin.com/ad-library/detail/1539340646","Open Ad")</f>
        <v>Open Ad</v>
      </c>
      <c r="E1949" s="4" t="s">
        <v>5970</v>
      </c>
      <c r="F1949" s="4" t="s">
        <v>54</v>
      </c>
      <c r="G1949" s="4" t="s">
        <v>6028</v>
      </c>
      <c r="H1949" s="4" t="s">
        <v>49</v>
      </c>
      <c r="I1949" s="4" t="s">
        <v>6005</v>
      </c>
      <c r="J1949" s="4" t="s">
        <v>5973</v>
      </c>
      <c r="K1949" s="4" t="s">
        <v>59</v>
      </c>
      <c r="L1949" s="4" t="s">
        <v>106</v>
      </c>
      <c r="M1949" s="4" t="s">
        <v>5965</v>
      </c>
      <c r="O1949" s="4" t="s">
        <v>63</v>
      </c>
      <c r="P1949" s="4" t="s">
        <v>64</v>
      </c>
    </row>
    <row r="1950">
      <c r="A1950" s="4" t="s">
        <v>5965</v>
      </c>
      <c r="B1950" s="4" t="s">
        <v>5965</v>
      </c>
      <c r="C1950" s="4">
        <v>339.0</v>
      </c>
      <c r="D1950" s="5" t="str">
        <f>HYPERLINK("https://www.linkedin.com/ad-library/detail/1539260726","Open Ad")</f>
        <v>Open Ad</v>
      </c>
      <c r="E1950" s="4" t="s">
        <v>5970</v>
      </c>
      <c r="F1950" s="4" t="s">
        <v>54</v>
      </c>
      <c r="G1950" s="4" t="s">
        <v>6015</v>
      </c>
      <c r="H1950" s="4" t="s">
        <v>49</v>
      </c>
      <c r="I1950" s="4" t="s">
        <v>6005</v>
      </c>
      <c r="J1950" s="4" t="s">
        <v>5973</v>
      </c>
      <c r="K1950" s="4" t="s">
        <v>59</v>
      </c>
      <c r="L1950" s="4" t="s">
        <v>106</v>
      </c>
      <c r="M1950" s="4" t="s">
        <v>5965</v>
      </c>
      <c r="O1950" s="4" t="s">
        <v>63</v>
      </c>
      <c r="P1950" s="4" t="s">
        <v>64</v>
      </c>
    </row>
    <row r="1951">
      <c r="A1951" s="4" t="s">
        <v>5965</v>
      </c>
      <c r="B1951" s="4" t="s">
        <v>5965</v>
      </c>
      <c r="C1951" s="4">
        <v>340.0</v>
      </c>
      <c r="D1951" s="5" t="str">
        <f>HYPERLINK("https://www.linkedin.com/ad-library/detail/1539360586","Open Ad")</f>
        <v>Open Ad</v>
      </c>
      <c r="E1951" s="4" t="s">
        <v>5970</v>
      </c>
      <c r="F1951" s="4" t="s">
        <v>54</v>
      </c>
      <c r="G1951" s="4" t="s">
        <v>5980</v>
      </c>
      <c r="H1951" s="4" t="s">
        <v>49</v>
      </c>
      <c r="I1951" s="4" t="s">
        <v>6005</v>
      </c>
      <c r="J1951" s="4" t="s">
        <v>5973</v>
      </c>
      <c r="K1951" s="4" t="s">
        <v>59</v>
      </c>
      <c r="L1951" s="4" t="s">
        <v>106</v>
      </c>
      <c r="M1951" s="4" t="s">
        <v>5965</v>
      </c>
      <c r="O1951" s="4" t="s">
        <v>63</v>
      </c>
      <c r="P1951" s="4" t="s">
        <v>64</v>
      </c>
    </row>
    <row r="1952">
      <c r="A1952" s="4" t="s">
        <v>5965</v>
      </c>
      <c r="B1952" s="4" t="s">
        <v>5965</v>
      </c>
      <c r="C1952" s="4">
        <v>341.0</v>
      </c>
      <c r="D1952" s="5" t="str">
        <f>HYPERLINK("https://www.linkedin.com/ad-library/detail/1539400516","Open Ad")</f>
        <v>Open Ad</v>
      </c>
      <c r="E1952" s="4" t="s">
        <v>5970</v>
      </c>
      <c r="F1952" s="4" t="s">
        <v>54</v>
      </c>
      <c r="G1952" s="4" t="s">
        <v>6267</v>
      </c>
      <c r="H1952" s="4" t="s">
        <v>49</v>
      </c>
      <c r="I1952" s="4" t="s">
        <v>6005</v>
      </c>
      <c r="J1952" s="4" t="s">
        <v>5973</v>
      </c>
      <c r="K1952" s="4" t="s">
        <v>59</v>
      </c>
      <c r="L1952" s="4" t="s">
        <v>106</v>
      </c>
      <c r="M1952" s="4" t="s">
        <v>5965</v>
      </c>
      <c r="O1952" s="4" t="s">
        <v>63</v>
      </c>
      <c r="P1952" s="4" t="s">
        <v>64</v>
      </c>
    </row>
    <row r="1953">
      <c r="A1953" s="4" t="s">
        <v>5965</v>
      </c>
      <c r="B1953" s="4" t="s">
        <v>5965</v>
      </c>
      <c r="C1953" s="4">
        <v>342.0</v>
      </c>
      <c r="D1953" s="5" t="str">
        <f>HYPERLINK("https://www.linkedin.com/ad-library/detail/1539310576","Open Ad")</f>
        <v>Open Ad</v>
      </c>
      <c r="E1953" s="4" t="s">
        <v>5970</v>
      </c>
      <c r="F1953" s="4" t="s">
        <v>54</v>
      </c>
      <c r="G1953" s="4" t="s">
        <v>6268</v>
      </c>
      <c r="H1953" s="4" t="s">
        <v>49</v>
      </c>
      <c r="I1953" s="4" t="s">
        <v>5972</v>
      </c>
      <c r="J1953" s="4" t="s">
        <v>5973</v>
      </c>
      <c r="K1953" s="4" t="s">
        <v>59</v>
      </c>
      <c r="L1953" s="4" t="s">
        <v>106</v>
      </c>
      <c r="M1953" s="4" t="s">
        <v>5965</v>
      </c>
      <c r="O1953" s="4" t="s">
        <v>63</v>
      </c>
      <c r="P1953" s="4" t="s">
        <v>64</v>
      </c>
    </row>
    <row r="1954">
      <c r="A1954" s="4" t="s">
        <v>5965</v>
      </c>
      <c r="B1954" s="4" t="s">
        <v>5965</v>
      </c>
      <c r="C1954" s="4">
        <v>343.0</v>
      </c>
      <c r="D1954" s="5" t="str">
        <f>HYPERLINK("https://www.linkedin.com/ad-library/detail/1538505086","Open Ad")</f>
        <v>Open Ad</v>
      </c>
      <c r="E1954" s="4" t="s">
        <v>121</v>
      </c>
      <c r="F1954" s="4" t="s">
        <v>54</v>
      </c>
      <c r="G1954" s="4" t="s">
        <v>6270</v>
      </c>
      <c r="H1954" s="4" t="s">
        <v>49</v>
      </c>
      <c r="I1954" s="4" t="s">
        <v>6005</v>
      </c>
      <c r="J1954" s="4" t="s">
        <v>121</v>
      </c>
      <c r="K1954" s="5" t="str">
        <f>HYPERLINK("https://dms.licdn.com/playlist/vid/v2/D5610AQEmJQ6WMUyjvw/progressive-servable-video/B56Z_ePSJVHYAY-/0/1786139977193?e=2147483647&amp;v=beta&amp;t=Io37z8AMbhMOk95a1pXoQ4yTTtei13JI5sVSlr_KCQE","View Creative")</f>
        <v>View Creative</v>
      </c>
      <c r="L1954" s="4" t="s">
        <v>106</v>
      </c>
      <c r="M1954" s="4" t="s">
        <v>5965</v>
      </c>
      <c r="O1954" s="4" t="s">
        <v>63</v>
      </c>
      <c r="P1954" s="4" t="s">
        <v>64</v>
      </c>
    </row>
    <row r="1955">
      <c r="A1955" s="4" t="s">
        <v>5965</v>
      </c>
      <c r="B1955" s="4" t="s">
        <v>5965</v>
      </c>
      <c r="C1955" s="4">
        <v>344.0</v>
      </c>
      <c r="D1955" s="5" t="str">
        <f>HYPERLINK("https://www.linkedin.com/ad-library/detail/1539400566","Open Ad")</f>
        <v>Open Ad</v>
      </c>
      <c r="E1955" s="4" t="s">
        <v>5970</v>
      </c>
      <c r="F1955" s="4" t="s">
        <v>54</v>
      </c>
      <c r="G1955" s="4" t="s">
        <v>5980</v>
      </c>
      <c r="H1955" s="4" t="s">
        <v>49</v>
      </c>
      <c r="I1955" s="4" t="s">
        <v>6005</v>
      </c>
      <c r="J1955" s="4" t="s">
        <v>5973</v>
      </c>
      <c r="K1955" s="4" t="s">
        <v>59</v>
      </c>
      <c r="L1955" s="4" t="s">
        <v>106</v>
      </c>
      <c r="M1955" s="4" t="s">
        <v>5965</v>
      </c>
      <c r="O1955" s="4" t="s">
        <v>63</v>
      </c>
      <c r="P1955" s="4" t="s">
        <v>64</v>
      </c>
    </row>
    <row r="1956">
      <c r="A1956" s="4" t="s">
        <v>5965</v>
      </c>
      <c r="B1956" s="4" t="s">
        <v>5965</v>
      </c>
      <c r="C1956" s="4">
        <v>345.0</v>
      </c>
      <c r="D1956" s="5" t="str">
        <f>HYPERLINK("https://www.linkedin.com/ad-library/detail/1539280596","Open Ad")</f>
        <v>Open Ad</v>
      </c>
      <c r="E1956" s="4" t="s">
        <v>5970</v>
      </c>
      <c r="F1956" s="4" t="s">
        <v>54</v>
      </c>
      <c r="G1956" s="4" t="s">
        <v>6028</v>
      </c>
      <c r="H1956" s="4" t="s">
        <v>49</v>
      </c>
      <c r="I1956" s="4" t="s">
        <v>6005</v>
      </c>
      <c r="J1956" s="4" t="s">
        <v>5973</v>
      </c>
      <c r="K1956" s="4" t="s">
        <v>59</v>
      </c>
      <c r="L1956" s="4" t="s">
        <v>106</v>
      </c>
      <c r="M1956" s="4" t="s">
        <v>5965</v>
      </c>
      <c r="O1956" s="4" t="s">
        <v>63</v>
      </c>
      <c r="P1956" s="4" t="s">
        <v>64</v>
      </c>
    </row>
    <row r="1957">
      <c r="A1957" s="4" t="s">
        <v>5965</v>
      </c>
      <c r="B1957" s="4" t="s">
        <v>5965</v>
      </c>
      <c r="C1957" s="4">
        <v>346.0</v>
      </c>
      <c r="D1957" s="5" t="str">
        <f>HYPERLINK("https://www.linkedin.com/ad-library/detail/1539280586","Open Ad")</f>
        <v>Open Ad</v>
      </c>
      <c r="E1957" s="4" t="s">
        <v>5970</v>
      </c>
      <c r="F1957" s="4" t="s">
        <v>54</v>
      </c>
      <c r="G1957" s="4" t="s">
        <v>6028</v>
      </c>
      <c r="H1957" s="4" t="s">
        <v>49</v>
      </c>
      <c r="I1957" s="4" t="s">
        <v>6005</v>
      </c>
      <c r="J1957" s="4" t="s">
        <v>5973</v>
      </c>
      <c r="K1957" s="4" t="s">
        <v>59</v>
      </c>
      <c r="L1957" s="4" t="s">
        <v>106</v>
      </c>
      <c r="M1957" s="4" t="s">
        <v>5965</v>
      </c>
      <c r="O1957" s="4" t="s">
        <v>63</v>
      </c>
      <c r="P1957" s="4" t="s">
        <v>64</v>
      </c>
    </row>
    <row r="1958">
      <c r="A1958" s="4" t="s">
        <v>5965</v>
      </c>
      <c r="B1958" s="4" t="s">
        <v>5965</v>
      </c>
      <c r="C1958" s="4">
        <v>347.0</v>
      </c>
      <c r="D1958" s="5" t="str">
        <f>HYPERLINK("https://www.linkedin.com/ad-library/detail/1539310636","Open Ad")</f>
        <v>Open Ad</v>
      </c>
      <c r="E1958" s="4" t="s">
        <v>78</v>
      </c>
      <c r="F1958" s="4" t="s">
        <v>54</v>
      </c>
      <c r="G1958" s="4" t="s">
        <v>6270</v>
      </c>
      <c r="H1958" s="4" t="s">
        <v>49</v>
      </c>
      <c r="I1958" s="4" t="s">
        <v>6005</v>
      </c>
      <c r="J1958" s="4" t="s">
        <v>78</v>
      </c>
      <c r="K1958" s="5" t="str">
        <f>HYPERLINK("https://media.licdn.com/dms/image/v2/D5610AQE_GptXhOpPNg/image-pad_1200_1200/B4DZ8FR0wlGwAI-/0/1782499986662?e=1789473600&amp;v=beta&amp;t=YAbo8YTM_BDza9aHtGN18JvPtTxWGzIGR7_my6aDXc8","View Creative")</f>
        <v>View Creative</v>
      </c>
      <c r="L1958" s="4" t="s">
        <v>106</v>
      </c>
      <c r="M1958" s="4" t="s">
        <v>5965</v>
      </c>
      <c r="O1958" s="4" t="s">
        <v>63</v>
      </c>
      <c r="P1958" s="4" t="s">
        <v>64</v>
      </c>
    </row>
    <row r="1959">
      <c r="A1959" s="4" t="s">
        <v>5965</v>
      </c>
      <c r="B1959" s="4" t="s">
        <v>5965</v>
      </c>
      <c r="C1959" s="4">
        <v>348.0</v>
      </c>
      <c r="D1959" s="5" t="str">
        <f>HYPERLINK("https://www.linkedin.com/ad-library/detail/1539210436","Open Ad")</f>
        <v>Open Ad</v>
      </c>
      <c r="E1959" s="4" t="s">
        <v>5970</v>
      </c>
      <c r="F1959" s="4" t="s">
        <v>54</v>
      </c>
      <c r="G1959" s="4" t="s">
        <v>6028</v>
      </c>
      <c r="H1959" s="4" t="s">
        <v>49</v>
      </c>
      <c r="I1959" s="4" t="s">
        <v>6005</v>
      </c>
      <c r="J1959" s="4" t="s">
        <v>5973</v>
      </c>
      <c r="K1959" s="4" t="s">
        <v>59</v>
      </c>
      <c r="L1959" s="4" t="s">
        <v>106</v>
      </c>
      <c r="M1959" s="4" t="s">
        <v>5965</v>
      </c>
      <c r="O1959" s="4" t="s">
        <v>63</v>
      </c>
      <c r="P1959" s="4" t="s">
        <v>64</v>
      </c>
    </row>
    <row r="1960">
      <c r="A1960" s="4" t="s">
        <v>5965</v>
      </c>
      <c r="B1960" s="4" t="s">
        <v>5965</v>
      </c>
      <c r="C1960" s="4">
        <v>349.0</v>
      </c>
      <c r="D1960" s="5" t="str">
        <f>HYPERLINK("https://www.linkedin.com/ad-library/detail/1538436646","Open Ad")</f>
        <v>Open Ad</v>
      </c>
      <c r="E1960" s="4" t="s">
        <v>121</v>
      </c>
      <c r="F1960" s="4" t="s">
        <v>54</v>
      </c>
      <c r="G1960" s="4" t="s">
        <v>6270</v>
      </c>
      <c r="H1960" s="4" t="s">
        <v>49</v>
      </c>
      <c r="I1960" s="4" t="s">
        <v>6005</v>
      </c>
      <c r="J1960" s="4" t="s">
        <v>121</v>
      </c>
      <c r="K1960" s="5" t="str">
        <f>HYPERLINK("https://dms.licdn.com/playlist/vid/v2/D5610AQGCpeRj84Atug/mp4-640p-30fp-crf28/B56Z_eN5KvGQBo-/0/1786139614017?e=2147483647&amp;v=beta&amp;t=2VTWX1_QGxATLkJ9aXWVxL2sKWnsO03YmAJxKYTWgaM","View Creative")</f>
        <v>View Creative</v>
      </c>
      <c r="L1960" s="4" t="s">
        <v>106</v>
      </c>
      <c r="M1960" s="4" t="s">
        <v>5965</v>
      </c>
      <c r="O1960" s="4" t="s">
        <v>63</v>
      </c>
      <c r="P1960" s="4" t="s">
        <v>64</v>
      </c>
    </row>
    <row r="1961">
      <c r="A1961" s="4" t="s">
        <v>5965</v>
      </c>
      <c r="B1961" s="4" t="s">
        <v>5965</v>
      </c>
      <c r="C1961" s="4">
        <v>350.0</v>
      </c>
      <c r="D1961" s="5" t="str">
        <f>HYPERLINK("https://www.linkedin.com/ad-library/detail/1493058644","Open Ad")</f>
        <v>Open Ad</v>
      </c>
      <c r="E1961" s="4" t="s">
        <v>78</v>
      </c>
      <c r="F1961" s="4" t="s">
        <v>54</v>
      </c>
      <c r="G1961" s="4" t="s">
        <v>6274</v>
      </c>
      <c r="H1961" s="4" t="s">
        <v>49</v>
      </c>
      <c r="I1961" s="4" t="s">
        <v>6005</v>
      </c>
      <c r="J1961" s="4" t="s">
        <v>78</v>
      </c>
      <c r="K1961" s="5" t="str">
        <f>HYPERLINK("https://media.licdn.com/dms/image/v2/D4E22AQHsQ-iOOBVXNQ/feedshare-image-high-res/B4EZ3zc4feIMAU-/0/1777905928447?e=2147483647&amp;v=beta&amp;t=L85KO8sqzgVngpfzlmmQ-Vk_qUWT3Jv-gk6ym1-cDss","View Creative")</f>
        <v>View Creative</v>
      </c>
      <c r="L1961" s="4" t="s">
        <v>106</v>
      </c>
      <c r="M1961" s="4" t="s">
        <v>5965</v>
      </c>
      <c r="O1961" s="4" t="s">
        <v>63</v>
      </c>
      <c r="P1961" s="4" t="s">
        <v>64</v>
      </c>
    </row>
    <row r="1962">
      <c r="A1962" s="4" t="s">
        <v>5965</v>
      </c>
      <c r="B1962" s="4" t="s">
        <v>5965</v>
      </c>
      <c r="C1962" s="4">
        <v>351.0</v>
      </c>
      <c r="D1962" s="5" t="str">
        <f>HYPERLINK("https://www.linkedin.com/ad-library/detail/1539210446","Open Ad")</f>
        <v>Open Ad</v>
      </c>
      <c r="E1962" s="4" t="s">
        <v>5970</v>
      </c>
      <c r="F1962" s="4" t="s">
        <v>54</v>
      </c>
      <c r="G1962" s="4" t="s">
        <v>6268</v>
      </c>
      <c r="H1962" s="4" t="s">
        <v>49</v>
      </c>
      <c r="I1962" s="4" t="s">
        <v>6005</v>
      </c>
      <c r="J1962" s="4" t="s">
        <v>5973</v>
      </c>
      <c r="K1962" s="4" t="s">
        <v>59</v>
      </c>
      <c r="L1962" s="4" t="s">
        <v>106</v>
      </c>
      <c r="M1962" s="4" t="s">
        <v>5965</v>
      </c>
      <c r="O1962" s="4" t="s">
        <v>63</v>
      </c>
      <c r="P1962" s="4" t="s">
        <v>64</v>
      </c>
    </row>
    <row r="1963">
      <c r="A1963" s="4" t="s">
        <v>5965</v>
      </c>
      <c r="B1963" s="4" t="s">
        <v>5965</v>
      </c>
      <c r="C1963" s="4">
        <v>352.0</v>
      </c>
      <c r="D1963" s="5" t="str">
        <f>HYPERLINK("https://www.linkedin.com/ad-library/detail/1538524846","Open Ad")</f>
        <v>Open Ad</v>
      </c>
      <c r="E1963" s="4" t="s">
        <v>121</v>
      </c>
      <c r="F1963" s="4" t="s">
        <v>54</v>
      </c>
      <c r="G1963" s="4" t="s">
        <v>6270</v>
      </c>
      <c r="H1963" s="4" t="s">
        <v>49</v>
      </c>
      <c r="I1963" s="4" t="s">
        <v>6005</v>
      </c>
      <c r="J1963" s="4" t="s">
        <v>121</v>
      </c>
      <c r="K1963" s="5" t="str">
        <f>HYPERLINK("https://dms.licdn.com/playlist/vid/v2/D5610AQGCpeRj84Atug/mp4-640p-30fp-crf28/B56Z_eN5KvGQBo-/0/1786139614017?e=2147483647&amp;v=beta&amp;t=2VTWX1_QGxATLkJ9aXWVxL2sKWnsO03YmAJxKYTWgaM","View Creative")</f>
        <v>View Creative</v>
      </c>
      <c r="L1963" s="4" t="s">
        <v>106</v>
      </c>
      <c r="M1963" s="4" t="s">
        <v>5965</v>
      </c>
      <c r="O1963" s="4" t="s">
        <v>63</v>
      </c>
      <c r="P1963" s="4" t="s">
        <v>64</v>
      </c>
    </row>
    <row r="1964">
      <c r="A1964" s="4" t="s">
        <v>5965</v>
      </c>
      <c r="B1964" s="4" t="s">
        <v>5965</v>
      </c>
      <c r="C1964" s="4">
        <v>353.0</v>
      </c>
      <c r="D1964" s="5" t="str">
        <f>HYPERLINK("https://www.linkedin.com/ad-library/detail/1538544476","Open Ad")</f>
        <v>Open Ad</v>
      </c>
      <c r="E1964" s="4" t="s">
        <v>121</v>
      </c>
      <c r="F1964" s="4" t="s">
        <v>54</v>
      </c>
      <c r="G1964" s="4" t="s">
        <v>6270</v>
      </c>
      <c r="H1964" s="4" t="s">
        <v>49</v>
      </c>
      <c r="I1964" s="4" t="s">
        <v>6005</v>
      </c>
      <c r="J1964" s="4" t="s">
        <v>121</v>
      </c>
      <c r="K1964" s="5" t="str">
        <f>HYPERLINK("https://dms.licdn.com/playlist/vid/v2/D5610AQEmJQ6WMUyjvw/progressive-servable-video/B56Z_ePSJVHYAY-/0/1786139977193?e=2147483647&amp;v=beta&amp;t=Io37z8AMbhMOk95a1pXoQ4yTTtei13JI5sVSlr_KCQE","View Creative")</f>
        <v>View Creative</v>
      </c>
      <c r="L1964" s="4" t="s">
        <v>106</v>
      </c>
      <c r="M1964" s="4" t="s">
        <v>5965</v>
      </c>
      <c r="O1964" s="4" t="s">
        <v>63</v>
      </c>
      <c r="P1964" s="4" t="s">
        <v>64</v>
      </c>
    </row>
    <row r="1965">
      <c r="A1965" s="4" t="s">
        <v>5965</v>
      </c>
      <c r="B1965" s="4" t="s">
        <v>5965</v>
      </c>
      <c r="C1965" s="4">
        <v>354.0</v>
      </c>
      <c r="D1965" s="5" t="str">
        <f>HYPERLINK("https://www.linkedin.com/ad-library/detail/1539350436","Open Ad")</f>
        <v>Open Ad</v>
      </c>
      <c r="E1965" s="4" t="s">
        <v>5970</v>
      </c>
      <c r="F1965" s="4" t="s">
        <v>54</v>
      </c>
      <c r="G1965" s="4" t="s">
        <v>6278</v>
      </c>
      <c r="H1965" s="4" t="s">
        <v>49</v>
      </c>
      <c r="I1965" s="4" t="s">
        <v>6005</v>
      </c>
      <c r="J1965" s="4" t="s">
        <v>5973</v>
      </c>
      <c r="K1965" s="4" t="s">
        <v>59</v>
      </c>
      <c r="L1965" s="4" t="s">
        <v>106</v>
      </c>
      <c r="M1965" s="4" t="s">
        <v>5965</v>
      </c>
      <c r="O1965" s="4" t="s">
        <v>63</v>
      </c>
      <c r="P1965" s="4" t="s">
        <v>64</v>
      </c>
    </row>
    <row r="1966">
      <c r="A1966" s="4" t="s">
        <v>5965</v>
      </c>
      <c r="B1966" s="4" t="s">
        <v>5965</v>
      </c>
      <c r="C1966" s="4">
        <v>355.0</v>
      </c>
      <c r="D1966" s="5" t="str">
        <f>HYPERLINK("https://www.linkedin.com/ad-library/detail/1539380506","Open Ad")</f>
        <v>Open Ad</v>
      </c>
      <c r="E1966" s="4" t="s">
        <v>5970</v>
      </c>
      <c r="F1966" s="4" t="s">
        <v>54</v>
      </c>
      <c r="G1966" s="4" t="s">
        <v>6028</v>
      </c>
      <c r="H1966" s="4" t="s">
        <v>49</v>
      </c>
      <c r="I1966" s="4" t="s">
        <v>6005</v>
      </c>
      <c r="J1966" s="4" t="s">
        <v>5973</v>
      </c>
      <c r="K1966" s="4" t="s">
        <v>59</v>
      </c>
      <c r="L1966" s="4" t="s">
        <v>106</v>
      </c>
      <c r="M1966" s="4" t="s">
        <v>5965</v>
      </c>
      <c r="O1966" s="4" t="s">
        <v>63</v>
      </c>
      <c r="P1966" s="4" t="s">
        <v>64</v>
      </c>
    </row>
    <row r="1967">
      <c r="A1967" s="4" t="s">
        <v>5965</v>
      </c>
      <c r="B1967" s="4" t="s">
        <v>5965</v>
      </c>
      <c r="C1967" s="4">
        <v>356.0</v>
      </c>
      <c r="D1967" s="5" t="str">
        <f>HYPERLINK("https://www.linkedin.com/ad-library/detail/1539270486","Open Ad")</f>
        <v>Open Ad</v>
      </c>
      <c r="E1967" s="4" t="s">
        <v>5970</v>
      </c>
      <c r="F1967" s="4" t="s">
        <v>54</v>
      </c>
      <c r="G1967" s="4" t="s">
        <v>6280</v>
      </c>
      <c r="H1967" s="4" t="s">
        <v>49</v>
      </c>
      <c r="I1967" s="4" t="s">
        <v>6005</v>
      </c>
      <c r="J1967" s="4" t="s">
        <v>5973</v>
      </c>
      <c r="K1967" s="4" t="s">
        <v>59</v>
      </c>
      <c r="L1967" s="4" t="s">
        <v>106</v>
      </c>
      <c r="M1967" s="4" t="s">
        <v>5965</v>
      </c>
      <c r="O1967" s="4" t="s">
        <v>63</v>
      </c>
      <c r="P1967" s="4" t="s">
        <v>64</v>
      </c>
    </row>
    <row r="1968">
      <c r="A1968" s="4" t="s">
        <v>5965</v>
      </c>
      <c r="B1968" s="4" t="s">
        <v>5965</v>
      </c>
      <c r="C1968" s="4">
        <v>357.0</v>
      </c>
      <c r="D1968" s="5" t="str">
        <f>HYPERLINK("https://www.linkedin.com/ad-library/detail/1539270496","Open Ad")</f>
        <v>Open Ad</v>
      </c>
      <c r="E1968" s="4" t="s">
        <v>5970</v>
      </c>
      <c r="F1968" s="4" t="s">
        <v>54</v>
      </c>
      <c r="G1968" s="4" t="s">
        <v>6278</v>
      </c>
      <c r="H1968" s="4" t="s">
        <v>49</v>
      </c>
      <c r="I1968" s="4" t="s">
        <v>6005</v>
      </c>
      <c r="J1968" s="4" t="s">
        <v>5973</v>
      </c>
      <c r="K1968" s="4" t="s">
        <v>59</v>
      </c>
      <c r="L1968" s="4" t="s">
        <v>106</v>
      </c>
      <c r="M1968" s="4" t="s">
        <v>5965</v>
      </c>
      <c r="O1968" s="4" t="s">
        <v>63</v>
      </c>
      <c r="P1968" s="4" t="s">
        <v>64</v>
      </c>
    </row>
    <row r="1969">
      <c r="A1969" s="4" t="s">
        <v>5965</v>
      </c>
      <c r="B1969" s="4" t="s">
        <v>5965</v>
      </c>
      <c r="C1969" s="4">
        <v>358.0</v>
      </c>
      <c r="D1969" s="5" t="str">
        <f>HYPERLINK("https://www.linkedin.com/ad-library/detail/1539370526","Open Ad")</f>
        <v>Open Ad</v>
      </c>
      <c r="E1969" s="4" t="s">
        <v>5970</v>
      </c>
      <c r="F1969" s="4" t="s">
        <v>54</v>
      </c>
      <c r="G1969" s="4" t="s">
        <v>6278</v>
      </c>
      <c r="H1969" s="4" t="s">
        <v>49</v>
      </c>
      <c r="I1969" s="4" t="s">
        <v>6005</v>
      </c>
      <c r="J1969" s="4" t="s">
        <v>5973</v>
      </c>
      <c r="K1969" s="4" t="s">
        <v>59</v>
      </c>
      <c r="L1969" s="4" t="s">
        <v>106</v>
      </c>
      <c r="M1969" s="4" t="s">
        <v>5965</v>
      </c>
      <c r="O1969" s="4" t="s">
        <v>63</v>
      </c>
      <c r="P1969" s="4" t="s">
        <v>64</v>
      </c>
    </row>
    <row r="1970">
      <c r="A1970" s="4" t="s">
        <v>5965</v>
      </c>
      <c r="B1970" s="4" t="s">
        <v>5965</v>
      </c>
      <c r="C1970" s="4">
        <v>359.0</v>
      </c>
      <c r="D1970" s="5" t="str">
        <f>HYPERLINK("https://www.linkedin.com/ad-library/detail/1539390576","Open Ad")</f>
        <v>Open Ad</v>
      </c>
      <c r="E1970" s="4" t="s">
        <v>5970</v>
      </c>
      <c r="F1970" s="4" t="s">
        <v>54</v>
      </c>
      <c r="G1970" s="4" t="s">
        <v>5980</v>
      </c>
      <c r="H1970" s="4" t="s">
        <v>49</v>
      </c>
      <c r="I1970" s="4" t="s">
        <v>6005</v>
      </c>
      <c r="J1970" s="4" t="s">
        <v>5973</v>
      </c>
      <c r="K1970" s="4" t="s">
        <v>59</v>
      </c>
      <c r="L1970" s="4" t="s">
        <v>106</v>
      </c>
      <c r="M1970" s="4" t="s">
        <v>5965</v>
      </c>
      <c r="O1970" s="4" t="s">
        <v>63</v>
      </c>
      <c r="P1970" s="4" t="s">
        <v>64</v>
      </c>
    </row>
    <row r="1971">
      <c r="A1971" s="4" t="s">
        <v>5965</v>
      </c>
      <c r="B1971" s="4" t="s">
        <v>5965</v>
      </c>
      <c r="C1971" s="4">
        <v>360.0</v>
      </c>
      <c r="D1971" s="5" t="str">
        <f>HYPERLINK("https://www.linkedin.com/ad-library/detail/1494180204","Open Ad")</f>
        <v>Open Ad</v>
      </c>
      <c r="E1971" s="4" t="s">
        <v>78</v>
      </c>
      <c r="F1971" s="4" t="s">
        <v>54</v>
      </c>
      <c r="G1971" s="8" t="s">
        <v>6282</v>
      </c>
      <c r="H1971" s="4" t="s">
        <v>49</v>
      </c>
      <c r="I1971" s="4" t="s">
        <v>6005</v>
      </c>
      <c r="J1971" s="4" t="s">
        <v>78</v>
      </c>
      <c r="K1971" s="5" t="str">
        <f>HYPERLINK("https://media.licdn.com/dms/image/v2/D4E22AQHqQ5H73IKatQ/feedshare-image-high-res/B4EZ3zzSFiHMAU-/0/1777911800529?e=2147483647&amp;v=beta&amp;t=qblordAcoyQ1q4SnwDGV-PHk-smYhZECyzWyulo8f9s","View Creative")</f>
        <v>View Creative</v>
      </c>
      <c r="L1971" s="4" t="s">
        <v>106</v>
      </c>
      <c r="M1971" s="4" t="s">
        <v>5965</v>
      </c>
      <c r="O1971" s="4" t="s">
        <v>63</v>
      </c>
      <c r="P1971" s="4" t="s">
        <v>64</v>
      </c>
    </row>
    <row r="1972">
      <c r="A1972" s="4" t="s">
        <v>5965</v>
      </c>
      <c r="B1972" s="4" t="s">
        <v>5965</v>
      </c>
      <c r="C1972" s="4">
        <v>361.0</v>
      </c>
      <c r="D1972" s="5" t="str">
        <f>HYPERLINK("https://www.linkedin.com/ad-library/detail/1493078564","Open Ad")</f>
        <v>Open Ad</v>
      </c>
      <c r="E1972" s="4" t="s">
        <v>78</v>
      </c>
      <c r="F1972" s="4" t="s">
        <v>54</v>
      </c>
      <c r="G1972" s="8" t="s">
        <v>6284</v>
      </c>
      <c r="H1972" s="4" t="s">
        <v>49</v>
      </c>
      <c r="I1972" s="4" t="s">
        <v>6005</v>
      </c>
      <c r="J1972" s="4" t="s">
        <v>78</v>
      </c>
      <c r="K1972" s="5" t="str">
        <f>HYPERLINK("https://media.licdn.com/dms/image/v2/D4E22AQHR6Egnuw3qVw/feedshare-image-high-res/B4EZ3z.h4pIwAU-/0/1777914748769?e=2147483647&amp;v=beta&amp;t=irHH_77wAYeH-Ii3d_bji7h-P_31fkrfntPhqu4X-g0","View Creative")</f>
        <v>View Creative</v>
      </c>
      <c r="L1972" s="4" t="s">
        <v>106</v>
      </c>
      <c r="M1972" s="4" t="s">
        <v>5965</v>
      </c>
      <c r="O1972" s="4" t="s">
        <v>63</v>
      </c>
      <c r="P1972" s="4" t="s">
        <v>64</v>
      </c>
    </row>
    <row r="1973">
      <c r="A1973" s="4" t="s">
        <v>5965</v>
      </c>
      <c r="B1973" s="4" t="s">
        <v>5965</v>
      </c>
      <c r="C1973" s="4">
        <v>362.0</v>
      </c>
      <c r="D1973" s="5" t="str">
        <f>HYPERLINK("https://www.linkedin.com/ad-library/detail/1537561326","Open Ad")</f>
        <v>Open Ad</v>
      </c>
      <c r="E1973" s="4" t="s">
        <v>78</v>
      </c>
      <c r="F1973" s="4" t="s">
        <v>54</v>
      </c>
      <c r="G1973" s="4" t="s">
        <v>6286</v>
      </c>
      <c r="H1973" s="4" t="s">
        <v>49</v>
      </c>
      <c r="I1973" s="4" t="s">
        <v>6005</v>
      </c>
      <c r="J1973" s="4" t="s">
        <v>78</v>
      </c>
      <c r="K1973" s="5" t="str">
        <f>HYPERLINK("https://media.licdn.com/dms/image/v2/D5610AQF0Hf4omFRqQQ/image-shrink_1280/B56Z_Tb6d0G8Ac-/0/1785958738856/Forrester_13Augpng?e=2147483647&amp;v=beta&amp;t=CZwfdCcYpV12W-uA3KS7-1Fdmlaxo3rdljtm4q9gLwo","View Creative")</f>
        <v>View Creative</v>
      </c>
      <c r="L1973" s="4" t="s">
        <v>106</v>
      </c>
      <c r="M1973" s="4" t="s">
        <v>5965</v>
      </c>
      <c r="O1973" s="4" t="s">
        <v>63</v>
      </c>
      <c r="P1973" s="4" t="s">
        <v>64</v>
      </c>
    </row>
    <row r="1974">
      <c r="A1974" s="4" t="s">
        <v>5965</v>
      </c>
      <c r="B1974" s="4" t="s">
        <v>5965</v>
      </c>
      <c r="C1974" s="4">
        <v>363.0</v>
      </c>
      <c r="D1974" s="5" t="str">
        <f>HYPERLINK("https://www.linkedin.com/ad-library/detail/1537485616","Open Ad")</f>
        <v>Open Ad</v>
      </c>
      <c r="E1974" s="4" t="s">
        <v>78</v>
      </c>
      <c r="F1974" s="4" t="s">
        <v>54</v>
      </c>
      <c r="G1974" s="4" t="s">
        <v>6287</v>
      </c>
      <c r="H1974" s="4" t="s">
        <v>49</v>
      </c>
      <c r="I1974" s="4" t="s">
        <v>6005</v>
      </c>
      <c r="J1974" s="4" t="s">
        <v>78</v>
      </c>
      <c r="K1974" s="5" t="str">
        <f t="shared" ref="K1974:K1975" si="34">HYPERLINK("https://media.licdn.com/dms/image/v2/D5610AQEpQG9yGB9fpw/image-shrink_1280/B56Z_TbuEGG8Ak-/0/1785958688106/Forrester_13Augpng?e=2147483647&amp;v=beta&amp;t=lASggODSv1Pc_JlHB6RhpyVBLDXdn9ZTX1iWVdDJAIo","View Creative")</f>
        <v>View Creative</v>
      </c>
      <c r="L1974" s="4" t="s">
        <v>106</v>
      </c>
      <c r="M1974" s="4" t="s">
        <v>5965</v>
      </c>
      <c r="O1974" s="4" t="s">
        <v>63</v>
      </c>
      <c r="P1974" s="4" t="s">
        <v>64</v>
      </c>
    </row>
    <row r="1975">
      <c r="A1975" s="4" t="s">
        <v>5965</v>
      </c>
      <c r="B1975" s="4" t="s">
        <v>5965</v>
      </c>
      <c r="C1975" s="4">
        <v>364.0</v>
      </c>
      <c r="D1975" s="5" t="str">
        <f>HYPERLINK("https://www.linkedin.com/ad-library/detail/1536859046","Open Ad")</f>
        <v>Open Ad</v>
      </c>
      <c r="E1975" s="4" t="s">
        <v>78</v>
      </c>
      <c r="F1975" s="4" t="s">
        <v>54</v>
      </c>
      <c r="G1975" s="4" t="s">
        <v>6287</v>
      </c>
      <c r="H1975" s="4" t="s">
        <v>49</v>
      </c>
      <c r="I1975" s="4" t="s">
        <v>6005</v>
      </c>
      <c r="J1975" s="4" t="s">
        <v>78</v>
      </c>
      <c r="K1975" s="5" t="str">
        <f t="shared" si="34"/>
        <v>View Creative</v>
      </c>
      <c r="L1975" s="4" t="s">
        <v>106</v>
      </c>
      <c r="M1975" s="4" t="s">
        <v>5965</v>
      </c>
      <c r="O1975" s="4" t="s">
        <v>63</v>
      </c>
      <c r="P1975" s="4" t="s">
        <v>64</v>
      </c>
    </row>
    <row r="1976">
      <c r="A1976" s="4" t="s">
        <v>5965</v>
      </c>
      <c r="B1976" s="4" t="s">
        <v>5965</v>
      </c>
      <c r="C1976" s="4">
        <v>365.0</v>
      </c>
      <c r="D1976" s="5" t="str">
        <f>HYPERLINK("https://www.linkedin.com/ad-library/detail/1493028734","Open Ad")</f>
        <v>Open Ad</v>
      </c>
      <c r="E1976" s="4" t="s">
        <v>78</v>
      </c>
      <c r="F1976" s="4" t="s">
        <v>54</v>
      </c>
      <c r="G1976" s="8" t="s">
        <v>6289</v>
      </c>
      <c r="H1976" s="4" t="s">
        <v>49</v>
      </c>
      <c r="I1976" s="4" t="s">
        <v>6005</v>
      </c>
      <c r="J1976" s="4" t="s">
        <v>78</v>
      </c>
      <c r="K1976" s="5" t="str">
        <f>HYPERLINK("https://media.licdn.com/dms/image/v2/D4E22AQGUgWvCy3EsCA/feedshare-image-high-res/B4EZ5MfammIIAU-/0/1779399764662?e=2147483647&amp;v=beta&amp;t=RDqRNBrhkZWz3rWfPv8WhtKpVkgRrzMA6KFe_K4nRWM","View Creative")</f>
        <v>View Creative</v>
      </c>
      <c r="L1976" s="4" t="s">
        <v>106</v>
      </c>
      <c r="M1976" s="4" t="s">
        <v>5965</v>
      </c>
      <c r="O1976" s="4" t="s">
        <v>63</v>
      </c>
      <c r="P1976" s="4" t="s">
        <v>64</v>
      </c>
    </row>
    <row r="1977">
      <c r="A1977" s="4" t="s">
        <v>5965</v>
      </c>
      <c r="B1977" s="4" t="s">
        <v>5965</v>
      </c>
      <c r="C1977" s="4">
        <v>366.0</v>
      </c>
      <c r="D1977" s="5" t="str">
        <f>HYPERLINK("https://www.linkedin.com/ad-library/detail/1532791696","Open Ad")</f>
        <v>Open Ad</v>
      </c>
      <c r="E1977" s="4" t="s">
        <v>78</v>
      </c>
      <c r="F1977" s="4" t="s">
        <v>54</v>
      </c>
      <c r="G1977" s="4" t="s">
        <v>6086</v>
      </c>
      <c r="H1977" s="4" t="s">
        <v>49</v>
      </c>
      <c r="I1977" s="4" t="s">
        <v>6005</v>
      </c>
      <c r="J1977" s="4" t="s">
        <v>78</v>
      </c>
      <c r="K1977" s="5" t="str">
        <f>HYPERLINK("https://media.licdn.com/dms/image/v2/D5610AQF5ONUziLB90Q/image-shrink_1280/B56Z8YuROrGcAc-/0/1782826211326?e=2147483647&amp;v=beta&amp;t=P2Cz2Aul20qMidWME_WS_vAnPWT-iq7vaBsEHckvets","View Creative")</f>
        <v>View Creative</v>
      </c>
      <c r="L1977" s="4" t="s">
        <v>106</v>
      </c>
      <c r="M1977" s="4" t="s">
        <v>5965</v>
      </c>
      <c r="O1977" s="4" t="s">
        <v>63</v>
      </c>
      <c r="P1977" s="4" t="s">
        <v>64</v>
      </c>
    </row>
    <row r="1978">
      <c r="A1978" s="4" t="s">
        <v>5965</v>
      </c>
      <c r="B1978" s="4" t="s">
        <v>5965</v>
      </c>
      <c r="C1978" s="4">
        <v>367.0</v>
      </c>
      <c r="D1978" s="5" t="str">
        <f>HYPERLINK("https://www.linkedin.com/ad-library/detail/1532920016","Open Ad")</f>
        <v>Open Ad</v>
      </c>
      <c r="E1978" s="4" t="s">
        <v>78</v>
      </c>
      <c r="F1978" s="4" t="s">
        <v>54</v>
      </c>
      <c r="G1978" s="4" t="s">
        <v>6292</v>
      </c>
      <c r="H1978" s="4" t="s">
        <v>49</v>
      </c>
      <c r="I1978" s="4" t="s">
        <v>6005</v>
      </c>
      <c r="J1978" s="4" t="s">
        <v>78</v>
      </c>
      <c r="K1978" s="5" t="str">
        <f>HYPERLINK("https://media.licdn.com/dms/image/v2/D5610AQFCx_YJc45xmQ/image-shrink_1280/B56Z9_1kn.GsAg-/0/1784556178150?e=2147483647&amp;v=beta&amp;t=f1YUvgvX1_1a1kJVoEtCFw4Vo-6pu3fvcM8OtM7KrGI","View Creative")</f>
        <v>View Creative</v>
      </c>
      <c r="L1978" s="4" t="s">
        <v>106</v>
      </c>
      <c r="M1978" s="4" t="s">
        <v>5965</v>
      </c>
      <c r="O1978" s="4" t="s">
        <v>63</v>
      </c>
      <c r="P1978" s="4" t="s">
        <v>64</v>
      </c>
    </row>
    <row r="1979">
      <c r="A1979" s="4" t="s">
        <v>5965</v>
      </c>
      <c r="B1979" s="4" t="s">
        <v>5965</v>
      </c>
      <c r="C1979" s="4">
        <v>368.0</v>
      </c>
      <c r="D1979" s="5" t="str">
        <f>HYPERLINK("https://www.linkedin.com/ad-library/detail/1532669666","Open Ad")</f>
        <v>Open Ad</v>
      </c>
      <c r="E1979" s="4" t="s">
        <v>78</v>
      </c>
      <c r="F1979" s="4" t="s">
        <v>54</v>
      </c>
      <c r="G1979" s="4" t="s">
        <v>6078</v>
      </c>
      <c r="H1979" s="4" t="s">
        <v>49</v>
      </c>
      <c r="I1979" s="4" t="s">
        <v>6005</v>
      </c>
      <c r="J1979" s="4" t="s">
        <v>78</v>
      </c>
      <c r="K1979" s="5" t="str">
        <f>HYPERLINK("https://media.licdn.com/dms/image/v2/D5610AQG6ROzWPETGmA/image-shrink_1280/B56Z9dR6t1KEAg-/0/1783976406842?e=2147483647&amp;v=beta&amp;t=ubEWJ1uNOIKQkdyOqmhR2qOxm2aAjGOzZhSszx4lxv4","View Creative")</f>
        <v>View Creative</v>
      </c>
      <c r="L1979" s="4" t="s">
        <v>106</v>
      </c>
      <c r="M1979" s="4" t="s">
        <v>5965</v>
      </c>
      <c r="O1979" s="4" t="s">
        <v>63</v>
      </c>
      <c r="P1979" s="4" t="s">
        <v>64</v>
      </c>
    </row>
    <row r="1980">
      <c r="A1980" s="4" t="s">
        <v>5965</v>
      </c>
      <c r="B1980" s="4" t="s">
        <v>5965</v>
      </c>
      <c r="C1980" s="4">
        <v>369.0</v>
      </c>
      <c r="D1980" s="5" t="str">
        <f>HYPERLINK("https://www.linkedin.com/ad-library/detail/1535400736","Open Ad")</f>
        <v>Open Ad</v>
      </c>
      <c r="E1980" s="4" t="s">
        <v>5970</v>
      </c>
      <c r="F1980" s="4" t="s">
        <v>54</v>
      </c>
      <c r="G1980" s="4" t="s">
        <v>6015</v>
      </c>
      <c r="H1980" s="4" t="s">
        <v>49</v>
      </c>
      <c r="I1980" s="4" t="s">
        <v>6005</v>
      </c>
      <c r="J1980" s="4" t="s">
        <v>5973</v>
      </c>
      <c r="K1980" s="4" t="s">
        <v>59</v>
      </c>
      <c r="L1980" s="4" t="s">
        <v>106</v>
      </c>
      <c r="M1980" s="4" t="s">
        <v>5965</v>
      </c>
      <c r="O1980" s="4" t="s">
        <v>63</v>
      </c>
      <c r="P1980" s="4" t="s">
        <v>64</v>
      </c>
    </row>
    <row r="1981">
      <c r="A1981" s="4" t="s">
        <v>5965</v>
      </c>
      <c r="B1981" s="4" t="s">
        <v>5965</v>
      </c>
      <c r="C1981" s="4">
        <v>370.0</v>
      </c>
      <c r="D1981" s="5" t="str">
        <f>HYPERLINK("https://www.linkedin.com/ad-library/detail/1532890316","Open Ad")</f>
        <v>Open Ad</v>
      </c>
      <c r="E1981" s="4" t="s">
        <v>78</v>
      </c>
      <c r="F1981" s="4" t="s">
        <v>54</v>
      </c>
      <c r="G1981" s="4" t="s">
        <v>6069</v>
      </c>
      <c r="H1981" s="4" t="s">
        <v>49</v>
      </c>
      <c r="I1981" s="4" t="s">
        <v>6005</v>
      </c>
      <c r="J1981" s="4" t="s">
        <v>78</v>
      </c>
      <c r="K1981" s="5" t="str">
        <f t="shared" ref="K1981:K1982" si="35">HYPERLINK("https://media.licdn.com/dms/image/v2/D4E10AQEqECWLz8eLfg/image-shrink_1280/B4EZ3UsZ.CGkAc-/0/1777389904287?e=2147483647&amp;v=beta&amp;t=0Mbfqk_hLfichGIBXrMjoO2DeoHez5SeK866pI13xWU","View Creative")</f>
        <v>View Creative</v>
      </c>
      <c r="L1981" s="4" t="s">
        <v>106</v>
      </c>
      <c r="M1981" s="4" t="s">
        <v>5965</v>
      </c>
      <c r="O1981" s="4" t="s">
        <v>63</v>
      </c>
      <c r="P1981" s="4" t="s">
        <v>64</v>
      </c>
    </row>
    <row r="1982">
      <c r="A1982" s="4" t="s">
        <v>5965</v>
      </c>
      <c r="B1982" s="4" t="s">
        <v>5965</v>
      </c>
      <c r="C1982" s="4">
        <v>371.0</v>
      </c>
      <c r="D1982" s="5" t="str">
        <f>HYPERLINK("https://www.linkedin.com/ad-library/detail/1532791706","Open Ad")</f>
        <v>Open Ad</v>
      </c>
      <c r="E1982" s="4" t="s">
        <v>78</v>
      </c>
      <c r="F1982" s="4" t="s">
        <v>54</v>
      </c>
      <c r="G1982" s="4" t="s">
        <v>6069</v>
      </c>
      <c r="H1982" s="4" t="s">
        <v>49</v>
      </c>
      <c r="I1982" s="4" t="s">
        <v>6005</v>
      </c>
      <c r="J1982" s="4" t="s">
        <v>78</v>
      </c>
      <c r="K1982" s="5" t="str">
        <f t="shared" si="35"/>
        <v>View Creative</v>
      </c>
      <c r="L1982" s="4" t="s">
        <v>106</v>
      </c>
      <c r="M1982" s="4" t="s">
        <v>5965</v>
      </c>
      <c r="O1982" s="4" t="s">
        <v>63</v>
      </c>
      <c r="P1982" s="4" t="s">
        <v>64</v>
      </c>
    </row>
    <row r="1983">
      <c r="A1983" s="4" t="s">
        <v>5965</v>
      </c>
      <c r="B1983" s="4" t="s">
        <v>5965</v>
      </c>
      <c r="C1983" s="4">
        <v>372.0</v>
      </c>
      <c r="D1983" s="5" t="str">
        <f>HYPERLINK("https://www.linkedin.com/ad-library/detail/1532870406","Open Ad")</f>
        <v>Open Ad</v>
      </c>
      <c r="E1983" s="4" t="s">
        <v>78</v>
      </c>
      <c r="F1983" s="4" t="s">
        <v>54</v>
      </c>
      <c r="G1983" s="4" t="s">
        <v>6292</v>
      </c>
      <c r="H1983" s="4" t="s">
        <v>49</v>
      </c>
      <c r="I1983" s="4" t="s">
        <v>6005</v>
      </c>
      <c r="J1983" s="4" t="s">
        <v>78</v>
      </c>
      <c r="K1983" s="5" t="str">
        <f>HYPERLINK("https://media.licdn.com/dms/image/v2/D5610AQFCx_YJc45xmQ/image-shrink_1280/B56Z9_1kn.GsAg-/0/1784556178150?e=2147483647&amp;v=beta&amp;t=f1YUvgvX1_1a1kJVoEtCFw4Vo-6pu3fvcM8OtM7KrGI","View Creative")</f>
        <v>View Creative</v>
      </c>
      <c r="L1983" s="4" t="s">
        <v>106</v>
      </c>
      <c r="M1983" s="4" t="s">
        <v>5965</v>
      </c>
      <c r="O1983" s="4" t="s">
        <v>63</v>
      </c>
      <c r="P1983" s="4" t="s">
        <v>64</v>
      </c>
    </row>
    <row r="1984">
      <c r="A1984" s="4" t="s">
        <v>5965</v>
      </c>
      <c r="B1984" s="4" t="s">
        <v>5965</v>
      </c>
      <c r="C1984" s="4">
        <v>373.0</v>
      </c>
      <c r="D1984" s="5" t="str">
        <f>HYPERLINK("https://www.linkedin.com/ad-library/detail/1492939564","Open Ad")</f>
        <v>Open Ad</v>
      </c>
      <c r="E1984" s="4" t="s">
        <v>78</v>
      </c>
      <c r="F1984" s="4" t="s">
        <v>54</v>
      </c>
      <c r="G1984" s="8" t="s">
        <v>6296</v>
      </c>
      <c r="H1984" s="4" t="s">
        <v>49</v>
      </c>
      <c r="I1984" s="4" t="s">
        <v>6005</v>
      </c>
      <c r="J1984" s="4" t="s">
        <v>78</v>
      </c>
      <c r="K1984" s="5" t="str">
        <f>HYPERLINK("https://media.licdn.com/dms/image/v2/D4E22AQGpcCW171s7XQ/feedshare-image-high-res/B4EZ48NEUUKQAU-/0/1779126519344?e=2147483647&amp;v=beta&amp;t=qtKlxqfofONgIfGH2M0a_hcnI2zE1Cnk944xMnVrZkY","View Creative")</f>
        <v>View Creative</v>
      </c>
      <c r="L1984" s="4" t="s">
        <v>106</v>
      </c>
      <c r="M1984" s="4" t="s">
        <v>5965</v>
      </c>
      <c r="O1984" s="4" t="s">
        <v>63</v>
      </c>
      <c r="P1984" s="4" t="s">
        <v>64</v>
      </c>
    </row>
    <row r="1985">
      <c r="A1985" s="4" t="s">
        <v>5965</v>
      </c>
      <c r="B1985" s="4" t="s">
        <v>5965</v>
      </c>
      <c r="C1985" s="4">
        <v>374.0</v>
      </c>
      <c r="D1985" s="5" t="str">
        <f>HYPERLINK("https://www.linkedin.com/ad-library/detail/1537337806","Open Ad")</f>
        <v>Open Ad</v>
      </c>
      <c r="E1985" s="4" t="s">
        <v>78</v>
      </c>
      <c r="F1985" s="4" t="s">
        <v>54</v>
      </c>
      <c r="G1985" s="4" t="s">
        <v>6286</v>
      </c>
      <c r="H1985" s="4" t="s">
        <v>49</v>
      </c>
      <c r="I1985" s="4" t="s">
        <v>6005</v>
      </c>
      <c r="J1985" s="4" t="s">
        <v>78</v>
      </c>
      <c r="K1985" s="5" t="str">
        <f>HYPERLINK("https://media.licdn.com/dms/image/v2/D5610AQF0Hf4omFRqQQ/image-shrink_1280/B56Z_Tb6d0G8Ac-/0/1785958738856/Forrester_13Augpng?e=2147483647&amp;v=beta&amp;t=CZwfdCcYpV12W-uA3KS7-1Fdmlaxo3rdljtm4q9gLwo","View Creative")</f>
        <v>View Creative</v>
      </c>
      <c r="L1985" s="4" t="s">
        <v>106</v>
      </c>
      <c r="M1985" s="4" t="s">
        <v>5965</v>
      </c>
      <c r="O1985" s="4" t="s">
        <v>63</v>
      </c>
      <c r="P1985" s="4" t="s">
        <v>64</v>
      </c>
    </row>
    <row r="1986">
      <c r="A1986" s="4" t="s">
        <v>5965</v>
      </c>
      <c r="B1986" s="4" t="s">
        <v>5965</v>
      </c>
      <c r="C1986" s="4">
        <v>375.0</v>
      </c>
      <c r="D1986" s="5" t="str">
        <f>HYPERLINK("https://www.linkedin.com/ad-library/detail/1532900446","Open Ad")</f>
        <v>Open Ad</v>
      </c>
      <c r="E1986" s="4" t="s">
        <v>78</v>
      </c>
      <c r="F1986" s="4" t="s">
        <v>54</v>
      </c>
      <c r="G1986" s="8" t="s">
        <v>6299</v>
      </c>
      <c r="H1986" s="4" t="s">
        <v>49</v>
      </c>
      <c r="I1986" s="4" t="s">
        <v>6005</v>
      </c>
      <c r="J1986" s="4" t="s">
        <v>78</v>
      </c>
      <c r="K1986" s="5" t="str">
        <f t="shared" ref="K1986:K1987" si="36">HYPERLINK("https://media.licdn.com/dms/image/v2/D5622AQFPvdKJ2rZGuA/feedshare-shrink_1280/B56Z9DGJizKgAM-/0/1783537114110?e=2147483647&amp;v=beta&amp;t=ibPphT7d-IkefsLLj8zjUziebSWt3eeZJVoLfHU82Kg","View Creative")</f>
        <v>View Creative</v>
      </c>
      <c r="L1986" s="4" t="s">
        <v>106</v>
      </c>
      <c r="M1986" s="4" t="s">
        <v>5965</v>
      </c>
      <c r="O1986" s="4" t="s">
        <v>63</v>
      </c>
      <c r="P1986" s="4" t="s">
        <v>64</v>
      </c>
    </row>
    <row r="1987">
      <c r="A1987" s="4" t="s">
        <v>5965</v>
      </c>
      <c r="B1987" s="4" t="s">
        <v>5965</v>
      </c>
      <c r="C1987" s="4">
        <v>376.0</v>
      </c>
      <c r="D1987" s="5" t="str">
        <f>HYPERLINK("https://www.linkedin.com/ad-library/detail/1532782226","Open Ad")</f>
        <v>Open Ad</v>
      </c>
      <c r="E1987" s="4" t="s">
        <v>78</v>
      </c>
      <c r="F1987" s="4" t="s">
        <v>54</v>
      </c>
      <c r="G1987" s="8" t="s">
        <v>6299</v>
      </c>
      <c r="H1987" s="4" t="s">
        <v>49</v>
      </c>
      <c r="I1987" s="4" t="s">
        <v>6005</v>
      </c>
      <c r="J1987" s="4" t="s">
        <v>78</v>
      </c>
      <c r="K1987" s="5" t="str">
        <f t="shared" si="36"/>
        <v>View Creative</v>
      </c>
      <c r="L1987" s="4" t="s">
        <v>106</v>
      </c>
      <c r="M1987" s="4" t="s">
        <v>5965</v>
      </c>
      <c r="O1987" s="4" t="s">
        <v>63</v>
      </c>
      <c r="P1987" s="4" t="s">
        <v>64</v>
      </c>
    </row>
    <row r="1988">
      <c r="A1988" s="4" t="s">
        <v>5965</v>
      </c>
      <c r="B1988" s="4" t="s">
        <v>5965</v>
      </c>
      <c r="C1988" s="4">
        <v>377.0</v>
      </c>
      <c r="D1988" s="5" t="str">
        <f>HYPERLINK("https://www.linkedin.com/ad-library/detail/1532782236","Open Ad")</f>
        <v>Open Ad</v>
      </c>
      <c r="E1988" s="4" t="s">
        <v>78</v>
      </c>
      <c r="F1988" s="4" t="s">
        <v>54</v>
      </c>
      <c r="G1988" s="4" t="s">
        <v>6076</v>
      </c>
      <c r="H1988" s="4" t="s">
        <v>49</v>
      </c>
      <c r="I1988" s="4" t="s">
        <v>6005</v>
      </c>
      <c r="J1988" s="4" t="s">
        <v>78</v>
      </c>
      <c r="K1988" s="5" t="str">
        <f>HYPERLINK("https://media.licdn.com/dms/image/v2/D5610AQFapQuTs5RyQg/image-shrink_1280/B56Z9h_6UCGcAg-/0/1784055572538?e=2147483647&amp;v=beta&amp;t=Kv2jNpyAeREV8VRiJojr6bkYk7Ofuq0wj6IaFzQHYEU","View Creative")</f>
        <v>View Creative</v>
      </c>
      <c r="L1988" s="4" t="s">
        <v>106</v>
      </c>
      <c r="M1988" s="4" t="s">
        <v>5965</v>
      </c>
      <c r="O1988" s="4" t="s">
        <v>63</v>
      </c>
      <c r="P1988" s="4" t="s">
        <v>64</v>
      </c>
    </row>
    <row r="1989">
      <c r="A1989" s="4" t="s">
        <v>5965</v>
      </c>
      <c r="B1989" s="4" t="s">
        <v>5965</v>
      </c>
      <c r="C1989" s="4">
        <v>378.0</v>
      </c>
      <c r="D1989" s="5" t="str">
        <f>HYPERLINK("https://www.linkedin.com/ad-library/detail/1532820946","Open Ad")</f>
        <v>Open Ad</v>
      </c>
      <c r="E1989" s="4" t="s">
        <v>78</v>
      </c>
      <c r="F1989" s="4" t="s">
        <v>54</v>
      </c>
      <c r="G1989" s="4" t="s">
        <v>6078</v>
      </c>
      <c r="H1989" s="4" t="s">
        <v>49</v>
      </c>
      <c r="I1989" s="4" t="s">
        <v>6005</v>
      </c>
      <c r="J1989" s="4" t="s">
        <v>78</v>
      </c>
      <c r="K1989" s="5" t="str">
        <f>HYPERLINK("https://media.licdn.com/dms/image/v2/D5610AQG6ROzWPETGmA/image-shrink_1280/B56Z9dR6t1KEAg-/0/1783976406842?e=2147483647&amp;v=beta&amp;t=ubEWJ1uNOIKQkdyOqmhR2qOxm2aAjGOzZhSszx4lxv4","View Creative")</f>
        <v>View Creative</v>
      </c>
      <c r="L1989" s="4" t="s">
        <v>106</v>
      </c>
      <c r="M1989" s="4" t="s">
        <v>5965</v>
      </c>
      <c r="O1989" s="4" t="s">
        <v>63</v>
      </c>
      <c r="P1989" s="4" t="s">
        <v>64</v>
      </c>
    </row>
    <row r="1990">
      <c r="A1990" s="4" t="s">
        <v>5965</v>
      </c>
      <c r="B1990" s="4" t="s">
        <v>5965</v>
      </c>
      <c r="C1990" s="4">
        <v>379.0</v>
      </c>
      <c r="D1990" s="5" t="str">
        <f>HYPERLINK("https://www.linkedin.com/ad-library/detail/1532747296","Open Ad")</f>
        <v>Open Ad</v>
      </c>
      <c r="E1990" s="4" t="s">
        <v>78</v>
      </c>
      <c r="F1990" s="4" t="s">
        <v>54</v>
      </c>
      <c r="G1990" s="4" t="s">
        <v>6067</v>
      </c>
      <c r="H1990" s="4" t="s">
        <v>49</v>
      </c>
      <c r="I1990" s="4" t="s">
        <v>6005</v>
      </c>
      <c r="J1990" s="4" t="s">
        <v>78</v>
      </c>
      <c r="K1990" s="5" t="str">
        <f>HYPERLINK("https://media.licdn.com/dms/image/v2/D5610AQEhWScG0zSsQQ/image-shrink_1280/B56Z.ALhD2HIAc-/0/1784561931707?e=2147483647&amp;v=beta&amp;t=CNNXfqX_x8NHdQnVcD2yPE1JO0w4ekTKwdMaxJHCKn4","View Creative")</f>
        <v>View Creative</v>
      </c>
      <c r="L1990" s="4" t="s">
        <v>106</v>
      </c>
      <c r="M1990" s="4" t="s">
        <v>5965</v>
      </c>
      <c r="O1990" s="4" t="s">
        <v>63</v>
      </c>
      <c r="P1990" s="4" t="s">
        <v>64</v>
      </c>
    </row>
    <row r="1991">
      <c r="A1991" s="4" t="s">
        <v>5965</v>
      </c>
      <c r="B1991" s="4" t="s">
        <v>5965</v>
      </c>
      <c r="C1991" s="4">
        <v>380.0</v>
      </c>
      <c r="D1991" s="5" t="str">
        <f>HYPERLINK("https://www.linkedin.com/ad-library/detail/1532840886","Open Ad")</f>
        <v>Open Ad</v>
      </c>
      <c r="E1991" s="4" t="s">
        <v>78</v>
      </c>
      <c r="F1991" s="4" t="s">
        <v>54</v>
      </c>
      <c r="G1991" s="4" t="s">
        <v>6076</v>
      </c>
      <c r="H1991" s="4" t="s">
        <v>49</v>
      </c>
      <c r="I1991" s="4" t="s">
        <v>6005</v>
      </c>
      <c r="J1991" s="4" t="s">
        <v>78</v>
      </c>
      <c r="K1991" s="5" t="str">
        <f>HYPERLINK("https://media.licdn.com/dms/image/v2/D5610AQFapQuTs5RyQg/image-shrink_1280/B56Z9h_6UCGcAg-/0/1784055572538?e=2147483647&amp;v=beta&amp;t=Kv2jNpyAeREV8VRiJojr6bkYk7Ofuq0wj6IaFzQHYEU","View Creative")</f>
        <v>View Creative</v>
      </c>
      <c r="L1991" s="4" t="s">
        <v>106</v>
      </c>
      <c r="M1991" s="4" t="s">
        <v>5965</v>
      </c>
      <c r="O1991" s="4" t="s">
        <v>63</v>
      </c>
      <c r="P1991" s="4" t="s">
        <v>64</v>
      </c>
    </row>
    <row r="1992">
      <c r="A1992" s="4" t="s">
        <v>5965</v>
      </c>
      <c r="B1992" s="4" t="s">
        <v>5965</v>
      </c>
      <c r="C1992" s="4">
        <v>381.0</v>
      </c>
      <c r="D1992" s="5" t="str">
        <f>HYPERLINK("https://www.linkedin.com/ad-library/detail/1532860776","Open Ad")</f>
        <v>Open Ad</v>
      </c>
      <c r="E1992" s="4" t="s">
        <v>78</v>
      </c>
      <c r="F1992" s="4" t="s">
        <v>54</v>
      </c>
      <c r="G1992" s="4" t="s">
        <v>6067</v>
      </c>
      <c r="H1992" s="4" t="s">
        <v>49</v>
      </c>
      <c r="I1992" s="4" t="s">
        <v>6005</v>
      </c>
      <c r="J1992" s="4" t="s">
        <v>78</v>
      </c>
      <c r="K1992" s="5" t="str">
        <f>HYPERLINK("https://media.licdn.com/dms/image/v2/D5610AQEhWScG0zSsQQ/image-shrink_1280/B56Z.ALhD2HIAc-/0/1784561931707?e=2147483647&amp;v=beta&amp;t=CNNXfqX_x8NHdQnVcD2yPE1JO0w4ekTKwdMaxJHCKn4","View Creative")</f>
        <v>View Creative</v>
      </c>
      <c r="L1992" s="4" t="s">
        <v>106</v>
      </c>
      <c r="M1992" s="4" t="s">
        <v>5965</v>
      </c>
      <c r="O1992" s="4" t="s">
        <v>63</v>
      </c>
      <c r="P1992" s="4" t="s">
        <v>64</v>
      </c>
    </row>
    <row r="1993">
      <c r="A1993" s="4" t="s">
        <v>5965</v>
      </c>
      <c r="B1993" s="4" t="s">
        <v>5965</v>
      </c>
      <c r="C1993" s="4">
        <v>382.0</v>
      </c>
      <c r="D1993" s="5" t="str">
        <f>HYPERLINK("https://www.linkedin.com/ad-library/detail/1537476126","Open Ad")</f>
        <v>Open Ad</v>
      </c>
      <c r="E1993" s="4" t="s">
        <v>78</v>
      </c>
      <c r="F1993" s="4" t="s">
        <v>54</v>
      </c>
      <c r="G1993" s="4" t="s">
        <v>6287</v>
      </c>
      <c r="H1993" s="4" t="s">
        <v>49</v>
      </c>
      <c r="I1993" s="4" t="s">
        <v>6005</v>
      </c>
      <c r="J1993" s="4" t="s">
        <v>78</v>
      </c>
      <c r="K1993" s="5" t="str">
        <f>HYPERLINK("https://media.licdn.com/dms/image/v2/D5610AQEpQG9yGB9fpw/image-shrink_1280/B56Z_TbuEGG8Ak-/0/1785958688106/Forrester_13Augpng?e=2147483647&amp;v=beta&amp;t=lASggODSv1Pc_JlHB6RhpyVBLDXdn9ZTX1iWVdDJAIo","View Creative")</f>
        <v>View Creative</v>
      </c>
      <c r="L1993" s="4" t="s">
        <v>106</v>
      </c>
      <c r="M1993" s="4" t="s">
        <v>5965</v>
      </c>
      <c r="O1993" s="4" t="s">
        <v>63</v>
      </c>
      <c r="P1993" s="4" t="s">
        <v>64</v>
      </c>
    </row>
    <row r="1994">
      <c r="A1994" s="4" t="s">
        <v>5965</v>
      </c>
      <c r="B1994" s="4" t="s">
        <v>5965</v>
      </c>
      <c r="C1994" s="4">
        <v>383.0</v>
      </c>
      <c r="D1994" s="5" t="str">
        <f>HYPERLINK("https://www.linkedin.com/ad-library/detail/1536849716","Open Ad")</f>
        <v>Open Ad</v>
      </c>
      <c r="E1994" s="4" t="s">
        <v>78</v>
      </c>
      <c r="F1994" s="4" t="s">
        <v>54</v>
      </c>
      <c r="G1994" s="4" t="s">
        <v>6286</v>
      </c>
      <c r="H1994" s="4" t="s">
        <v>49</v>
      </c>
      <c r="I1994" s="4" t="s">
        <v>6005</v>
      </c>
      <c r="J1994" s="4" t="s">
        <v>78</v>
      </c>
      <c r="K1994" s="5" t="str">
        <f>HYPERLINK("https://media.licdn.com/dms/image/v2/D5610AQF0Hf4omFRqQQ/image-shrink_1280/B56Z_Tb6d0G8Ac-/0/1785958738856/Forrester_13Augpng?e=2147483647&amp;v=beta&amp;t=CZwfdCcYpV12W-uA3KS7-1Fdmlaxo3rdljtm4q9gLwo","View Creative")</f>
        <v>View Creative</v>
      </c>
      <c r="L1994" s="4" t="s">
        <v>106</v>
      </c>
      <c r="M1994" s="4" t="s">
        <v>5965</v>
      </c>
      <c r="O1994" s="4" t="s">
        <v>63</v>
      </c>
      <c r="P1994" s="4" t="s">
        <v>64</v>
      </c>
    </row>
    <row r="1995">
      <c r="A1995" s="4" t="s">
        <v>5965</v>
      </c>
      <c r="B1995" s="4" t="s">
        <v>5965</v>
      </c>
      <c r="C1995" s="4">
        <v>384.0</v>
      </c>
      <c r="D1995" s="5" t="str">
        <f>HYPERLINK("https://www.linkedin.com/ad-library/detail/1535370686","Open Ad")</f>
        <v>Open Ad</v>
      </c>
      <c r="E1995" s="4" t="s">
        <v>5970</v>
      </c>
      <c r="F1995" s="4" t="s">
        <v>54</v>
      </c>
      <c r="G1995" s="4" t="s">
        <v>5980</v>
      </c>
      <c r="H1995" s="4" t="s">
        <v>49</v>
      </c>
      <c r="I1995" s="4" t="s">
        <v>6005</v>
      </c>
      <c r="J1995" s="4" t="s">
        <v>5973</v>
      </c>
      <c r="K1995" s="4" t="s">
        <v>59</v>
      </c>
      <c r="L1995" s="4" t="s">
        <v>106</v>
      </c>
      <c r="M1995" s="4" t="s">
        <v>5965</v>
      </c>
      <c r="O1995" s="4" t="s">
        <v>63</v>
      </c>
      <c r="P1995" s="4" t="s">
        <v>64</v>
      </c>
    </row>
    <row r="1996">
      <c r="A1996" s="4" t="s">
        <v>5965</v>
      </c>
      <c r="B1996" s="4" t="s">
        <v>5965</v>
      </c>
      <c r="C1996" s="4">
        <v>385.0</v>
      </c>
      <c r="D1996" s="5" t="str">
        <f>HYPERLINK("https://www.linkedin.com/ad-library/detail/1532752726","Open Ad")</f>
        <v>Open Ad</v>
      </c>
      <c r="E1996" s="4" t="s">
        <v>78</v>
      </c>
      <c r="F1996" s="4" t="s">
        <v>54</v>
      </c>
      <c r="G1996" s="4" t="s">
        <v>6036</v>
      </c>
      <c r="H1996" s="4" t="s">
        <v>49</v>
      </c>
      <c r="I1996" s="4" t="s">
        <v>6005</v>
      </c>
      <c r="J1996" s="4" t="s">
        <v>78</v>
      </c>
      <c r="K1996" s="4" t="s">
        <v>59</v>
      </c>
      <c r="L1996" s="4" t="s">
        <v>106</v>
      </c>
      <c r="M1996" s="4" t="s">
        <v>5965</v>
      </c>
      <c r="O1996" s="4" t="s">
        <v>63</v>
      </c>
      <c r="P1996" s="4" t="s">
        <v>64</v>
      </c>
    </row>
    <row r="1997">
      <c r="A1997" s="4" t="s">
        <v>5965</v>
      </c>
      <c r="B1997" s="4" t="s">
        <v>5965</v>
      </c>
      <c r="C1997" s="4">
        <v>386.0</v>
      </c>
      <c r="D1997" s="5" t="str">
        <f>HYPERLINK("https://www.linkedin.com/ad-library/detail/1532619636","Open Ad")</f>
        <v>Open Ad</v>
      </c>
      <c r="E1997" s="4" t="s">
        <v>78</v>
      </c>
      <c r="F1997" s="4" t="s">
        <v>54</v>
      </c>
      <c r="G1997" s="4" t="s">
        <v>6078</v>
      </c>
      <c r="H1997" s="4" t="s">
        <v>49</v>
      </c>
      <c r="I1997" s="4" t="s">
        <v>6005</v>
      </c>
      <c r="J1997" s="4" t="s">
        <v>78</v>
      </c>
      <c r="K1997" s="5" t="str">
        <f>HYPERLINK("https://media.licdn.com/dms/image/v2/D5610AQG6ROzWPETGmA/image-shrink_1280/B56Z9dR6t1KEAg-/0/1783976406842?e=2147483647&amp;v=beta&amp;t=ubEWJ1uNOIKQkdyOqmhR2qOxm2aAjGOzZhSszx4lxv4","View Creative")</f>
        <v>View Creative</v>
      </c>
      <c r="L1997" s="4" t="s">
        <v>106</v>
      </c>
      <c r="M1997" s="4" t="s">
        <v>5965</v>
      </c>
      <c r="O1997" s="4" t="s">
        <v>63</v>
      </c>
      <c r="P1997" s="4" t="s">
        <v>64</v>
      </c>
    </row>
    <row r="1998">
      <c r="A1998" s="4" t="s">
        <v>5965</v>
      </c>
      <c r="B1998" s="4" t="s">
        <v>5965</v>
      </c>
      <c r="C1998" s="4">
        <v>387.0</v>
      </c>
      <c r="D1998" s="5" t="str">
        <f>HYPERLINK("https://www.linkedin.com/ad-library/detail/1532725936","Open Ad")</f>
        <v>Open Ad</v>
      </c>
      <c r="E1998" s="4" t="s">
        <v>78</v>
      </c>
      <c r="F1998" s="4" t="s">
        <v>54</v>
      </c>
      <c r="G1998" s="4" t="s">
        <v>6029</v>
      </c>
      <c r="H1998" s="4" t="s">
        <v>49</v>
      </c>
      <c r="I1998" s="4" t="s">
        <v>6005</v>
      </c>
      <c r="J1998" s="4" t="s">
        <v>78</v>
      </c>
      <c r="K1998" s="4" t="s">
        <v>59</v>
      </c>
      <c r="L1998" s="4" t="s">
        <v>106</v>
      </c>
      <c r="M1998" s="4" t="s">
        <v>5965</v>
      </c>
      <c r="O1998" s="4" t="s">
        <v>63</v>
      </c>
      <c r="P1998" s="4" t="s">
        <v>64</v>
      </c>
    </row>
    <row r="1999">
      <c r="A1999" s="4" t="s">
        <v>5965</v>
      </c>
      <c r="B1999" s="4" t="s">
        <v>5965</v>
      </c>
      <c r="C1999" s="4">
        <v>388.0</v>
      </c>
      <c r="D1999" s="5" t="str">
        <f>HYPERLINK("https://www.linkedin.com/ad-library/detail/1532666006","Open Ad")</f>
        <v>Open Ad</v>
      </c>
      <c r="E1999" s="4" t="s">
        <v>78</v>
      </c>
      <c r="F1999" s="4" t="s">
        <v>54</v>
      </c>
      <c r="G1999" s="4" t="s">
        <v>6036</v>
      </c>
      <c r="H1999" s="4" t="s">
        <v>49</v>
      </c>
      <c r="I1999" s="4" t="s">
        <v>6005</v>
      </c>
      <c r="J1999" s="4" t="s">
        <v>78</v>
      </c>
      <c r="K1999" s="4" t="s">
        <v>59</v>
      </c>
      <c r="L1999" s="4" t="s">
        <v>106</v>
      </c>
      <c r="M1999" s="4" t="s">
        <v>5965</v>
      </c>
      <c r="O1999" s="4" t="s">
        <v>63</v>
      </c>
      <c r="P1999" s="4" t="s">
        <v>64</v>
      </c>
    </row>
    <row r="2000">
      <c r="A2000" s="4" t="s">
        <v>5965</v>
      </c>
      <c r="B2000" s="4" t="s">
        <v>5965</v>
      </c>
      <c r="C2000" s="4">
        <v>389.0</v>
      </c>
      <c r="D2000" s="5" t="str">
        <f>HYPERLINK("https://www.linkedin.com/ad-library/detail/1532685866","Open Ad")</f>
        <v>Open Ad</v>
      </c>
      <c r="E2000" s="4" t="s">
        <v>121</v>
      </c>
      <c r="F2000" s="4" t="s">
        <v>54</v>
      </c>
      <c r="G2000" s="4" t="s">
        <v>6044</v>
      </c>
      <c r="H2000" s="4" t="s">
        <v>49</v>
      </c>
      <c r="I2000" s="4" t="s">
        <v>6005</v>
      </c>
      <c r="J2000" s="4" t="s">
        <v>121</v>
      </c>
      <c r="K2000" s="5" t="str">
        <f>HYPERLINK("https://dms.licdn.com/playlist/vid/v2/D4E05AQGz-rO1oWg7ZQ/mp4-720p-30fp-crf28/B4EZ.OXbZ0KoB4-/0/1784799941158?e=2147483647&amp;v=beta&amp;t=UrD2A3U5EVqZ6IpwPmbSFZu-ikVK8uBHF2MFFmv-lbo","View Creative")</f>
        <v>View Creative</v>
      </c>
      <c r="L2000" s="4" t="s">
        <v>106</v>
      </c>
      <c r="M2000" s="4" t="s">
        <v>5965</v>
      </c>
      <c r="O2000" s="4" t="s">
        <v>63</v>
      </c>
      <c r="P2000" s="4" t="s">
        <v>64</v>
      </c>
    </row>
    <row r="2001">
      <c r="A2001" s="4" t="s">
        <v>5965</v>
      </c>
      <c r="B2001" s="4" t="s">
        <v>5965</v>
      </c>
      <c r="C2001" s="4">
        <v>390.0</v>
      </c>
      <c r="D2001" s="5" t="str">
        <f>HYPERLINK("https://www.linkedin.com/ad-library/detail/1532577646","Open Ad")</f>
        <v>Open Ad</v>
      </c>
      <c r="E2001" s="4" t="s">
        <v>121</v>
      </c>
      <c r="F2001" s="4" t="s">
        <v>54</v>
      </c>
      <c r="G2001" s="4" t="s">
        <v>6047</v>
      </c>
      <c r="H2001" s="4" t="s">
        <v>49</v>
      </c>
      <c r="I2001" s="4" t="s">
        <v>6005</v>
      </c>
      <c r="J2001" s="4" t="s">
        <v>121</v>
      </c>
      <c r="K2001" s="5" t="str">
        <f>HYPERLINK("https://dms.licdn.com/playlist/vid/v2/D4E10AQFbU42CgG1Z7g/mp4-720p-30fp-crf28/B4EZ6E1cjuIkBk-/0/1780345071320?e=2147483647&amp;v=beta&amp;t=lm4Raasi9Hn2k_Jca5TAGdFZZmL4wlksoW4hHU6e3XU","View Creative")</f>
        <v>View Creative</v>
      </c>
      <c r="L2001" s="4" t="s">
        <v>106</v>
      </c>
      <c r="M2001" s="4" t="s">
        <v>5965</v>
      </c>
      <c r="O2001" s="4" t="s">
        <v>63</v>
      </c>
      <c r="P2001" s="4" t="s">
        <v>64</v>
      </c>
    </row>
    <row r="2002">
      <c r="A2002" s="4" t="s">
        <v>5965</v>
      </c>
      <c r="B2002" s="4" t="s">
        <v>5965</v>
      </c>
      <c r="C2002" s="4">
        <v>391.0</v>
      </c>
      <c r="D2002" s="5" t="str">
        <f>HYPERLINK("https://www.linkedin.com/ad-library/detail/1532890306","Open Ad")</f>
        <v>Open Ad</v>
      </c>
      <c r="E2002" s="4" t="s">
        <v>78</v>
      </c>
      <c r="F2002" s="4" t="s">
        <v>54</v>
      </c>
      <c r="G2002" s="4" t="s">
        <v>6086</v>
      </c>
      <c r="H2002" s="4" t="s">
        <v>49</v>
      </c>
      <c r="I2002" s="4" t="s">
        <v>6005</v>
      </c>
      <c r="J2002" s="4" t="s">
        <v>78</v>
      </c>
      <c r="K2002" s="5" t="str">
        <f>HYPERLINK("https://media.licdn.com/dms/image/v2/D5610AQF5ONUziLB90Q/image-shrink_1280/B56Z8YuROrGcAc-/0/1782826211326?e=2147483647&amp;v=beta&amp;t=P2Cz2Aul20qMidWME_WS_vAnPWT-iq7vaBsEHckvets","View Creative")</f>
        <v>View Creative</v>
      </c>
      <c r="L2002" s="4" t="s">
        <v>106</v>
      </c>
      <c r="M2002" s="4" t="s">
        <v>5965</v>
      </c>
      <c r="O2002" s="4" t="s">
        <v>63</v>
      </c>
      <c r="P2002" s="4" t="s">
        <v>64</v>
      </c>
    </row>
    <row r="2003">
      <c r="A2003" s="4" t="s">
        <v>5965</v>
      </c>
      <c r="B2003" s="4" t="s">
        <v>5965</v>
      </c>
      <c r="C2003" s="4">
        <v>392.0</v>
      </c>
      <c r="D2003" s="5" t="str">
        <f>HYPERLINK("https://www.linkedin.com/ad-library/detail/1532810486","Open Ad")</f>
        <v>Open Ad</v>
      </c>
      <c r="E2003" s="4" t="s">
        <v>121</v>
      </c>
      <c r="F2003" s="4" t="s">
        <v>54</v>
      </c>
      <c r="G2003" s="4" t="s">
        <v>6031</v>
      </c>
      <c r="H2003" s="4" t="s">
        <v>49</v>
      </c>
      <c r="I2003" s="4" t="s">
        <v>6005</v>
      </c>
      <c r="J2003" s="4" t="s">
        <v>121</v>
      </c>
      <c r="K2003" s="5" t="str">
        <f>HYPERLINK("https://dms.licdn.com/playlist/vid/v2/D5610AQEYMxfT9huYsg/mp4-640p-30fp-crf28/B56Z9r5IasLABI-/0/1784221579230?e=2147483647&amp;v=beta&amp;t=wqawh6PBQUrCJZJ-XscUNS7gfMgItz12cEfcJuVzzWI","View Creative")</f>
        <v>View Creative</v>
      </c>
      <c r="L2003" s="4" t="s">
        <v>106</v>
      </c>
      <c r="M2003" s="4" t="s">
        <v>5965</v>
      </c>
      <c r="O2003" s="4" t="s">
        <v>63</v>
      </c>
      <c r="P2003" s="4" t="s">
        <v>64</v>
      </c>
    </row>
    <row r="2004">
      <c r="A2004" s="4" t="s">
        <v>5965</v>
      </c>
      <c r="B2004" s="4" t="s">
        <v>5965</v>
      </c>
      <c r="C2004" s="4">
        <v>393.0</v>
      </c>
      <c r="D2004" s="5" t="str">
        <f>HYPERLINK("https://www.linkedin.com/ad-library/detail/1532607276","Open Ad")</f>
        <v>Open Ad</v>
      </c>
      <c r="E2004" s="4" t="s">
        <v>78</v>
      </c>
      <c r="F2004" s="4" t="s">
        <v>54</v>
      </c>
      <c r="G2004" s="4" t="s">
        <v>6029</v>
      </c>
      <c r="H2004" s="4" t="s">
        <v>49</v>
      </c>
      <c r="I2004" s="4" t="s">
        <v>6005</v>
      </c>
      <c r="J2004" s="4" t="s">
        <v>78</v>
      </c>
      <c r="K2004" s="4" t="s">
        <v>59</v>
      </c>
      <c r="L2004" s="4" t="s">
        <v>106</v>
      </c>
      <c r="M2004" s="4" t="s">
        <v>5965</v>
      </c>
      <c r="O2004" s="4" t="s">
        <v>63</v>
      </c>
      <c r="P2004" s="4" t="s">
        <v>64</v>
      </c>
    </row>
    <row r="2005">
      <c r="A2005" s="4" t="s">
        <v>5965</v>
      </c>
      <c r="B2005" s="4" t="s">
        <v>5965</v>
      </c>
      <c r="C2005" s="4">
        <v>394.0</v>
      </c>
      <c r="D2005" s="5" t="str">
        <f>HYPERLINK("https://www.linkedin.com/ad-library/detail/1532709336","Open Ad")</f>
        <v>Open Ad</v>
      </c>
      <c r="E2005" s="4" t="s">
        <v>78</v>
      </c>
      <c r="F2005" s="4" t="s">
        <v>54</v>
      </c>
      <c r="G2005" s="4" t="s">
        <v>6036</v>
      </c>
      <c r="H2005" s="4" t="s">
        <v>49</v>
      </c>
      <c r="I2005" s="4" t="s">
        <v>6005</v>
      </c>
      <c r="J2005" s="4" t="s">
        <v>78</v>
      </c>
      <c r="K2005" s="4" t="s">
        <v>59</v>
      </c>
      <c r="L2005" s="4" t="s">
        <v>106</v>
      </c>
      <c r="M2005" s="4" t="s">
        <v>5965</v>
      </c>
      <c r="O2005" s="4" t="s">
        <v>63</v>
      </c>
      <c r="P2005" s="4" t="s">
        <v>64</v>
      </c>
    </row>
    <row r="2006">
      <c r="A2006" s="4" t="s">
        <v>5965</v>
      </c>
      <c r="B2006" s="4" t="s">
        <v>5965</v>
      </c>
      <c r="C2006" s="4">
        <v>395.0</v>
      </c>
      <c r="D2006" s="5" t="str">
        <f>HYPERLINK("https://www.linkedin.com/ad-library/detail/1532725896","Open Ad")</f>
        <v>Open Ad</v>
      </c>
      <c r="E2006" s="4" t="s">
        <v>78</v>
      </c>
      <c r="F2006" s="4" t="s">
        <v>54</v>
      </c>
      <c r="G2006" s="4" t="s">
        <v>6067</v>
      </c>
      <c r="H2006" s="4" t="s">
        <v>49</v>
      </c>
      <c r="I2006" s="4" t="s">
        <v>6005</v>
      </c>
      <c r="J2006" s="4" t="s">
        <v>78</v>
      </c>
      <c r="K2006" s="5" t="str">
        <f>HYPERLINK("https://media.licdn.com/dms/image/v2/D5610AQEhWScG0zSsQQ/image-shrink_1280/B56Z.ALhD2HIAc-/0/1784561931707?e=2147483647&amp;v=beta&amp;t=CNNXfqX_x8NHdQnVcD2yPE1JO0w4ekTKwdMaxJHCKn4","View Creative")</f>
        <v>View Creative</v>
      </c>
      <c r="L2006" s="4" t="s">
        <v>106</v>
      </c>
      <c r="M2006" s="4" t="s">
        <v>5965</v>
      </c>
      <c r="O2006" s="4" t="s">
        <v>63</v>
      </c>
      <c r="P2006" s="4" t="s">
        <v>64</v>
      </c>
    </row>
    <row r="2007">
      <c r="A2007" s="4" t="s">
        <v>5965</v>
      </c>
      <c r="B2007" s="4" t="s">
        <v>5965</v>
      </c>
      <c r="C2007" s="4">
        <v>396.0</v>
      </c>
      <c r="D2007" s="5" t="str">
        <f>HYPERLINK("https://www.linkedin.com/ad-library/detail/1532743856","Open Ad")</f>
        <v>Open Ad</v>
      </c>
      <c r="E2007" s="4" t="s">
        <v>121</v>
      </c>
      <c r="F2007" s="4" t="s">
        <v>54</v>
      </c>
      <c r="G2007" s="4" t="s">
        <v>6055</v>
      </c>
      <c r="H2007" s="4" t="s">
        <v>49</v>
      </c>
      <c r="I2007" s="4" t="s">
        <v>6005</v>
      </c>
      <c r="J2007" s="4" t="s">
        <v>121</v>
      </c>
      <c r="K2007" s="5" t="str">
        <f>HYPERLINK("https://dms.licdn.com/playlist/vid/v2/D5610AQEgZSN1R6lkQg/mp4-360p-30fp-crf28/B56Z.pe6eZJoBg-/0/1785254888120?e=2147483647&amp;v=beta&amp;t=5h1R6KvMhc0CxepDbbh4l98qEndRxnaP-BM6oZz1ryY","View Creative")</f>
        <v>View Creative</v>
      </c>
      <c r="L2007" s="4" t="s">
        <v>106</v>
      </c>
      <c r="M2007" s="4" t="s">
        <v>5965</v>
      </c>
      <c r="O2007" s="4" t="s">
        <v>63</v>
      </c>
      <c r="P2007" s="4" t="s">
        <v>64</v>
      </c>
    </row>
    <row r="2008">
      <c r="A2008" s="4" t="s">
        <v>5965</v>
      </c>
      <c r="B2008" s="4" t="s">
        <v>5965</v>
      </c>
      <c r="C2008" s="4">
        <v>397.0</v>
      </c>
      <c r="D2008" s="5" t="str">
        <f>HYPERLINK("https://www.linkedin.com/ad-library/detail/1532567036","Open Ad")</f>
        <v>Open Ad</v>
      </c>
      <c r="E2008" s="4" t="s">
        <v>78</v>
      </c>
      <c r="F2008" s="4" t="s">
        <v>54</v>
      </c>
      <c r="G2008" s="4" t="s">
        <v>6036</v>
      </c>
      <c r="H2008" s="4" t="s">
        <v>49</v>
      </c>
      <c r="I2008" s="4" t="s">
        <v>6005</v>
      </c>
      <c r="J2008" s="4" t="s">
        <v>78</v>
      </c>
      <c r="K2008" s="4" t="s">
        <v>59</v>
      </c>
      <c r="L2008" s="4" t="s">
        <v>106</v>
      </c>
      <c r="M2008" s="4" t="s">
        <v>5965</v>
      </c>
      <c r="O2008" s="4" t="s">
        <v>63</v>
      </c>
      <c r="P2008" s="4" t="s">
        <v>64</v>
      </c>
    </row>
    <row r="2009">
      <c r="A2009" s="4" t="s">
        <v>5965</v>
      </c>
      <c r="B2009" s="4" t="s">
        <v>5965</v>
      </c>
      <c r="C2009" s="4">
        <v>398.0</v>
      </c>
      <c r="D2009" s="5" t="str">
        <f>HYPERLINK("https://www.linkedin.com/ad-library/detail/1532518696","Open Ad")</f>
        <v>Open Ad</v>
      </c>
      <c r="E2009" s="4" t="s">
        <v>78</v>
      </c>
      <c r="F2009" s="4" t="s">
        <v>54</v>
      </c>
      <c r="G2009" s="4" t="s">
        <v>6036</v>
      </c>
      <c r="H2009" s="4" t="s">
        <v>49</v>
      </c>
      <c r="I2009" s="4" t="s">
        <v>6005</v>
      </c>
      <c r="J2009" s="4" t="s">
        <v>78</v>
      </c>
      <c r="K2009" s="4" t="s">
        <v>59</v>
      </c>
      <c r="L2009" s="4" t="s">
        <v>106</v>
      </c>
      <c r="M2009" s="4" t="s">
        <v>5965</v>
      </c>
      <c r="O2009" s="4" t="s">
        <v>63</v>
      </c>
      <c r="P2009" s="4" t="s">
        <v>64</v>
      </c>
    </row>
    <row r="2010">
      <c r="A2010" s="4" t="s">
        <v>5965</v>
      </c>
      <c r="B2010" s="4" t="s">
        <v>5965</v>
      </c>
      <c r="C2010" s="4">
        <v>399.0</v>
      </c>
      <c r="D2010" s="5" t="str">
        <f>HYPERLINK("https://www.linkedin.com/ad-library/detail/1532790926","Open Ad")</f>
        <v>Open Ad</v>
      </c>
      <c r="E2010" s="4" t="s">
        <v>78</v>
      </c>
      <c r="F2010" s="4" t="s">
        <v>54</v>
      </c>
      <c r="G2010" s="4" t="s">
        <v>6036</v>
      </c>
      <c r="H2010" s="4" t="s">
        <v>49</v>
      </c>
      <c r="I2010" s="4" t="s">
        <v>6005</v>
      </c>
      <c r="J2010" s="4" t="s">
        <v>78</v>
      </c>
      <c r="K2010" s="4" t="s">
        <v>59</v>
      </c>
      <c r="L2010" s="4" t="s">
        <v>106</v>
      </c>
      <c r="M2010" s="4" t="s">
        <v>5965</v>
      </c>
      <c r="O2010" s="4" t="s">
        <v>63</v>
      </c>
      <c r="P2010" s="4" t="s">
        <v>64</v>
      </c>
    </row>
    <row r="2011">
      <c r="A2011" s="4" t="s">
        <v>5965</v>
      </c>
      <c r="B2011" s="4" t="s">
        <v>5965</v>
      </c>
      <c r="C2011" s="4">
        <v>400.0</v>
      </c>
      <c r="D2011" s="5" t="str">
        <f>HYPERLINK("https://www.linkedin.com/ad-library/detail/1532685906","Open Ad")</f>
        <v>Open Ad</v>
      </c>
      <c r="E2011" s="4" t="s">
        <v>78</v>
      </c>
      <c r="F2011" s="4" t="s">
        <v>54</v>
      </c>
      <c r="G2011" s="4" t="s">
        <v>6029</v>
      </c>
      <c r="H2011" s="4" t="s">
        <v>49</v>
      </c>
      <c r="I2011" s="4" t="s">
        <v>6005</v>
      </c>
      <c r="J2011" s="4" t="s">
        <v>78</v>
      </c>
      <c r="K2011" s="4" t="s">
        <v>59</v>
      </c>
      <c r="L2011" s="4" t="s">
        <v>106</v>
      </c>
      <c r="M2011" s="4" t="s">
        <v>5965</v>
      </c>
      <c r="O2011" s="4" t="s">
        <v>63</v>
      </c>
      <c r="P2011" s="4" t="s">
        <v>64</v>
      </c>
    </row>
    <row r="2012">
      <c r="A2012" s="4" t="s">
        <v>5965</v>
      </c>
      <c r="B2012" s="4" t="s">
        <v>5965</v>
      </c>
      <c r="C2012" s="4">
        <v>401.0</v>
      </c>
      <c r="D2012" s="5" t="str">
        <f>HYPERLINK("https://www.linkedin.com/ad-library/detail/1532629626","Open Ad")</f>
        <v>Open Ad</v>
      </c>
      <c r="E2012" s="4" t="s">
        <v>78</v>
      </c>
      <c r="F2012" s="4" t="s">
        <v>54</v>
      </c>
      <c r="G2012" s="4" t="s">
        <v>6029</v>
      </c>
      <c r="H2012" s="4" t="s">
        <v>49</v>
      </c>
      <c r="I2012" s="4" t="s">
        <v>6005</v>
      </c>
      <c r="J2012" s="4" t="s">
        <v>78</v>
      </c>
      <c r="K2012" s="4" t="s">
        <v>59</v>
      </c>
      <c r="L2012" s="4" t="s">
        <v>106</v>
      </c>
      <c r="M2012" s="4" t="s">
        <v>5965</v>
      </c>
      <c r="O2012" s="4" t="s">
        <v>63</v>
      </c>
      <c r="P2012" s="4" t="s">
        <v>64</v>
      </c>
    </row>
    <row r="2013">
      <c r="A2013" s="4" t="s">
        <v>5965</v>
      </c>
      <c r="B2013" s="4" t="s">
        <v>5965</v>
      </c>
      <c r="C2013" s="4">
        <v>402.0</v>
      </c>
      <c r="D2013" s="5" t="str">
        <f>HYPERLINK("https://www.linkedin.com/ad-library/detail/1532706046","Open Ad")</f>
        <v>Open Ad</v>
      </c>
      <c r="E2013" s="4" t="s">
        <v>78</v>
      </c>
      <c r="F2013" s="4" t="s">
        <v>54</v>
      </c>
      <c r="G2013" s="4" t="s">
        <v>6322</v>
      </c>
      <c r="H2013" s="4" t="s">
        <v>49</v>
      </c>
      <c r="I2013" s="4" t="s">
        <v>6005</v>
      </c>
      <c r="J2013" s="4" t="s">
        <v>78</v>
      </c>
      <c r="K2013" s="5" t="str">
        <f>HYPERLINK("https://media.licdn.com/dms/image/v2/D5610AQFQ9xMHhkIH-g/image-shrink_1280/B56Z9x3WnqKEAc-/0/1784321764097?e=2147483647&amp;v=beta&amp;t=DkMg95bRWP4EePXr-dRDD8dQjGJzZ-lRep0xf40Vv5k","View Creative")</f>
        <v>View Creative</v>
      </c>
      <c r="L2013" s="4" t="s">
        <v>106</v>
      </c>
      <c r="M2013" s="4" t="s">
        <v>5965</v>
      </c>
      <c r="O2013" s="4" t="s">
        <v>63</v>
      </c>
      <c r="P2013" s="4" t="s">
        <v>64</v>
      </c>
    </row>
    <row r="2014">
      <c r="A2014" s="4" t="s">
        <v>5965</v>
      </c>
      <c r="B2014" s="4" t="s">
        <v>5965</v>
      </c>
      <c r="C2014" s="4">
        <v>403.0</v>
      </c>
      <c r="D2014" s="5" t="str">
        <f>HYPERLINK("https://www.linkedin.com/ad-library/detail/1532737476","Open Ad")</f>
        <v>Open Ad</v>
      </c>
      <c r="E2014" s="4" t="s">
        <v>121</v>
      </c>
      <c r="F2014" s="4" t="s">
        <v>54</v>
      </c>
      <c r="G2014" s="4" t="s">
        <v>6049</v>
      </c>
      <c r="H2014" s="4" t="s">
        <v>49</v>
      </c>
      <c r="I2014" s="4" t="s">
        <v>6005</v>
      </c>
      <c r="J2014" s="4" t="s">
        <v>121</v>
      </c>
      <c r="K2014" s="5" t="str">
        <f>HYPERLINK("https://dms.licdn.com/playlist/vid/v2/D5610AQHCJpD_4X3r0w/mp4-360p-30fp-crf28/B56Z8jGxPuG0Bg-/0/1783000416146?e=2147483647&amp;v=beta&amp;t=buNqytXIKQbDSPmN-gF0MjkJ-TiOGUHb02s8kF2cYZo","View Creative")</f>
        <v>View Creative</v>
      </c>
      <c r="L2014" s="4" t="s">
        <v>106</v>
      </c>
      <c r="M2014" s="4" t="s">
        <v>5965</v>
      </c>
      <c r="O2014" s="4" t="s">
        <v>63</v>
      </c>
      <c r="P2014" s="4" t="s">
        <v>64</v>
      </c>
    </row>
    <row r="2015">
      <c r="A2015" s="4" t="s">
        <v>5965</v>
      </c>
      <c r="B2015" s="4" t="s">
        <v>5965</v>
      </c>
      <c r="C2015" s="4">
        <v>404.0</v>
      </c>
      <c r="D2015" s="5" t="str">
        <f>HYPERLINK("https://www.linkedin.com/ad-library/detail/1532676406","Open Ad")</f>
        <v>Open Ad</v>
      </c>
      <c r="E2015" s="4" t="s">
        <v>78</v>
      </c>
      <c r="F2015" s="4" t="s">
        <v>54</v>
      </c>
      <c r="G2015" s="4" t="s">
        <v>6029</v>
      </c>
      <c r="H2015" s="4" t="s">
        <v>49</v>
      </c>
      <c r="I2015" s="4" t="s">
        <v>6005</v>
      </c>
      <c r="J2015" s="4" t="s">
        <v>78</v>
      </c>
      <c r="K2015" s="4" t="s">
        <v>59</v>
      </c>
      <c r="L2015" s="4" t="s">
        <v>106</v>
      </c>
      <c r="M2015" s="4" t="s">
        <v>5965</v>
      </c>
      <c r="O2015" s="4" t="s">
        <v>63</v>
      </c>
      <c r="P2015" s="4" t="s">
        <v>64</v>
      </c>
    </row>
    <row r="2016">
      <c r="A2016" s="4" t="s">
        <v>5965</v>
      </c>
      <c r="B2016" s="4" t="s">
        <v>5965</v>
      </c>
      <c r="C2016" s="4">
        <v>405.0</v>
      </c>
      <c r="D2016" s="5" t="str">
        <f>HYPERLINK("https://www.linkedin.com/ad-library/detail/1532679726","Open Ad")</f>
        <v>Open Ad</v>
      </c>
      <c r="E2016" s="4" t="s">
        <v>121</v>
      </c>
      <c r="F2016" s="4" t="s">
        <v>54</v>
      </c>
      <c r="G2016" s="4" t="s">
        <v>6059</v>
      </c>
      <c r="H2016" s="4" t="s">
        <v>49</v>
      </c>
      <c r="I2016" s="4" t="s">
        <v>6005</v>
      </c>
      <c r="J2016" s="4" t="s">
        <v>121</v>
      </c>
      <c r="K2016" s="5" t="str">
        <f>HYPERLINK("https://dms.licdn.com/playlist/vid/v2/D5610AQE-VfSgTRNyaw/mp4-360p-30fp-crf28/B56Z.uEO8SKEBg-/0/1785331783820?e=2147483647&amp;v=beta&amp;t=e9YZglcKCxI_lxTW8MHZKf8rDd_-EPTYRks5j3J7Xgg","View Creative")</f>
        <v>View Creative</v>
      </c>
      <c r="L2016" s="4" t="s">
        <v>106</v>
      </c>
      <c r="M2016" s="4" t="s">
        <v>5965</v>
      </c>
      <c r="O2016" s="4" t="s">
        <v>63</v>
      </c>
      <c r="P2016" s="4" t="s">
        <v>64</v>
      </c>
    </row>
    <row r="2017">
      <c r="A2017" s="4" t="s">
        <v>5965</v>
      </c>
      <c r="B2017" s="4" t="s">
        <v>5965</v>
      </c>
      <c r="C2017" s="4">
        <v>406.0</v>
      </c>
      <c r="D2017" s="5" t="str">
        <f>HYPERLINK("https://www.linkedin.com/ad-library/detail/1532734626","Open Ad")</f>
        <v>Open Ad</v>
      </c>
      <c r="E2017" s="4" t="s">
        <v>121</v>
      </c>
      <c r="F2017" s="4" t="s">
        <v>54</v>
      </c>
      <c r="G2017" s="4" t="s">
        <v>6052</v>
      </c>
      <c r="H2017" s="4" t="s">
        <v>49</v>
      </c>
      <c r="I2017" s="4" t="s">
        <v>6005</v>
      </c>
      <c r="J2017" s="4" t="s">
        <v>121</v>
      </c>
      <c r="K2017" s="5" t="str">
        <f>HYPERLINK("https://dms.licdn.com/playlist/vid/v2/D5610AQFSMcnW06imag/mp4-720p-30fp-crf28/B56Z.pe2QCKMBk-/0/1785254870903?e=2147483647&amp;v=beta&amp;t=g-3k8J4kc7bttKyXTLsE0c8iC3sdncRAqezIsmyhZN4","View Creative")</f>
        <v>View Creative</v>
      </c>
      <c r="L2017" s="4" t="s">
        <v>106</v>
      </c>
      <c r="M2017" s="4" t="s">
        <v>5965</v>
      </c>
      <c r="O2017" s="4" t="s">
        <v>63</v>
      </c>
      <c r="P2017" s="4" t="s">
        <v>64</v>
      </c>
    </row>
    <row r="2018">
      <c r="A2018" s="4" t="s">
        <v>5965</v>
      </c>
      <c r="B2018" s="4" t="s">
        <v>5965</v>
      </c>
      <c r="C2018" s="4">
        <v>407.0</v>
      </c>
      <c r="D2018" s="5" t="str">
        <f>HYPERLINK("https://www.linkedin.com/ad-library/detail/1532752666","Open Ad")</f>
        <v>Open Ad</v>
      </c>
      <c r="E2018" s="4" t="s">
        <v>78</v>
      </c>
      <c r="F2018" s="4" t="s">
        <v>54</v>
      </c>
      <c r="G2018" s="4" t="s">
        <v>6292</v>
      </c>
      <c r="H2018" s="4" t="s">
        <v>49</v>
      </c>
      <c r="I2018" s="4" t="s">
        <v>6005</v>
      </c>
      <c r="J2018" s="4" t="s">
        <v>78</v>
      </c>
      <c r="K2018" s="5" t="str">
        <f>HYPERLINK("https://media.licdn.com/dms/image/v2/D5610AQFCx_YJc45xmQ/image-shrink_1280/B56Z9_1kn.GsAg-/0/1784556178150?e=2147483647&amp;v=beta&amp;t=f1YUvgvX1_1a1kJVoEtCFw4Vo-6pu3fvcM8OtM7KrGI","View Creative")</f>
        <v>View Creative</v>
      </c>
      <c r="L2018" s="4" t="s">
        <v>106</v>
      </c>
      <c r="M2018" s="4" t="s">
        <v>5965</v>
      </c>
      <c r="O2018" s="4" t="s">
        <v>63</v>
      </c>
      <c r="P2018" s="4" t="s">
        <v>64</v>
      </c>
    </row>
    <row r="2019">
      <c r="A2019" s="4" t="s">
        <v>5965</v>
      </c>
      <c r="B2019" s="4" t="s">
        <v>5965</v>
      </c>
      <c r="C2019" s="4">
        <v>408.0</v>
      </c>
      <c r="D2019" s="5" t="str">
        <f>HYPERLINK("https://www.linkedin.com/ad-library/detail/1532771406","Open Ad")</f>
        <v>Open Ad</v>
      </c>
      <c r="E2019" s="4" t="s">
        <v>78</v>
      </c>
      <c r="F2019" s="4" t="s">
        <v>54</v>
      </c>
      <c r="G2019" s="4" t="s">
        <v>6029</v>
      </c>
      <c r="H2019" s="4" t="s">
        <v>49</v>
      </c>
      <c r="I2019" s="4" t="s">
        <v>6005</v>
      </c>
      <c r="J2019" s="4" t="s">
        <v>78</v>
      </c>
      <c r="K2019" s="4" t="s">
        <v>59</v>
      </c>
      <c r="L2019" s="4" t="s">
        <v>106</v>
      </c>
      <c r="M2019" s="4" t="s">
        <v>5965</v>
      </c>
      <c r="O2019" s="4" t="s">
        <v>63</v>
      </c>
      <c r="P2019" s="4" t="s">
        <v>64</v>
      </c>
    </row>
    <row r="2020">
      <c r="A2020" s="4" t="s">
        <v>5965</v>
      </c>
      <c r="B2020" s="4" t="s">
        <v>5965</v>
      </c>
      <c r="C2020" s="4">
        <v>409.0</v>
      </c>
      <c r="D2020" s="5" t="str">
        <f>HYPERLINK("https://www.linkedin.com/ad-library/detail/1529147036","Open Ad")</f>
        <v>Open Ad</v>
      </c>
      <c r="E2020" s="4" t="s">
        <v>78</v>
      </c>
      <c r="F2020" s="4" t="s">
        <v>54</v>
      </c>
      <c r="G2020" s="4" t="s">
        <v>6328</v>
      </c>
      <c r="H2020" s="4" t="s">
        <v>49</v>
      </c>
      <c r="I2020" s="4" t="s">
        <v>6005</v>
      </c>
      <c r="J2020" s="4" t="s">
        <v>78</v>
      </c>
      <c r="K2020" s="5" t="str">
        <f>HYPERLINK("https://media.licdn.com/dms/image/v2/D4E10AQHuWWIwBs13sw/image-shrink_1280/B4EZ.0cbsyIAAc-/0/1785438781038?e=2147483647&amp;v=beta&amp;t=iFOiEvH9oM0XSx2lRGGqRaVXgoFatQh9ALAnDcujQPY","View Creative")</f>
        <v>View Creative</v>
      </c>
      <c r="L2020" s="4" t="s">
        <v>106</v>
      </c>
      <c r="M2020" s="4" t="s">
        <v>5965</v>
      </c>
      <c r="O2020" s="4" t="s">
        <v>63</v>
      </c>
      <c r="P2020" s="4" t="s">
        <v>64</v>
      </c>
    </row>
    <row r="2021">
      <c r="A2021" s="4" t="s">
        <v>5965</v>
      </c>
      <c r="B2021" s="4" t="s">
        <v>5965</v>
      </c>
      <c r="C2021" s="4">
        <v>410.0</v>
      </c>
      <c r="D2021" s="5" t="str">
        <f>HYPERLINK("https://www.linkedin.com/ad-library/detail/1532695966","Open Ad")</f>
        <v>Open Ad</v>
      </c>
      <c r="E2021" s="4" t="s">
        <v>78</v>
      </c>
      <c r="F2021" s="4" t="s">
        <v>54</v>
      </c>
      <c r="G2021" s="4" t="s">
        <v>6330</v>
      </c>
      <c r="H2021" s="4" t="s">
        <v>49</v>
      </c>
      <c r="I2021" s="4" t="s">
        <v>6005</v>
      </c>
      <c r="J2021" s="4" t="s">
        <v>78</v>
      </c>
      <c r="K2021" s="5" t="str">
        <f>HYPERLINK("https://media.licdn.com/dms/image/v2/D5610AQHWN3cBgpsrZA/image-shrink_1280/B56Z8ThVnqLAAc-/0/1782738934569?e=2147483647&amp;v=beta&amp;t=A-Y9kI8t-vvKXU86I3eo4Ke7-nBQGOwNbp_-WJGBzdU","View Creative")</f>
        <v>View Creative</v>
      </c>
      <c r="L2021" s="4" t="s">
        <v>106</v>
      </c>
      <c r="M2021" s="4" t="s">
        <v>5965</v>
      </c>
      <c r="O2021" s="4" t="s">
        <v>63</v>
      </c>
      <c r="P2021" s="4" t="s">
        <v>64</v>
      </c>
    </row>
    <row r="2022">
      <c r="A2022" s="4" t="s">
        <v>5965</v>
      </c>
      <c r="B2022" s="4" t="s">
        <v>5965</v>
      </c>
      <c r="C2022" s="4">
        <v>411.0</v>
      </c>
      <c r="D2022" s="5" t="str">
        <f>HYPERLINK("https://www.linkedin.com/ad-library/detail/1528197576","Open Ad")</f>
        <v>Open Ad</v>
      </c>
      <c r="E2022" s="4" t="s">
        <v>121</v>
      </c>
      <c r="F2022" s="4" t="s">
        <v>54</v>
      </c>
      <c r="G2022" s="4" t="s">
        <v>6333</v>
      </c>
      <c r="H2022" s="4" t="s">
        <v>49</v>
      </c>
      <c r="I2022" s="4" t="s">
        <v>6005</v>
      </c>
      <c r="J2022" s="4" t="s">
        <v>121</v>
      </c>
      <c r="K2022" s="5" t="str">
        <f t="shared" ref="K2022:K2023" si="37">HYPERLINK("https://dms.licdn.com/playlist/vid/v2/D5605AQHT7vk0A-3seQ/mp4-720p-30fp-crf28/B56Z9_tNZaG8CE-/0/1784553999764?e=2147483647&amp;v=beta&amp;t=_pTgd_w3ipyXA3GSOVK4YiCFXZVAebifIJBI21X9GDI","View Creative")</f>
        <v>View Creative</v>
      </c>
      <c r="L2022" s="4" t="s">
        <v>106</v>
      </c>
      <c r="M2022" s="4" t="s">
        <v>5965</v>
      </c>
      <c r="O2022" s="4" t="s">
        <v>63</v>
      </c>
      <c r="P2022" s="4" t="s">
        <v>64</v>
      </c>
    </row>
    <row r="2023">
      <c r="A2023" s="4" t="s">
        <v>5965</v>
      </c>
      <c r="B2023" s="4" t="s">
        <v>5965</v>
      </c>
      <c r="C2023" s="4">
        <v>412.0</v>
      </c>
      <c r="D2023" s="5" t="str">
        <f>HYPERLINK("https://www.linkedin.com/ad-library/detail/1528108536","Open Ad")</f>
        <v>Open Ad</v>
      </c>
      <c r="E2023" s="4" t="s">
        <v>121</v>
      </c>
      <c r="F2023" s="4" t="s">
        <v>54</v>
      </c>
      <c r="G2023" s="4" t="s">
        <v>6333</v>
      </c>
      <c r="H2023" s="4" t="s">
        <v>49</v>
      </c>
      <c r="I2023" s="4" t="s">
        <v>6005</v>
      </c>
      <c r="J2023" s="4" t="s">
        <v>121</v>
      </c>
      <c r="K2023" s="5" t="str">
        <f t="shared" si="37"/>
        <v>View Creative</v>
      </c>
      <c r="L2023" s="4" t="s">
        <v>106</v>
      </c>
      <c r="M2023" s="4" t="s">
        <v>5965</v>
      </c>
      <c r="O2023" s="4" t="s">
        <v>63</v>
      </c>
      <c r="P2023" s="4" t="s">
        <v>64</v>
      </c>
    </row>
    <row r="2024">
      <c r="A2024" s="4" t="s">
        <v>5965</v>
      </c>
      <c r="B2024" s="4" t="s">
        <v>5965</v>
      </c>
      <c r="C2024" s="4">
        <v>413.0</v>
      </c>
      <c r="D2024" s="5" t="str">
        <f>HYPERLINK("https://www.linkedin.com/ad-library/detail/1532577626","Open Ad")</f>
        <v>Open Ad</v>
      </c>
      <c r="E2024" s="4" t="s">
        <v>78</v>
      </c>
      <c r="F2024" s="4" t="s">
        <v>54</v>
      </c>
      <c r="G2024" s="4" t="s">
        <v>6086</v>
      </c>
      <c r="H2024" s="4" t="s">
        <v>49</v>
      </c>
      <c r="I2024" s="4" t="s">
        <v>6005</v>
      </c>
      <c r="J2024" s="4" t="s">
        <v>78</v>
      </c>
      <c r="K2024" s="5" t="str">
        <f>HYPERLINK("https://media.licdn.com/dms/image/v2/D5610AQF5ONUziLB90Q/image-shrink_1280/B56Z8YuROrGcAc-/0/1782826211326?e=2147483647&amp;v=beta&amp;t=P2Cz2Aul20qMidWME_WS_vAnPWT-iq7vaBsEHckvets","View Creative")</f>
        <v>View Creative</v>
      </c>
      <c r="L2024" s="4" t="s">
        <v>106</v>
      </c>
      <c r="M2024" s="4" t="s">
        <v>5965</v>
      </c>
      <c r="O2024" s="4" t="s">
        <v>63</v>
      </c>
      <c r="P2024" s="4" t="s">
        <v>64</v>
      </c>
    </row>
    <row r="2025">
      <c r="A2025" s="4" t="s">
        <v>5965</v>
      </c>
      <c r="B2025" s="4" t="s">
        <v>5965</v>
      </c>
      <c r="C2025" s="4">
        <v>414.0</v>
      </c>
      <c r="D2025" s="5" t="str">
        <f>HYPERLINK("https://www.linkedin.com/ad-library/detail/1529274656","Open Ad")</f>
        <v>Open Ad</v>
      </c>
      <c r="E2025" s="4" t="s">
        <v>78</v>
      </c>
      <c r="F2025" s="4" t="s">
        <v>54</v>
      </c>
      <c r="G2025" s="4" t="s">
        <v>6328</v>
      </c>
      <c r="H2025" s="4" t="s">
        <v>49</v>
      </c>
      <c r="I2025" s="4" t="s">
        <v>6005</v>
      </c>
      <c r="J2025" s="4" t="s">
        <v>78</v>
      </c>
      <c r="K2025" s="5" t="str">
        <f>HYPERLINK("https://media.licdn.com/dms/image/v2/D4E10AQHuWWIwBs13sw/image-shrink_1280/B4EZ.0cbsyIAAc-/0/1785438781038?e=2147483647&amp;v=beta&amp;t=iFOiEvH9oM0XSx2lRGGqRaVXgoFatQh9ALAnDcujQPY","View Creative")</f>
        <v>View Creative</v>
      </c>
      <c r="L2025" s="4" t="s">
        <v>106</v>
      </c>
      <c r="M2025" s="4" t="s">
        <v>5965</v>
      </c>
      <c r="O2025" s="4" t="s">
        <v>63</v>
      </c>
      <c r="P2025" s="4" t="s">
        <v>64</v>
      </c>
    </row>
    <row r="2026">
      <c r="A2026" s="4" t="s">
        <v>5965</v>
      </c>
      <c r="B2026" s="4" t="s">
        <v>5965</v>
      </c>
      <c r="C2026" s="4">
        <v>415.0</v>
      </c>
      <c r="D2026" s="5" t="str">
        <f>HYPERLINK("https://www.linkedin.com/ad-library/detail/1528098586","Open Ad")</f>
        <v>Open Ad</v>
      </c>
      <c r="E2026" s="4" t="s">
        <v>121</v>
      </c>
      <c r="F2026" s="4" t="s">
        <v>54</v>
      </c>
      <c r="G2026" s="4" t="s">
        <v>6333</v>
      </c>
      <c r="H2026" s="4" t="s">
        <v>49</v>
      </c>
      <c r="I2026" s="4" t="s">
        <v>6005</v>
      </c>
      <c r="J2026" s="4" t="s">
        <v>121</v>
      </c>
      <c r="K2026" s="5" t="str">
        <f t="shared" ref="K2026:K2027" si="38">HYPERLINK("https://dms.licdn.com/playlist/vid/v2/D5605AQHT7vk0A-3seQ/mp4-720p-30fp-crf28/B56Z9_tNZaG8CE-/0/1784553999764?e=2147483647&amp;v=beta&amp;t=_pTgd_w3ipyXA3GSOVK4YiCFXZVAebifIJBI21X9GDI","View Creative")</f>
        <v>View Creative</v>
      </c>
      <c r="L2026" s="4" t="s">
        <v>106</v>
      </c>
      <c r="M2026" s="4" t="s">
        <v>5965</v>
      </c>
      <c r="O2026" s="4" t="s">
        <v>63</v>
      </c>
      <c r="P2026" s="4" t="s">
        <v>64</v>
      </c>
    </row>
    <row r="2027">
      <c r="A2027" s="4" t="s">
        <v>5965</v>
      </c>
      <c r="B2027" s="4" t="s">
        <v>5965</v>
      </c>
      <c r="C2027" s="4">
        <v>416.0</v>
      </c>
      <c r="D2027" s="5" t="str">
        <f>HYPERLINK("https://www.linkedin.com/ad-library/detail/1528088946","Open Ad")</f>
        <v>Open Ad</v>
      </c>
      <c r="E2027" s="4" t="s">
        <v>121</v>
      </c>
      <c r="F2027" s="4" t="s">
        <v>54</v>
      </c>
      <c r="G2027" s="4" t="s">
        <v>6333</v>
      </c>
      <c r="H2027" s="4" t="s">
        <v>49</v>
      </c>
      <c r="I2027" s="4" t="s">
        <v>6005</v>
      </c>
      <c r="J2027" s="4" t="s">
        <v>121</v>
      </c>
      <c r="K2027" s="5" t="str">
        <f t="shared" si="38"/>
        <v>View Creative</v>
      </c>
      <c r="L2027" s="4" t="s">
        <v>106</v>
      </c>
      <c r="M2027" s="4" t="s">
        <v>5965</v>
      </c>
      <c r="O2027" s="4" t="s">
        <v>63</v>
      </c>
      <c r="P2027" s="4" t="s">
        <v>64</v>
      </c>
    </row>
    <row r="2028">
      <c r="A2028" s="4" t="s">
        <v>5965</v>
      </c>
      <c r="B2028" s="4" t="s">
        <v>5965</v>
      </c>
      <c r="C2028" s="4">
        <v>417.0</v>
      </c>
      <c r="D2028" s="5" t="str">
        <f>HYPERLINK("https://www.linkedin.com/ad-library/detail/1529087976","Open Ad")</f>
        <v>Open Ad</v>
      </c>
      <c r="E2028" s="4" t="s">
        <v>78</v>
      </c>
      <c r="F2028" s="4" t="s">
        <v>54</v>
      </c>
      <c r="G2028" s="4" t="s">
        <v>6328</v>
      </c>
      <c r="H2028" s="4" t="s">
        <v>49</v>
      </c>
      <c r="I2028" s="4" t="s">
        <v>6005</v>
      </c>
      <c r="J2028" s="4" t="s">
        <v>78</v>
      </c>
      <c r="K2028" s="5" t="str">
        <f>HYPERLINK("https://media.licdn.com/dms/image/v2/D4E10AQHuWWIwBs13sw/image-shrink_1280/B4EZ.0cbsyIAAc-/0/1785438781038?e=2147483647&amp;v=beta&amp;t=iFOiEvH9oM0XSx2lRGGqRaVXgoFatQh9ALAnDcujQPY","View Creative")</f>
        <v>View Creative</v>
      </c>
      <c r="L2028" s="4" t="s">
        <v>106</v>
      </c>
      <c r="M2028" s="4" t="s">
        <v>5965</v>
      </c>
      <c r="O2028" s="4" t="s">
        <v>63</v>
      </c>
      <c r="P2028" s="4" t="s">
        <v>64</v>
      </c>
    </row>
    <row r="2029">
      <c r="A2029" s="4" t="s">
        <v>5965</v>
      </c>
      <c r="B2029" s="4" t="s">
        <v>5965</v>
      </c>
      <c r="C2029" s="4">
        <v>418.0</v>
      </c>
      <c r="D2029" s="5" t="str">
        <f>HYPERLINK("https://www.linkedin.com/ad-library/detail/1532636916","Open Ad")</f>
        <v>Open Ad</v>
      </c>
      <c r="E2029" s="4" t="s">
        <v>78</v>
      </c>
      <c r="F2029" s="4" t="s">
        <v>54</v>
      </c>
      <c r="G2029" s="4" t="s">
        <v>6069</v>
      </c>
      <c r="H2029" s="4" t="s">
        <v>49</v>
      </c>
      <c r="I2029" s="4" t="s">
        <v>6005</v>
      </c>
      <c r="J2029" s="4" t="s">
        <v>78</v>
      </c>
      <c r="K2029" s="5" t="str">
        <f>HYPERLINK("https://media.licdn.com/dms/image/v2/D4E10AQEqECWLz8eLfg/image-shrink_1280/B4EZ3UsZ.CGkAc-/0/1777389904287?e=2147483647&amp;v=beta&amp;t=0Mbfqk_hLfichGIBXrMjoO2DeoHez5SeK866pI13xWU","View Creative")</f>
        <v>View Creative</v>
      </c>
      <c r="L2029" s="4" t="s">
        <v>106</v>
      </c>
      <c r="M2029" s="4" t="s">
        <v>5965</v>
      </c>
      <c r="O2029" s="4" t="s">
        <v>63</v>
      </c>
      <c r="P2029" s="4" t="s">
        <v>64</v>
      </c>
    </row>
    <row r="2030">
      <c r="A2030" s="4" t="s">
        <v>5965</v>
      </c>
      <c r="B2030" s="4" t="s">
        <v>5965</v>
      </c>
      <c r="C2030" s="4">
        <v>419.0</v>
      </c>
      <c r="D2030" s="5" t="str">
        <f>HYPERLINK("https://www.linkedin.com/ad-library/detail/1528138676","Open Ad")</f>
        <v>Open Ad</v>
      </c>
      <c r="E2030" s="4" t="s">
        <v>121</v>
      </c>
      <c r="F2030" s="4" t="s">
        <v>54</v>
      </c>
      <c r="G2030" s="4" t="s">
        <v>6333</v>
      </c>
      <c r="H2030" s="4" t="s">
        <v>49</v>
      </c>
      <c r="I2030" s="4" t="s">
        <v>6005</v>
      </c>
      <c r="J2030" s="4" t="s">
        <v>121</v>
      </c>
      <c r="K2030" s="5" t="str">
        <f>HYPERLINK("https://dms.licdn.com/playlist/vid/v2/D5605AQHT7vk0A-3seQ/mp4-720p-30fp-crf28/B56Z9_tNZaG8CE-/0/1784553999764?e=2147483647&amp;v=beta&amp;t=_pTgd_w3ipyXA3GSOVK4YiCFXZVAebifIJBI21X9GDI","View Creative")</f>
        <v>View Creative</v>
      </c>
      <c r="L2030" s="4" t="s">
        <v>106</v>
      </c>
      <c r="M2030" s="4" t="s">
        <v>5965</v>
      </c>
      <c r="O2030" s="4" t="s">
        <v>63</v>
      </c>
      <c r="P2030" s="4" t="s">
        <v>64</v>
      </c>
    </row>
    <row r="2031">
      <c r="A2031" s="4" t="s">
        <v>5965</v>
      </c>
      <c r="B2031" s="4" t="s">
        <v>5965</v>
      </c>
      <c r="C2031" s="4">
        <v>420.0</v>
      </c>
      <c r="D2031" s="5" t="str">
        <f>HYPERLINK("https://www.linkedin.com/ad-library/detail/1529097596","Open Ad")</f>
        <v>Open Ad</v>
      </c>
      <c r="E2031" s="4" t="s">
        <v>78</v>
      </c>
      <c r="F2031" s="4" t="s">
        <v>54</v>
      </c>
      <c r="G2031" s="4" t="s">
        <v>6328</v>
      </c>
      <c r="H2031" s="4" t="s">
        <v>49</v>
      </c>
      <c r="I2031" s="4" t="s">
        <v>6005</v>
      </c>
      <c r="J2031" s="4" t="s">
        <v>78</v>
      </c>
      <c r="K2031" s="5" t="str">
        <f t="shared" ref="K2031:K2034" si="39">HYPERLINK("https://media.licdn.com/dms/image/v2/D4E10AQHuWWIwBs13sw/image-shrink_1280/B4EZ.0cbsyIAAc-/0/1785438781038?e=2147483647&amp;v=beta&amp;t=iFOiEvH9oM0XSx2lRGGqRaVXgoFatQh9ALAnDcujQPY","View Creative")</f>
        <v>View Creative</v>
      </c>
      <c r="L2031" s="4" t="s">
        <v>106</v>
      </c>
      <c r="M2031" s="4" t="s">
        <v>5965</v>
      </c>
      <c r="O2031" s="4" t="s">
        <v>63</v>
      </c>
      <c r="P2031" s="4" t="s">
        <v>64</v>
      </c>
    </row>
    <row r="2032">
      <c r="A2032" s="4" t="s">
        <v>5965</v>
      </c>
      <c r="B2032" s="4" t="s">
        <v>5965</v>
      </c>
      <c r="C2032" s="4">
        <v>421.0</v>
      </c>
      <c r="D2032" s="5" t="str">
        <f>HYPERLINK("https://www.linkedin.com/ad-library/detail/1529157026","Open Ad")</f>
        <v>Open Ad</v>
      </c>
      <c r="E2032" s="4" t="s">
        <v>78</v>
      </c>
      <c r="F2032" s="4" t="s">
        <v>54</v>
      </c>
      <c r="G2032" s="4" t="s">
        <v>6328</v>
      </c>
      <c r="H2032" s="4" t="s">
        <v>49</v>
      </c>
      <c r="I2032" s="4" t="s">
        <v>6005</v>
      </c>
      <c r="J2032" s="4" t="s">
        <v>78</v>
      </c>
      <c r="K2032" s="5" t="str">
        <f t="shared" si="39"/>
        <v>View Creative</v>
      </c>
      <c r="L2032" s="4" t="s">
        <v>106</v>
      </c>
      <c r="M2032" s="4" t="s">
        <v>5965</v>
      </c>
      <c r="O2032" s="4" t="s">
        <v>63</v>
      </c>
      <c r="P2032" s="4" t="s">
        <v>64</v>
      </c>
    </row>
    <row r="2033">
      <c r="A2033" s="4" t="s">
        <v>5965</v>
      </c>
      <c r="B2033" s="4" t="s">
        <v>5965</v>
      </c>
      <c r="C2033" s="4">
        <v>422.0</v>
      </c>
      <c r="D2033" s="5" t="str">
        <f>HYPERLINK("https://www.linkedin.com/ad-library/detail/1529097586","Open Ad")</f>
        <v>Open Ad</v>
      </c>
      <c r="E2033" s="4" t="s">
        <v>78</v>
      </c>
      <c r="F2033" s="4" t="s">
        <v>54</v>
      </c>
      <c r="G2033" s="4" t="s">
        <v>6328</v>
      </c>
      <c r="H2033" s="4" t="s">
        <v>49</v>
      </c>
      <c r="I2033" s="4" t="s">
        <v>6005</v>
      </c>
      <c r="J2033" s="4" t="s">
        <v>78</v>
      </c>
      <c r="K2033" s="5" t="str">
        <f t="shared" si="39"/>
        <v>View Creative</v>
      </c>
      <c r="L2033" s="4" t="s">
        <v>106</v>
      </c>
      <c r="M2033" s="4" t="s">
        <v>5965</v>
      </c>
      <c r="O2033" s="4" t="s">
        <v>63</v>
      </c>
      <c r="P2033" s="4" t="s">
        <v>64</v>
      </c>
    </row>
    <row r="2034">
      <c r="A2034" s="4" t="s">
        <v>5965</v>
      </c>
      <c r="B2034" s="4" t="s">
        <v>5965</v>
      </c>
      <c r="C2034" s="4">
        <v>423.0</v>
      </c>
      <c r="D2034" s="5" t="str">
        <f>HYPERLINK("https://www.linkedin.com/ad-library/detail/1529107366","Open Ad")</f>
        <v>Open Ad</v>
      </c>
      <c r="E2034" s="4" t="s">
        <v>78</v>
      </c>
      <c r="F2034" s="4" t="s">
        <v>54</v>
      </c>
      <c r="G2034" s="4" t="s">
        <v>6328</v>
      </c>
      <c r="H2034" s="4" t="s">
        <v>49</v>
      </c>
      <c r="I2034" s="4" t="s">
        <v>6005</v>
      </c>
      <c r="J2034" s="4" t="s">
        <v>78</v>
      </c>
      <c r="K2034" s="5" t="str">
        <f t="shared" si="39"/>
        <v>View Creative</v>
      </c>
      <c r="L2034" s="4" t="s">
        <v>106</v>
      </c>
      <c r="M2034" s="4" t="s">
        <v>5965</v>
      </c>
      <c r="O2034" s="4" t="s">
        <v>63</v>
      </c>
      <c r="P2034" s="4" t="s">
        <v>64</v>
      </c>
    </row>
    <row r="2035">
      <c r="A2035" s="4" t="s">
        <v>5965</v>
      </c>
      <c r="B2035" s="4" t="s">
        <v>5965</v>
      </c>
      <c r="C2035" s="4">
        <v>424.0</v>
      </c>
      <c r="D2035" s="5" t="str">
        <f>HYPERLINK("https://www.linkedin.com/ad-library/detail/1532587346","Open Ad")</f>
        <v>Open Ad</v>
      </c>
      <c r="E2035" s="4" t="s">
        <v>78</v>
      </c>
      <c r="F2035" s="4" t="s">
        <v>54</v>
      </c>
      <c r="G2035" s="4" t="s">
        <v>6076</v>
      </c>
      <c r="H2035" s="4" t="s">
        <v>49</v>
      </c>
      <c r="I2035" s="4" t="s">
        <v>6005</v>
      </c>
      <c r="J2035" s="4" t="s">
        <v>78</v>
      </c>
      <c r="K2035" s="5" t="str">
        <f>HYPERLINK("https://media.licdn.com/dms/image/v2/D5610AQFapQuTs5RyQg/image-shrink_1280/B56Z9h_6UCGcAg-/0/1784055572538?e=2147483647&amp;v=beta&amp;t=Kv2jNpyAeREV8VRiJojr6bkYk7Ofuq0wj6IaFzQHYEU","View Creative")</f>
        <v>View Creative</v>
      </c>
      <c r="L2035" s="4" t="s">
        <v>106</v>
      </c>
      <c r="M2035" s="4" t="s">
        <v>5965</v>
      </c>
      <c r="O2035" s="4" t="s">
        <v>63</v>
      </c>
      <c r="P2035" s="4" t="s">
        <v>64</v>
      </c>
    </row>
    <row r="2036">
      <c r="A2036" s="4" t="s">
        <v>5965</v>
      </c>
      <c r="B2036" s="4" t="s">
        <v>5965</v>
      </c>
      <c r="C2036" s="4">
        <v>425.0</v>
      </c>
      <c r="D2036" s="5" t="str">
        <f>HYPERLINK("https://www.linkedin.com/ad-library/detail/1528207536","Open Ad")</f>
        <v>Open Ad</v>
      </c>
      <c r="E2036" s="4" t="s">
        <v>121</v>
      </c>
      <c r="F2036" s="4" t="s">
        <v>54</v>
      </c>
      <c r="G2036" s="4" t="s">
        <v>6333</v>
      </c>
      <c r="H2036" s="4" t="s">
        <v>49</v>
      </c>
      <c r="I2036" s="4" t="s">
        <v>6005</v>
      </c>
      <c r="J2036" s="4" t="s">
        <v>121</v>
      </c>
      <c r="K2036" s="5" t="str">
        <f t="shared" ref="K2036:K2039" si="40">HYPERLINK("https://dms.licdn.com/playlist/vid/v2/D5605AQHT7vk0A-3seQ/mp4-720p-30fp-crf28/B56Z9_tNZaG8CE-/0/1784553999764?e=2147483647&amp;v=beta&amp;t=_pTgd_w3ipyXA3GSOVK4YiCFXZVAebifIJBI21X9GDI","View Creative")</f>
        <v>View Creative</v>
      </c>
      <c r="L2036" s="4" t="s">
        <v>106</v>
      </c>
      <c r="M2036" s="4" t="s">
        <v>5965</v>
      </c>
      <c r="O2036" s="4" t="s">
        <v>63</v>
      </c>
      <c r="P2036" s="4" t="s">
        <v>64</v>
      </c>
    </row>
    <row r="2037">
      <c r="A2037" s="4" t="s">
        <v>5965</v>
      </c>
      <c r="B2037" s="4" t="s">
        <v>5965</v>
      </c>
      <c r="C2037" s="4">
        <v>426.0</v>
      </c>
      <c r="D2037" s="5" t="str">
        <f>HYPERLINK("https://www.linkedin.com/ad-library/detail/1528217476","Open Ad")</f>
        <v>Open Ad</v>
      </c>
      <c r="E2037" s="4" t="s">
        <v>121</v>
      </c>
      <c r="F2037" s="4" t="s">
        <v>54</v>
      </c>
      <c r="G2037" s="4" t="s">
        <v>6333</v>
      </c>
      <c r="H2037" s="4" t="s">
        <v>49</v>
      </c>
      <c r="I2037" s="4" t="s">
        <v>6005</v>
      </c>
      <c r="J2037" s="4" t="s">
        <v>121</v>
      </c>
      <c r="K2037" s="5" t="str">
        <f t="shared" si="40"/>
        <v>View Creative</v>
      </c>
      <c r="L2037" s="4" t="s">
        <v>106</v>
      </c>
      <c r="M2037" s="4" t="s">
        <v>5965</v>
      </c>
      <c r="O2037" s="4" t="s">
        <v>63</v>
      </c>
      <c r="P2037" s="4" t="s">
        <v>64</v>
      </c>
    </row>
    <row r="2038">
      <c r="A2038" s="4" t="s">
        <v>5965</v>
      </c>
      <c r="B2038" s="4" t="s">
        <v>5965</v>
      </c>
      <c r="C2038" s="4">
        <v>427.0</v>
      </c>
      <c r="D2038" s="5" t="str">
        <f>HYPERLINK("https://www.linkedin.com/ad-library/detail/1528148506","Open Ad")</f>
        <v>Open Ad</v>
      </c>
      <c r="E2038" s="4" t="s">
        <v>121</v>
      </c>
      <c r="F2038" s="4" t="s">
        <v>54</v>
      </c>
      <c r="G2038" s="4" t="s">
        <v>6333</v>
      </c>
      <c r="H2038" s="4" t="s">
        <v>49</v>
      </c>
      <c r="I2038" s="4" t="s">
        <v>6005</v>
      </c>
      <c r="J2038" s="4" t="s">
        <v>121</v>
      </c>
      <c r="K2038" s="5" t="str">
        <f t="shared" si="40"/>
        <v>View Creative</v>
      </c>
      <c r="L2038" s="4" t="s">
        <v>106</v>
      </c>
      <c r="M2038" s="4" t="s">
        <v>5965</v>
      </c>
      <c r="O2038" s="4" t="s">
        <v>63</v>
      </c>
      <c r="P2038" s="4" t="s">
        <v>64</v>
      </c>
    </row>
    <row r="2039">
      <c r="A2039" s="4" t="s">
        <v>5965</v>
      </c>
      <c r="B2039" s="4" t="s">
        <v>5965</v>
      </c>
      <c r="C2039" s="4">
        <v>428.0</v>
      </c>
      <c r="D2039" s="5" t="str">
        <f>HYPERLINK("https://www.linkedin.com/ad-library/detail/1528069166","Open Ad")</f>
        <v>Open Ad</v>
      </c>
      <c r="E2039" s="4" t="s">
        <v>121</v>
      </c>
      <c r="F2039" s="4" t="s">
        <v>54</v>
      </c>
      <c r="G2039" s="4" t="s">
        <v>6333</v>
      </c>
      <c r="H2039" s="4" t="s">
        <v>49</v>
      </c>
      <c r="I2039" s="4" t="s">
        <v>6005</v>
      </c>
      <c r="J2039" s="4" t="s">
        <v>121</v>
      </c>
      <c r="K2039" s="5" t="str">
        <f t="shared" si="40"/>
        <v>View Creative</v>
      </c>
      <c r="L2039" s="4" t="s">
        <v>106</v>
      </c>
      <c r="M2039" s="4" t="s">
        <v>5965</v>
      </c>
      <c r="O2039" s="4" t="s">
        <v>63</v>
      </c>
      <c r="P2039" s="4" t="s">
        <v>64</v>
      </c>
    </row>
    <row r="2040">
      <c r="A2040" s="4" t="s">
        <v>5965</v>
      </c>
      <c r="B2040" s="4" t="s">
        <v>5965</v>
      </c>
      <c r="C2040" s="4">
        <v>429.0</v>
      </c>
      <c r="D2040" s="5" t="str">
        <f>HYPERLINK("https://www.linkedin.com/ad-library/detail/1529147066","Open Ad")</f>
        <v>Open Ad</v>
      </c>
      <c r="E2040" s="4" t="s">
        <v>78</v>
      </c>
      <c r="F2040" s="4" t="s">
        <v>54</v>
      </c>
      <c r="G2040" s="4" t="s">
        <v>6328</v>
      </c>
      <c r="H2040" s="4" t="s">
        <v>49</v>
      </c>
      <c r="I2040" s="4" t="s">
        <v>6005</v>
      </c>
      <c r="J2040" s="4" t="s">
        <v>78</v>
      </c>
      <c r="K2040" s="5" t="str">
        <f t="shared" ref="K2040:K2041" si="41">HYPERLINK("https://media.licdn.com/dms/image/v2/D4E10AQHuWWIwBs13sw/image-shrink_1280/B4EZ.0cbsyIAAc-/0/1785438781038?e=2147483647&amp;v=beta&amp;t=iFOiEvH9oM0XSx2lRGGqRaVXgoFatQh9ALAnDcujQPY","View Creative")</f>
        <v>View Creative</v>
      </c>
      <c r="L2040" s="4" t="s">
        <v>106</v>
      </c>
      <c r="M2040" s="4" t="s">
        <v>5965</v>
      </c>
      <c r="O2040" s="4" t="s">
        <v>63</v>
      </c>
      <c r="P2040" s="4" t="s">
        <v>64</v>
      </c>
    </row>
    <row r="2041">
      <c r="A2041" s="4" t="s">
        <v>5965</v>
      </c>
      <c r="B2041" s="4" t="s">
        <v>5965</v>
      </c>
      <c r="C2041" s="4">
        <v>430.0</v>
      </c>
      <c r="D2041" s="5" t="str">
        <f>HYPERLINK("https://www.linkedin.com/ad-library/detail/1529225856","Open Ad")</f>
        <v>Open Ad</v>
      </c>
      <c r="E2041" s="4" t="s">
        <v>78</v>
      </c>
      <c r="F2041" s="4" t="s">
        <v>54</v>
      </c>
      <c r="G2041" s="4" t="s">
        <v>6328</v>
      </c>
      <c r="H2041" s="4" t="s">
        <v>49</v>
      </c>
      <c r="I2041" s="4" t="s">
        <v>6005</v>
      </c>
      <c r="J2041" s="4" t="s">
        <v>78</v>
      </c>
      <c r="K2041" s="5" t="str">
        <f t="shared" si="41"/>
        <v>View Creative</v>
      </c>
      <c r="L2041" s="4" t="s">
        <v>106</v>
      </c>
      <c r="M2041" s="4" t="s">
        <v>5965</v>
      </c>
      <c r="O2041" s="4" t="s">
        <v>63</v>
      </c>
      <c r="P2041" s="4" t="s">
        <v>64</v>
      </c>
    </row>
    <row r="2042">
      <c r="A2042" s="4" t="s">
        <v>5965</v>
      </c>
      <c r="B2042" s="4" t="s">
        <v>5965</v>
      </c>
      <c r="C2042" s="4">
        <v>431.0</v>
      </c>
      <c r="D2042" s="5" t="str">
        <f>HYPERLINK("https://www.linkedin.com/ad-library/detail/1528310676","Open Ad")</f>
        <v>Open Ad</v>
      </c>
      <c r="E2042" s="4" t="s">
        <v>121</v>
      </c>
      <c r="F2042" s="4" t="s">
        <v>54</v>
      </c>
      <c r="G2042" s="4" t="s">
        <v>6333</v>
      </c>
      <c r="H2042" s="4" t="s">
        <v>49</v>
      </c>
      <c r="I2042" s="4" t="s">
        <v>6005</v>
      </c>
      <c r="J2042" s="4" t="s">
        <v>121</v>
      </c>
      <c r="K2042" s="5" t="str">
        <f t="shared" ref="K2042:K2043" si="42">HYPERLINK("https://dms.licdn.com/playlist/vid/v2/D5605AQHT7vk0A-3seQ/mp4-720p-30fp-crf28/B56Z9_tNZaG8CE-/0/1784553999764?e=2147483647&amp;v=beta&amp;t=_pTgd_w3ipyXA3GSOVK4YiCFXZVAebifIJBI21X9GDI","View Creative")</f>
        <v>View Creative</v>
      </c>
      <c r="L2042" s="4" t="s">
        <v>106</v>
      </c>
      <c r="M2042" s="4" t="s">
        <v>5965</v>
      </c>
      <c r="O2042" s="4" t="s">
        <v>63</v>
      </c>
      <c r="P2042" s="4" t="s">
        <v>64</v>
      </c>
    </row>
    <row r="2043">
      <c r="A2043" s="4" t="s">
        <v>5965</v>
      </c>
      <c r="B2043" s="4" t="s">
        <v>5965</v>
      </c>
      <c r="C2043" s="4">
        <v>432.0</v>
      </c>
      <c r="D2043" s="5" t="str">
        <f>HYPERLINK("https://www.linkedin.com/ad-library/detail/1528257346","Open Ad")</f>
        <v>Open Ad</v>
      </c>
      <c r="E2043" s="4" t="s">
        <v>121</v>
      </c>
      <c r="F2043" s="4" t="s">
        <v>54</v>
      </c>
      <c r="G2043" s="4" t="s">
        <v>6333</v>
      </c>
      <c r="H2043" s="4" t="s">
        <v>49</v>
      </c>
      <c r="I2043" s="4" t="s">
        <v>6005</v>
      </c>
      <c r="J2043" s="4" t="s">
        <v>121</v>
      </c>
      <c r="K2043" s="5" t="str">
        <f t="shared" si="42"/>
        <v>View Creative</v>
      </c>
      <c r="L2043" s="4" t="s">
        <v>106</v>
      </c>
      <c r="M2043" s="4" t="s">
        <v>5965</v>
      </c>
      <c r="O2043" s="4" t="s">
        <v>63</v>
      </c>
      <c r="P2043" s="4" t="s">
        <v>64</v>
      </c>
    </row>
    <row r="2044">
      <c r="A2044" s="4" t="s">
        <v>5965</v>
      </c>
      <c r="B2044" s="4" t="s">
        <v>5965</v>
      </c>
      <c r="C2044" s="4">
        <v>433.0</v>
      </c>
      <c r="D2044" s="5" t="str">
        <f>HYPERLINK("https://www.linkedin.com/ad-library/detail/1476923504","Open Ad")</f>
        <v>Open Ad</v>
      </c>
      <c r="E2044" s="4" t="s">
        <v>121</v>
      </c>
      <c r="F2044" s="4" t="s">
        <v>54</v>
      </c>
      <c r="G2044" s="4" t="s">
        <v>6052</v>
      </c>
      <c r="H2044" s="4" t="s">
        <v>49</v>
      </c>
      <c r="I2044" s="4" t="s">
        <v>6005</v>
      </c>
      <c r="J2044" s="4" t="s">
        <v>121</v>
      </c>
      <c r="K2044" s="5" t="str">
        <f>HYPERLINK("https://dms.licdn.com/playlist/vid/v2/D5610AQFSMcnW06imag/mp4-720p-30fp-crf28/B56Z.pe2QCKMBk-/0/1785254870903?e=2147483647&amp;v=beta&amp;t=g-3k8J4kc7bttKyXTLsE0c8iC3sdncRAqezIsmyhZN4","View Creative")</f>
        <v>View Creative</v>
      </c>
      <c r="L2044" s="4" t="s">
        <v>106</v>
      </c>
      <c r="M2044" s="4" t="s">
        <v>5965</v>
      </c>
      <c r="O2044" s="4" t="s">
        <v>63</v>
      </c>
      <c r="P2044" s="4" t="s">
        <v>64</v>
      </c>
    </row>
    <row r="2045">
      <c r="A2045" s="4" t="s">
        <v>5965</v>
      </c>
      <c r="B2045" s="4" t="s">
        <v>5965</v>
      </c>
      <c r="C2045" s="4">
        <v>434.0</v>
      </c>
      <c r="D2045" s="5" t="str">
        <f>HYPERLINK("https://www.linkedin.com/ad-library/detail/1476970974","Open Ad")</f>
        <v>Open Ad</v>
      </c>
      <c r="E2045" s="4" t="s">
        <v>121</v>
      </c>
      <c r="F2045" s="4" t="s">
        <v>54</v>
      </c>
      <c r="G2045" s="4" t="s">
        <v>6055</v>
      </c>
      <c r="H2045" s="4" t="s">
        <v>49</v>
      </c>
      <c r="I2045" s="4" t="s">
        <v>6005</v>
      </c>
      <c r="J2045" s="4" t="s">
        <v>121</v>
      </c>
      <c r="K2045" s="5" t="str">
        <f>HYPERLINK("https://dms.licdn.com/playlist/vid/v2/D5610AQEgZSN1R6lkQg/mp4-360p-30fp-crf28/B56Z.pe6eZJoBg-/0/1785254888120?e=2147483647&amp;v=beta&amp;t=5h1R6KvMhc0CxepDbbh4l98qEndRxnaP-BM6oZz1ryY","View Creative")</f>
        <v>View Creative</v>
      </c>
      <c r="L2045" s="4" t="s">
        <v>106</v>
      </c>
      <c r="M2045" s="4" t="s">
        <v>5965</v>
      </c>
      <c r="O2045" s="4" t="s">
        <v>63</v>
      </c>
      <c r="P2045" s="4" t="s">
        <v>64</v>
      </c>
    </row>
    <row r="2046">
      <c r="A2046" s="4" t="s">
        <v>5965</v>
      </c>
      <c r="B2046" s="4" t="s">
        <v>5965</v>
      </c>
      <c r="C2046" s="4">
        <v>435.0</v>
      </c>
      <c r="D2046" s="5" t="str">
        <f>HYPERLINK("https://www.linkedin.com/ad-library/detail/1476883334","Open Ad")</f>
        <v>Open Ad</v>
      </c>
      <c r="E2046" s="4" t="s">
        <v>121</v>
      </c>
      <c r="F2046" s="4" t="s">
        <v>54</v>
      </c>
      <c r="G2046" s="4" t="s">
        <v>6052</v>
      </c>
      <c r="H2046" s="4" t="s">
        <v>49</v>
      </c>
      <c r="I2046" s="4" t="s">
        <v>6005</v>
      </c>
      <c r="J2046" s="4" t="s">
        <v>121</v>
      </c>
      <c r="K2046" s="5" t="str">
        <f t="shared" ref="K2046:K2048" si="43">HYPERLINK("https://dms.licdn.com/playlist/vid/v2/D5610AQFSMcnW06imag/mp4-720p-30fp-crf28/B56Z.pe2QCKMBk-/0/1785254870903?e=2147483647&amp;v=beta&amp;t=g-3k8J4kc7bttKyXTLsE0c8iC3sdncRAqezIsmyhZN4","View Creative")</f>
        <v>View Creative</v>
      </c>
      <c r="L2046" s="4" t="s">
        <v>106</v>
      </c>
      <c r="M2046" s="4" t="s">
        <v>5965</v>
      </c>
      <c r="O2046" s="4" t="s">
        <v>63</v>
      </c>
      <c r="P2046" s="4" t="s">
        <v>64</v>
      </c>
    </row>
    <row r="2047">
      <c r="A2047" s="4" t="s">
        <v>5965</v>
      </c>
      <c r="B2047" s="4" t="s">
        <v>5965</v>
      </c>
      <c r="C2047" s="4">
        <v>436.0</v>
      </c>
      <c r="D2047" s="5" t="str">
        <f>HYPERLINK("https://www.linkedin.com/ad-library/detail/1476971004","Open Ad")</f>
        <v>Open Ad</v>
      </c>
      <c r="E2047" s="4" t="s">
        <v>121</v>
      </c>
      <c r="F2047" s="4" t="s">
        <v>54</v>
      </c>
      <c r="G2047" s="4" t="s">
        <v>6052</v>
      </c>
      <c r="H2047" s="4" t="s">
        <v>49</v>
      </c>
      <c r="I2047" s="4" t="s">
        <v>6005</v>
      </c>
      <c r="J2047" s="4" t="s">
        <v>121</v>
      </c>
      <c r="K2047" s="5" t="str">
        <f t="shared" si="43"/>
        <v>View Creative</v>
      </c>
      <c r="L2047" s="4" t="s">
        <v>106</v>
      </c>
      <c r="M2047" s="4" t="s">
        <v>5965</v>
      </c>
      <c r="O2047" s="4" t="s">
        <v>63</v>
      </c>
      <c r="P2047" s="4" t="s">
        <v>64</v>
      </c>
    </row>
    <row r="2048">
      <c r="A2048" s="4" t="s">
        <v>5965</v>
      </c>
      <c r="B2048" s="4" t="s">
        <v>5965</v>
      </c>
      <c r="C2048" s="4">
        <v>437.0</v>
      </c>
      <c r="D2048" s="5" t="str">
        <f>HYPERLINK("https://www.linkedin.com/ad-library/detail/1476971014","Open Ad")</f>
        <v>Open Ad</v>
      </c>
      <c r="E2048" s="4" t="s">
        <v>121</v>
      </c>
      <c r="F2048" s="4" t="s">
        <v>54</v>
      </c>
      <c r="G2048" s="4" t="s">
        <v>6052</v>
      </c>
      <c r="H2048" s="4" t="s">
        <v>49</v>
      </c>
      <c r="I2048" s="4" t="s">
        <v>6005</v>
      </c>
      <c r="J2048" s="4" t="s">
        <v>121</v>
      </c>
      <c r="K2048" s="5" t="str">
        <f t="shared" si="43"/>
        <v>View Creative</v>
      </c>
      <c r="L2048" s="4" t="s">
        <v>106</v>
      </c>
      <c r="M2048" s="4" t="s">
        <v>5965</v>
      </c>
      <c r="O2048" s="4" t="s">
        <v>63</v>
      </c>
      <c r="P2048" s="4" t="s">
        <v>64</v>
      </c>
    </row>
    <row r="2049">
      <c r="A2049" s="4" t="s">
        <v>5965</v>
      </c>
      <c r="B2049" s="4" t="s">
        <v>5965</v>
      </c>
      <c r="C2049" s="4">
        <v>438.0</v>
      </c>
      <c r="D2049" s="5" t="str">
        <f>HYPERLINK("https://www.linkedin.com/ad-library/detail/1476933394","Open Ad")</f>
        <v>Open Ad</v>
      </c>
      <c r="E2049" s="4" t="s">
        <v>121</v>
      </c>
      <c r="F2049" s="4" t="s">
        <v>54</v>
      </c>
      <c r="G2049" s="4" t="s">
        <v>6055</v>
      </c>
      <c r="H2049" s="4" t="s">
        <v>49</v>
      </c>
      <c r="I2049" s="4" t="s">
        <v>6005</v>
      </c>
      <c r="J2049" s="4" t="s">
        <v>121</v>
      </c>
      <c r="K2049" s="5" t="str">
        <f>HYPERLINK("https://dms.licdn.com/playlist/vid/v2/D5610AQEgZSN1R6lkQg/mp4-360p-30fp-crf28/B56Z.pe6eZJoBg-/0/1785254888120?e=2147483647&amp;v=beta&amp;t=5h1R6KvMhc0CxepDbbh4l98qEndRxnaP-BM6oZz1ryY","View Creative")</f>
        <v>View Creative</v>
      </c>
      <c r="L2049" s="4" t="s">
        <v>106</v>
      </c>
      <c r="M2049" s="4" t="s">
        <v>5965</v>
      </c>
      <c r="O2049" s="4" t="s">
        <v>63</v>
      </c>
      <c r="P2049" s="4" t="s">
        <v>64</v>
      </c>
    </row>
    <row r="2050">
      <c r="A2050" s="4" t="s">
        <v>5965</v>
      </c>
      <c r="B2050" s="4" t="s">
        <v>5965</v>
      </c>
      <c r="C2050" s="4">
        <v>439.0</v>
      </c>
      <c r="D2050" s="5" t="str">
        <f>HYPERLINK("https://www.linkedin.com/ad-library/detail/1476971024","Open Ad")</f>
        <v>Open Ad</v>
      </c>
      <c r="E2050" s="4" t="s">
        <v>121</v>
      </c>
      <c r="F2050" s="4" t="s">
        <v>54</v>
      </c>
      <c r="G2050" s="4" t="s">
        <v>6052</v>
      </c>
      <c r="H2050" s="4" t="s">
        <v>49</v>
      </c>
      <c r="I2050" s="4" t="s">
        <v>6005</v>
      </c>
      <c r="J2050" s="4" t="s">
        <v>121</v>
      </c>
      <c r="K2050" s="5" t="str">
        <f t="shared" ref="K2050:K2051" si="44">HYPERLINK("https://dms.licdn.com/playlist/vid/v2/D5610AQFSMcnW06imag/mp4-720p-30fp-crf28/B56Z.pe2QCKMBk-/0/1785254870903?e=2147483647&amp;v=beta&amp;t=g-3k8J4kc7bttKyXTLsE0c8iC3sdncRAqezIsmyhZN4","View Creative")</f>
        <v>View Creative</v>
      </c>
      <c r="L2050" s="4" t="s">
        <v>106</v>
      </c>
      <c r="M2050" s="4" t="s">
        <v>5965</v>
      </c>
      <c r="O2050" s="4" t="s">
        <v>63</v>
      </c>
      <c r="P2050" s="4" t="s">
        <v>64</v>
      </c>
    </row>
    <row r="2051">
      <c r="A2051" s="4" t="s">
        <v>5965</v>
      </c>
      <c r="B2051" s="4" t="s">
        <v>5965</v>
      </c>
      <c r="C2051" s="4">
        <v>440.0</v>
      </c>
      <c r="D2051" s="5" t="str">
        <f>HYPERLINK("https://www.linkedin.com/ad-library/detail/1476833674","Open Ad")</f>
        <v>Open Ad</v>
      </c>
      <c r="E2051" s="4" t="s">
        <v>121</v>
      </c>
      <c r="F2051" s="4" t="s">
        <v>54</v>
      </c>
      <c r="G2051" s="4" t="s">
        <v>6052</v>
      </c>
      <c r="H2051" s="4" t="s">
        <v>49</v>
      </c>
      <c r="I2051" s="4" t="s">
        <v>6005</v>
      </c>
      <c r="J2051" s="4" t="s">
        <v>121</v>
      </c>
      <c r="K2051" s="5" t="str">
        <f t="shared" si="44"/>
        <v>View Creative</v>
      </c>
      <c r="L2051" s="4" t="s">
        <v>106</v>
      </c>
      <c r="M2051" s="4" t="s">
        <v>5965</v>
      </c>
      <c r="O2051" s="4" t="s">
        <v>63</v>
      </c>
      <c r="P2051" s="4" t="s">
        <v>64</v>
      </c>
    </row>
    <row r="2052">
      <c r="A2052" s="4" t="s">
        <v>5965</v>
      </c>
      <c r="B2052" s="4" t="s">
        <v>5965</v>
      </c>
      <c r="C2052" s="4">
        <v>441.0</v>
      </c>
      <c r="D2052" s="5" t="str">
        <f>HYPERLINK("https://www.linkedin.com/ad-library/detail/1476893504","Open Ad")</f>
        <v>Open Ad</v>
      </c>
      <c r="E2052" s="4" t="s">
        <v>121</v>
      </c>
      <c r="F2052" s="4" t="s">
        <v>54</v>
      </c>
      <c r="G2052" s="4" t="s">
        <v>6055</v>
      </c>
      <c r="H2052" s="4" t="s">
        <v>49</v>
      </c>
      <c r="I2052" s="4" t="s">
        <v>6005</v>
      </c>
      <c r="J2052" s="4" t="s">
        <v>121</v>
      </c>
      <c r="K2052" s="5" t="str">
        <f t="shared" ref="K2052:K2055" si="45">HYPERLINK("https://dms.licdn.com/playlist/vid/v2/D5610AQEgZSN1R6lkQg/mp4-360p-30fp-crf28/B56Z.pe6eZJoBg-/0/1785254888120?e=2147483647&amp;v=beta&amp;t=5h1R6KvMhc0CxepDbbh4l98qEndRxnaP-BM6oZz1ryY","View Creative")</f>
        <v>View Creative</v>
      </c>
      <c r="L2052" s="4" t="s">
        <v>106</v>
      </c>
      <c r="M2052" s="4" t="s">
        <v>5965</v>
      </c>
      <c r="O2052" s="4" t="s">
        <v>63</v>
      </c>
      <c r="P2052" s="4" t="s">
        <v>64</v>
      </c>
    </row>
    <row r="2053">
      <c r="A2053" s="4" t="s">
        <v>5965</v>
      </c>
      <c r="B2053" s="4" t="s">
        <v>5965</v>
      </c>
      <c r="C2053" s="4">
        <v>442.0</v>
      </c>
      <c r="D2053" s="5" t="str">
        <f>HYPERLINK("https://www.linkedin.com/ad-library/detail/1476795854","Open Ad")</f>
        <v>Open Ad</v>
      </c>
      <c r="E2053" s="4" t="s">
        <v>121</v>
      </c>
      <c r="F2053" s="4" t="s">
        <v>54</v>
      </c>
      <c r="G2053" s="4" t="s">
        <v>6055</v>
      </c>
      <c r="H2053" s="4" t="s">
        <v>49</v>
      </c>
      <c r="I2053" s="4" t="s">
        <v>6005</v>
      </c>
      <c r="J2053" s="4" t="s">
        <v>121</v>
      </c>
      <c r="K2053" s="5" t="str">
        <f t="shared" si="45"/>
        <v>View Creative</v>
      </c>
      <c r="L2053" s="4" t="s">
        <v>106</v>
      </c>
      <c r="M2053" s="4" t="s">
        <v>5965</v>
      </c>
      <c r="O2053" s="4" t="s">
        <v>63</v>
      </c>
      <c r="P2053" s="4" t="s">
        <v>64</v>
      </c>
    </row>
    <row r="2054">
      <c r="A2054" s="4" t="s">
        <v>5965</v>
      </c>
      <c r="B2054" s="4" t="s">
        <v>5965</v>
      </c>
      <c r="C2054" s="4">
        <v>443.0</v>
      </c>
      <c r="D2054" s="5" t="str">
        <f>HYPERLINK("https://www.linkedin.com/ad-library/detail/1476833624","Open Ad")</f>
        <v>Open Ad</v>
      </c>
      <c r="E2054" s="4" t="s">
        <v>121</v>
      </c>
      <c r="F2054" s="4" t="s">
        <v>54</v>
      </c>
      <c r="G2054" s="4" t="s">
        <v>6055</v>
      </c>
      <c r="H2054" s="4" t="s">
        <v>49</v>
      </c>
      <c r="I2054" s="4" t="s">
        <v>6005</v>
      </c>
      <c r="J2054" s="4" t="s">
        <v>121</v>
      </c>
      <c r="K2054" s="5" t="str">
        <f t="shared" si="45"/>
        <v>View Creative</v>
      </c>
      <c r="L2054" s="4" t="s">
        <v>106</v>
      </c>
      <c r="M2054" s="4" t="s">
        <v>5965</v>
      </c>
      <c r="O2054" s="4" t="s">
        <v>63</v>
      </c>
      <c r="P2054" s="4" t="s">
        <v>64</v>
      </c>
    </row>
    <row r="2055">
      <c r="A2055" s="4" t="s">
        <v>5965</v>
      </c>
      <c r="B2055" s="4" t="s">
        <v>5965</v>
      </c>
      <c r="C2055" s="4">
        <v>444.0</v>
      </c>
      <c r="D2055" s="5" t="str">
        <f>HYPERLINK("https://www.linkedin.com/ad-library/detail/1476824054","Open Ad")</f>
        <v>Open Ad</v>
      </c>
      <c r="E2055" s="4" t="s">
        <v>121</v>
      </c>
      <c r="F2055" s="4" t="s">
        <v>54</v>
      </c>
      <c r="G2055" s="4" t="s">
        <v>6055</v>
      </c>
      <c r="H2055" s="4" t="s">
        <v>49</v>
      </c>
      <c r="I2055" s="4" t="s">
        <v>6005</v>
      </c>
      <c r="J2055" s="4" t="s">
        <v>121</v>
      </c>
      <c r="K2055" s="5" t="str">
        <f t="shared" si="45"/>
        <v>View Creative</v>
      </c>
      <c r="L2055" s="4" t="s">
        <v>106</v>
      </c>
      <c r="M2055" s="4" t="s">
        <v>5965</v>
      </c>
      <c r="O2055" s="4" t="s">
        <v>63</v>
      </c>
      <c r="P2055" s="4" t="s">
        <v>64</v>
      </c>
    </row>
    <row r="2056">
      <c r="A2056" s="4" t="s">
        <v>5965</v>
      </c>
      <c r="B2056" s="4" t="s">
        <v>5965</v>
      </c>
      <c r="C2056" s="4">
        <v>445.0</v>
      </c>
      <c r="D2056" s="5" t="str">
        <f>HYPERLINK("https://www.linkedin.com/ad-library/detail/1476980944","Open Ad")</f>
        <v>Open Ad</v>
      </c>
      <c r="E2056" s="4" t="s">
        <v>121</v>
      </c>
      <c r="F2056" s="4" t="s">
        <v>54</v>
      </c>
      <c r="G2056" s="4" t="s">
        <v>6052</v>
      </c>
      <c r="H2056" s="4" t="s">
        <v>49</v>
      </c>
      <c r="I2056" s="4" t="s">
        <v>6005</v>
      </c>
      <c r="J2056" s="4" t="s">
        <v>121</v>
      </c>
      <c r="K2056" s="5" t="str">
        <f t="shared" ref="K2056:K2058" si="46">HYPERLINK("https://dms.licdn.com/playlist/vid/v2/D5610AQFSMcnW06imag/mp4-720p-30fp-crf28/B56Z.pe2QCKMBk-/0/1785254870903?e=2147483647&amp;v=beta&amp;t=g-3k8J4kc7bttKyXTLsE0c8iC3sdncRAqezIsmyhZN4","View Creative")</f>
        <v>View Creative</v>
      </c>
      <c r="L2056" s="4" t="s">
        <v>106</v>
      </c>
      <c r="M2056" s="4" t="s">
        <v>5965</v>
      </c>
      <c r="O2056" s="4" t="s">
        <v>63</v>
      </c>
      <c r="P2056" s="4" t="s">
        <v>64</v>
      </c>
    </row>
    <row r="2057">
      <c r="A2057" s="4" t="s">
        <v>5965</v>
      </c>
      <c r="B2057" s="4" t="s">
        <v>5965</v>
      </c>
      <c r="C2057" s="4">
        <v>446.0</v>
      </c>
      <c r="D2057" s="5" t="str">
        <f>HYPERLINK("https://www.linkedin.com/ad-library/detail/1476962714","Open Ad")</f>
        <v>Open Ad</v>
      </c>
      <c r="E2057" s="4" t="s">
        <v>121</v>
      </c>
      <c r="F2057" s="4" t="s">
        <v>54</v>
      </c>
      <c r="G2057" s="4" t="s">
        <v>6052</v>
      </c>
      <c r="H2057" s="4" t="s">
        <v>49</v>
      </c>
      <c r="I2057" s="4" t="s">
        <v>6005</v>
      </c>
      <c r="J2057" s="4" t="s">
        <v>121</v>
      </c>
      <c r="K2057" s="5" t="str">
        <f t="shared" si="46"/>
        <v>View Creative</v>
      </c>
      <c r="L2057" s="4" t="s">
        <v>106</v>
      </c>
      <c r="M2057" s="4" t="s">
        <v>5965</v>
      </c>
      <c r="O2057" s="4" t="s">
        <v>63</v>
      </c>
      <c r="P2057" s="4" t="s">
        <v>64</v>
      </c>
    </row>
    <row r="2058">
      <c r="A2058" s="4" t="s">
        <v>5965</v>
      </c>
      <c r="B2058" s="4" t="s">
        <v>5965</v>
      </c>
      <c r="C2058" s="4">
        <v>447.0</v>
      </c>
      <c r="D2058" s="5" t="str">
        <f>HYPERLINK("https://www.linkedin.com/ad-library/detail/1476903454","Open Ad")</f>
        <v>Open Ad</v>
      </c>
      <c r="E2058" s="4" t="s">
        <v>121</v>
      </c>
      <c r="F2058" s="4" t="s">
        <v>54</v>
      </c>
      <c r="G2058" s="4" t="s">
        <v>6052</v>
      </c>
      <c r="H2058" s="4" t="s">
        <v>49</v>
      </c>
      <c r="I2058" s="4" t="s">
        <v>6005</v>
      </c>
      <c r="J2058" s="4" t="s">
        <v>121</v>
      </c>
      <c r="K2058" s="5" t="str">
        <f t="shared" si="46"/>
        <v>View Creative</v>
      </c>
      <c r="L2058" s="4" t="s">
        <v>106</v>
      </c>
      <c r="M2058" s="4" t="s">
        <v>5965</v>
      </c>
      <c r="O2058" s="4" t="s">
        <v>63</v>
      </c>
      <c r="P2058" s="4" t="s">
        <v>64</v>
      </c>
    </row>
    <row r="2059">
      <c r="A2059" s="4" t="s">
        <v>5965</v>
      </c>
      <c r="B2059" s="4" t="s">
        <v>5965</v>
      </c>
      <c r="C2059" s="4">
        <v>448.0</v>
      </c>
      <c r="D2059" s="5" t="str">
        <f>HYPERLINK("https://www.linkedin.com/ad-library/detail/1476863384","Open Ad")</f>
        <v>Open Ad</v>
      </c>
      <c r="E2059" s="4" t="s">
        <v>121</v>
      </c>
      <c r="F2059" s="4" t="s">
        <v>54</v>
      </c>
      <c r="G2059" s="4" t="s">
        <v>6055</v>
      </c>
      <c r="H2059" s="4" t="s">
        <v>49</v>
      </c>
      <c r="I2059" s="4" t="s">
        <v>6005</v>
      </c>
      <c r="J2059" s="4" t="s">
        <v>121</v>
      </c>
      <c r="K2059" s="5" t="str">
        <f>HYPERLINK("https://dms.licdn.com/playlist/vid/v2/D5610AQEgZSN1R6lkQg/mp4-360p-30fp-crf28/B56Z.pe6eZJoBg-/0/1785254888120?e=2147483647&amp;v=beta&amp;t=5h1R6KvMhc0CxepDbbh4l98qEndRxnaP-BM6oZz1ryY","View Creative")</f>
        <v>View Creative</v>
      </c>
      <c r="L2059" s="4" t="s">
        <v>106</v>
      </c>
      <c r="M2059" s="4" t="s">
        <v>5965</v>
      </c>
      <c r="O2059" s="4" t="s">
        <v>63</v>
      </c>
      <c r="P2059" s="4" t="s">
        <v>64</v>
      </c>
    </row>
    <row r="2060">
      <c r="A2060" s="4" t="s">
        <v>5965</v>
      </c>
      <c r="B2060" s="4" t="s">
        <v>5965</v>
      </c>
      <c r="C2060" s="4">
        <v>449.0</v>
      </c>
      <c r="D2060" s="5" t="str">
        <f>HYPERLINK("https://www.linkedin.com/ad-library/detail/1476833704","Open Ad")</f>
        <v>Open Ad</v>
      </c>
      <c r="E2060" s="4" t="s">
        <v>121</v>
      </c>
      <c r="F2060" s="4" t="s">
        <v>54</v>
      </c>
      <c r="G2060" s="4" t="s">
        <v>6052</v>
      </c>
      <c r="H2060" s="4" t="s">
        <v>49</v>
      </c>
      <c r="I2060" s="4" t="s">
        <v>6005</v>
      </c>
      <c r="J2060" s="4" t="s">
        <v>121</v>
      </c>
      <c r="K2060" s="5" t="str">
        <f t="shared" ref="K2060:K2061" si="47">HYPERLINK("https://dms.licdn.com/playlist/vid/v2/D5610AQFSMcnW06imag/mp4-720p-30fp-crf28/B56Z.pe2QCKMBk-/0/1785254870903?e=2147483647&amp;v=beta&amp;t=g-3k8J4kc7bttKyXTLsE0c8iC3sdncRAqezIsmyhZN4","View Creative")</f>
        <v>View Creative</v>
      </c>
      <c r="L2060" s="4" t="s">
        <v>106</v>
      </c>
      <c r="M2060" s="4" t="s">
        <v>5965</v>
      </c>
      <c r="O2060" s="4" t="s">
        <v>63</v>
      </c>
      <c r="P2060" s="4" t="s">
        <v>64</v>
      </c>
    </row>
    <row r="2061">
      <c r="A2061" s="4" t="s">
        <v>5965</v>
      </c>
      <c r="B2061" s="4" t="s">
        <v>5965</v>
      </c>
      <c r="C2061" s="4">
        <v>450.0</v>
      </c>
      <c r="D2061" s="5" t="str">
        <f>HYPERLINK("https://www.linkedin.com/ad-library/detail/1476980934","Open Ad")</f>
        <v>Open Ad</v>
      </c>
      <c r="E2061" s="4" t="s">
        <v>121</v>
      </c>
      <c r="F2061" s="4" t="s">
        <v>54</v>
      </c>
      <c r="G2061" s="4" t="s">
        <v>6052</v>
      </c>
      <c r="H2061" s="4" t="s">
        <v>49</v>
      </c>
      <c r="I2061" s="4" t="s">
        <v>6005</v>
      </c>
      <c r="J2061" s="4" t="s">
        <v>121</v>
      </c>
      <c r="K2061" s="5" t="str">
        <f t="shared" si="47"/>
        <v>View Creative</v>
      </c>
      <c r="L2061" s="4" t="s">
        <v>106</v>
      </c>
      <c r="M2061" s="4" t="s">
        <v>5965</v>
      </c>
      <c r="O2061" s="4" t="s">
        <v>63</v>
      </c>
      <c r="P2061" s="4" t="s">
        <v>64</v>
      </c>
    </row>
    <row r="2062">
      <c r="A2062" s="4" t="s">
        <v>5965</v>
      </c>
      <c r="B2062" s="4" t="s">
        <v>5965</v>
      </c>
      <c r="C2062" s="4">
        <v>451.0</v>
      </c>
      <c r="D2062" s="5" t="str">
        <f>HYPERLINK("https://www.linkedin.com/ad-library/detail/1476893494","Open Ad")</f>
        <v>Open Ad</v>
      </c>
      <c r="E2062" s="4" t="s">
        <v>121</v>
      </c>
      <c r="F2062" s="4" t="s">
        <v>54</v>
      </c>
      <c r="G2062" s="4" t="s">
        <v>6055</v>
      </c>
      <c r="H2062" s="4" t="s">
        <v>49</v>
      </c>
      <c r="I2062" s="4" t="s">
        <v>6005</v>
      </c>
      <c r="J2062" s="4" t="s">
        <v>121</v>
      </c>
      <c r="K2062" s="5" t="str">
        <f t="shared" ref="K2062:K2063" si="48">HYPERLINK("https://dms.licdn.com/playlist/vid/v2/D5610AQEgZSN1R6lkQg/mp4-360p-30fp-crf28/B56Z.pe6eZJoBg-/0/1785254888120?e=2147483647&amp;v=beta&amp;t=5h1R6KvMhc0CxepDbbh4l98qEndRxnaP-BM6oZz1ryY","View Creative")</f>
        <v>View Creative</v>
      </c>
      <c r="L2062" s="4" t="s">
        <v>106</v>
      </c>
      <c r="M2062" s="4" t="s">
        <v>5965</v>
      </c>
      <c r="O2062" s="4" t="s">
        <v>63</v>
      </c>
      <c r="P2062" s="4" t="s">
        <v>64</v>
      </c>
    </row>
    <row r="2063">
      <c r="A2063" s="4" t="s">
        <v>5965</v>
      </c>
      <c r="B2063" s="4" t="s">
        <v>5965</v>
      </c>
      <c r="C2063" s="4">
        <v>452.0</v>
      </c>
      <c r="D2063" s="5" t="str">
        <f>HYPERLINK("https://www.linkedin.com/ad-library/detail/1476843374","Open Ad")</f>
        <v>Open Ad</v>
      </c>
      <c r="E2063" s="4" t="s">
        <v>121</v>
      </c>
      <c r="F2063" s="4" t="s">
        <v>54</v>
      </c>
      <c r="G2063" s="4" t="s">
        <v>6055</v>
      </c>
      <c r="H2063" s="4" t="s">
        <v>49</v>
      </c>
      <c r="I2063" s="4" t="s">
        <v>6005</v>
      </c>
      <c r="J2063" s="4" t="s">
        <v>121</v>
      </c>
      <c r="K2063" s="5" t="str">
        <f t="shared" si="48"/>
        <v>View Creative</v>
      </c>
      <c r="L2063" s="4" t="s">
        <v>106</v>
      </c>
      <c r="M2063" s="4" t="s">
        <v>5965</v>
      </c>
      <c r="O2063" s="4" t="s">
        <v>63</v>
      </c>
      <c r="P2063" s="4" t="s">
        <v>64</v>
      </c>
    </row>
    <row r="2064">
      <c r="A2064" s="4" t="s">
        <v>5965</v>
      </c>
      <c r="B2064" s="4" t="s">
        <v>5965</v>
      </c>
      <c r="C2064" s="4">
        <v>453.0</v>
      </c>
      <c r="D2064" s="5" t="str">
        <f>HYPERLINK("https://www.linkedin.com/ad-library/detail/1528158056","Open Ad")</f>
        <v>Open Ad</v>
      </c>
      <c r="E2064" s="4" t="s">
        <v>121</v>
      </c>
      <c r="F2064" s="4" t="s">
        <v>54</v>
      </c>
      <c r="G2064" s="4" t="s">
        <v>6333</v>
      </c>
      <c r="H2064" s="4" t="s">
        <v>49</v>
      </c>
      <c r="I2064" s="4" t="s">
        <v>6005</v>
      </c>
      <c r="J2064" s="4" t="s">
        <v>121</v>
      </c>
      <c r="K2064" s="5" t="str">
        <f>HYPERLINK("https://dms.licdn.com/playlist/vid/v2/D5605AQHT7vk0A-3seQ/mp4-720p-30fp-crf28/B56Z9_tNZaG8CE-/0/1784553999764?e=2147483647&amp;v=beta&amp;t=_pTgd_w3ipyXA3GSOVK4YiCFXZVAebifIJBI21X9GDI","View Creative")</f>
        <v>View Creative</v>
      </c>
      <c r="L2064" s="4" t="s">
        <v>106</v>
      </c>
      <c r="M2064" s="4" t="s">
        <v>5965</v>
      </c>
      <c r="O2064" s="4" t="s">
        <v>63</v>
      </c>
      <c r="P2064" s="4" t="s">
        <v>64</v>
      </c>
    </row>
    <row r="2065">
      <c r="A2065" s="4" t="s">
        <v>5965</v>
      </c>
      <c r="B2065" s="4" t="s">
        <v>5965</v>
      </c>
      <c r="C2065" s="4">
        <v>454.0</v>
      </c>
      <c r="D2065" s="5" t="str">
        <f>HYPERLINK("https://www.linkedin.com/ad-library/detail/1476814044","Open Ad")</f>
        <v>Open Ad</v>
      </c>
      <c r="E2065" s="4" t="s">
        <v>121</v>
      </c>
      <c r="F2065" s="4" t="s">
        <v>54</v>
      </c>
      <c r="G2065" s="4" t="s">
        <v>6052</v>
      </c>
      <c r="H2065" s="4" t="s">
        <v>49</v>
      </c>
      <c r="I2065" s="4" t="s">
        <v>6005</v>
      </c>
      <c r="J2065" s="4" t="s">
        <v>121</v>
      </c>
      <c r="K2065" s="5" t="str">
        <f>HYPERLINK("https://dms.licdn.com/playlist/vid/v2/D5610AQFSMcnW06imag/mp4-720p-30fp-crf28/B56Z.pe2QCKMBk-/0/1785254870903?e=2147483647&amp;v=beta&amp;t=g-3k8J4kc7bttKyXTLsE0c8iC3sdncRAqezIsmyhZN4","View Creative")</f>
        <v>View Creative</v>
      </c>
      <c r="L2065" s="4" t="s">
        <v>106</v>
      </c>
      <c r="M2065" s="4" t="s">
        <v>5965</v>
      </c>
      <c r="O2065" s="4" t="s">
        <v>63</v>
      </c>
      <c r="P2065" s="4" t="s">
        <v>64</v>
      </c>
    </row>
    <row r="2066">
      <c r="A2066" s="4" t="s">
        <v>5965</v>
      </c>
      <c r="B2066" s="4" t="s">
        <v>5965</v>
      </c>
      <c r="C2066" s="4">
        <v>455.0</v>
      </c>
      <c r="D2066" s="5" t="str">
        <f>HYPERLINK("https://www.linkedin.com/ad-library/detail/1476873574","Open Ad")</f>
        <v>Open Ad</v>
      </c>
      <c r="E2066" s="4" t="s">
        <v>121</v>
      </c>
      <c r="F2066" s="4" t="s">
        <v>54</v>
      </c>
      <c r="G2066" s="4" t="s">
        <v>6055</v>
      </c>
      <c r="H2066" s="4" t="s">
        <v>49</v>
      </c>
      <c r="I2066" s="4" t="s">
        <v>6005</v>
      </c>
      <c r="J2066" s="4" t="s">
        <v>121</v>
      </c>
      <c r="K2066" s="5" t="str">
        <f t="shared" ref="K2066:K2067" si="49">HYPERLINK("https://dms.licdn.com/playlist/vid/v2/D5610AQEgZSN1R6lkQg/mp4-360p-30fp-crf28/B56Z.pe6eZJoBg-/0/1785254888120?e=2147483647&amp;v=beta&amp;t=5h1R6KvMhc0CxepDbbh4l98qEndRxnaP-BM6oZz1ryY","View Creative")</f>
        <v>View Creative</v>
      </c>
      <c r="L2066" s="4" t="s">
        <v>106</v>
      </c>
      <c r="M2066" s="4" t="s">
        <v>5965</v>
      </c>
      <c r="O2066" s="4" t="s">
        <v>63</v>
      </c>
      <c r="P2066" s="4" t="s">
        <v>64</v>
      </c>
    </row>
    <row r="2067">
      <c r="A2067" s="4" t="s">
        <v>5965</v>
      </c>
      <c r="B2067" s="4" t="s">
        <v>5965</v>
      </c>
      <c r="C2067" s="4">
        <v>456.0</v>
      </c>
      <c r="D2067" s="5" t="str">
        <f>HYPERLINK("https://www.linkedin.com/ad-library/detail/1476766134","Open Ad")</f>
        <v>Open Ad</v>
      </c>
      <c r="E2067" s="4" t="s">
        <v>121</v>
      </c>
      <c r="F2067" s="4" t="s">
        <v>54</v>
      </c>
      <c r="G2067" s="4" t="s">
        <v>6055</v>
      </c>
      <c r="H2067" s="4" t="s">
        <v>49</v>
      </c>
      <c r="I2067" s="4" t="s">
        <v>6005</v>
      </c>
      <c r="J2067" s="4" t="s">
        <v>121</v>
      </c>
      <c r="K2067" s="5" t="str">
        <f t="shared" si="49"/>
        <v>View Creative</v>
      </c>
      <c r="L2067" s="4" t="s">
        <v>106</v>
      </c>
      <c r="M2067" s="4" t="s">
        <v>5965</v>
      </c>
      <c r="O2067" s="4" t="s">
        <v>63</v>
      </c>
      <c r="P2067" s="4" t="s">
        <v>64</v>
      </c>
    </row>
    <row r="2068">
      <c r="A2068" s="4" t="s">
        <v>5965</v>
      </c>
      <c r="B2068" s="4" t="s">
        <v>5965</v>
      </c>
      <c r="C2068" s="4">
        <v>457.0</v>
      </c>
      <c r="D2068" s="5" t="str">
        <f>HYPERLINK("https://www.linkedin.com/ad-library/detail/1516306436","Open Ad")</f>
        <v>Open Ad</v>
      </c>
      <c r="E2068" s="4" t="s">
        <v>121</v>
      </c>
      <c r="F2068" s="4" t="s">
        <v>54</v>
      </c>
      <c r="G2068" s="4" t="s">
        <v>6044</v>
      </c>
      <c r="H2068" s="4" t="s">
        <v>49</v>
      </c>
      <c r="I2068" s="4" t="s">
        <v>6005</v>
      </c>
      <c r="J2068" s="4" t="s">
        <v>121</v>
      </c>
      <c r="K2068" s="5" t="str">
        <f>HYPERLINK("https://dms.licdn.com/playlist/vid/v2/D4E05AQGz-rO1oWg7ZQ/mp4-720p-30fp-crf28/B4EZ.OXbZ0KoB4-/0/1784799941158?e=2147483647&amp;v=beta&amp;t=UrD2A3U5EVqZ6IpwPmbSFZu-ikVK8uBHF2MFFmv-lbo","View Creative")</f>
        <v>View Creative</v>
      </c>
      <c r="L2068" s="4" t="s">
        <v>106</v>
      </c>
      <c r="M2068" s="4" t="s">
        <v>5965</v>
      </c>
      <c r="O2068" s="4" t="s">
        <v>63</v>
      </c>
      <c r="P2068" s="4" t="s">
        <v>64</v>
      </c>
    </row>
    <row r="2069">
      <c r="A2069" s="4" t="s">
        <v>5965</v>
      </c>
      <c r="B2069" s="4" t="s">
        <v>5965</v>
      </c>
      <c r="C2069" s="4">
        <v>458.0</v>
      </c>
      <c r="D2069" s="5" t="str">
        <f>HYPERLINK("https://www.linkedin.com/ad-library/detail/1519531056","Open Ad")</f>
        <v>Open Ad</v>
      </c>
      <c r="E2069" s="4" t="s">
        <v>78</v>
      </c>
      <c r="F2069" s="4" t="s">
        <v>54</v>
      </c>
      <c r="G2069" s="4" t="s">
        <v>6029</v>
      </c>
      <c r="H2069" s="4" t="s">
        <v>49</v>
      </c>
      <c r="I2069" s="4" t="s">
        <v>6005</v>
      </c>
      <c r="J2069" s="4" t="s">
        <v>78</v>
      </c>
      <c r="K2069" s="4" t="s">
        <v>59</v>
      </c>
      <c r="L2069" s="4" t="s">
        <v>106</v>
      </c>
      <c r="M2069" s="4" t="s">
        <v>5965</v>
      </c>
      <c r="O2069" s="4" t="s">
        <v>63</v>
      </c>
      <c r="P2069" s="4" t="s">
        <v>64</v>
      </c>
    </row>
    <row r="2070">
      <c r="A2070" s="4" t="s">
        <v>5965</v>
      </c>
      <c r="B2070" s="4" t="s">
        <v>5965</v>
      </c>
      <c r="C2070" s="4">
        <v>459.0</v>
      </c>
      <c r="D2070" s="5" t="str">
        <f>HYPERLINK("https://www.linkedin.com/ad-library/detail/1516306466","Open Ad")</f>
        <v>Open Ad</v>
      </c>
      <c r="E2070" s="4" t="s">
        <v>121</v>
      </c>
      <c r="F2070" s="4" t="s">
        <v>54</v>
      </c>
      <c r="G2070" s="4" t="s">
        <v>6044</v>
      </c>
      <c r="H2070" s="4" t="s">
        <v>49</v>
      </c>
      <c r="I2070" s="4" t="s">
        <v>6005</v>
      </c>
      <c r="J2070" s="4" t="s">
        <v>121</v>
      </c>
      <c r="K2070" s="5" t="str">
        <f>HYPERLINK("https://dms.licdn.com/playlist/vid/v2/D4E05AQGz-rO1oWg7ZQ/mp4-720p-30fp-crf28/B4EZ.OXbZ0KoB4-/0/1784799941158?e=2147483647&amp;v=beta&amp;t=UrD2A3U5EVqZ6IpwPmbSFZu-ikVK8uBHF2MFFmv-lbo","View Creative")</f>
        <v>View Creative</v>
      </c>
      <c r="L2070" s="4" t="s">
        <v>106</v>
      </c>
      <c r="M2070" s="4" t="s">
        <v>5965</v>
      </c>
      <c r="O2070" s="4" t="s">
        <v>63</v>
      </c>
      <c r="P2070" s="4" t="s">
        <v>64</v>
      </c>
    </row>
    <row r="2071">
      <c r="A2071" s="4" t="s">
        <v>5965</v>
      </c>
      <c r="B2071" s="4" t="s">
        <v>5965</v>
      </c>
      <c r="C2071" s="4">
        <v>460.0</v>
      </c>
      <c r="D2071" s="5" t="str">
        <f>HYPERLINK("https://www.linkedin.com/ad-library/detail/1519511256","Open Ad")</f>
        <v>Open Ad</v>
      </c>
      <c r="E2071" s="4" t="s">
        <v>78</v>
      </c>
      <c r="F2071" s="4" t="s">
        <v>54</v>
      </c>
      <c r="G2071" s="4" t="s">
        <v>6036</v>
      </c>
      <c r="H2071" s="4" t="s">
        <v>49</v>
      </c>
      <c r="I2071" s="4" t="s">
        <v>6005</v>
      </c>
      <c r="J2071" s="4" t="s">
        <v>78</v>
      </c>
      <c r="K2071" s="4" t="s">
        <v>59</v>
      </c>
      <c r="L2071" s="4" t="s">
        <v>106</v>
      </c>
      <c r="M2071" s="4" t="s">
        <v>5965</v>
      </c>
      <c r="O2071" s="4" t="s">
        <v>63</v>
      </c>
      <c r="P2071" s="4" t="s">
        <v>64</v>
      </c>
    </row>
    <row r="2072">
      <c r="A2072" s="4" t="s">
        <v>5965</v>
      </c>
      <c r="B2072" s="4" t="s">
        <v>5965</v>
      </c>
      <c r="C2072" s="4">
        <v>461.0</v>
      </c>
      <c r="D2072" s="5" t="str">
        <f>HYPERLINK("https://www.linkedin.com/ad-library/detail/1519451526","Open Ad")</f>
        <v>Open Ad</v>
      </c>
      <c r="E2072" s="4" t="s">
        <v>78</v>
      </c>
      <c r="F2072" s="4" t="s">
        <v>54</v>
      </c>
      <c r="G2072" s="4" t="s">
        <v>6029</v>
      </c>
      <c r="H2072" s="4" t="s">
        <v>49</v>
      </c>
      <c r="I2072" s="4" t="s">
        <v>6005</v>
      </c>
      <c r="J2072" s="4" t="s">
        <v>78</v>
      </c>
      <c r="K2072" s="4" t="s">
        <v>59</v>
      </c>
      <c r="L2072" s="4" t="s">
        <v>106</v>
      </c>
      <c r="M2072" s="4" t="s">
        <v>5965</v>
      </c>
      <c r="O2072" s="4" t="s">
        <v>63</v>
      </c>
      <c r="P2072" s="4" t="s">
        <v>64</v>
      </c>
    </row>
    <row r="2073">
      <c r="A2073" s="4" t="s">
        <v>5965</v>
      </c>
      <c r="B2073" s="4" t="s">
        <v>5965</v>
      </c>
      <c r="C2073" s="4">
        <v>462.0</v>
      </c>
      <c r="D2073" s="5" t="str">
        <f>HYPERLINK("https://www.linkedin.com/ad-library/detail/1516355456","Open Ad")</f>
        <v>Open Ad</v>
      </c>
      <c r="E2073" s="4" t="s">
        <v>121</v>
      </c>
      <c r="F2073" s="4" t="s">
        <v>54</v>
      </c>
      <c r="G2073" s="4" t="s">
        <v>6044</v>
      </c>
      <c r="H2073" s="4" t="s">
        <v>49</v>
      </c>
      <c r="I2073" s="4" t="s">
        <v>6005</v>
      </c>
      <c r="J2073" s="4" t="s">
        <v>121</v>
      </c>
      <c r="K2073" s="5" t="str">
        <f>HYPERLINK("https://dms.licdn.com/playlist/vid/v2/D4E05AQGz-rO1oWg7ZQ/mp4-720p-30fp-crf28/B4EZ.OXbZ0KoB4-/0/1784799941158?e=2147483647&amp;v=beta&amp;t=UrD2A3U5EVqZ6IpwPmbSFZu-ikVK8uBHF2MFFmv-lbo","View Creative")</f>
        <v>View Creative</v>
      </c>
      <c r="L2073" s="4" t="s">
        <v>106</v>
      </c>
      <c r="M2073" s="4" t="s">
        <v>5965</v>
      </c>
      <c r="O2073" s="4" t="s">
        <v>63</v>
      </c>
      <c r="P2073" s="4" t="s">
        <v>64</v>
      </c>
    </row>
    <row r="2074">
      <c r="A2074" s="4" t="s">
        <v>5965</v>
      </c>
      <c r="B2074" s="4" t="s">
        <v>5965</v>
      </c>
      <c r="C2074" s="4">
        <v>463.0</v>
      </c>
      <c r="D2074" s="5" t="str">
        <f>HYPERLINK("https://www.linkedin.com/ad-library/detail/1476771434","Open Ad")</f>
        <v>Open Ad</v>
      </c>
      <c r="E2074" s="4" t="s">
        <v>78</v>
      </c>
      <c r="F2074" s="4" t="s">
        <v>54</v>
      </c>
      <c r="G2074" s="8" t="s">
        <v>6296</v>
      </c>
      <c r="H2074" s="4" t="s">
        <v>49</v>
      </c>
      <c r="I2074" s="4" t="s">
        <v>6005</v>
      </c>
      <c r="J2074" s="4" t="s">
        <v>78</v>
      </c>
      <c r="K2074" s="5" t="str">
        <f>HYPERLINK("https://media.licdn.com/dms/image/v2/D4E22AQGpcCW171s7XQ/feedshare-image-high-res/B4EZ48NEUUKQAU-/0/1779126519344?e=2147483647&amp;v=beta&amp;t=qtKlxqfofONgIfGH2M0a_hcnI2zE1Cnk944xMnVrZkY","View Creative")</f>
        <v>View Creative</v>
      </c>
      <c r="L2074" s="4" t="s">
        <v>106</v>
      </c>
      <c r="M2074" s="4" t="s">
        <v>5965</v>
      </c>
      <c r="O2074" s="4" t="s">
        <v>63</v>
      </c>
      <c r="P2074" s="4" t="s">
        <v>64</v>
      </c>
    </row>
    <row r="2075">
      <c r="A2075" s="4" t="s">
        <v>5965</v>
      </c>
      <c r="B2075" s="4" t="s">
        <v>5965</v>
      </c>
      <c r="C2075" s="4">
        <v>464.0</v>
      </c>
      <c r="D2075" s="5" t="str">
        <f>HYPERLINK("https://www.linkedin.com/ad-library/detail/1519560056","Open Ad")</f>
        <v>Open Ad</v>
      </c>
      <c r="E2075" s="4" t="s">
        <v>78</v>
      </c>
      <c r="F2075" s="4" t="s">
        <v>54</v>
      </c>
      <c r="G2075" s="4" t="s">
        <v>6036</v>
      </c>
      <c r="H2075" s="4" t="s">
        <v>49</v>
      </c>
      <c r="I2075" s="4" t="s">
        <v>6005</v>
      </c>
      <c r="J2075" s="4" t="s">
        <v>78</v>
      </c>
      <c r="K2075" s="4" t="s">
        <v>59</v>
      </c>
      <c r="L2075" s="4" t="s">
        <v>106</v>
      </c>
      <c r="M2075" s="4" t="s">
        <v>5965</v>
      </c>
      <c r="O2075" s="4" t="s">
        <v>63</v>
      </c>
      <c r="P2075" s="4" t="s">
        <v>64</v>
      </c>
    </row>
    <row r="2076">
      <c r="A2076" s="4" t="s">
        <v>5965</v>
      </c>
      <c r="B2076" s="4" t="s">
        <v>5965</v>
      </c>
      <c r="C2076" s="4">
        <v>465.0</v>
      </c>
      <c r="D2076" s="5" t="str">
        <f>HYPERLINK("https://www.linkedin.com/ad-library/detail/1516186926","Open Ad")</f>
        <v>Open Ad</v>
      </c>
      <c r="E2076" s="4" t="s">
        <v>121</v>
      </c>
      <c r="F2076" s="4" t="s">
        <v>54</v>
      </c>
      <c r="G2076" s="4" t="s">
        <v>6044</v>
      </c>
      <c r="H2076" s="4" t="s">
        <v>49</v>
      </c>
      <c r="I2076" s="4" t="s">
        <v>6005</v>
      </c>
      <c r="J2076" s="4" t="s">
        <v>121</v>
      </c>
      <c r="K2076" s="5" t="str">
        <f t="shared" ref="K2076:K2078" si="50">HYPERLINK("https://dms.licdn.com/playlist/vid/v2/D4E05AQGz-rO1oWg7ZQ/mp4-720p-30fp-crf28/B4EZ.OXbZ0KoB4-/0/1784799941158?e=2147483647&amp;v=beta&amp;t=UrD2A3U5EVqZ6IpwPmbSFZu-ikVK8uBHF2MFFmv-lbo","View Creative")</f>
        <v>View Creative</v>
      </c>
      <c r="L2076" s="4" t="s">
        <v>106</v>
      </c>
      <c r="M2076" s="4" t="s">
        <v>5965</v>
      </c>
      <c r="O2076" s="4" t="s">
        <v>63</v>
      </c>
      <c r="P2076" s="4" t="s">
        <v>64</v>
      </c>
    </row>
    <row r="2077">
      <c r="A2077" s="4" t="s">
        <v>5965</v>
      </c>
      <c r="B2077" s="4" t="s">
        <v>5965</v>
      </c>
      <c r="C2077" s="4">
        <v>466.0</v>
      </c>
      <c r="D2077" s="5" t="str">
        <f>HYPERLINK("https://www.linkedin.com/ad-library/detail/1516186946","Open Ad")</f>
        <v>Open Ad</v>
      </c>
      <c r="E2077" s="4" t="s">
        <v>121</v>
      </c>
      <c r="F2077" s="4" t="s">
        <v>54</v>
      </c>
      <c r="G2077" s="4" t="s">
        <v>6044</v>
      </c>
      <c r="H2077" s="4" t="s">
        <v>49</v>
      </c>
      <c r="I2077" s="4" t="s">
        <v>6005</v>
      </c>
      <c r="J2077" s="4" t="s">
        <v>121</v>
      </c>
      <c r="K2077" s="5" t="str">
        <f t="shared" si="50"/>
        <v>View Creative</v>
      </c>
      <c r="L2077" s="4" t="s">
        <v>106</v>
      </c>
      <c r="M2077" s="4" t="s">
        <v>5965</v>
      </c>
      <c r="O2077" s="4" t="s">
        <v>63</v>
      </c>
      <c r="P2077" s="4" t="s">
        <v>64</v>
      </c>
    </row>
    <row r="2078">
      <c r="A2078" s="4" t="s">
        <v>5965</v>
      </c>
      <c r="B2078" s="4" t="s">
        <v>5965</v>
      </c>
      <c r="C2078" s="4">
        <v>467.0</v>
      </c>
      <c r="D2078" s="5" t="str">
        <f>HYPERLINK("https://www.linkedin.com/ad-library/detail/1516256086","Open Ad")</f>
        <v>Open Ad</v>
      </c>
      <c r="E2078" s="4" t="s">
        <v>121</v>
      </c>
      <c r="F2078" s="4" t="s">
        <v>54</v>
      </c>
      <c r="G2078" s="4" t="s">
        <v>6044</v>
      </c>
      <c r="H2078" s="4" t="s">
        <v>49</v>
      </c>
      <c r="I2078" s="4" t="s">
        <v>6005</v>
      </c>
      <c r="J2078" s="4" t="s">
        <v>121</v>
      </c>
      <c r="K2078" s="5" t="str">
        <f t="shared" si="50"/>
        <v>View Creative</v>
      </c>
      <c r="L2078" s="4" t="s">
        <v>106</v>
      </c>
      <c r="M2078" s="4" t="s">
        <v>5965</v>
      </c>
      <c r="O2078" s="4" t="s">
        <v>63</v>
      </c>
      <c r="P2078" s="4" t="s">
        <v>64</v>
      </c>
    </row>
    <row r="2079">
      <c r="A2079" s="4" t="s">
        <v>5965</v>
      </c>
      <c r="B2079" s="4" t="s">
        <v>5965</v>
      </c>
      <c r="C2079" s="4">
        <v>468.0</v>
      </c>
      <c r="D2079" s="5" t="str">
        <f>HYPERLINK("https://www.linkedin.com/ad-library/detail/1476549384","Open Ad")</f>
        <v>Open Ad</v>
      </c>
      <c r="E2079" s="4" t="s">
        <v>78</v>
      </c>
      <c r="F2079" s="4" t="s">
        <v>54</v>
      </c>
      <c r="G2079" s="8" t="s">
        <v>6284</v>
      </c>
      <c r="H2079" s="4" t="s">
        <v>49</v>
      </c>
      <c r="I2079" s="4" t="s">
        <v>6005</v>
      </c>
      <c r="J2079" s="4" t="s">
        <v>78</v>
      </c>
      <c r="K2079" s="5" t="str">
        <f>HYPERLINK("https://media.licdn.com/dms/image/v2/D4E22AQHR6Egnuw3qVw/feedshare-image-high-res/B4EZ3z.h4pIwAU-/0/1777914748769?e=2147483647&amp;v=beta&amp;t=irHH_77wAYeH-Ii3d_bji7h-P_31fkrfntPhqu4X-g0","View Creative")</f>
        <v>View Creative</v>
      </c>
      <c r="L2079" s="4" t="s">
        <v>106</v>
      </c>
      <c r="M2079" s="4" t="s">
        <v>5965</v>
      </c>
      <c r="O2079" s="4" t="s">
        <v>63</v>
      </c>
      <c r="P2079" s="4" t="s">
        <v>64</v>
      </c>
    </row>
    <row r="2080">
      <c r="A2080" s="4" t="s">
        <v>5965</v>
      </c>
      <c r="B2080" s="4" t="s">
        <v>5965</v>
      </c>
      <c r="C2080" s="4">
        <v>469.0</v>
      </c>
      <c r="D2080" s="5" t="str">
        <f>HYPERLINK("https://www.linkedin.com/ad-library/detail/1516186936","Open Ad")</f>
        <v>Open Ad</v>
      </c>
      <c r="E2080" s="4" t="s">
        <v>121</v>
      </c>
      <c r="F2080" s="4" t="s">
        <v>54</v>
      </c>
      <c r="G2080" s="4" t="s">
        <v>6044</v>
      </c>
      <c r="H2080" s="4" t="s">
        <v>49</v>
      </c>
      <c r="I2080" s="4" t="s">
        <v>6005</v>
      </c>
      <c r="J2080" s="4" t="s">
        <v>121</v>
      </c>
      <c r="K2080" s="5" t="str">
        <f>HYPERLINK("https://dms.licdn.com/playlist/vid/v2/D4E05AQGz-rO1oWg7ZQ/mp4-720p-30fp-crf28/B4EZ.OXbZ0KoB4-/0/1784799941158?e=2147483647&amp;v=beta&amp;t=UrD2A3U5EVqZ6IpwPmbSFZu-ikVK8uBHF2MFFmv-lbo","View Creative")</f>
        <v>View Creative</v>
      </c>
      <c r="L2080" s="4" t="s">
        <v>106</v>
      </c>
      <c r="M2080" s="4" t="s">
        <v>5965</v>
      </c>
      <c r="O2080" s="4" t="s">
        <v>63</v>
      </c>
      <c r="P2080" s="4" t="s">
        <v>64</v>
      </c>
    </row>
    <row r="2081">
      <c r="A2081" s="4" t="s">
        <v>5965</v>
      </c>
      <c r="B2081" s="4" t="s">
        <v>5965</v>
      </c>
      <c r="C2081" s="4">
        <v>470.0</v>
      </c>
      <c r="D2081" s="5" t="str">
        <f>HYPERLINK("https://www.linkedin.com/ad-library/detail/1514100826","Open Ad")</f>
        <v>Open Ad</v>
      </c>
      <c r="E2081" s="4" t="s">
        <v>78</v>
      </c>
      <c r="F2081" s="4" t="s">
        <v>54</v>
      </c>
      <c r="G2081" s="4" t="s">
        <v>6036</v>
      </c>
      <c r="H2081" s="4" t="s">
        <v>49</v>
      </c>
      <c r="I2081" s="4" t="s">
        <v>6005</v>
      </c>
      <c r="J2081" s="4" t="s">
        <v>78</v>
      </c>
      <c r="K2081" s="4" t="s">
        <v>59</v>
      </c>
      <c r="L2081" s="4" t="s">
        <v>106</v>
      </c>
      <c r="M2081" s="4" t="s">
        <v>5965</v>
      </c>
      <c r="O2081" s="4" t="s">
        <v>63</v>
      </c>
      <c r="P2081" s="4" t="s">
        <v>64</v>
      </c>
    </row>
    <row r="2082">
      <c r="A2082" s="4" t="s">
        <v>5965</v>
      </c>
      <c r="B2082" s="4" t="s">
        <v>5965</v>
      </c>
      <c r="C2082" s="4">
        <v>471.0</v>
      </c>
      <c r="D2082" s="5" t="str">
        <f>HYPERLINK("https://www.linkedin.com/ad-library/detail/1476638914","Open Ad")</f>
        <v>Open Ad</v>
      </c>
      <c r="E2082" s="4" t="s">
        <v>78</v>
      </c>
      <c r="F2082" s="4" t="s">
        <v>54</v>
      </c>
      <c r="G2082" s="4" t="s">
        <v>6274</v>
      </c>
      <c r="H2082" s="4" t="s">
        <v>49</v>
      </c>
      <c r="I2082" s="4" t="s">
        <v>6005</v>
      </c>
      <c r="J2082" s="4" t="s">
        <v>78</v>
      </c>
      <c r="K2082" s="5" t="str">
        <f>HYPERLINK("https://media.licdn.com/dms/image/v2/D4E22AQHsQ-iOOBVXNQ/feedshare-image-high-res/B4EZ3zc4feIMAU-/0/1777905928447?e=2147483647&amp;v=beta&amp;t=L85KO8sqzgVngpfzlmmQ-Vk_qUWT3Jv-gk6ym1-cDss","View Creative")</f>
        <v>View Creative</v>
      </c>
      <c r="L2082" s="4" t="s">
        <v>106</v>
      </c>
      <c r="M2082" s="4" t="s">
        <v>5965</v>
      </c>
      <c r="O2082" s="4" t="s">
        <v>63</v>
      </c>
      <c r="P2082" s="4" t="s">
        <v>64</v>
      </c>
    </row>
    <row r="2083">
      <c r="A2083" s="4" t="s">
        <v>5965</v>
      </c>
      <c r="B2083" s="4" t="s">
        <v>5965</v>
      </c>
      <c r="C2083" s="4">
        <v>472.0</v>
      </c>
      <c r="D2083" s="5" t="str">
        <f>HYPERLINK("https://www.linkedin.com/ad-library/detail/1476853634","Open Ad")</f>
        <v>Open Ad</v>
      </c>
      <c r="E2083" s="4" t="s">
        <v>121</v>
      </c>
      <c r="F2083" s="4" t="s">
        <v>54</v>
      </c>
      <c r="G2083" s="4" t="s">
        <v>6055</v>
      </c>
      <c r="H2083" s="4" t="s">
        <v>49</v>
      </c>
      <c r="I2083" s="4" t="s">
        <v>6005</v>
      </c>
      <c r="J2083" s="4" t="s">
        <v>121</v>
      </c>
      <c r="K2083" s="5" t="str">
        <f>HYPERLINK("https://dms.licdn.com/playlist/vid/v2/D5610AQEgZSN1R6lkQg/mp4-360p-30fp-crf28/B56Z.pe6eZJoBg-/0/1785254888120?e=2147483647&amp;v=beta&amp;t=5h1R6KvMhc0CxepDbbh4l98qEndRxnaP-BM6oZz1ryY","View Creative")</f>
        <v>View Creative</v>
      </c>
      <c r="L2083" s="4" t="s">
        <v>106</v>
      </c>
      <c r="M2083" s="4" t="s">
        <v>5965</v>
      </c>
      <c r="O2083" s="4" t="s">
        <v>63</v>
      </c>
      <c r="P2083" s="4" t="s">
        <v>64</v>
      </c>
    </row>
    <row r="2084">
      <c r="A2084" s="4" t="s">
        <v>5965</v>
      </c>
      <c r="B2084" s="4" t="s">
        <v>5965</v>
      </c>
      <c r="C2084" s="4">
        <v>473.0</v>
      </c>
      <c r="D2084" s="5" t="str">
        <f>HYPERLINK("https://www.linkedin.com/ad-library/detail/1525911066","Open Ad")</f>
        <v>Open Ad</v>
      </c>
      <c r="E2084" s="4" t="s">
        <v>78</v>
      </c>
      <c r="F2084" s="4" t="s">
        <v>54</v>
      </c>
      <c r="G2084" s="4" t="s">
        <v>6369</v>
      </c>
      <c r="H2084" s="4" t="s">
        <v>49</v>
      </c>
      <c r="I2084" s="4" t="s">
        <v>6005</v>
      </c>
      <c r="J2084" s="4" t="s">
        <v>78</v>
      </c>
      <c r="K2084" s="5" t="str">
        <f>HYPERLINK("https://media.licdn.com/dms/image/v2/D4E22AQF2237TIe76Vg/feedshare-image-high-res/B4EZ.jo3p3JQAU-/0/1785156828787?e=2147483647&amp;v=beta&amp;t=yI9Q_5Dz5AdUxnmlAvbzTkwa3kLV4EzXS8wB49lC80s","View Creative")</f>
        <v>View Creative</v>
      </c>
      <c r="L2084" s="4" t="s">
        <v>106</v>
      </c>
      <c r="M2084" s="4" t="s">
        <v>5965</v>
      </c>
      <c r="O2084" s="4" t="s">
        <v>63</v>
      </c>
      <c r="P2084" s="4" t="s">
        <v>64</v>
      </c>
    </row>
    <row r="2085">
      <c r="A2085" s="4" t="s">
        <v>5965</v>
      </c>
      <c r="B2085" s="4" t="s">
        <v>5965</v>
      </c>
      <c r="C2085" s="4">
        <v>474.0</v>
      </c>
      <c r="D2085" s="5" t="str">
        <f>HYPERLINK("https://www.linkedin.com/ad-library/detail/1476579104","Open Ad")</f>
        <v>Open Ad</v>
      </c>
      <c r="E2085" s="4" t="s">
        <v>78</v>
      </c>
      <c r="F2085" s="4" t="s">
        <v>54</v>
      </c>
      <c r="G2085" s="8" t="s">
        <v>6289</v>
      </c>
      <c r="H2085" s="4" t="s">
        <v>49</v>
      </c>
      <c r="I2085" s="4" t="s">
        <v>6005</v>
      </c>
      <c r="J2085" s="4" t="s">
        <v>78</v>
      </c>
      <c r="K2085" s="5" t="str">
        <f>HYPERLINK("https://media.licdn.com/dms/image/v2/D4E22AQGUgWvCy3EsCA/feedshare-image-high-res/B4EZ5MfammIIAU-/0/1779399764662?e=2147483647&amp;v=beta&amp;t=RDqRNBrhkZWz3rWfPv8WhtKpVkgRrzMA6KFe_K4nRWM","View Creative")</f>
        <v>View Creative</v>
      </c>
      <c r="L2085" s="4" t="s">
        <v>106</v>
      </c>
      <c r="M2085" s="4" t="s">
        <v>5965</v>
      </c>
      <c r="O2085" s="4" t="s">
        <v>63</v>
      </c>
      <c r="P2085" s="4" t="s">
        <v>64</v>
      </c>
    </row>
    <row r="2086">
      <c r="A2086" s="4" t="s">
        <v>5965</v>
      </c>
      <c r="B2086" s="4" t="s">
        <v>5965</v>
      </c>
      <c r="C2086" s="4">
        <v>475.0</v>
      </c>
      <c r="D2086" s="5" t="str">
        <f>HYPERLINK("https://www.linkedin.com/ad-library/detail/1476579114","Open Ad")</f>
        <v>Open Ad</v>
      </c>
      <c r="E2086" s="4" t="s">
        <v>78</v>
      </c>
      <c r="F2086" s="4" t="s">
        <v>54</v>
      </c>
      <c r="G2086" s="8" t="s">
        <v>6282</v>
      </c>
      <c r="H2086" s="4" t="s">
        <v>49</v>
      </c>
      <c r="I2086" s="4" t="s">
        <v>6005</v>
      </c>
      <c r="J2086" s="4" t="s">
        <v>78</v>
      </c>
      <c r="K2086" s="5" t="str">
        <f>HYPERLINK("https://media.licdn.com/dms/image/v2/D4E22AQHqQ5H73IKatQ/feedshare-image-high-res/B4EZ3zzSFiHMAU-/0/1777911800529?e=2147483647&amp;v=beta&amp;t=qblordAcoyQ1q4SnwDGV-PHk-smYhZECyzWyulo8f9s","View Creative")</f>
        <v>View Creative</v>
      </c>
      <c r="L2086" s="4" t="s">
        <v>106</v>
      </c>
      <c r="M2086" s="4" t="s">
        <v>5965</v>
      </c>
      <c r="O2086" s="4" t="s">
        <v>63</v>
      </c>
      <c r="P2086" s="4" t="s">
        <v>64</v>
      </c>
    </row>
    <row r="2087">
      <c r="A2087" s="4" t="s">
        <v>5965</v>
      </c>
      <c r="B2087" s="4" t="s">
        <v>5965</v>
      </c>
      <c r="C2087" s="4">
        <v>476.0</v>
      </c>
      <c r="D2087" s="5" t="str">
        <f>HYPERLINK("https://www.linkedin.com/ad-library/detail/1514127246","Open Ad")</f>
        <v>Open Ad</v>
      </c>
      <c r="E2087" s="4" t="s">
        <v>121</v>
      </c>
      <c r="F2087" s="4" t="s">
        <v>54</v>
      </c>
      <c r="G2087" s="4" t="s">
        <v>6044</v>
      </c>
      <c r="H2087" s="4" t="s">
        <v>49</v>
      </c>
      <c r="I2087" s="4" t="s">
        <v>6005</v>
      </c>
      <c r="J2087" s="4" t="s">
        <v>121</v>
      </c>
      <c r="K2087" s="5" t="str">
        <f t="shared" ref="K2087:K2088" si="51">HYPERLINK("https://dms.licdn.com/playlist/vid/v2/D4E05AQGz-rO1oWg7ZQ/mp4-720p-30fp-crf28/B4EZ.OXbZ0KoB4-/0/1784799941158?e=2147483647&amp;v=beta&amp;t=UrD2A3U5EVqZ6IpwPmbSFZu-ikVK8uBHF2MFFmv-lbo","View Creative")</f>
        <v>View Creative</v>
      </c>
      <c r="L2087" s="4" t="s">
        <v>106</v>
      </c>
      <c r="M2087" s="4" t="s">
        <v>5965</v>
      </c>
      <c r="O2087" s="4" t="s">
        <v>63</v>
      </c>
      <c r="P2087" s="4" t="s">
        <v>64</v>
      </c>
    </row>
    <row r="2088">
      <c r="A2088" s="4" t="s">
        <v>5965</v>
      </c>
      <c r="B2088" s="4" t="s">
        <v>5965</v>
      </c>
      <c r="C2088" s="4">
        <v>477.0</v>
      </c>
      <c r="D2088" s="5" t="str">
        <f>HYPERLINK("https://www.linkedin.com/ad-library/detail/1514166416","Open Ad")</f>
        <v>Open Ad</v>
      </c>
      <c r="E2088" s="4" t="s">
        <v>121</v>
      </c>
      <c r="F2088" s="4" t="s">
        <v>54</v>
      </c>
      <c r="G2088" s="4" t="s">
        <v>6044</v>
      </c>
      <c r="H2088" s="4" t="s">
        <v>49</v>
      </c>
      <c r="I2088" s="4" t="s">
        <v>6005</v>
      </c>
      <c r="J2088" s="4" t="s">
        <v>121</v>
      </c>
      <c r="K2088" s="5" t="str">
        <f t="shared" si="51"/>
        <v>View Creative</v>
      </c>
      <c r="L2088" s="4" t="s">
        <v>106</v>
      </c>
      <c r="M2088" s="4" t="s">
        <v>5965</v>
      </c>
      <c r="O2088" s="4" t="s">
        <v>63</v>
      </c>
      <c r="P2088" s="4" t="s">
        <v>64</v>
      </c>
    </row>
    <row r="2089">
      <c r="A2089" s="4" t="s">
        <v>5965</v>
      </c>
      <c r="B2089" s="4" t="s">
        <v>5965</v>
      </c>
      <c r="C2089" s="4">
        <v>478.0</v>
      </c>
      <c r="D2089" s="5" t="str">
        <f>HYPERLINK("https://www.linkedin.com/ad-library/detail/1514051486","Open Ad")</f>
        <v>Open Ad</v>
      </c>
      <c r="E2089" s="4" t="s">
        <v>78</v>
      </c>
      <c r="F2089" s="4" t="s">
        <v>54</v>
      </c>
      <c r="G2089" s="4" t="s">
        <v>6029</v>
      </c>
      <c r="H2089" s="4" t="s">
        <v>49</v>
      </c>
      <c r="I2089" s="4" t="s">
        <v>6005</v>
      </c>
      <c r="J2089" s="4" t="s">
        <v>78</v>
      </c>
      <c r="K2089" s="4" t="s">
        <v>59</v>
      </c>
      <c r="L2089" s="4" t="s">
        <v>106</v>
      </c>
      <c r="M2089" s="4" t="s">
        <v>5965</v>
      </c>
      <c r="O2089" s="4" t="s">
        <v>63</v>
      </c>
      <c r="P2089" s="4" t="s">
        <v>64</v>
      </c>
    </row>
    <row r="2090">
      <c r="A2090" s="4" t="s">
        <v>5965</v>
      </c>
      <c r="B2090" s="4" t="s">
        <v>5965</v>
      </c>
      <c r="C2090" s="4">
        <v>479.0</v>
      </c>
      <c r="D2090" s="5" t="str">
        <f>HYPERLINK("https://www.linkedin.com/ad-library/detail/1516286116","Open Ad")</f>
        <v>Open Ad</v>
      </c>
      <c r="E2090" s="4" t="s">
        <v>121</v>
      </c>
      <c r="F2090" s="4" t="s">
        <v>54</v>
      </c>
      <c r="G2090" s="4" t="s">
        <v>6044</v>
      </c>
      <c r="H2090" s="4" t="s">
        <v>49</v>
      </c>
      <c r="I2090" s="4" t="s">
        <v>6005</v>
      </c>
      <c r="J2090" s="4" t="s">
        <v>121</v>
      </c>
      <c r="K2090" s="5" t="str">
        <f t="shared" ref="K2090:K2091" si="52">HYPERLINK("https://dms.licdn.com/playlist/vid/v2/D4E05AQGz-rO1oWg7ZQ/mp4-720p-30fp-crf28/B4EZ.OXbZ0KoB4-/0/1784799941158?e=2147483647&amp;v=beta&amp;t=UrD2A3U5EVqZ6IpwPmbSFZu-ikVK8uBHF2MFFmv-lbo","View Creative")</f>
        <v>View Creative</v>
      </c>
      <c r="L2090" s="4" t="s">
        <v>106</v>
      </c>
      <c r="M2090" s="4" t="s">
        <v>5965</v>
      </c>
      <c r="O2090" s="4" t="s">
        <v>63</v>
      </c>
      <c r="P2090" s="4" t="s">
        <v>64</v>
      </c>
    </row>
    <row r="2091">
      <c r="A2091" s="4" t="s">
        <v>5965</v>
      </c>
      <c r="B2091" s="4" t="s">
        <v>5965</v>
      </c>
      <c r="C2091" s="4">
        <v>480.0</v>
      </c>
      <c r="D2091" s="5" t="str">
        <f>HYPERLINK("https://www.linkedin.com/ad-library/detail/1514127276","Open Ad")</f>
        <v>Open Ad</v>
      </c>
      <c r="E2091" s="4" t="s">
        <v>121</v>
      </c>
      <c r="F2091" s="4" t="s">
        <v>54</v>
      </c>
      <c r="G2091" s="4" t="s">
        <v>6044</v>
      </c>
      <c r="H2091" s="4" t="s">
        <v>49</v>
      </c>
      <c r="I2091" s="4" t="s">
        <v>6005</v>
      </c>
      <c r="J2091" s="4" t="s">
        <v>121</v>
      </c>
      <c r="K2091" s="5" t="str">
        <f t="shared" si="52"/>
        <v>View Creative</v>
      </c>
      <c r="L2091" s="4" t="s">
        <v>106</v>
      </c>
      <c r="M2091" s="4" t="s">
        <v>5965</v>
      </c>
      <c r="O2091" s="4" t="s">
        <v>63</v>
      </c>
      <c r="P2091" s="4" t="s">
        <v>64</v>
      </c>
    </row>
    <row r="2092">
      <c r="A2092" s="4" t="s">
        <v>5965</v>
      </c>
      <c r="B2092" s="4" t="s">
        <v>5965</v>
      </c>
      <c r="C2092" s="4">
        <v>481.0</v>
      </c>
      <c r="D2092" s="5" t="str">
        <f>HYPERLINK("https://www.linkedin.com/ad-library/detail/1512808476","Open Ad")</f>
        <v>Open Ad</v>
      </c>
      <c r="E2092" s="4" t="s">
        <v>78</v>
      </c>
      <c r="F2092" s="4" t="s">
        <v>54</v>
      </c>
      <c r="G2092" s="4" t="s">
        <v>6067</v>
      </c>
      <c r="H2092" s="4" t="s">
        <v>49</v>
      </c>
      <c r="I2092" s="4" t="s">
        <v>6005</v>
      </c>
      <c r="J2092" s="4" t="s">
        <v>78</v>
      </c>
      <c r="K2092" s="5" t="str">
        <f>HYPERLINK("https://media.licdn.com/dms/image/v2/D5610AQEhWScG0zSsQQ/image-shrink_1280/B56Z.ALhD2HIAc-/0/1784561931707?e=2147483647&amp;v=beta&amp;t=CNNXfqX_x8NHdQnVcD2yPE1JO0w4ekTKwdMaxJHCKn4","View Creative")</f>
        <v>View Creative</v>
      </c>
      <c r="L2092" s="4" t="s">
        <v>106</v>
      </c>
      <c r="M2092" s="4" t="s">
        <v>5965</v>
      </c>
      <c r="O2092" s="4" t="s">
        <v>63</v>
      </c>
      <c r="P2092" s="4" t="s">
        <v>64</v>
      </c>
    </row>
    <row r="2093">
      <c r="A2093" s="4" t="s">
        <v>5965</v>
      </c>
      <c r="B2093" s="4" t="s">
        <v>5965</v>
      </c>
      <c r="C2093" s="4">
        <v>482.0</v>
      </c>
      <c r="D2093" s="5" t="str">
        <f>HYPERLINK("https://www.linkedin.com/ad-library/detail/1512942146","Open Ad")</f>
        <v>Open Ad</v>
      </c>
      <c r="E2093" s="4" t="s">
        <v>78</v>
      </c>
      <c r="F2093" s="4" t="s">
        <v>54</v>
      </c>
      <c r="G2093" s="4" t="s">
        <v>6375</v>
      </c>
      <c r="H2093" s="4" t="s">
        <v>49</v>
      </c>
      <c r="I2093" s="4" t="s">
        <v>6005</v>
      </c>
      <c r="J2093" s="4" t="s">
        <v>78</v>
      </c>
      <c r="K2093" s="5" t="str">
        <f>HYPERLINK("https://media.licdn.com/dms/image/v2/D5610AQGmRdXpmMu5Fg/image-shrink_1280/B56Z.FznkcGgAc-/0/1784656329684?e=2147483647&amp;v=beta&amp;t=KevfNG51vRr-UQ3Y1iwDu9tckHQMfK2HWbONWRk7qj4","View Creative")</f>
        <v>View Creative</v>
      </c>
      <c r="L2093" s="4" t="s">
        <v>106</v>
      </c>
      <c r="M2093" s="4" t="s">
        <v>5965</v>
      </c>
      <c r="O2093" s="4" t="s">
        <v>63</v>
      </c>
      <c r="P2093" s="4" t="s">
        <v>64</v>
      </c>
    </row>
    <row r="2094">
      <c r="A2094" s="4" t="s">
        <v>5965</v>
      </c>
      <c r="B2094" s="4" t="s">
        <v>5965</v>
      </c>
      <c r="C2094" s="4">
        <v>483.0</v>
      </c>
      <c r="D2094" s="5" t="str">
        <f>HYPERLINK("https://www.linkedin.com/ad-library/detail/1512950716","Open Ad")</f>
        <v>Open Ad</v>
      </c>
      <c r="E2094" s="4" t="s">
        <v>78</v>
      </c>
      <c r="F2094" s="4" t="s">
        <v>54</v>
      </c>
      <c r="G2094" s="4" t="s">
        <v>6292</v>
      </c>
      <c r="H2094" s="4" t="s">
        <v>49</v>
      </c>
      <c r="I2094" s="4" t="s">
        <v>6005</v>
      </c>
      <c r="J2094" s="4" t="s">
        <v>78</v>
      </c>
      <c r="K2094" s="5" t="str">
        <f>HYPERLINK("https://media.licdn.com/dms/image/v2/D5610AQFCx_YJc45xmQ/image-shrink_1280/B56Z9_1kn.GsAg-/0/1784556178150?e=2147483647&amp;v=beta&amp;t=f1YUvgvX1_1a1kJVoEtCFw4Vo-6pu3fvcM8OtM7KrGI","View Creative")</f>
        <v>View Creative</v>
      </c>
      <c r="L2094" s="4" t="s">
        <v>106</v>
      </c>
      <c r="M2094" s="4" t="s">
        <v>5965</v>
      </c>
      <c r="O2094" s="4" t="s">
        <v>63</v>
      </c>
      <c r="P2094" s="4" t="s">
        <v>64</v>
      </c>
    </row>
    <row r="2095">
      <c r="A2095" s="4" t="s">
        <v>5965</v>
      </c>
      <c r="B2095" s="4" t="s">
        <v>5965</v>
      </c>
      <c r="C2095" s="4">
        <v>484.0</v>
      </c>
      <c r="D2095" s="5" t="str">
        <f>HYPERLINK("https://www.linkedin.com/ad-library/detail/1512922536","Open Ad")</f>
        <v>Open Ad</v>
      </c>
      <c r="E2095" s="4" t="s">
        <v>78</v>
      </c>
      <c r="F2095" s="4" t="s">
        <v>54</v>
      </c>
      <c r="G2095" s="4" t="s">
        <v>6375</v>
      </c>
      <c r="H2095" s="4" t="s">
        <v>49</v>
      </c>
      <c r="I2095" s="4" t="s">
        <v>6005</v>
      </c>
      <c r="J2095" s="4" t="s">
        <v>78</v>
      </c>
      <c r="K2095" s="5" t="str">
        <f t="shared" ref="K2095:K2096" si="53">HYPERLINK("https://media.licdn.com/dms/image/v2/D5610AQGmRdXpmMu5Fg/image-shrink_1280/B56Z.FznkcGgAc-/0/1784656329684?e=2147483647&amp;v=beta&amp;t=KevfNG51vRr-UQ3Y1iwDu9tckHQMfK2HWbONWRk7qj4","View Creative")</f>
        <v>View Creative</v>
      </c>
      <c r="L2095" s="4" t="s">
        <v>106</v>
      </c>
      <c r="M2095" s="4" t="s">
        <v>5965</v>
      </c>
      <c r="O2095" s="4" t="s">
        <v>63</v>
      </c>
      <c r="P2095" s="4" t="s">
        <v>64</v>
      </c>
    </row>
    <row r="2096">
      <c r="A2096" s="4" t="s">
        <v>5965</v>
      </c>
      <c r="B2096" s="4" t="s">
        <v>5965</v>
      </c>
      <c r="C2096" s="4">
        <v>485.0</v>
      </c>
      <c r="D2096" s="5" t="str">
        <f>HYPERLINK("https://www.linkedin.com/ad-library/detail/1512798306","Open Ad")</f>
        <v>Open Ad</v>
      </c>
      <c r="E2096" s="4" t="s">
        <v>78</v>
      </c>
      <c r="F2096" s="4" t="s">
        <v>54</v>
      </c>
      <c r="G2096" s="4" t="s">
        <v>6375</v>
      </c>
      <c r="H2096" s="4" t="s">
        <v>49</v>
      </c>
      <c r="I2096" s="4" t="s">
        <v>6005</v>
      </c>
      <c r="J2096" s="4" t="s">
        <v>78</v>
      </c>
      <c r="K2096" s="5" t="str">
        <f t="shared" si="53"/>
        <v>View Creative</v>
      </c>
      <c r="L2096" s="4" t="s">
        <v>106</v>
      </c>
      <c r="M2096" s="4" t="s">
        <v>5965</v>
      </c>
      <c r="O2096" s="4" t="s">
        <v>63</v>
      </c>
      <c r="P2096" s="4" t="s">
        <v>64</v>
      </c>
    </row>
    <row r="2097">
      <c r="A2097" s="4" t="s">
        <v>5965</v>
      </c>
      <c r="B2097" s="4" t="s">
        <v>5965</v>
      </c>
      <c r="C2097" s="4">
        <v>486.0</v>
      </c>
      <c r="D2097" s="5" t="str">
        <f>HYPERLINK("https://www.linkedin.com/ad-library/detail/1512798316","Open Ad")</f>
        <v>Open Ad</v>
      </c>
      <c r="E2097" s="4" t="s">
        <v>78</v>
      </c>
      <c r="F2097" s="4" t="s">
        <v>54</v>
      </c>
      <c r="G2097" s="4" t="s">
        <v>6378</v>
      </c>
      <c r="H2097" s="4" t="s">
        <v>49</v>
      </c>
      <c r="I2097" s="4" t="s">
        <v>6005</v>
      </c>
      <c r="J2097" s="4" t="s">
        <v>78</v>
      </c>
      <c r="K2097" s="5" t="str">
        <f>HYPERLINK("https://media.licdn.com/dms/image/v2/D5610AQHPtIuemE-Z6g/image-shrink_1280/B56Z.E6MnSKEAc-/0/1784641276669?e=2147483647&amp;v=beta&amp;t=C0DeRl8Zk_RdwbyGj_XOcJvUrpV9Hn_bXQqiB5PN3aA","View Creative")</f>
        <v>View Creative</v>
      </c>
      <c r="L2097" s="4" t="s">
        <v>106</v>
      </c>
      <c r="M2097" s="4" t="s">
        <v>5965</v>
      </c>
      <c r="O2097" s="4" t="s">
        <v>63</v>
      </c>
      <c r="P2097" s="4" t="s">
        <v>64</v>
      </c>
    </row>
    <row r="2098">
      <c r="A2098" s="4" t="s">
        <v>5965</v>
      </c>
      <c r="B2098" s="4" t="s">
        <v>5965</v>
      </c>
      <c r="C2098" s="4">
        <v>487.0</v>
      </c>
      <c r="D2098" s="5" t="str">
        <f>HYPERLINK("https://www.linkedin.com/ad-library/detail/1512817326","Open Ad")</f>
        <v>Open Ad</v>
      </c>
      <c r="E2098" s="4" t="s">
        <v>78</v>
      </c>
      <c r="F2098" s="4" t="s">
        <v>54</v>
      </c>
      <c r="G2098" s="4" t="s">
        <v>6375</v>
      </c>
      <c r="H2098" s="4" t="s">
        <v>49</v>
      </c>
      <c r="I2098" s="4" t="s">
        <v>6005</v>
      </c>
      <c r="J2098" s="4" t="s">
        <v>78</v>
      </c>
      <c r="K2098" s="5" t="str">
        <f>HYPERLINK("https://media.licdn.com/dms/image/v2/D5610AQGmRdXpmMu5Fg/image-shrink_1280/B56Z.FznkcGgAc-/0/1784656329684?e=2147483647&amp;v=beta&amp;t=KevfNG51vRr-UQ3Y1iwDu9tckHQMfK2HWbONWRk7qj4","View Creative")</f>
        <v>View Creative</v>
      </c>
      <c r="L2098" s="4" t="s">
        <v>106</v>
      </c>
      <c r="M2098" s="4" t="s">
        <v>5965</v>
      </c>
      <c r="O2098" s="4" t="s">
        <v>63</v>
      </c>
      <c r="P2098" s="4" t="s">
        <v>64</v>
      </c>
    </row>
    <row r="2099">
      <c r="A2099" s="4" t="s">
        <v>5965</v>
      </c>
      <c r="B2099" s="4" t="s">
        <v>5965</v>
      </c>
      <c r="C2099" s="4">
        <v>488.0</v>
      </c>
      <c r="D2099" s="5" t="str">
        <f>HYPERLINK("https://www.linkedin.com/ad-library/detail/1512960146","Open Ad")</f>
        <v>Open Ad</v>
      </c>
      <c r="E2099" s="4" t="s">
        <v>78</v>
      </c>
      <c r="F2099" s="4" t="s">
        <v>54</v>
      </c>
      <c r="G2099" s="4" t="s">
        <v>6067</v>
      </c>
      <c r="H2099" s="4" t="s">
        <v>49</v>
      </c>
      <c r="I2099" s="4" t="s">
        <v>6005</v>
      </c>
      <c r="J2099" s="4" t="s">
        <v>78</v>
      </c>
      <c r="K2099" s="5" t="str">
        <f t="shared" ref="K2099:K2101" si="54">HYPERLINK("https://media.licdn.com/dms/image/v2/D5610AQEhWScG0zSsQQ/image-shrink_1280/B56Z.ALhD2HIAc-/0/1784561931707?e=2147483647&amp;v=beta&amp;t=CNNXfqX_x8NHdQnVcD2yPE1JO0w4ekTKwdMaxJHCKn4","View Creative")</f>
        <v>View Creative</v>
      </c>
      <c r="L2099" s="4" t="s">
        <v>106</v>
      </c>
      <c r="M2099" s="4" t="s">
        <v>5965</v>
      </c>
      <c r="O2099" s="4" t="s">
        <v>63</v>
      </c>
      <c r="P2099" s="4" t="s">
        <v>64</v>
      </c>
    </row>
    <row r="2100">
      <c r="A2100" s="4" t="s">
        <v>5965</v>
      </c>
      <c r="B2100" s="4" t="s">
        <v>5965</v>
      </c>
      <c r="C2100" s="4">
        <v>489.0</v>
      </c>
      <c r="D2100" s="5" t="str">
        <f>HYPERLINK("https://www.linkedin.com/ad-library/detail/1512836186","Open Ad")</f>
        <v>Open Ad</v>
      </c>
      <c r="E2100" s="4" t="s">
        <v>78</v>
      </c>
      <c r="F2100" s="4" t="s">
        <v>54</v>
      </c>
      <c r="G2100" s="4" t="s">
        <v>6067</v>
      </c>
      <c r="H2100" s="4" t="s">
        <v>49</v>
      </c>
      <c r="I2100" s="4" t="s">
        <v>6005</v>
      </c>
      <c r="J2100" s="4" t="s">
        <v>78</v>
      </c>
      <c r="K2100" s="5" t="str">
        <f t="shared" si="54"/>
        <v>View Creative</v>
      </c>
      <c r="L2100" s="4" t="s">
        <v>106</v>
      </c>
      <c r="M2100" s="4" t="s">
        <v>5965</v>
      </c>
      <c r="O2100" s="4" t="s">
        <v>63</v>
      </c>
      <c r="P2100" s="4" t="s">
        <v>64</v>
      </c>
    </row>
    <row r="2101">
      <c r="A2101" s="4" t="s">
        <v>5965</v>
      </c>
      <c r="B2101" s="4" t="s">
        <v>5965</v>
      </c>
      <c r="C2101" s="4">
        <v>490.0</v>
      </c>
      <c r="D2101" s="5" t="str">
        <f>HYPERLINK("https://www.linkedin.com/ad-library/detail/1512798296","Open Ad")</f>
        <v>Open Ad</v>
      </c>
      <c r="E2101" s="4" t="s">
        <v>78</v>
      </c>
      <c r="F2101" s="4" t="s">
        <v>54</v>
      </c>
      <c r="G2101" s="4" t="s">
        <v>6067</v>
      </c>
      <c r="H2101" s="4" t="s">
        <v>49</v>
      </c>
      <c r="I2101" s="4" t="s">
        <v>6005</v>
      </c>
      <c r="J2101" s="4" t="s">
        <v>78</v>
      </c>
      <c r="K2101" s="5" t="str">
        <f t="shared" si="54"/>
        <v>View Creative</v>
      </c>
      <c r="L2101" s="4" t="s">
        <v>106</v>
      </c>
      <c r="M2101" s="4" t="s">
        <v>5965</v>
      </c>
      <c r="O2101" s="4" t="s">
        <v>63</v>
      </c>
      <c r="P2101" s="4" t="s">
        <v>64</v>
      </c>
    </row>
    <row r="2102">
      <c r="A2102" s="4" t="s">
        <v>5965</v>
      </c>
      <c r="B2102" s="4" t="s">
        <v>5965</v>
      </c>
      <c r="C2102" s="4">
        <v>491.0</v>
      </c>
      <c r="D2102" s="5" t="str">
        <f>HYPERLINK("https://www.linkedin.com/ad-library/detail/1512960156","Open Ad")</f>
        <v>Open Ad</v>
      </c>
      <c r="E2102" s="4" t="s">
        <v>78</v>
      </c>
      <c r="F2102" s="4" t="s">
        <v>54</v>
      </c>
      <c r="G2102" s="4" t="s">
        <v>6375</v>
      </c>
      <c r="H2102" s="4" t="s">
        <v>49</v>
      </c>
      <c r="I2102" s="4" t="s">
        <v>6005</v>
      </c>
      <c r="J2102" s="4" t="s">
        <v>78</v>
      </c>
      <c r="K2102" s="5" t="str">
        <f t="shared" ref="K2102:K2103" si="55">HYPERLINK("https://media.licdn.com/dms/image/v2/D5610AQGmRdXpmMu5Fg/image-shrink_1280/B56Z.FznkcGgAc-/0/1784656329684?e=2147483647&amp;v=beta&amp;t=KevfNG51vRr-UQ3Y1iwDu9tckHQMfK2HWbONWRk7qj4","View Creative")</f>
        <v>View Creative</v>
      </c>
      <c r="L2102" s="4" t="s">
        <v>106</v>
      </c>
      <c r="M2102" s="4" t="s">
        <v>5965</v>
      </c>
      <c r="O2102" s="4" t="s">
        <v>63</v>
      </c>
      <c r="P2102" s="4" t="s">
        <v>64</v>
      </c>
    </row>
    <row r="2103">
      <c r="A2103" s="4" t="s">
        <v>5965</v>
      </c>
      <c r="B2103" s="4" t="s">
        <v>5965</v>
      </c>
      <c r="C2103" s="4">
        <v>492.0</v>
      </c>
      <c r="D2103" s="5" t="str">
        <f>HYPERLINK("https://www.linkedin.com/ad-library/detail/1512836236","Open Ad")</f>
        <v>Open Ad</v>
      </c>
      <c r="E2103" s="4" t="s">
        <v>78</v>
      </c>
      <c r="F2103" s="4" t="s">
        <v>54</v>
      </c>
      <c r="G2103" s="4" t="s">
        <v>6375</v>
      </c>
      <c r="H2103" s="4" t="s">
        <v>49</v>
      </c>
      <c r="I2103" s="4" t="s">
        <v>6005</v>
      </c>
      <c r="J2103" s="4" t="s">
        <v>78</v>
      </c>
      <c r="K2103" s="5" t="str">
        <f t="shared" si="55"/>
        <v>View Creative</v>
      </c>
      <c r="L2103" s="4" t="s">
        <v>106</v>
      </c>
      <c r="M2103" s="4" t="s">
        <v>5965</v>
      </c>
      <c r="O2103" s="4" t="s">
        <v>63</v>
      </c>
      <c r="P2103" s="4" t="s">
        <v>64</v>
      </c>
    </row>
    <row r="2104">
      <c r="A2104" s="4" t="s">
        <v>5965</v>
      </c>
      <c r="B2104" s="4" t="s">
        <v>5965</v>
      </c>
      <c r="C2104" s="4">
        <v>493.0</v>
      </c>
      <c r="D2104" s="5" t="str">
        <f>HYPERLINK("https://www.linkedin.com/ad-library/detail/1512874756","Open Ad")</f>
        <v>Open Ad</v>
      </c>
      <c r="E2104" s="4" t="s">
        <v>78</v>
      </c>
      <c r="F2104" s="4" t="s">
        <v>54</v>
      </c>
      <c r="G2104" s="4" t="s">
        <v>6067</v>
      </c>
      <c r="H2104" s="4" t="s">
        <v>49</v>
      </c>
      <c r="I2104" s="4" t="s">
        <v>6005</v>
      </c>
      <c r="J2104" s="4" t="s">
        <v>78</v>
      </c>
      <c r="K2104" s="5" t="str">
        <f>HYPERLINK("https://media.licdn.com/dms/image/v2/D5610AQEhWScG0zSsQQ/image-shrink_1280/B56Z.ALhD2HIAc-/0/1784561931707?e=2147483647&amp;v=beta&amp;t=CNNXfqX_x8NHdQnVcD2yPE1JO0w4ekTKwdMaxJHCKn4","View Creative")</f>
        <v>View Creative</v>
      </c>
      <c r="L2104" s="4" t="s">
        <v>106</v>
      </c>
      <c r="M2104" s="4" t="s">
        <v>5965</v>
      </c>
      <c r="O2104" s="4" t="s">
        <v>63</v>
      </c>
      <c r="P2104" s="4" t="s">
        <v>64</v>
      </c>
    </row>
    <row r="2105">
      <c r="A2105" s="4" t="s">
        <v>5965</v>
      </c>
      <c r="B2105" s="4" t="s">
        <v>5965</v>
      </c>
      <c r="C2105" s="4">
        <v>494.0</v>
      </c>
      <c r="D2105" s="5" t="str">
        <f>HYPERLINK("https://www.linkedin.com/ad-library/detail/1512739666","Open Ad")</f>
        <v>Open Ad</v>
      </c>
      <c r="E2105" s="4" t="s">
        <v>78</v>
      </c>
      <c r="F2105" s="4" t="s">
        <v>54</v>
      </c>
      <c r="G2105" s="4" t="s">
        <v>6375</v>
      </c>
      <c r="H2105" s="4" t="s">
        <v>49</v>
      </c>
      <c r="I2105" s="4" t="s">
        <v>6005</v>
      </c>
      <c r="J2105" s="4" t="s">
        <v>78</v>
      </c>
      <c r="K2105" s="5" t="str">
        <f>HYPERLINK("https://media.licdn.com/dms/image/v2/D5610AQGmRdXpmMu5Fg/image-shrink_1280/B56Z.FznkcGgAc-/0/1784656329684?e=2147483647&amp;v=beta&amp;t=KevfNG51vRr-UQ3Y1iwDu9tckHQMfK2HWbONWRk7qj4","View Creative")</f>
        <v>View Creative</v>
      </c>
      <c r="L2105" s="4" t="s">
        <v>106</v>
      </c>
      <c r="M2105" s="4" t="s">
        <v>5965</v>
      </c>
      <c r="O2105" s="4" t="s">
        <v>63</v>
      </c>
      <c r="P2105" s="4" t="s">
        <v>64</v>
      </c>
    </row>
    <row r="2106">
      <c r="A2106" s="4" t="s">
        <v>5965</v>
      </c>
      <c r="B2106" s="4" t="s">
        <v>5965</v>
      </c>
      <c r="C2106" s="4">
        <v>495.0</v>
      </c>
      <c r="D2106" s="5" t="str">
        <f>HYPERLINK("https://www.linkedin.com/ad-library/detail/1512874746","Open Ad")</f>
        <v>Open Ad</v>
      </c>
      <c r="E2106" s="4" t="s">
        <v>78</v>
      </c>
      <c r="F2106" s="4" t="s">
        <v>54</v>
      </c>
      <c r="G2106" s="4" t="s">
        <v>6067</v>
      </c>
      <c r="H2106" s="4" t="s">
        <v>49</v>
      </c>
      <c r="I2106" s="4" t="s">
        <v>6005</v>
      </c>
      <c r="J2106" s="4" t="s">
        <v>78</v>
      </c>
      <c r="K2106" s="5" t="str">
        <f t="shared" ref="K2106:K2107" si="56">HYPERLINK("https://media.licdn.com/dms/image/v2/D5610AQEhWScG0zSsQQ/image-shrink_1280/B56Z.ALhD2HIAc-/0/1784561931707?e=2147483647&amp;v=beta&amp;t=CNNXfqX_x8NHdQnVcD2yPE1JO0w4ekTKwdMaxJHCKn4","View Creative")</f>
        <v>View Creative</v>
      </c>
      <c r="L2106" s="4" t="s">
        <v>106</v>
      </c>
      <c r="M2106" s="4" t="s">
        <v>5965</v>
      </c>
      <c r="O2106" s="4" t="s">
        <v>63</v>
      </c>
      <c r="P2106" s="4" t="s">
        <v>64</v>
      </c>
    </row>
    <row r="2107">
      <c r="A2107" s="4" t="s">
        <v>5965</v>
      </c>
      <c r="B2107" s="4" t="s">
        <v>5965</v>
      </c>
      <c r="C2107" s="4">
        <v>496.0</v>
      </c>
      <c r="D2107" s="5" t="str">
        <f>HYPERLINK("https://www.linkedin.com/ad-library/detail/1512836196","Open Ad")</f>
        <v>Open Ad</v>
      </c>
      <c r="E2107" s="4" t="s">
        <v>78</v>
      </c>
      <c r="F2107" s="4" t="s">
        <v>54</v>
      </c>
      <c r="G2107" s="4" t="s">
        <v>6067</v>
      </c>
      <c r="H2107" s="4" t="s">
        <v>49</v>
      </c>
      <c r="I2107" s="4" t="s">
        <v>6005</v>
      </c>
      <c r="J2107" s="4" t="s">
        <v>78</v>
      </c>
      <c r="K2107" s="5" t="str">
        <f t="shared" si="56"/>
        <v>View Creative</v>
      </c>
      <c r="L2107" s="4" t="s">
        <v>106</v>
      </c>
      <c r="M2107" s="4" t="s">
        <v>5965</v>
      </c>
      <c r="O2107" s="4" t="s">
        <v>63</v>
      </c>
      <c r="P2107" s="4" t="s">
        <v>64</v>
      </c>
    </row>
    <row r="2108">
      <c r="A2108" s="4" t="s">
        <v>5965</v>
      </c>
      <c r="B2108" s="4" t="s">
        <v>5965</v>
      </c>
      <c r="C2108" s="4">
        <v>497.0</v>
      </c>
      <c r="D2108" s="5" t="str">
        <f>HYPERLINK("https://www.linkedin.com/ad-library/detail/1512769226","Open Ad")</f>
        <v>Open Ad</v>
      </c>
      <c r="E2108" s="4" t="s">
        <v>78</v>
      </c>
      <c r="F2108" s="4" t="s">
        <v>54</v>
      </c>
      <c r="G2108" s="4" t="s">
        <v>6375</v>
      </c>
      <c r="H2108" s="4" t="s">
        <v>49</v>
      </c>
      <c r="I2108" s="4" t="s">
        <v>6005</v>
      </c>
      <c r="J2108" s="4" t="s">
        <v>78</v>
      </c>
      <c r="K2108" s="5" t="str">
        <f>HYPERLINK("https://media.licdn.com/dms/image/v2/D5610AQGmRdXpmMu5Fg/image-shrink_1280/B56Z.FznkcGgAc-/0/1784656329684?e=2147483647&amp;v=beta&amp;t=KevfNG51vRr-UQ3Y1iwDu9tckHQMfK2HWbONWRk7qj4","View Creative")</f>
        <v>View Creative</v>
      </c>
      <c r="L2108" s="4" t="s">
        <v>106</v>
      </c>
      <c r="M2108" s="4" t="s">
        <v>5965</v>
      </c>
      <c r="O2108" s="4" t="s">
        <v>63</v>
      </c>
      <c r="P2108" s="4" t="s">
        <v>64</v>
      </c>
    </row>
    <row r="2109">
      <c r="A2109" s="4" t="s">
        <v>5965</v>
      </c>
      <c r="B2109" s="4" t="s">
        <v>5965</v>
      </c>
      <c r="C2109" s="4">
        <v>498.0</v>
      </c>
      <c r="D2109" s="5" t="str">
        <f>HYPERLINK("https://www.linkedin.com/ad-library/detail/1512865286","Open Ad")</f>
        <v>Open Ad</v>
      </c>
      <c r="E2109" s="4" t="s">
        <v>78</v>
      </c>
      <c r="F2109" s="4" t="s">
        <v>54</v>
      </c>
      <c r="G2109" s="4" t="s">
        <v>6067</v>
      </c>
      <c r="H2109" s="4" t="s">
        <v>49</v>
      </c>
      <c r="I2109" s="4" t="s">
        <v>6005</v>
      </c>
      <c r="J2109" s="4" t="s">
        <v>78</v>
      </c>
      <c r="K2109" s="5" t="str">
        <f>HYPERLINK("https://media.licdn.com/dms/image/v2/D5610AQEhWScG0zSsQQ/image-shrink_1280/B56Z.ALhD2HIAc-/0/1784561931707?e=2147483647&amp;v=beta&amp;t=CNNXfqX_x8NHdQnVcD2yPE1JO0w4ekTKwdMaxJHCKn4","View Creative")</f>
        <v>View Creative</v>
      </c>
      <c r="L2109" s="4" t="s">
        <v>106</v>
      </c>
      <c r="M2109" s="4" t="s">
        <v>5965</v>
      </c>
      <c r="O2109" s="4" t="s">
        <v>63</v>
      </c>
      <c r="P2109" s="4" t="s">
        <v>64</v>
      </c>
    </row>
    <row r="2110">
      <c r="A2110" s="4" t="s">
        <v>5965</v>
      </c>
      <c r="B2110" s="4" t="s">
        <v>5965</v>
      </c>
      <c r="C2110" s="4">
        <v>499.0</v>
      </c>
      <c r="D2110" s="5" t="str">
        <f>HYPERLINK("https://www.linkedin.com/ad-library/detail/1512902976","Open Ad")</f>
        <v>Open Ad</v>
      </c>
      <c r="E2110" s="4" t="s">
        <v>78</v>
      </c>
      <c r="F2110" s="4" t="s">
        <v>54</v>
      </c>
      <c r="G2110" s="4" t="s">
        <v>6375</v>
      </c>
      <c r="H2110" s="4" t="s">
        <v>49</v>
      </c>
      <c r="I2110" s="4" t="s">
        <v>6005</v>
      </c>
      <c r="J2110" s="4" t="s">
        <v>78</v>
      </c>
      <c r="K2110" s="5" t="str">
        <f>HYPERLINK("https://media.licdn.com/dms/image/v2/D5610AQGmRdXpmMu5Fg/image-shrink_1280/B56Z.FznkcGgAc-/0/1784656329684?e=2147483647&amp;v=beta&amp;t=KevfNG51vRr-UQ3Y1iwDu9tckHQMfK2HWbONWRk7qj4","View Creative")</f>
        <v>View Creative</v>
      </c>
      <c r="L2110" s="4" t="s">
        <v>106</v>
      </c>
      <c r="M2110" s="4" t="s">
        <v>5965</v>
      </c>
      <c r="O2110" s="4" t="s">
        <v>63</v>
      </c>
      <c r="P2110" s="4" t="s">
        <v>64</v>
      </c>
    </row>
    <row r="2111">
      <c r="A2111" s="4" t="s">
        <v>5965</v>
      </c>
      <c r="B2111" s="4" t="s">
        <v>5965</v>
      </c>
      <c r="C2111" s="4">
        <v>500.0</v>
      </c>
      <c r="D2111" s="5" t="str">
        <f>HYPERLINK("https://www.linkedin.com/ad-library/detail/1512808516","Open Ad")</f>
        <v>Open Ad</v>
      </c>
      <c r="E2111" s="4" t="s">
        <v>78</v>
      </c>
      <c r="F2111" s="4" t="s">
        <v>54</v>
      </c>
      <c r="G2111" s="4" t="s">
        <v>6380</v>
      </c>
      <c r="H2111" s="4" t="s">
        <v>49</v>
      </c>
      <c r="I2111" s="4" t="s">
        <v>6005</v>
      </c>
      <c r="J2111" s="4" t="s">
        <v>78</v>
      </c>
      <c r="K2111" s="5" t="str">
        <f>HYPERLINK("https://media.licdn.com/dms/image/v2/D5610AQG8dtvBL4qKxQ/image-shrink_1280/B56Z.GQ5L0IUAc-/0/1784664004331?e=2147483647&amp;v=beta&amp;t=k5MlKF1AwjpxVjQmvXSc8u3RiJndKieVjs0J0TOTVo8","View Creative")</f>
        <v>View Creative</v>
      </c>
      <c r="L2111" s="4" t="s">
        <v>106</v>
      </c>
      <c r="M2111" s="4" t="s">
        <v>5965</v>
      </c>
      <c r="O2111" s="4" t="s">
        <v>63</v>
      </c>
      <c r="P2111" s="4" t="s">
        <v>64</v>
      </c>
    </row>
    <row r="2112">
      <c r="A2112" s="4" t="s">
        <v>5965</v>
      </c>
      <c r="B2112" s="4" t="s">
        <v>5965</v>
      </c>
      <c r="C2112" s="4">
        <v>501.0</v>
      </c>
      <c r="D2112" s="5" t="str">
        <f>HYPERLINK("https://www.linkedin.com/ad-library/detail/1512759306","Open Ad")</f>
        <v>Open Ad</v>
      </c>
      <c r="E2112" s="4" t="s">
        <v>78</v>
      </c>
      <c r="F2112" s="4" t="s">
        <v>54</v>
      </c>
      <c r="G2112" s="4" t="s">
        <v>6067</v>
      </c>
      <c r="H2112" s="4" t="s">
        <v>49</v>
      </c>
      <c r="I2112" s="4" t="s">
        <v>6005</v>
      </c>
      <c r="J2112" s="4" t="s">
        <v>78</v>
      </c>
      <c r="K2112" s="5" t="str">
        <f>HYPERLINK("https://media.licdn.com/dms/image/v2/D5610AQEhWScG0zSsQQ/image-shrink_1280/B56Z.ALhD2HIAc-/0/1784561931707?e=2147483647&amp;v=beta&amp;t=CNNXfqX_x8NHdQnVcD2yPE1JO0w4ekTKwdMaxJHCKn4","View Creative")</f>
        <v>View Creative</v>
      </c>
      <c r="L2112" s="4" t="s">
        <v>106</v>
      </c>
      <c r="M2112" s="4" t="s">
        <v>5965</v>
      </c>
      <c r="O2112" s="4" t="s">
        <v>63</v>
      </c>
      <c r="P2112" s="4" t="s">
        <v>64</v>
      </c>
    </row>
    <row r="2113">
      <c r="A2113" s="4" t="s">
        <v>5965</v>
      </c>
      <c r="B2113" s="4" t="s">
        <v>5965</v>
      </c>
      <c r="C2113" s="4">
        <v>502.0</v>
      </c>
      <c r="D2113" s="5" t="str">
        <f>HYPERLINK("https://www.linkedin.com/ad-library/detail/1512970136","Open Ad")</f>
        <v>Open Ad</v>
      </c>
      <c r="E2113" s="4" t="s">
        <v>78</v>
      </c>
      <c r="F2113" s="4" t="s">
        <v>54</v>
      </c>
      <c r="G2113" s="4" t="s">
        <v>6375</v>
      </c>
      <c r="H2113" s="4" t="s">
        <v>49</v>
      </c>
      <c r="I2113" s="4" t="s">
        <v>6005</v>
      </c>
      <c r="J2113" s="4" t="s">
        <v>78</v>
      </c>
      <c r="K2113" s="5" t="str">
        <f>HYPERLINK("https://media.licdn.com/dms/image/v2/D5610AQGmRdXpmMu5Fg/image-shrink_1280/B56Z.FznkcGgAc-/0/1784656329684?e=2147483647&amp;v=beta&amp;t=KevfNG51vRr-UQ3Y1iwDu9tckHQMfK2HWbONWRk7qj4","View Creative")</f>
        <v>View Creative</v>
      </c>
      <c r="L2113" s="4" t="s">
        <v>106</v>
      </c>
      <c r="M2113" s="4" t="s">
        <v>5965</v>
      </c>
      <c r="O2113" s="4" t="s">
        <v>63</v>
      </c>
      <c r="P2113" s="4" t="s">
        <v>64</v>
      </c>
    </row>
    <row r="2114">
      <c r="A2114" s="4" t="s">
        <v>5965</v>
      </c>
      <c r="B2114" s="4" t="s">
        <v>5965</v>
      </c>
      <c r="C2114" s="4">
        <v>503.0</v>
      </c>
      <c r="D2114" s="5" t="str">
        <f>HYPERLINK("https://www.linkedin.com/ad-library/detail/1512902946","Open Ad")</f>
        <v>Open Ad</v>
      </c>
      <c r="E2114" s="4" t="s">
        <v>78</v>
      </c>
      <c r="F2114" s="4" t="s">
        <v>54</v>
      </c>
      <c r="G2114" s="4" t="s">
        <v>6067</v>
      </c>
      <c r="H2114" s="4" t="s">
        <v>49</v>
      </c>
      <c r="I2114" s="4" t="s">
        <v>6005</v>
      </c>
      <c r="J2114" s="4" t="s">
        <v>78</v>
      </c>
      <c r="K2114" s="5" t="str">
        <f t="shared" ref="K2114:K2115" si="57">HYPERLINK("https://media.licdn.com/dms/image/v2/D5610AQEhWScG0zSsQQ/image-shrink_1280/B56Z.ALhD2HIAc-/0/1784561931707?e=2147483647&amp;v=beta&amp;t=CNNXfqX_x8NHdQnVcD2yPE1JO0w4ekTKwdMaxJHCKn4","View Creative")</f>
        <v>View Creative</v>
      </c>
      <c r="L2114" s="4" t="s">
        <v>106</v>
      </c>
      <c r="M2114" s="4" t="s">
        <v>5965</v>
      </c>
      <c r="O2114" s="4" t="s">
        <v>63</v>
      </c>
      <c r="P2114" s="4" t="s">
        <v>64</v>
      </c>
    </row>
    <row r="2115">
      <c r="A2115" s="4" t="s">
        <v>5965</v>
      </c>
      <c r="B2115" s="4" t="s">
        <v>5965</v>
      </c>
      <c r="C2115" s="4">
        <v>504.0</v>
      </c>
      <c r="D2115" s="5" t="str">
        <f>HYPERLINK("https://www.linkedin.com/ad-library/detail/1512845756","Open Ad")</f>
        <v>Open Ad</v>
      </c>
      <c r="E2115" s="4" t="s">
        <v>78</v>
      </c>
      <c r="F2115" s="4" t="s">
        <v>54</v>
      </c>
      <c r="G2115" s="4" t="s">
        <v>6067</v>
      </c>
      <c r="H2115" s="4" t="s">
        <v>49</v>
      </c>
      <c r="I2115" s="4" t="s">
        <v>6005</v>
      </c>
      <c r="J2115" s="4" t="s">
        <v>78</v>
      </c>
      <c r="K2115" s="5" t="str">
        <f t="shared" si="57"/>
        <v>View Creative</v>
      </c>
      <c r="L2115" s="4" t="s">
        <v>106</v>
      </c>
      <c r="M2115" s="4" t="s">
        <v>5965</v>
      </c>
      <c r="O2115" s="4" t="s">
        <v>63</v>
      </c>
      <c r="P2115" s="4" t="s">
        <v>64</v>
      </c>
    </row>
    <row r="2116">
      <c r="A2116" s="4" t="s">
        <v>5965</v>
      </c>
      <c r="B2116" s="4" t="s">
        <v>5965</v>
      </c>
      <c r="C2116" s="4">
        <v>505.0</v>
      </c>
      <c r="D2116" s="5" t="str">
        <f>HYPERLINK("https://www.linkedin.com/ad-library/detail/1506385706","Open Ad")</f>
        <v>Open Ad</v>
      </c>
      <c r="E2116" s="4" t="s">
        <v>121</v>
      </c>
      <c r="F2116" s="4" t="s">
        <v>54</v>
      </c>
      <c r="G2116" s="4" t="s">
        <v>6031</v>
      </c>
      <c r="H2116" s="4" t="s">
        <v>49</v>
      </c>
      <c r="I2116" s="4" t="s">
        <v>6005</v>
      </c>
      <c r="J2116" s="4" t="s">
        <v>121</v>
      </c>
      <c r="K2116" s="5" t="str">
        <f>HYPERLINK("https://dms.licdn.com/playlist/vid/v2/D5610AQEYMxfT9huYsg/mp4-640p-30fp-crf28/B56Z9r5IasLABI-/0/1784221579230?e=2147483647&amp;v=beta&amp;t=wqawh6PBQUrCJZJ-XscUNS7gfMgItz12cEfcJuVzzWI","View Creative")</f>
        <v>View Creative</v>
      </c>
      <c r="L2116" s="4" t="s">
        <v>106</v>
      </c>
      <c r="M2116" s="4" t="s">
        <v>5965</v>
      </c>
      <c r="O2116" s="4" t="s">
        <v>63</v>
      </c>
      <c r="P2116" s="4" t="s">
        <v>64</v>
      </c>
    </row>
    <row r="2117">
      <c r="A2117" s="4" t="s">
        <v>5965</v>
      </c>
      <c r="B2117" s="4" t="s">
        <v>5965</v>
      </c>
      <c r="C2117" s="4">
        <v>506.0</v>
      </c>
      <c r="D2117" s="5" t="str">
        <f>HYPERLINK("https://www.linkedin.com/ad-library/detail/1512942116","Open Ad")</f>
        <v>Open Ad</v>
      </c>
      <c r="E2117" s="4" t="s">
        <v>78</v>
      </c>
      <c r="F2117" s="4" t="s">
        <v>54</v>
      </c>
      <c r="G2117" s="4" t="s">
        <v>6292</v>
      </c>
      <c r="H2117" s="4" t="s">
        <v>49</v>
      </c>
      <c r="I2117" s="4" t="s">
        <v>6005</v>
      </c>
      <c r="J2117" s="4" t="s">
        <v>78</v>
      </c>
      <c r="K2117" s="5" t="str">
        <f t="shared" ref="K2117:K2118" si="58">HYPERLINK("https://media.licdn.com/dms/image/v2/D5610AQFCx_YJc45xmQ/image-shrink_1280/B56Z9_1kn.GsAg-/0/1784556178150?e=2147483647&amp;v=beta&amp;t=f1YUvgvX1_1a1kJVoEtCFw4Vo-6pu3fvcM8OtM7KrGI","View Creative")</f>
        <v>View Creative</v>
      </c>
      <c r="L2117" s="4" t="s">
        <v>106</v>
      </c>
      <c r="M2117" s="4" t="s">
        <v>5965</v>
      </c>
      <c r="O2117" s="4" t="s">
        <v>63</v>
      </c>
      <c r="P2117" s="4" t="s">
        <v>64</v>
      </c>
    </row>
    <row r="2118">
      <c r="A2118" s="4" t="s">
        <v>5965</v>
      </c>
      <c r="B2118" s="4" t="s">
        <v>5965</v>
      </c>
      <c r="C2118" s="4">
        <v>507.0</v>
      </c>
      <c r="D2118" s="5" t="str">
        <f>HYPERLINK("https://www.linkedin.com/ad-library/detail/1512855496","Open Ad")</f>
        <v>Open Ad</v>
      </c>
      <c r="E2118" s="4" t="s">
        <v>78</v>
      </c>
      <c r="F2118" s="4" t="s">
        <v>54</v>
      </c>
      <c r="G2118" s="4" t="s">
        <v>6292</v>
      </c>
      <c r="H2118" s="4" t="s">
        <v>49</v>
      </c>
      <c r="I2118" s="4" t="s">
        <v>6005</v>
      </c>
      <c r="J2118" s="4" t="s">
        <v>78</v>
      </c>
      <c r="K2118" s="5" t="str">
        <f t="shared" si="58"/>
        <v>View Creative</v>
      </c>
      <c r="L2118" s="4" t="s">
        <v>106</v>
      </c>
      <c r="M2118" s="4" t="s">
        <v>5965</v>
      </c>
      <c r="O2118" s="4" t="s">
        <v>63</v>
      </c>
      <c r="P2118" s="4" t="s">
        <v>64</v>
      </c>
    </row>
    <row r="2119">
      <c r="A2119" s="4" t="s">
        <v>5965</v>
      </c>
      <c r="B2119" s="4" t="s">
        <v>5965</v>
      </c>
      <c r="C2119" s="4">
        <v>508.0</v>
      </c>
      <c r="D2119" s="5" t="str">
        <f>HYPERLINK("https://www.linkedin.com/ad-library/detail/1506541066","Open Ad")</f>
        <v>Open Ad</v>
      </c>
      <c r="E2119" s="4" t="s">
        <v>121</v>
      </c>
      <c r="F2119" s="4" t="s">
        <v>54</v>
      </c>
      <c r="G2119" s="4" t="s">
        <v>6031</v>
      </c>
      <c r="H2119" s="4" t="s">
        <v>49</v>
      </c>
      <c r="I2119" s="4" t="s">
        <v>6005</v>
      </c>
      <c r="J2119" s="4" t="s">
        <v>121</v>
      </c>
      <c r="K2119" s="5" t="str">
        <f>HYPERLINK("https://dms.licdn.com/playlist/vid/v2/D5610AQEYMxfT9huYsg/mp4-640p-30fp-crf28/B56Z9r5IasLABI-/0/1784221579230?e=2147483647&amp;v=beta&amp;t=wqawh6PBQUrCJZJ-XscUNS7gfMgItz12cEfcJuVzzWI","View Creative")</f>
        <v>View Creative</v>
      </c>
      <c r="L2119" s="4" t="s">
        <v>106</v>
      </c>
      <c r="M2119" s="4" t="s">
        <v>5965</v>
      </c>
      <c r="O2119" s="4" t="s">
        <v>63</v>
      </c>
      <c r="P2119" s="4" t="s">
        <v>64</v>
      </c>
    </row>
    <row r="2120">
      <c r="A2120" s="4" t="s">
        <v>5965</v>
      </c>
      <c r="B2120" s="4" t="s">
        <v>5965</v>
      </c>
      <c r="C2120" s="4">
        <v>509.0</v>
      </c>
      <c r="D2120" s="5" t="str">
        <f>HYPERLINK("https://www.linkedin.com/ad-library/detail/1512855486","Open Ad")</f>
        <v>Open Ad</v>
      </c>
      <c r="E2120" s="4" t="s">
        <v>78</v>
      </c>
      <c r="F2120" s="4" t="s">
        <v>54</v>
      </c>
      <c r="G2120" s="4" t="s">
        <v>6292</v>
      </c>
      <c r="H2120" s="4" t="s">
        <v>49</v>
      </c>
      <c r="I2120" s="4" t="s">
        <v>6005</v>
      </c>
      <c r="J2120" s="4" t="s">
        <v>78</v>
      </c>
      <c r="K2120" s="5" t="str">
        <f>HYPERLINK("https://media.licdn.com/dms/image/v2/D5610AQFCx_YJc45xmQ/image-shrink_1280/B56Z9_1kn.GsAg-/0/1784556178150?e=2147483647&amp;v=beta&amp;t=f1YUvgvX1_1a1kJVoEtCFw4Vo-6pu3fvcM8OtM7KrGI","View Creative")</f>
        <v>View Creative</v>
      </c>
      <c r="L2120" s="4" t="s">
        <v>106</v>
      </c>
      <c r="M2120" s="4" t="s">
        <v>5965</v>
      </c>
      <c r="O2120" s="4" t="s">
        <v>63</v>
      </c>
      <c r="P2120" s="4" t="s">
        <v>64</v>
      </c>
    </row>
    <row r="2121">
      <c r="A2121" s="4" t="s">
        <v>5965</v>
      </c>
      <c r="B2121" s="4" t="s">
        <v>5965</v>
      </c>
      <c r="C2121" s="4">
        <v>510.0</v>
      </c>
      <c r="D2121" s="5" t="str">
        <f>HYPERLINK("https://www.linkedin.com/ad-library/detail/1512779216","Open Ad")</f>
        <v>Open Ad</v>
      </c>
      <c r="E2121" s="4" t="s">
        <v>78</v>
      </c>
      <c r="F2121" s="4" t="s">
        <v>54</v>
      </c>
      <c r="G2121" s="4" t="s">
        <v>6322</v>
      </c>
      <c r="H2121" s="4" t="s">
        <v>49</v>
      </c>
      <c r="I2121" s="4" t="s">
        <v>6005</v>
      </c>
      <c r="J2121" s="4" t="s">
        <v>78</v>
      </c>
      <c r="K2121" s="5" t="str">
        <f t="shared" ref="K2121:K2124" si="59">HYPERLINK("https://media.licdn.com/dms/image/v2/D5610AQFQ9xMHhkIH-g/image-shrink_1280/B56Z9x3WnqKEAc-/0/1784321764097?e=2147483647&amp;v=beta&amp;t=DkMg95bRWP4EePXr-dRDD8dQjGJzZ-lRep0xf40Vv5k","View Creative")</f>
        <v>View Creative</v>
      </c>
      <c r="L2121" s="4" t="s">
        <v>106</v>
      </c>
      <c r="M2121" s="4" t="s">
        <v>5965</v>
      </c>
      <c r="O2121" s="4" t="s">
        <v>63</v>
      </c>
      <c r="P2121" s="4" t="s">
        <v>64</v>
      </c>
    </row>
    <row r="2122">
      <c r="A2122" s="4" t="s">
        <v>5965</v>
      </c>
      <c r="B2122" s="4" t="s">
        <v>5965</v>
      </c>
      <c r="C2122" s="4">
        <v>511.0</v>
      </c>
      <c r="D2122" s="5" t="str">
        <f>HYPERLINK("https://www.linkedin.com/ad-library/detail/1512942106","Open Ad")</f>
        <v>Open Ad</v>
      </c>
      <c r="E2122" s="4" t="s">
        <v>78</v>
      </c>
      <c r="F2122" s="4" t="s">
        <v>54</v>
      </c>
      <c r="G2122" s="4" t="s">
        <v>6322</v>
      </c>
      <c r="H2122" s="4" t="s">
        <v>49</v>
      </c>
      <c r="I2122" s="4" t="s">
        <v>6005</v>
      </c>
      <c r="J2122" s="4" t="s">
        <v>78</v>
      </c>
      <c r="K2122" s="5" t="str">
        <f t="shared" si="59"/>
        <v>View Creative</v>
      </c>
      <c r="L2122" s="4" t="s">
        <v>106</v>
      </c>
      <c r="M2122" s="4" t="s">
        <v>5965</v>
      </c>
      <c r="O2122" s="4" t="s">
        <v>63</v>
      </c>
      <c r="P2122" s="4" t="s">
        <v>64</v>
      </c>
    </row>
    <row r="2123">
      <c r="A2123" s="4" t="s">
        <v>5965</v>
      </c>
      <c r="B2123" s="4" t="s">
        <v>5965</v>
      </c>
      <c r="C2123" s="4">
        <v>512.0</v>
      </c>
      <c r="D2123" s="5" t="str">
        <f>HYPERLINK("https://www.linkedin.com/ad-library/detail/1512960116","Open Ad")</f>
        <v>Open Ad</v>
      </c>
      <c r="E2123" s="4" t="s">
        <v>78</v>
      </c>
      <c r="F2123" s="4" t="s">
        <v>54</v>
      </c>
      <c r="G2123" s="4" t="s">
        <v>6322</v>
      </c>
      <c r="H2123" s="4" t="s">
        <v>49</v>
      </c>
      <c r="I2123" s="4" t="s">
        <v>6005</v>
      </c>
      <c r="J2123" s="4" t="s">
        <v>78</v>
      </c>
      <c r="K2123" s="5" t="str">
        <f t="shared" si="59"/>
        <v>View Creative</v>
      </c>
      <c r="L2123" s="4" t="s">
        <v>106</v>
      </c>
      <c r="M2123" s="4" t="s">
        <v>5965</v>
      </c>
      <c r="O2123" s="4" t="s">
        <v>63</v>
      </c>
      <c r="P2123" s="4" t="s">
        <v>64</v>
      </c>
    </row>
    <row r="2124">
      <c r="A2124" s="4" t="s">
        <v>5965</v>
      </c>
      <c r="B2124" s="4" t="s">
        <v>5965</v>
      </c>
      <c r="C2124" s="4">
        <v>513.0</v>
      </c>
      <c r="D2124" s="5" t="str">
        <f>HYPERLINK("https://www.linkedin.com/ad-library/detail/1512749526","Open Ad")</f>
        <v>Open Ad</v>
      </c>
      <c r="E2124" s="4" t="s">
        <v>78</v>
      </c>
      <c r="F2124" s="4" t="s">
        <v>54</v>
      </c>
      <c r="G2124" s="4" t="s">
        <v>6322</v>
      </c>
      <c r="H2124" s="4" t="s">
        <v>49</v>
      </c>
      <c r="I2124" s="4" t="s">
        <v>6005</v>
      </c>
      <c r="J2124" s="4" t="s">
        <v>78</v>
      </c>
      <c r="K2124" s="5" t="str">
        <f t="shared" si="59"/>
        <v>View Creative</v>
      </c>
      <c r="L2124" s="4" t="s">
        <v>106</v>
      </c>
      <c r="M2124" s="4" t="s">
        <v>5965</v>
      </c>
      <c r="O2124" s="4" t="s">
        <v>63</v>
      </c>
      <c r="P2124" s="4" t="s">
        <v>64</v>
      </c>
    </row>
    <row r="2125">
      <c r="A2125" s="4" t="s">
        <v>5965</v>
      </c>
      <c r="B2125" s="4" t="s">
        <v>5965</v>
      </c>
      <c r="C2125" s="4">
        <v>514.0</v>
      </c>
      <c r="D2125" s="5" t="str">
        <f>HYPERLINK("https://www.linkedin.com/ad-library/detail/1512836166","Open Ad")</f>
        <v>Open Ad</v>
      </c>
      <c r="E2125" s="4" t="s">
        <v>78</v>
      </c>
      <c r="F2125" s="4" t="s">
        <v>54</v>
      </c>
      <c r="G2125" s="4" t="s">
        <v>6292</v>
      </c>
      <c r="H2125" s="4" t="s">
        <v>49</v>
      </c>
      <c r="I2125" s="4" t="s">
        <v>6005</v>
      </c>
      <c r="J2125" s="4" t="s">
        <v>78</v>
      </c>
      <c r="K2125" s="5" t="str">
        <f t="shared" ref="K2125:K2126" si="60">HYPERLINK("https://media.licdn.com/dms/image/v2/D5610AQFCx_YJc45xmQ/image-shrink_1280/B56Z9_1kn.GsAg-/0/1784556178150?e=2147483647&amp;v=beta&amp;t=f1YUvgvX1_1a1kJVoEtCFw4Vo-6pu3fvcM8OtM7KrGI","View Creative")</f>
        <v>View Creative</v>
      </c>
      <c r="L2125" s="4" t="s">
        <v>60</v>
      </c>
      <c r="M2125" s="4" t="s">
        <v>5965</v>
      </c>
      <c r="N2125" s="4" t="s">
        <v>6381</v>
      </c>
      <c r="O2125" s="4" t="s">
        <v>74</v>
      </c>
      <c r="P2125" s="4" t="s">
        <v>6382</v>
      </c>
    </row>
    <row r="2126">
      <c r="A2126" s="4" t="s">
        <v>5965</v>
      </c>
      <c r="B2126" s="4" t="s">
        <v>5965</v>
      </c>
      <c r="C2126" s="4">
        <v>515.0</v>
      </c>
      <c r="D2126" s="5" t="str">
        <f>HYPERLINK("https://www.linkedin.com/ad-library/detail/1512960126","Open Ad")</f>
        <v>Open Ad</v>
      </c>
      <c r="E2126" s="4" t="s">
        <v>78</v>
      </c>
      <c r="F2126" s="4" t="s">
        <v>54</v>
      </c>
      <c r="G2126" s="4" t="s">
        <v>6292</v>
      </c>
      <c r="H2126" s="4" t="s">
        <v>49</v>
      </c>
      <c r="I2126" s="4" t="s">
        <v>6005</v>
      </c>
      <c r="J2126" s="4" t="s">
        <v>78</v>
      </c>
      <c r="K2126" s="5" t="str">
        <f t="shared" si="60"/>
        <v>View Creative</v>
      </c>
      <c r="L2126" s="4" t="s">
        <v>106</v>
      </c>
      <c r="M2126" s="4" t="s">
        <v>5965</v>
      </c>
      <c r="O2126" s="4" t="s">
        <v>63</v>
      </c>
      <c r="P2126" s="4" t="s">
        <v>64</v>
      </c>
    </row>
    <row r="2127">
      <c r="A2127" s="4" t="s">
        <v>5965</v>
      </c>
      <c r="B2127" s="4" t="s">
        <v>5965</v>
      </c>
      <c r="C2127" s="4">
        <v>516.0</v>
      </c>
      <c r="D2127" s="5" t="str">
        <f>HYPERLINK("https://www.linkedin.com/ad-library/detail/1512836146","Open Ad")</f>
        <v>Open Ad</v>
      </c>
      <c r="E2127" s="4" t="s">
        <v>78</v>
      </c>
      <c r="F2127" s="4" t="s">
        <v>54</v>
      </c>
      <c r="G2127" s="4" t="s">
        <v>6322</v>
      </c>
      <c r="H2127" s="4" t="s">
        <v>49</v>
      </c>
      <c r="I2127" s="4" t="s">
        <v>6005</v>
      </c>
      <c r="J2127" s="4" t="s">
        <v>78</v>
      </c>
      <c r="K2127" s="5" t="str">
        <f>HYPERLINK("https://media.licdn.com/dms/image/v2/D5610AQFQ9xMHhkIH-g/image-shrink_1280/B56Z9x3WnqKEAc-/0/1784321764097?e=2147483647&amp;v=beta&amp;t=DkMg95bRWP4EePXr-dRDD8dQjGJzZ-lRep0xf40Vv5k","View Creative")</f>
        <v>View Creative</v>
      </c>
      <c r="L2127" s="4" t="s">
        <v>106</v>
      </c>
      <c r="M2127" s="4" t="s">
        <v>5965</v>
      </c>
      <c r="O2127" s="4" t="s">
        <v>63</v>
      </c>
      <c r="P2127" s="4" t="s">
        <v>64</v>
      </c>
    </row>
    <row r="2128">
      <c r="A2128" s="4" t="s">
        <v>5965</v>
      </c>
      <c r="B2128" s="4" t="s">
        <v>5965</v>
      </c>
      <c r="C2128" s="4">
        <v>517.0</v>
      </c>
      <c r="D2128" s="5" t="str">
        <f>HYPERLINK("https://www.linkedin.com/ad-library/detail/1512817296","Open Ad")</f>
        <v>Open Ad</v>
      </c>
      <c r="E2128" s="4" t="s">
        <v>78</v>
      </c>
      <c r="F2128" s="4" t="s">
        <v>54</v>
      </c>
      <c r="G2128" s="4" t="s">
        <v>6292</v>
      </c>
      <c r="H2128" s="4" t="s">
        <v>49</v>
      </c>
      <c r="I2128" s="4" t="s">
        <v>6005</v>
      </c>
      <c r="J2128" s="4" t="s">
        <v>78</v>
      </c>
      <c r="K2128" s="5" t="str">
        <f>HYPERLINK("https://media.licdn.com/dms/image/v2/D5610AQFCx_YJc45xmQ/image-shrink_1280/B56Z9_1kn.GsAg-/0/1784556178150?e=2147483647&amp;v=beta&amp;t=f1YUvgvX1_1a1kJVoEtCFw4Vo-6pu3fvcM8OtM7KrGI","View Creative")</f>
        <v>View Creative</v>
      </c>
      <c r="L2128" s="4" t="s">
        <v>106</v>
      </c>
      <c r="M2128" s="4" t="s">
        <v>5965</v>
      </c>
      <c r="O2128" s="4" t="s">
        <v>63</v>
      </c>
      <c r="P2128" s="4" t="s">
        <v>64</v>
      </c>
    </row>
    <row r="2129">
      <c r="A2129" s="4" t="s">
        <v>5965</v>
      </c>
      <c r="B2129" s="4" t="s">
        <v>5965</v>
      </c>
      <c r="C2129" s="4">
        <v>518.0</v>
      </c>
      <c r="D2129" s="5" t="str">
        <f>HYPERLINK("https://www.linkedin.com/ad-library/detail/1512826836","Open Ad")</f>
        <v>Open Ad</v>
      </c>
      <c r="E2129" s="4" t="s">
        <v>78</v>
      </c>
      <c r="F2129" s="4" t="s">
        <v>54</v>
      </c>
      <c r="G2129" s="4" t="s">
        <v>6322</v>
      </c>
      <c r="H2129" s="4" t="s">
        <v>49</v>
      </c>
      <c r="I2129" s="4" t="s">
        <v>6005</v>
      </c>
      <c r="J2129" s="4" t="s">
        <v>78</v>
      </c>
      <c r="K2129" s="5" t="str">
        <f>HYPERLINK("https://media.licdn.com/dms/image/v2/D5610AQFQ9xMHhkIH-g/image-shrink_1280/B56Z9x3WnqKEAc-/0/1784321764097?e=2147483647&amp;v=beta&amp;t=DkMg95bRWP4EePXr-dRDD8dQjGJzZ-lRep0xf40Vv5k","View Creative")</f>
        <v>View Creative</v>
      </c>
      <c r="L2129" s="4" t="s">
        <v>106</v>
      </c>
      <c r="M2129" s="4" t="s">
        <v>5965</v>
      </c>
      <c r="O2129" s="4" t="s">
        <v>63</v>
      </c>
      <c r="P2129" s="4" t="s">
        <v>64</v>
      </c>
    </row>
    <row r="2130">
      <c r="A2130" s="4" t="s">
        <v>5965</v>
      </c>
      <c r="B2130" s="4" t="s">
        <v>5965</v>
      </c>
      <c r="C2130" s="4">
        <v>519.0</v>
      </c>
      <c r="D2130" s="5" t="str">
        <f>HYPERLINK("https://www.linkedin.com/ad-library/detail/1512826846","Open Ad")</f>
        <v>Open Ad</v>
      </c>
      <c r="E2130" s="4" t="s">
        <v>78</v>
      </c>
      <c r="F2130" s="4" t="s">
        <v>54</v>
      </c>
      <c r="G2130" s="4" t="s">
        <v>6292</v>
      </c>
      <c r="H2130" s="4" t="s">
        <v>49</v>
      </c>
      <c r="I2130" s="4" t="s">
        <v>6005</v>
      </c>
      <c r="J2130" s="4" t="s">
        <v>78</v>
      </c>
      <c r="K2130" s="5" t="str">
        <f t="shared" ref="K2130:K2131" si="61">HYPERLINK("https://media.licdn.com/dms/image/v2/D5610AQFCx_YJc45xmQ/image-shrink_1280/B56Z9_1kn.GsAg-/0/1784556178150?e=2147483647&amp;v=beta&amp;t=f1YUvgvX1_1a1kJVoEtCFw4Vo-6pu3fvcM8OtM7KrGI","View Creative")</f>
        <v>View Creative</v>
      </c>
      <c r="L2130" s="4" t="s">
        <v>106</v>
      </c>
      <c r="M2130" s="4" t="s">
        <v>5965</v>
      </c>
      <c r="O2130" s="4" t="s">
        <v>63</v>
      </c>
      <c r="P2130" s="4" t="s">
        <v>64</v>
      </c>
    </row>
    <row r="2131">
      <c r="A2131" s="4" t="s">
        <v>5965</v>
      </c>
      <c r="B2131" s="4" t="s">
        <v>5965</v>
      </c>
      <c r="C2131" s="4">
        <v>520.0</v>
      </c>
      <c r="D2131" s="5" t="str">
        <f>HYPERLINK("https://www.linkedin.com/ad-library/detail/1512826856","Open Ad")</f>
        <v>Open Ad</v>
      </c>
      <c r="E2131" s="4" t="s">
        <v>78</v>
      </c>
      <c r="F2131" s="4" t="s">
        <v>54</v>
      </c>
      <c r="G2131" s="4" t="s">
        <v>6292</v>
      </c>
      <c r="H2131" s="4" t="s">
        <v>49</v>
      </c>
      <c r="I2131" s="4" t="s">
        <v>6005</v>
      </c>
      <c r="J2131" s="4" t="s">
        <v>78</v>
      </c>
      <c r="K2131" s="5" t="str">
        <f t="shared" si="61"/>
        <v>View Creative</v>
      </c>
      <c r="L2131" s="4" t="s">
        <v>106</v>
      </c>
      <c r="M2131" s="4" t="s">
        <v>5965</v>
      </c>
      <c r="O2131" s="4" t="s">
        <v>63</v>
      </c>
      <c r="P2131" s="4" t="s">
        <v>64</v>
      </c>
    </row>
    <row r="2132">
      <c r="A2132" s="4" t="s">
        <v>5965</v>
      </c>
      <c r="B2132" s="4" t="s">
        <v>5965</v>
      </c>
      <c r="C2132" s="4">
        <v>521.0</v>
      </c>
      <c r="D2132" s="5" t="str">
        <f>HYPERLINK("https://www.linkedin.com/ad-library/detail/1512759266","Open Ad")</f>
        <v>Open Ad</v>
      </c>
      <c r="E2132" s="4" t="s">
        <v>78</v>
      </c>
      <c r="F2132" s="4" t="s">
        <v>54</v>
      </c>
      <c r="G2132" s="4" t="s">
        <v>6322</v>
      </c>
      <c r="H2132" s="4" t="s">
        <v>49</v>
      </c>
      <c r="I2132" s="4" t="s">
        <v>6005</v>
      </c>
      <c r="J2132" s="4" t="s">
        <v>78</v>
      </c>
      <c r="K2132" s="5" t="str">
        <f t="shared" ref="K2132:K2137" si="62">HYPERLINK("https://media.licdn.com/dms/image/v2/D5610AQFQ9xMHhkIH-g/image-shrink_1280/B56Z9x3WnqKEAc-/0/1784321764097?e=2147483647&amp;v=beta&amp;t=DkMg95bRWP4EePXr-dRDD8dQjGJzZ-lRep0xf40Vv5k","View Creative")</f>
        <v>View Creative</v>
      </c>
      <c r="L2132" s="4" t="s">
        <v>106</v>
      </c>
      <c r="M2132" s="4" t="s">
        <v>5965</v>
      </c>
      <c r="O2132" s="4" t="s">
        <v>63</v>
      </c>
      <c r="P2132" s="4" t="s">
        <v>64</v>
      </c>
    </row>
    <row r="2133">
      <c r="A2133" s="4" t="s">
        <v>5965</v>
      </c>
      <c r="B2133" s="4" t="s">
        <v>5965</v>
      </c>
      <c r="C2133" s="4">
        <v>522.0</v>
      </c>
      <c r="D2133" s="5" t="str">
        <f>HYPERLINK("https://www.linkedin.com/ad-library/detail/1512788956","Open Ad")</f>
        <v>Open Ad</v>
      </c>
      <c r="E2133" s="4" t="s">
        <v>78</v>
      </c>
      <c r="F2133" s="4" t="s">
        <v>54</v>
      </c>
      <c r="G2133" s="4" t="s">
        <v>6322</v>
      </c>
      <c r="H2133" s="4" t="s">
        <v>49</v>
      </c>
      <c r="I2133" s="4" t="s">
        <v>6005</v>
      </c>
      <c r="J2133" s="4" t="s">
        <v>78</v>
      </c>
      <c r="K2133" s="5" t="str">
        <f t="shared" si="62"/>
        <v>View Creative</v>
      </c>
      <c r="L2133" s="4" t="s">
        <v>106</v>
      </c>
      <c r="M2133" s="4" t="s">
        <v>5965</v>
      </c>
      <c r="O2133" s="4" t="s">
        <v>63</v>
      </c>
      <c r="P2133" s="4" t="s">
        <v>64</v>
      </c>
    </row>
    <row r="2134">
      <c r="A2134" s="4" t="s">
        <v>5965</v>
      </c>
      <c r="B2134" s="4" t="s">
        <v>5965</v>
      </c>
      <c r="C2134" s="4">
        <v>523.0</v>
      </c>
      <c r="D2134" s="5" t="str">
        <f>HYPERLINK("https://www.linkedin.com/ad-library/detail/1512893296","Open Ad")</f>
        <v>Open Ad</v>
      </c>
      <c r="E2134" s="4" t="s">
        <v>78</v>
      </c>
      <c r="F2134" s="4" t="s">
        <v>54</v>
      </c>
      <c r="G2134" s="4" t="s">
        <v>6322</v>
      </c>
      <c r="H2134" s="4" t="s">
        <v>49</v>
      </c>
      <c r="I2134" s="4" t="s">
        <v>6005</v>
      </c>
      <c r="J2134" s="4" t="s">
        <v>78</v>
      </c>
      <c r="K2134" s="5" t="str">
        <f t="shared" si="62"/>
        <v>View Creative</v>
      </c>
      <c r="L2134" s="4" t="s">
        <v>106</v>
      </c>
      <c r="M2134" s="4" t="s">
        <v>5965</v>
      </c>
      <c r="O2134" s="4" t="s">
        <v>63</v>
      </c>
      <c r="P2134" s="4" t="s">
        <v>64</v>
      </c>
    </row>
    <row r="2135">
      <c r="A2135" s="4" t="s">
        <v>5965</v>
      </c>
      <c r="B2135" s="4" t="s">
        <v>5965</v>
      </c>
      <c r="C2135" s="4">
        <v>524.0</v>
      </c>
      <c r="D2135" s="5" t="str">
        <f>HYPERLINK("https://www.linkedin.com/ad-library/detail/1512960106","Open Ad")</f>
        <v>Open Ad</v>
      </c>
      <c r="E2135" s="4" t="s">
        <v>78</v>
      </c>
      <c r="F2135" s="4" t="s">
        <v>54</v>
      </c>
      <c r="G2135" s="4" t="s">
        <v>6322</v>
      </c>
      <c r="H2135" s="4" t="s">
        <v>49</v>
      </c>
      <c r="I2135" s="4" t="s">
        <v>6005</v>
      </c>
      <c r="J2135" s="4" t="s">
        <v>78</v>
      </c>
      <c r="K2135" s="5" t="str">
        <f t="shared" si="62"/>
        <v>View Creative</v>
      </c>
      <c r="L2135" s="4" t="s">
        <v>106</v>
      </c>
      <c r="M2135" s="4" t="s">
        <v>5965</v>
      </c>
      <c r="O2135" s="4" t="s">
        <v>63</v>
      </c>
      <c r="P2135" s="4" t="s">
        <v>64</v>
      </c>
    </row>
    <row r="2136">
      <c r="A2136" s="4" t="s">
        <v>5965</v>
      </c>
      <c r="B2136" s="4" t="s">
        <v>5965</v>
      </c>
      <c r="C2136" s="4">
        <v>525.0</v>
      </c>
      <c r="D2136" s="5" t="str">
        <f>HYPERLINK("https://www.linkedin.com/ad-library/detail/1512902886","Open Ad")</f>
        <v>Open Ad</v>
      </c>
      <c r="E2136" s="4" t="s">
        <v>78</v>
      </c>
      <c r="F2136" s="4" t="s">
        <v>54</v>
      </c>
      <c r="G2136" s="4" t="s">
        <v>6322</v>
      </c>
      <c r="H2136" s="4" t="s">
        <v>49</v>
      </c>
      <c r="I2136" s="4" t="s">
        <v>6005</v>
      </c>
      <c r="J2136" s="4" t="s">
        <v>78</v>
      </c>
      <c r="K2136" s="5" t="str">
        <f t="shared" si="62"/>
        <v>View Creative</v>
      </c>
      <c r="L2136" s="4" t="s">
        <v>106</v>
      </c>
      <c r="M2136" s="4" t="s">
        <v>5965</v>
      </c>
      <c r="O2136" s="4" t="s">
        <v>63</v>
      </c>
      <c r="P2136" s="4" t="s">
        <v>64</v>
      </c>
    </row>
    <row r="2137">
      <c r="A2137" s="4" t="s">
        <v>5965</v>
      </c>
      <c r="B2137" s="4" t="s">
        <v>5965</v>
      </c>
      <c r="C2137" s="4">
        <v>526.0</v>
      </c>
      <c r="D2137" s="5" t="str">
        <f>HYPERLINK("https://www.linkedin.com/ad-library/detail/1512902896","Open Ad")</f>
        <v>Open Ad</v>
      </c>
      <c r="E2137" s="4" t="s">
        <v>78</v>
      </c>
      <c r="F2137" s="4" t="s">
        <v>54</v>
      </c>
      <c r="G2137" s="4" t="s">
        <v>6322</v>
      </c>
      <c r="H2137" s="4" t="s">
        <v>49</v>
      </c>
      <c r="I2137" s="4" t="s">
        <v>6005</v>
      </c>
      <c r="J2137" s="4" t="s">
        <v>78</v>
      </c>
      <c r="K2137" s="5" t="str">
        <f t="shared" si="62"/>
        <v>View Creative</v>
      </c>
      <c r="L2137" s="4" t="s">
        <v>106</v>
      </c>
      <c r="M2137" s="4" t="s">
        <v>5965</v>
      </c>
      <c r="O2137" s="4" t="s">
        <v>63</v>
      </c>
      <c r="P2137" s="4" t="s">
        <v>64</v>
      </c>
    </row>
    <row r="2138">
      <c r="A2138" s="4" t="s">
        <v>5965</v>
      </c>
      <c r="B2138" s="4" t="s">
        <v>5965</v>
      </c>
      <c r="C2138" s="4">
        <v>527.0</v>
      </c>
      <c r="D2138" s="5" t="str">
        <f>HYPERLINK("https://www.linkedin.com/ad-library/detail/1506413316","Open Ad")</f>
        <v>Open Ad</v>
      </c>
      <c r="E2138" s="4" t="s">
        <v>121</v>
      </c>
      <c r="F2138" s="4" t="s">
        <v>54</v>
      </c>
      <c r="G2138" s="4" t="s">
        <v>6031</v>
      </c>
      <c r="H2138" s="4" t="s">
        <v>49</v>
      </c>
      <c r="I2138" s="4" t="s">
        <v>6005</v>
      </c>
      <c r="J2138" s="4" t="s">
        <v>121</v>
      </c>
      <c r="K2138" s="5" t="str">
        <f>HYPERLINK("https://dms.licdn.com/playlist/vid/v2/D5610AQEYMxfT9huYsg/mp4-640p-30fp-crf28/B56Z9r5IasLABI-/0/1784221579230?e=2147483647&amp;v=beta&amp;t=wqawh6PBQUrCJZJ-XscUNS7gfMgItz12cEfcJuVzzWI","View Creative")</f>
        <v>View Creative</v>
      </c>
      <c r="L2138" s="4" t="s">
        <v>106</v>
      </c>
      <c r="M2138" s="4" t="s">
        <v>5965</v>
      </c>
      <c r="O2138" s="4" t="s">
        <v>63</v>
      </c>
      <c r="P2138" s="4" t="s">
        <v>64</v>
      </c>
    </row>
    <row r="2139">
      <c r="A2139" s="4" t="s">
        <v>5965</v>
      </c>
      <c r="B2139" s="4" t="s">
        <v>5965</v>
      </c>
      <c r="C2139" s="4">
        <v>528.0</v>
      </c>
      <c r="D2139" s="5" t="str">
        <f>HYPERLINK("https://www.linkedin.com/ad-library/detail/1512769196","Open Ad")</f>
        <v>Open Ad</v>
      </c>
      <c r="E2139" s="4" t="s">
        <v>78</v>
      </c>
      <c r="F2139" s="4" t="s">
        <v>54</v>
      </c>
      <c r="G2139" s="4" t="s">
        <v>6292</v>
      </c>
      <c r="H2139" s="4" t="s">
        <v>49</v>
      </c>
      <c r="I2139" s="4" t="s">
        <v>6005</v>
      </c>
      <c r="J2139" s="4" t="s">
        <v>78</v>
      </c>
      <c r="K2139" s="5" t="str">
        <f>HYPERLINK("https://media.licdn.com/dms/image/v2/D5610AQFCx_YJc45xmQ/image-shrink_1280/B56Z9_1kn.GsAg-/0/1784556178150?e=2147483647&amp;v=beta&amp;t=f1YUvgvX1_1a1kJVoEtCFw4Vo-6pu3fvcM8OtM7KrGI","View Creative")</f>
        <v>View Creative</v>
      </c>
      <c r="L2139" s="4" t="s">
        <v>106</v>
      </c>
      <c r="M2139" s="4" t="s">
        <v>5965</v>
      </c>
      <c r="O2139" s="4" t="s">
        <v>63</v>
      </c>
      <c r="P2139" s="4" t="s">
        <v>64</v>
      </c>
    </row>
    <row r="2140">
      <c r="A2140" s="4" t="s">
        <v>5965</v>
      </c>
      <c r="B2140" s="4" t="s">
        <v>5965</v>
      </c>
      <c r="C2140" s="4">
        <v>529.0</v>
      </c>
      <c r="D2140" s="5" t="str">
        <f>HYPERLINK("https://www.linkedin.com/ad-library/detail/1502706846","Open Ad")</f>
        <v>Open Ad</v>
      </c>
      <c r="E2140" s="4" t="s">
        <v>78</v>
      </c>
      <c r="F2140" s="4" t="s">
        <v>54</v>
      </c>
      <c r="G2140" s="4" t="s">
        <v>6034</v>
      </c>
      <c r="H2140" s="4" t="s">
        <v>49</v>
      </c>
      <c r="I2140" s="4" t="s">
        <v>6005</v>
      </c>
      <c r="J2140" s="4" t="s">
        <v>78</v>
      </c>
      <c r="K2140" s="4" t="s">
        <v>59</v>
      </c>
      <c r="L2140" s="4" t="s">
        <v>106</v>
      </c>
      <c r="M2140" s="4" t="s">
        <v>5965</v>
      </c>
      <c r="O2140" s="4" t="s">
        <v>63</v>
      </c>
      <c r="P2140" s="4" t="s">
        <v>64</v>
      </c>
    </row>
    <row r="2141">
      <c r="A2141" s="4" t="s">
        <v>5965</v>
      </c>
      <c r="B2141" s="4" t="s">
        <v>5965</v>
      </c>
      <c r="C2141" s="4">
        <v>530.0</v>
      </c>
      <c r="D2141" s="5" t="str">
        <f>HYPERLINK("https://www.linkedin.com/ad-library/detail/1502775106","Open Ad")</f>
        <v>Open Ad</v>
      </c>
      <c r="E2141" s="4" t="s">
        <v>78</v>
      </c>
      <c r="F2141" s="4" t="s">
        <v>54</v>
      </c>
      <c r="G2141" s="4" t="s">
        <v>6033</v>
      </c>
      <c r="H2141" s="4" t="s">
        <v>49</v>
      </c>
      <c r="I2141" s="4" t="s">
        <v>6005</v>
      </c>
      <c r="J2141" s="4" t="s">
        <v>78</v>
      </c>
      <c r="K2141" s="4" t="s">
        <v>59</v>
      </c>
      <c r="L2141" s="4" t="s">
        <v>106</v>
      </c>
      <c r="M2141" s="4" t="s">
        <v>5965</v>
      </c>
      <c r="O2141" s="4" t="s">
        <v>63</v>
      </c>
      <c r="P2141" s="4" t="s">
        <v>64</v>
      </c>
    </row>
    <row r="2142">
      <c r="A2142" s="4" t="s">
        <v>5965</v>
      </c>
      <c r="B2142" s="4" t="s">
        <v>5965</v>
      </c>
      <c r="C2142" s="4">
        <v>531.0</v>
      </c>
      <c r="D2142" s="5" t="str">
        <f>HYPERLINK("https://www.linkedin.com/ad-library/detail/1502706816","Open Ad")</f>
        <v>Open Ad</v>
      </c>
      <c r="E2142" s="4" t="s">
        <v>78</v>
      </c>
      <c r="F2142" s="4" t="s">
        <v>54</v>
      </c>
      <c r="G2142" s="4" t="s">
        <v>6242</v>
      </c>
      <c r="H2142" s="4" t="s">
        <v>49</v>
      </c>
      <c r="I2142" s="4" t="s">
        <v>6005</v>
      </c>
      <c r="J2142" s="4" t="s">
        <v>78</v>
      </c>
      <c r="K2142" s="4" t="s">
        <v>59</v>
      </c>
      <c r="L2142" s="4" t="s">
        <v>106</v>
      </c>
      <c r="M2142" s="4" t="s">
        <v>5965</v>
      </c>
      <c r="O2142" s="4" t="s">
        <v>63</v>
      </c>
      <c r="P2142" s="4" t="s">
        <v>64</v>
      </c>
    </row>
    <row r="2143">
      <c r="A2143" s="4" t="s">
        <v>5965</v>
      </c>
      <c r="B2143" s="4" t="s">
        <v>5965</v>
      </c>
      <c r="C2143" s="4">
        <v>532.0</v>
      </c>
      <c r="D2143" s="5" t="str">
        <f>HYPERLINK("https://www.linkedin.com/ad-library/detail/1506491796","Open Ad")</f>
        <v>Open Ad</v>
      </c>
      <c r="E2143" s="4" t="s">
        <v>121</v>
      </c>
      <c r="F2143" s="4" t="s">
        <v>54</v>
      </c>
      <c r="G2143" s="4" t="s">
        <v>6031</v>
      </c>
      <c r="H2143" s="4" t="s">
        <v>49</v>
      </c>
      <c r="I2143" s="4" t="s">
        <v>6005</v>
      </c>
      <c r="J2143" s="4" t="s">
        <v>121</v>
      </c>
      <c r="K2143" s="5" t="str">
        <f>HYPERLINK("https://dms.licdn.com/playlist/vid/v2/D5610AQEYMxfT9huYsg/mp4-640p-30fp-crf28/B56Z9r5IasLABI-/0/1784221579230?e=2147483647&amp;v=beta&amp;t=wqawh6PBQUrCJZJ-XscUNS7gfMgItz12cEfcJuVzzWI","View Creative")</f>
        <v>View Creative</v>
      </c>
      <c r="L2143" s="4" t="s">
        <v>106</v>
      </c>
      <c r="M2143" s="4" t="s">
        <v>5965</v>
      </c>
      <c r="O2143" s="4" t="s">
        <v>63</v>
      </c>
      <c r="P2143" s="4" t="s">
        <v>64</v>
      </c>
    </row>
    <row r="2144">
      <c r="A2144" s="4" t="s">
        <v>5965</v>
      </c>
      <c r="B2144" s="4" t="s">
        <v>5965</v>
      </c>
      <c r="C2144" s="4">
        <v>533.0</v>
      </c>
      <c r="D2144" s="5" t="str">
        <f>HYPERLINK("https://www.linkedin.com/ad-library/detail/1502677956","Open Ad")</f>
        <v>Open Ad</v>
      </c>
      <c r="E2144" s="4" t="s">
        <v>5970</v>
      </c>
      <c r="F2144" s="4" t="s">
        <v>54</v>
      </c>
      <c r="G2144" s="4" t="s">
        <v>5980</v>
      </c>
      <c r="H2144" s="4" t="s">
        <v>49</v>
      </c>
      <c r="I2144" s="4" t="s">
        <v>6005</v>
      </c>
      <c r="J2144" s="4" t="s">
        <v>5973</v>
      </c>
      <c r="K2144" s="4" t="s">
        <v>59</v>
      </c>
      <c r="L2144" s="4" t="s">
        <v>106</v>
      </c>
      <c r="M2144" s="4" t="s">
        <v>5965</v>
      </c>
      <c r="O2144" s="4" t="s">
        <v>63</v>
      </c>
      <c r="P2144" s="4" t="s">
        <v>64</v>
      </c>
    </row>
    <row r="2145">
      <c r="A2145" s="4" t="s">
        <v>5965</v>
      </c>
      <c r="B2145" s="4" t="s">
        <v>5965</v>
      </c>
      <c r="C2145" s="4">
        <v>534.0</v>
      </c>
      <c r="D2145" s="5" t="str">
        <f>HYPERLINK("https://www.linkedin.com/ad-library/detail/1502775126","Open Ad")</f>
        <v>Open Ad</v>
      </c>
      <c r="E2145" s="4" t="s">
        <v>78</v>
      </c>
      <c r="F2145" s="4" t="s">
        <v>54</v>
      </c>
      <c r="G2145" s="4" t="s">
        <v>6242</v>
      </c>
      <c r="H2145" s="4" t="s">
        <v>49</v>
      </c>
      <c r="I2145" s="4" t="s">
        <v>6005</v>
      </c>
      <c r="J2145" s="4" t="s">
        <v>78</v>
      </c>
      <c r="K2145" s="4" t="s">
        <v>59</v>
      </c>
      <c r="L2145" s="4" t="s">
        <v>106</v>
      </c>
      <c r="M2145" s="4" t="s">
        <v>5965</v>
      </c>
      <c r="O2145" s="4" t="s">
        <v>63</v>
      </c>
      <c r="P2145" s="4" t="s">
        <v>64</v>
      </c>
    </row>
    <row r="2146">
      <c r="A2146" s="4" t="s">
        <v>5965</v>
      </c>
      <c r="B2146" s="4" t="s">
        <v>5965</v>
      </c>
      <c r="C2146" s="4">
        <v>535.0</v>
      </c>
      <c r="D2146" s="5" t="str">
        <f>HYPERLINK("https://www.linkedin.com/ad-library/detail/1502775136","Open Ad")</f>
        <v>Open Ad</v>
      </c>
      <c r="E2146" s="4" t="s">
        <v>78</v>
      </c>
      <c r="F2146" s="4" t="s">
        <v>54</v>
      </c>
      <c r="G2146" s="4" t="s">
        <v>6037</v>
      </c>
      <c r="H2146" s="4" t="s">
        <v>49</v>
      </c>
      <c r="I2146" s="4" t="s">
        <v>6005</v>
      </c>
      <c r="J2146" s="4" t="s">
        <v>78</v>
      </c>
      <c r="K2146" s="4" t="s">
        <v>59</v>
      </c>
      <c r="L2146" s="4" t="s">
        <v>106</v>
      </c>
      <c r="M2146" s="4" t="s">
        <v>5965</v>
      </c>
      <c r="O2146" s="4" t="s">
        <v>63</v>
      </c>
      <c r="P2146" s="4" t="s">
        <v>64</v>
      </c>
    </row>
    <row r="2147">
      <c r="A2147" s="4" t="s">
        <v>5965</v>
      </c>
      <c r="B2147" s="4" t="s">
        <v>5965</v>
      </c>
      <c r="C2147" s="4">
        <v>536.0</v>
      </c>
      <c r="D2147" s="5" t="str">
        <f>HYPERLINK("https://www.linkedin.com/ad-library/detail/1502852246","Open Ad")</f>
        <v>Open Ad</v>
      </c>
      <c r="E2147" s="4" t="s">
        <v>78</v>
      </c>
      <c r="F2147" s="4" t="s">
        <v>54</v>
      </c>
      <c r="G2147" s="4" t="s">
        <v>6033</v>
      </c>
      <c r="H2147" s="4" t="s">
        <v>49</v>
      </c>
      <c r="I2147" s="4" t="s">
        <v>6005</v>
      </c>
      <c r="J2147" s="4" t="s">
        <v>78</v>
      </c>
      <c r="K2147" s="4" t="s">
        <v>59</v>
      </c>
      <c r="L2147" s="4" t="s">
        <v>106</v>
      </c>
      <c r="M2147" s="4" t="s">
        <v>5965</v>
      </c>
      <c r="O2147" s="4" t="s">
        <v>63</v>
      </c>
      <c r="P2147" s="4" t="s">
        <v>64</v>
      </c>
    </row>
    <row r="2148">
      <c r="A2148" s="4" t="s">
        <v>5965</v>
      </c>
      <c r="B2148" s="4" t="s">
        <v>5965</v>
      </c>
      <c r="C2148" s="4">
        <v>537.0</v>
      </c>
      <c r="D2148" s="5" t="str">
        <f>HYPERLINK("https://www.linkedin.com/ad-library/detail/1506367076","Open Ad")</f>
        <v>Open Ad</v>
      </c>
      <c r="E2148" s="4" t="s">
        <v>121</v>
      </c>
      <c r="F2148" s="4" t="s">
        <v>54</v>
      </c>
      <c r="G2148" s="4" t="s">
        <v>6031</v>
      </c>
      <c r="H2148" s="4" t="s">
        <v>49</v>
      </c>
      <c r="I2148" s="4" t="s">
        <v>6005</v>
      </c>
      <c r="J2148" s="4" t="s">
        <v>121</v>
      </c>
      <c r="K2148" s="5" t="str">
        <f>HYPERLINK("https://dms.licdn.com/playlist/vid/v2/D5610AQEYMxfT9huYsg/mp4-640p-30fp-crf28/B56Z9r5IasLABI-/0/1784221579230?e=2147483647&amp;v=beta&amp;t=wqawh6PBQUrCJZJ-XscUNS7gfMgItz12cEfcJuVzzWI","View Creative")</f>
        <v>View Creative</v>
      </c>
      <c r="L2148" s="4" t="s">
        <v>106</v>
      </c>
      <c r="M2148" s="4" t="s">
        <v>5965</v>
      </c>
      <c r="O2148" s="4" t="s">
        <v>63</v>
      </c>
      <c r="P2148" s="4" t="s">
        <v>64</v>
      </c>
    </row>
    <row r="2149">
      <c r="A2149" s="4" t="s">
        <v>5965</v>
      </c>
      <c r="B2149" s="4" t="s">
        <v>5965</v>
      </c>
      <c r="C2149" s="4">
        <v>538.0</v>
      </c>
      <c r="D2149" s="5" t="str">
        <f>HYPERLINK("https://www.linkedin.com/ad-library/detail/1502716586","Open Ad")</f>
        <v>Open Ad</v>
      </c>
      <c r="E2149" s="4" t="s">
        <v>5970</v>
      </c>
      <c r="F2149" s="4" t="s">
        <v>54</v>
      </c>
      <c r="G2149" s="4" t="s">
        <v>5980</v>
      </c>
      <c r="H2149" s="4" t="s">
        <v>49</v>
      </c>
      <c r="I2149" s="4" t="s">
        <v>6005</v>
      </c>
      <c r="J2149" s="4" t="s">
        <v>5973</v>
      </c>
      <c r="K2149" s="4" t="s">
        <v>59</v>
      </c>
      <c r="L2149" s="4" t="s">
        <v>106</v>
      </c>
      <c r="M2149" s="4" t="s">
        <v>5965</v>
      </c>
      <c r="O2149" s="4" t="s">
        <v>63</v>
      </c>
      <c r="P2149" s="4" t="s">
        <v>64</v>
      </c>
    </row>
    <row r="2150">
      <c r="A2150" s="4" t="s">
        <v>5965</v>
      </c>
      <c r="B2150" s="4" t="s">
        <v>5965</v>
      </c>
      <c r="C2150" s="4">
        <v>539.0</v>
      </c>
      <c r="D2150" s="5" t="str">
        <f>HYPERLINK("https://www.linkedin.com/ad-library/detail/1506511946","Open Ad")</f>
        <v>Open Ad</v>
      </c>
      <c r="E2150" s="4" t="s">
        <v>121</v>
      </c>
      <c r="F2150" s="4" t="s">
        <v>54</v>
      </c>
      <c r="G2150" s="4" t="s">
        <v>6031</v>
      </c>
      <c r="H2150" s="4" t="s">
        <v>49</v>
      </c>
      <c r="I2150" s="4" t="s">
        <v>6005</v>
      </c>
      <c r="J2150" s="4" t="s">
        <v>121</v>
      </c>
      <c r="K2150" s="5" t="str">
        <f>HYPERLINK("https://dms.licdn.com/playlist/vid/v2/D5610AQEYMxfT9huYsg/mp4-640p-30fp-crf28/B56Z9r5IasLABI-/0/1784221579230?e=2147483647&amp;v=beta&amp;t=wqawh6PBQUrCJZJ-XscUNS7gfMgItz12cEfcJuVzzWI","View Creative")</f>
        <v>View Creative</v>
      </c>
      <c r="L2150" s="4" t="s">
        <v>106</v>
      </c>
      <c r="M2150" s="4" t="s">
        <v>5965</v>
      </c>
      <c r="O2150" s="4" t="s">
        <v>63</v>
      </c>
      <c r="P2150" s="4" t="s">
        <v>64</v>
      </c>
    </row>
    <row r="2151">
      <c r="A2151" s="4" t="s">
        <v>5965</v>
      </c>
      <c r="B2151" s="4" t="s">
        <v>5965</v>
      </c>
      <c r="C2151" s="4">
        <v>540.0</v>
      </c>
      <c r="D2151" s="5" t="str">
        <f>HYPERLINK("https://www.linkedin.com/ad-library/detail/1503035556","Open Ad")</f>
        <v>Open Ad</v>
      </c>
      <c r="E2151" s="4" t="s">
        <v>78</v>
      </c>
      <c r="F2151" s="4" t="s">
        <v>54</v>
      </c>
      <c r="G2151" s="4" t="s">
        <v>6383</v>
      </c>
      <c r="H2151" s="4" t="s">
        <v>49</v>
      </c>
      <c r="I2151" s="4" t="s">
        <v>6005</v>
      </c>
      <c r="J2151" s="4" t="s">
        <v>78</v>
      </c>
      <c r="K2151" s="5" t="str">
        <f>HYPERLINK("https://media.licdn.com/dms/image/v2/D5610AQFMuD6uHJJwJw/image-shrink_1080_1080/B56Z9rTxx5GQAk-/0/1784211774882?e=1789473600&amp;v=beta&amp;t=CKk7a6Yy6hyhx3FGX1hbyEHL8RPXNWYFnLiruDNAutI","View Creative")</f>
        <v>View Creative</v>
      </c>
      <c r="L2151" s="4" t="s">
        <v>106</v>
      </c>
      <c r="M2151" s="4" t="s">
        <v>5965</v>
      </c>
      <c r="O2151" s="4" t="s">
        <v>63</v>
      </c>
      <c r="P2151" s="4" t="s">
        <v>64</v>
      </c>
    </row>
    <row r="2152">
      <c r="A2152" s="4" t="s">
        <v>5965</v>
      </c>
      <c r="B2152" s="4" t="s">
        <v>5965</v>
      </c>
      <c r="C2152" s="4">
        <v>541.0</v>
      </c>
      <c r="D2152" s="5" t="str">
        <f>HYPERLINK("https://www.linkedin.com/ad-library/detail/1506339326","Open Ad")</f>
        <v>Open Ad</v>
      </c>
      <c r="E2152" s="4" t="s">
        <v>121</v>
      </c>
      <c r="F2152" s="4" t="s">
        <v>54</v>
      </c>
      <c r="G2152" s="4" t="s">
        <v>6031</v>
      </c>
      <c r="H2152" s="4" t="s">
        <v>49</v>
      </c>
      <c r="I2152" s="4" t="s">
        <v>6005</v>
      </c>
      <c r="J2152" s="4" t="s">
        <v>121</v>
      </c>
      <c r="K2152" s="5" t="str">
        <f t="shared" ref="K2152:K2153" si="63">HYPERLINK("https://dms.licdn.com/playlist/vid/v2/D5610AQEYMxfT9huYsg/mp4-640p-30fp-crf28/B56Z9r5IasLABI-/0/1784221579230?e=2147483647&amp;v=beta&amp;t=wqawh6PBQUrCJZJ-XscUNS7gfMgItz12cEfcJuVzzWI","View Creative")</f>
        <v>View Creative</v>
      </c>
      <c r="L2152" s="4" t="s">
        <v>106</v>
      </c>
      <c r="M2152" s="4" t="s">
        <v>5965</v>
      </c>
      <c r="O2152" s="4" t="s">
        <v>63</v>
      </c>
      <c r="P2152" s="4" t="s">
        <v>64</v>
      </c>
    </row>
    <row r="2153">
      <c r="A2153" s="4" t="s">
        <v>5965</v>
      </c>
      <c r="B2153" s="4" t="s">
        <v>5965</v>
      </c>
      <c r="C2153" s="4">
        <v>542.0</v>
      </c>
      <c r="D2153" s="5" t="str">
        <f>HYPERLINK("https://www.linkedin.com/ad-library/detail/1506348866","Open Ad")</f>
        <v>Open Ad</v>
      </c>
      <c r="E2153" s="4" t="s">
        <v>121</v>
      </c>
      <c r="F2153" s="4" t="s">
        <v>54</v>
      </c>
      <c r="G2153" s="4" t="s">
        <v>6031</v>
      </c>
      <c r="H2153" s="4" t="s">
        <v>49</v>
      </c>
      <c r="I2153" s="4" t="s">
        <v>6005</v>
      </c>
      <c r="J2153" s="4" t="s">
        <v>121</v>
      </c>
      <c r="K2153" s="5" t="str">
        <f t="shared" si="63"/>
        <v>View Creative</v>
      </c>
      <c r="L2153" s="4" t="s">
        <v>106</v>
      </c>
      <c r="M2153" s="4" t="s">
        <v>5965</v>
      </c>
      <c r="O2153" s="4" t="s">
        <v>63</v>
      </c>
      <c r="P2153" s="4" t="s">
        <v>64</v>
      </c>
    </row>
    <row r="2154">
      <c r="A2154" s="4" t="s">
        <v>5965</v>
      </c>
      <c r="B2154" s="4" t="s">
        <v>5965</v>
      </c>
      <c r="C2154" s="4">
        <v>543.0</v>
      </c>
      <c r="D2154" s="5" t="str">
        <f>HYPERLINK("https://www.linkedin.com/ad-library/detail/1502736266","Open Ad")</f>
        <v>Open Ad</v>
      </c>
      <c r="E2154" s="4" t="s">
        <v>78</v>
      </c>
      <c r="F2154" s="4" t="s">
        <v>54</v>
      </c>
      <c r="G2154" s="4" t="s">
        <v>6242</v>
      </c>
      <c r="H2154" s="4" t="s">
        <v>49</v>
      </c>
      <c r="I2154" s="4" t="s">
        <v>6005</v>
      </c>
      <c r="J2154" s="4" t="s">
        <v>78</v>
      </c>
      <c r="K2154" s="4" t="s">
        <v>59</v>
      </c>
      <c r="L2154" s="4" t="s">
        <v>106</v>
      </c>
      <c r="M2154" s="4" t="s">
        <v>5965</v>
      </c>
      <c r="O2154" s="4" t="s">
        <v>63</v>
      </c>
      <c r="P2154" s="4" t="s">
        <v>64</v>
      </c>
    </row>
    <row r="2155">
      <c r="A2155" s="4" t="s">
        <v>5965</v>
      </c>
      <c r="B2155" s="4" t="s">
        <v>5965</v>
      </c>
      <c r="C2155" s="4">
        <v>544.0</v>
      </c>
      <c r="D2155" s="5" t="str">
        <f>HYPERLINK("https://www.linkedin.com/ad-library/detail/1502686966","Open Ad")</f>
        <v>Open Ad</v>
      </c>
      <c r="E2155" s="4" t="s">
        <v>78</v>
      </c>
      <c r="F2155" s="4" t="s">
        <v>54</v>
      </c>
      <c r="G2155" s="4" t="s">
        <v>6037</v>
      </c>
      <c r="H2155" s="4" t="s">
        <v>49</v>
      </c>
      <c r="I2155" s="4" t="s">
        <v>6005</v>
      </c>
      <c r="J2155" s="4" t="s">
        <v>78</v>
      </c>
      <c r="K2155" s="4" t="s">
        <v>59</v>
      </c>
      <c r="L2155" s="4" t="s">
        <v>106</v>
      </c>
      <c r="M2155" s="4" t="s">
        <v>5965</v>
      </c>
      <c r="O2155" s="4" t="s">
        <v>63</v>
      </c>
      <c r="P2155" s="4" t="s">
        <v>64</v>
      </c>
    </row>
    <row r="2156">
      <c r="A2156" s="4" t="s">
        <v>5965</v>
      </c>
      <c r="B2156" s="4" t="s">
        <v>5965</v>
      </c>
      <c r="C2156" s="4">
        <v>545.0</v>
      </c>
      <c r="D2156" s="5" t="str">
        <f>HYPERLINK("https://www.linkedin.com/ad-library/detail/1502794666","Open Ad")</f>
        <v>Open Ad</v>
      </c>
      <c r="E2156" s="4" t="s">
        <v>78</v>
      </c>
      <c r="F2156" s="4" t="s">
        <v>54</v>
      </c>
      <c r="G2156" s="4" t="s">
        <v>6034</v>
      </c>
      <c r="H2156" s="4" t="s">
        <v>49</v>
      </c>
      <c r="I2156" s="4" t="s">
        <v>6005</v>
      </c>
      <c r="J2156" s="4" t="s">
        <v>78</v>
      </c>
      <c r="K2156" s="4" t="s">
        <v>59</v>
      </c>
      <c r="L2156" s="4" t="s">
        <v>106</v>
      </c>
      <c r="M2156" s="4" t="s">
        <v>5965</v>
      </c>
      <c r="O2156" s="4" t="s">
        <v>63</v>
      </c>
      <c r="P2156" s="4" t="s">
        <v>64</v>
      </c>
    </row>
    <row r="2157">
      <c r="A2157" s="4" t="s">
        <v>5965</v>
      </c>
      <c r="B2157" s="4" t="s">
        <v>5965</v>
      </c>
      <c r="C2157" s="4">
        <v>546.0</v>
      </c>
      <c r="D2157" s="5" t="str">
        <f>HYPERLINK("https://www.linkedin.com/ad-library/detail/1506328616","Open Ad")</f>
        <v>Open Ad</v>
      </c>
      <c r="E2157" s="4" t="s">
        <v>121</v>
      </c>
      <c r="F2157" s="4" t="s">
        <v>54</v>
      </c>
      <c r="G2157" s="4" t="s">
        <v>6031</v>
      </c>
      <c r="H2157" s="4" t="s">
        <v>49</v>
      </c>
      <c r="I2157" s="4" t="s">
        <v>6005</v>
      </c>
      <c r="J2157" s="4" t="s">
        <v>121</v>
      </c>
      <c r="K2157" s="5" t="str">
        <f>HYPERLINK("https://dms.licdn.com/playlist/vid/v2/D5610AQEYMxfT9huYsg/mp4-640p-30fp-crf28/B56Z9r5IasLABI-/0/1784221579230?e=2147483647&amp;v=beta&amp;t=wqawh6PBQUrCJZJ-XscUNS7gfMgItz12cEfcJuVzzWI","View Creative")</f>
        <v>View Creative</v>
      </c>
      <c r="L2157" s="4" t="s">
        <v>106</v>
      </c>
      <c r="M2157" s="4" t="s">
        <v>5965</v>
      </c>
      <c r="O2157" s="4" t="s">
        <v>63</v>
      </c>
      <c r="P2157" s="4" t="s">
        <v>64</v>
      </c>
    </row>
    <row r="2158">
      <c r="A2158" s="4" t="s">
        <v>5965</v>
      </c>
      <c r="B2158" s="4" t="s">
        <v>5965</v>
      </c>
      <c r="C2158" s="4">
        <v>547.0</v>
      </c>
      <c r="D2158" s="5" t="str">
        <f>HYPERLINK("https://www.linkedin.com/ad-library/detail/1502843116","Open Ad")</f>
        <v>Open Ad</v>
      </c>
      <c r="E2158" s="4" t="s">
        <v>78</v>
      </c>
      <c r="F2158" s="4" t="s">
        <v>54</v>
      </c>
      <c r="G2158" s="4" t="s">
        <v>6033</v>
      </c>
      <c r="H2158" s="4" t="s">
        <v>49</v>
      </c>
      <c r="I2158" s="4" t="s">
        <v>6005</v>
      </c>
      <c r="J2158" s="4" t="s">
        <v>78</v>
      </c>
      <c r="K2158" s="4" t="s">
        <v>59</v>
      </c>
      <c r="L2158" s="4" t="s">
        <v>106</v>
      </c>
      <c r="M2158" s="4" t="s">
        <v>5965</v>
      </c>
      <c r="O2158" s="4" t="s">
        <v>63</v>
      </c>
      <c r="P2158" s="4" t="s">
        <v>64</v>
      </c>
    </row>
    <row r="2159">
      <c r="A2159" s="4" t="s">
        <v>5965</v>
      </c>
      <c r="B2159" s="4" t="s">
        <v>5965</v>
      </c>
      <c r="C2159" s="4">
        <v>548.0</v>
      </c>
      <c r="D2159" s="5" t="str">
        <f>HYPERLINK("https://www.linkedin.com/ad-library/detail/1502766066","Open Ad")</f>
        <v>Open Ad</v>
      </c>
      <c r="E2159" s="4" t="s">
        <v>5970</v>
      </c>
      <c r="F2159" s="4" t="s">
        <v>54</v>
      </c>
      <c r="G2159" s="4" t="s">
        <v>6015</v>
      </c>
      <c r="H2159" s="4" t="s">
        <v>49</v>
      </c>
      <c r="I2159" s="4" t="s">
        <v>6005</v>
      </c>
      <c r="J2159" s="4" t="s">
        <v>5973</v>
      </c>
      <c r="K2159" s="4" t="s">
        <v>59</v>
      </c>
      <c r="L2159" s="4" t="s">
        <v>106</v>
      </c>
      <c r="M2159" s="4" t="s">
        <v>5965</v>
      </c>
      <c r="O2159" s="4" t="s">
        <v>63</v>
      </c>
      <c r="P2159" s="4" t="s">
        <v>64</v>
      </c>
    </row>
    <row r="2160">
      <c r="A2160" s="4" t="s">
        <v>5965</v>
      </c>
      <c r="B2160" s="4" t="s">
        <v>5965</v>
      </c>
      <c r="C2160" s="4">
        <v>549.0</v>
      </c>
      <c r="D2160" s="5" t="str">
        <f>HYPERLINK("https://www.linkedin.com/ad-library/detail/1503120976","Open Ad")</f>
        <v>Open Ad</v>
      </c>
      <c r="E2160" s="4" t="s">
        <v>78</v>
      </c>
      <c r="F2160" s="4" t="s">
        <v>54</v>
      </c>
      <c r="G2160" s="4" t="s">
        <v>6384</v>
      </c>
      <c r="H2160" s="4" t="s">
        <v>49</v>
      </c>
      <c r="I2160" s="4" t="s">
        <v>6005</v>
      </c>
      <c r="J2160" s="4" t="s">
        <v>78</v>
      </c>
      <c r="K2160" s="5" t="str">
        <f>HYPERLINK("https://media.licdn.com/dms/image/v2/D5610AQF4moV-mpkdDg/image-shrink_1080_1080/B56Z89.4.EIoAk-/0/1783451324580?e=1789473600&amp;v=beta&amp;t=e3l6rPeExnsQya1vJ5CgS3NArYFATmVPvvijFtKvBPA","View Creative")</f>
        <v>View Creative</v>
      </c>
      <c r="L2160" s="4" t="s">
        <v>106</v>
      </c>
      <c r="M2160" s="4" t="s">
        <v>5965</v>
      </c>
      <c r="O2160" s="4" t="s">
        <v>63</v>
      </c>
      <c r="P2160" s="4" t="s">
        <v>64</v>
      </c>
    </row>
    <row r="2161">
      <c r="A2161" s="4" t="s">
        <v>5965</v>
      </c>
      <c r="B2161" s="4" t="s">
        <v>5965</v>
      </c>
      <c r="C2161" s="4">
        <v>550.0</v>
      </c>
      <c r="D2161" s="5" t="str">
        <f>HYPERLINK("https://www.linkedin.com/ad-library/detail/1502843146","Open Ad")</f>
        <v>Open Ad</v>
      </c>
      <c r="E2161" s="4" t="s">
        <v>5970</v>
      </c>
      <c r="F2161" s="4" t="s">
        <v>54</v>
      </c>
      <c r="G2161" s="4" t="s">
        <v>6015</v>
      </c>
      <c r="H2161" s="4" t="s">
        <v>49</v>
      </c>
      <c r="I2161" s="4" t="s">
        <v>6005</v>
      </c>
      <c r="J2161" s="4" t="s">
        <v>5973</v>
      </c>
      <c r="K2161" s="4" t="s">
        <v>59</v>
      </c>
      <c r="L2161" s="4" t="s">
        <v>106</v>
      </c>
      <c r="M2161" s="4" t="s">
        <v>5965</v>
      </c>
      <c r="O2161" s="4" t="s">
        <v>63</v>
      </c>
      <c r="P2161" s="4" t="s">
        <v>64</v>
      </c>
    </row>
    <row r="2162">
      <c r="A2162" s="4" t="s">
        <v>5965</v>
      </c>
      <c r="B2162" s="4" t="s">
        <v>5965</v>
      </c>
      <c r="C2162" s="4">
        <v>551.0</v>
      </c>
      <c r="D2162" s="5" t="str">
        <f>HYPERLINK("https://www.linkedin.com/ad-library/detail/1506377056","Open Ad")</f>
        <v>Open Ad</v>
      </c>
      <c r="E2162" s="4" t="s">
        <v>121</v>
      </c>
      <c r="F2162" s="4" t="s">
        <v>54</v>
      </c>
      <c r="G2162" s="4" t="s">
        <v>6031</v>
      </c>
      <c r="H2162" s="4" t="s">
        <v>49</v>
      </c>
      <c r="I2162" s="4" t="s">
        <v>6005</v>
      </c>
      <c r="J2162" s="4" t="s">
        <v>121</v>
      </c>
      <c r="K2162" s="5" t="str">
        <f>HYPERLINK("https://dms.licdn.com/playlist/vid/v2/D5610AQEYMxfT9huYsg/mp4-640p-30fp-crf28/B56Z9r5IasLABI-/0/1784221579230?e=2147483647&amp;v=beta&amp;t=wqawh6PBQUrCJZJ-XscUNS7gfMgItz12cEfcJuVzzWI","View Creative")</f>
        <v>View Creative</v>
      </c>
      <c r="L2162" s="4" t="s">
        <v>106</v>
      </c>
      <c r="M2162" s="4" t="s">
        <v>5965</v>
      </c>
      <c r="O2162" s="4" t="s">
        <v>63</v>
      </c>
      <c r="P2162" s="4" t="s">
        <v>64</v>
      </c>
    </row>
    <row r="2163">
      <c r="A2163" s="4" t="s">
        <v>5965</v>
      </c>
      <c r="B2163" s="4" t="s">
        <v>5965</v>
      </c>
      <c r="C2163" s="4">
        <v>552.0</v>
      </c>
      <c r="D2163" s="5" t="str">
        <f>HYPERLINK("https://www.linkedin.com/ad-library/detail/1502716536","Open Ad")</f>
        <v>Open Ad</v>
      </c>
      <c r="E2163" s="4" t="s">
        <v>78</v>
      </c>
      <c r="F2163" s="4" t="s">
        <v>54</v>
      </c>
      <c r="G2163" s="4" t="s">
        <v>6037</v>
      </c>
      <c r="H2163" s="4" t="s">
        <v>49</v>
      </c>
      <c r="I2163" s="4" t="s">
        <v>6005</v>
      </c>
      <c r="J2163" s="4" t="s">
        <v>78</v>
      </c>
      <c r="K2163" s="4" t="s">
        <v>59</v>
      </c>
      <c r="L2163" s="4" t="s">
        <v>106</v>
      </c>
      <c r="M2163" s="4" t="s">
        <v>5965</v>
      </c>
      <c r="O2163" s="4" t="s">
        <v>63</v>
      </c>
      <c r="P2163" s="4" t="s">
        <v>64</v>
      </c>
    </row>
    <row r="2164">
      <c r="A2164" s="4" t="s">
        <v>5965</v>
      </c>
      <c r="B2164" s="4" t="s">
        <v>5965</v>
      </c>
      <c r="C2164" s="4">
        <v>553.0</v>
      </c>
      <c r="D2164" s="5" t="str">
        <f>HYPERLINK("https://www.linkedin.com/ad-library/detail/1502726696","Open Ad")</f>
        <v>Open Ad</v>
      </c>
      <c r="E2164" s="4" t="s">
        <v>78</v>
      </c>
      <c r="F2164" s="4" t="s">
        <v>54</v>
      </c>
      <c r="G2164" s="4" t="s">
        <v>6385</v>
      </c>
      <c r="H2164" s="4" t="s">
        <v>49</v>
      </c>
      <c r="I2164" s="4" t="s">
        <v>6005</v>
      </c>
      <c r="J2164" s="4" t="s">
        <v>78</v>
      </c>
      <c r="K2164" s="5" t="str">
        <f>HYPERLINK("https://media.licdn.com/dms/image/v2/D5610AQFoFyqJ3g7Log/image-shrink_1280/B56Z9h_Mo.HUAc-/0/1784055385012?e=2147483647&amp;v=beta&amp;t=ahLhwf3XzHon78cEKdnNDmivIzsNgm82MjqmREwyCIw","View Creative")</f>
        <v>View Creative</v>
      </c>
      <c r="L2164" s="4" t="s">
        <v>106</v>
      </c>
      <c r="M2164" s="4" t="s">
        <v>5965</v>
      </c>
      <c r="O2164" s="4" t="s">
        <v>63</v>
      </c>
      <c r="P2164" s="4" t="s">
        <v>64</v>
      </c>
    </row>
    <row r="2165">
      <c r="A2165" s="4" t="s">
        <v>5965</v>
      </c>
      <c r="B2165" s="4" t="s">
        <v>5965</v>
      </c>
      <c r="C2165" s="4">
        <v>554.0</v>
      </c>
      <c r="D2165" s="5" t="str">
        <f>HYPERLINK("https://www.linkedin.com/ad-library/detail/1502668026","Open Ad")</f>
        <v>Open Ad</v>
      </c>
      <c r="E2165" s="4" t="s">
        <v>78</v>
      </c>
      <c r="F2165" s="4" t="s">
        <v>54</v>
      </c>
      <c r="G2165" s="4" t="s">
        <v>6330</v>
      </c>
      <c r="H2165" s="4" t="s">
        <v>49</v>
      </c>
      <c r="I2165" s="4" t="s">
        <v>6005</v>
      </c>
      <c r="J2165" s="4" t="s">
        <v>78</v>
      </c>
      <c r="K2165" s="5" t="str">
        <f>HYPERLINK("https://media.licdn.com/dms/image/v2/D5610AQHWN3cBgpsrZA/image-shrink_1280/B56Z8ThVnqLAAc-/0/1782738934569?e=2147483647&amp;v=beta&amp;t=A-Y9kI8t-vvKXU86I3eo4Ke7-nBQGOwNbp_-WJGBzdU","View Creative")</f>
        <v>View Creative</v>
      </c>
      <c r="L2165" s="4" t="s">
        <v>106</v>
      </c>
      <c r="M2165" s="4" t="s">
        <v>5965</v>
      </c>
      <c r="O2165" s="4" t="s">
        <v>63</v>
      </c>
      <c r="P2165" s="4" t="s">
        <v>64</v>
      </c>
    </row>
    <row r="2166">
      <c r="A2166" s="4" t="s">
        <v>5965</v>
      </c>
      <c r="B2166" s="4" t="s">
        <v>5965</v>
      </c>
      <c r="C2166" s="4">
        <v>555.0</v>
      </c>
      <c r="D2166" s="5" t="str">
        <f>HYPERLINK("https://www.linkedin.com/ad-library/detail/1502823936","Open Ad")</f>
        <v>Open Ad</v>
      </c>
      <c r="E2166" s="4" t="s">
        <v>121</v>
      </c>
      <c r="F2166" s="4" t="s">
        <v>54</v>
      </c>
      <c r="G2166" s="4" t="s">
        <v>6386</v>
      </c>
      <c r="H2166" s="4" t="s">
        <v>49</v>
      </c>
      <c r="I2166" s="4" t="s">
        <v>6005</v>
      </c>
      <c r="J2166" s="4" t="s">
        <v>121</v>
      </c>
      <c r="K2166" s="5" t="str">
        <f>HYPERLINK("https://dms.licdn.com/playlist/vid/v2/D5610AQGPpIHkVJhCaA/mp4-640p-30fp-crf28/B56Z83aF5UG4BI-/0/1783341024306?e=2147483647&amp;v=beta&amp;t=6aPscOhwfZC6LVqbrnkx1wzDAaGeDks-p4lXPr_L8Fs","View Creative")</f>
        <v>View Creative</v>
      </c>
      <c r="L2166" s="4" t="s">
        <v>106</v>
      </c>
      <c r="M2166" s="4" t="s">
        <v>5965</v>
      </c>
      <c r="O2166" s="4" t="s">
        <v>63</v>
      </c>
      <c r="P2166" s="4" t="s">
        <v>64</v>
      </c>
    </row>
    <row r="2167">
      <c r="A2167" s="4" t="s">
        <v>5965</v>
      </c>
      <c r="B2167" s="4" t="s">
        <v>5965</v>
      </c>
      <c r="C2167" s="4">
        <v>556.0</v>
      </c>
      <c r="D2167" s="5" t="str">
        <f>HYPERLINK("https://www.linkedin.com/ad-library/detail/1502870786","Open Ad")</f>
        <v>Open Ad</v>
      </c>
      <c r="E2167" s="4" t="s">
        <v>78</v>
      </c>
      <c r="F2167" s="4" t="s">
        <v>54</v>
      </c>
      <c r="G2167" s="4" t="s">
        <v>6076</v>
      </c>
      <c r="H2167" s="4" t="s">
        <v>49</v>
      </c>
      <c r="I2167" s="4" t="s">
        <v>6005</v>
      </c>
      <c r="J2167" s="4" t="s">
        <v>78</v>
      </c>
      <c r="K2167" s="5" t="str">
        <f>HYPERLINK("https://media.licdn.com/dms/image/v2/D5610AQFapQuTs5RyQg/image-shrink_1280/B56Z9h_6UCGcAg-/0/1784055572538?e=2147483647&amp;v=beta&amp;t=Kv2jNpyAeREV8VRiJojr6bkYk7Ofuq0wj6IaFzQHYEU","View Creative")</f>
        <v>View Creative</v>
      </c>
      <c r="L2167" s="4" t="s">
        <v>106</v>
      </c>
      <c r="M2167" s="4" t="s">
        <v>5965</v>
      </c>
      <c r="O2167" s="4" t="s">
        <v>63</v>
      </c>
      <c r="P2167" s="4" t="s">
        <v>64</v>
      </c>
    </row>
    <row r="2168">
      <c r="A2168" s="4" t="s">
        <v>5965</v>
      </c>
      <c r="B2168" s="4" t="s">
        <v>5965</v>
      </c>
      <c r="C2168" s="4">
        <v>557.0</v>
      </c>
      <c r="D2168" s="5" t="str">
        <f>HYPERLINK("https://www.linkedin.com/ad-library/detail/1502746536","Open Ad")</f>
        <v>Open Ad</v>
      </c>
      <c r="E2168" s="4" t="s">
        <v>121</v>
      </c>
      <c r="F2168" s="4" t="s">
        <v>54</v>
      </c>
      <c r="G2168" s="4" t="s">
        <v>6049</v>
      </c>
      <c r="H2168" s="4" t="s">
        <v>49</v>
      </c>
      <c r="I2168" s="4" t="s">
        <v>6005</v>
      </c>
      <c r="J2168" s="4" t="s">
        <v>121</v>
      </c>
      <c r="K2168" s="5" t="str">
        <f>HYPERLINK("https://dms.licdn.com/playlist/vid/v2/D5610AQHCJpD_4X3r0w/mp4-360p-30fp-crf28/B56Z8jGxPuG0Bg-/0/1783000416146?e=2147483647&amp;v=beta&amp;t=buNqytXIKQbDSPmN-gF0MjkJ-TiOGUHb02s8kF2cYZo","View Creative")</f>
        <v>View Creative</v>
      </c>
      <c r="L2168" s="4" t="s">
        <v>106</v>
      </c>
      <c r="M2168" s="4" t="s">
        <v>5965</v>
      </c>
      <c r="O2168" s="4" t="s">
        <v>63</v>
      </c>
      <c r="P2168" s="4" t="s">
        <v>64</v>
      </c>
    </row>
    <row r="2169">
      <c r="A2169" s="4" t="s">
        <v>5965</v>
      </c>
      <c r="B2169" s="4" t="s">
        <v>5965</v>
      </c>
      <c r="C2169" s="4">
        <v>558.0</v>
      </c>
      <c r="D2169" s="5" t="str">
        <f>HYPERLINK("https://www.linkedin.com/ad-library/detail/1502706786","Open Ad")</f>
        <v>Open Ad</v>
      </c>
      <c r="E2169" s="4" t="s">
        <v>121</v>
      </c>
      <c r="F2169" s="4" t="s">
        <v>54</v>
      </c>
      <c r="G2169" s="4" t="s">
        <v>6047</v>
      </c>
      <c r="H2169" s="4" t="s">
        <v>49</v>
      </c>
      <c r="I2169" s="4" t="s">
        <v>6005</v>
      </c>
      <c r="J2169" s="4" t="s">
        <v>121</v>
      </c>
      <c r="K2169" s="5" t="str">
        <f>HYPERLINK("https://dms.licdn.com/playlist/vid/v2/D4E10AQFbU42CgG1Z7g/mp4-720p-30fp-crf28/B4EZ6E1cjuIkBk-/0/1780345071320?e=2147483647&amp;v=beta&amp;t=lm4Raasi9Hn2k_Jca5TAGdFZZmL4wlksoW4hHU6e3XU","View Creative")</f>
        <v>View Creative</v>
      </c>
      <c r="L2169" s="4" t="s">
        <v>106</v>
      </c>
      <c r="M2169" s="4" t="s">
        <v>5965</v>
      </c>
      <c r="O2169" s="4" t="s">
        <v>63</v>
      </c>
      <c r="P2169" s="4" t="s">
        <v>64</v>
      </c>
    </row>
    <row r="2170">
      <c r="A2170" s="4" t="s">
        <v>5965</v>
      </c>
      <c r="B2170" s="4" t="s">
        <v>5965</v>
      </c>
      <c r="C2170" s="4">
        <v>559.0</v>
      </c>
      <c r="D2170" s="5" t="str">
        <f>HYPERLINK("https://www.linkedin.com/ad-library/detail/1502765936","Open Ad")</f>
        <v>Open Ad</v>
      </c>
      <c r="E2170" s="4" t="s">
        <v>78</v>
      </c>
      <c r="F2170" s="4" t="s">
        <v>54</v>
      </c>
      <c r="G2170" s="4" t="s">
        <v>6385</v>
      </c>
      <c r="H2170" s="4" t="s">
        <v>49</v>
      </c>
      <c r="I2170" s="4" t="s">
        <v>6005</v>
      </c>
      <c r="J2170" s="4" t="s">
        <v>78</v>
      </c>
      <c r="K2170" s="5" t="str">
        <f>HYPERLINK("https://media.licdn.com/dms/image/v2/D5610AQFoFyqJ3g7Log/image-shrink_1280/B56Z9h_Mo.HUAc-/0/1784055385012?e=2147483647&amp;v=beta&amp;t=ahLhwf3XzHon78cEKdnNDmivIzsNgm82MjqmREwyCIw","View Creative")</f>
        <v>View Creative</v>
      </c>
      <c r="L2170" s="4" t="s">
        <v>106</v>
      </c>
      <c r="M2170" s="4" t="s">
        <v>5965</v>
      </c>
      <c r="O2170" s="4" t="s">
        <v>63</v>
      </c>
      <c r="P2170" s="4" t="s">
        <v>64</v>
      </c>
    </row>
    <row r="2171">
      <c r="A2171" s="4" t="s">
        <v>5965</v>
      </c>
      <c r="B2171" s="4" t="s">
        <v>5965</v>
      </c>
      <c r="C2171" s="4">
        <v>560.0</v>
      </c>
      <c r="D2171" s="5" t="str">
        <f>HYPERLINK("https://www.linkedin.com/ad-library/detail/1502870776","Open Ad")</f>
        <v>Open Ad</v>
      </c>
      <c r="E2171" s="4" t="s">
        <v>121</v>
      </c>
      <c r="F2171" s="4" t="s">
        <v>54</v>
      </c>
      <c r="G2171" s="4" t="s">
        <v>6387</v>
      </c>
      <c r="H2171" s="4" t="s">
        <v>49</v>
      </c>
      <c r="I2171" s="4" t="s">
        <v>6005</v>
      </c>
      <c r="J2171" s="4" t="s">
        <v>121</v>
      </c>
      <c r="K2171" s="5" t="str">
        <f>HYPERLINK("https://dms.licdn.com/playlist/vid/v2/D4E10AQHnB83vIjfNvw/mp4-720p-30fp-crf28/B4EZ2Mv_NUIwCA-/0/1776182899083?e=2147483647&amp;v=beta&amp;t=nwcHAIB3FZdkl9NAtwlYsm_4VdxfPzV34i_gMRpBVio","View Creative")</f>
        <v>View Creative</v>
      </c>
      <c r="L2171" s="4" t="s">
        <v>106</v>
      </c>
      <c r="M2171" s="4" t="s">
        <v>5965</v>
      </c>
      <c r="O2171" s="4" t="s">
        <v>63</v>
      </c>
      <c r="P2171" s="4" t="s">
        <v>64</v>
      </c>
    </row>
    <row r="2172">
      <c r="A2172" s="4" t="s">
        <v>5965</v>
      </c>
      <c r="B2172" s="4" t="s">
        <v>5965</v>
      </c>
      <c r="C2172" s="4">
        <v>561.0</v>
      </c>
      <c r="D2172" s="5" t="str">
        <f>HYPERLINK("https://www.linkedin.com/ad-library/detail/1502765946","Open Ad")</f>
        <v>Open Ad</v>
      </c>
      <c r="E2172" s="4" t="s">
        <v>78</v>
      </c>
      <c r="F2172" s="4" t="s">
        <v>54</v>
      </c>
      <c r="G2172" s="4" t="s">
        <v>6388</v>
      </c>
      <c r="H2172" s="4" t="s">
        <v>49</v>
      </c>
      <c r="I2172" s="4" t="s">
        <v>6005</v>
      </c>
      <c r="J2172" s="4" t="s">
        <v>78</v>
      </c>
      <c r="K2172" s="5" t="str">
        <f>HYPERLINK("https://media.licdn.com/dms/image/v2/D5610AQH3M2r-dN7_nA/image-shrink_1280/B56Z9MoPl0KEAg-/0/1783697046612?e=2147483647&amp;v=beta&amp;t=GCdSRI774vIlwuKc0JleptYCxEUXt22sxid6mhQ-ZRs","View Creative")</f>
        <v>View Creative</v>
      </c>
      <c r="L2172" s="4" t="s">
        <v>106</v>
      </c>
      <c r="M2172" s="4" t="s">
        <v>5965</v>
      </c>
      <c r="O2172" s="4" t="s">
        <v>63</v>
      </c>
      <c r="P2172" s="4" t="s">
        <v>64</v>
      </c>
    </row>
    <row r="2173">
      <c r="A2173" s="4" t="s">
        <v>5965</v>
      </c>
      <c r="B2173" s="4" t="s">
        <v>5965</v>
      </c>
      <c r="C2173" s="4">
        <v>562.0</v>
      </c>
      <c r="D2173" s="5" t="str">
        <f>HYPERLINK("https://www.linkedin.com/ad-library/detail/1502843086","Open Ad")</f>
        <v>Open Ad</v>
      </c>
      <c r="E2173" s="4" t="s">
        <v>121</v>
      </c>
      <c r="F2173" s="4" t="s">
        <v>54</v>
      </c>
      <c r="G2173" s="4" t="s">
        <v>6389</v>
      </c>
      <c r="H2173" s="4" t="s">
        <v>49</v>
      </c>
      <c r="I2173" s="4" t="s">
        <v>6005</v>
      </c>
      <c r="J2173" s="4" t="s">
        <v>121</v>
      </c>
      <c r="K2173" s="5" t="str">
        <f>HYPERLINK("https://dms.licdn.com/playlist/vid/v2/D4E05AQEZIBMQ5dvMiw/mp4-640p-30fp-crf28/B4EZq7fWtpGcB0-/0/1764082160741?e=2147483647&amp;v=beta&amp;t=XFL1jBqfg-_iulKKPx99xtiUuPTR1oKXosCHSzSTLSs","View Creative")</f>
        <v>View Creative</v>
      </c>
      <c r="L2173" s="4" t="s">
        <v>106</v>
      </c>
      <c r="M2173" s="4" t="s">
        <v>5965</v>
      </c>
      <c r="O2173" s="4" t="s">
        <v>63</v>
      </c>
      <c r="P2173" s="4" t="s">
        <v>64</v>
      </c>
    </row>
    <row r="2174">
      <c r="A2174" s="4" t="s">
        <v>5965</v>
      </c>
      <c r="B2174" s="4" t="s">
        <v>5965</v>
      </c>
      <c r="C2174" s="4">
        <v>563.0</v>
      </c>
      <c r="D2174" s="5" t="str">
        <f>HYPERLINK("https://www.linkedin.com/ad-library/detail/1502686936","Open Ad")</f>
        <v>Open Ad</v>
      </c>
      <c r="E2174" s="4" t="s">
        <v>78</v>
      </c>
      <c r="F2174" s="4" t="s">
        <v>54</v>
      </c>
      <c r="G2174" s="4" t="s">
        <v>6330</v>
      </c>
      <c r="H2174" s="4" t="s">
        <v>49</v>
      </c>
      <c r="I2174" s="4" t="s">
        <v>6005</v>
      </c>
      <c r="J2174" s="4" t="s">
        <v>78</v>
      </c>
      <c r="K2174" s="5" t="str">
        <f>HYPERLINK("https://media.licdn.com/dms/image/v2/D5610AQHWN3cBgpsrZA/image-shrink_1280/B56Z8ThVnqLAAc-/0/1782738934569?e=2147483647&amp;v=beta&amp;t=A-Y9kI8t-vvKXU86I3eo4Ke7-nBQGOwNbp_-WJGBzdU","View Creative")</f>
        <v>View Creative</v>
      </c>
      <c r="L2174" s="4" t="s">
        <v>106</v>
      </c>
      <c r="M2174" s="4" t="s">
        <v>5965</v>
      </c>
      <c r="O2174" s="4" t="s">
        <v>63</v>
      </c>
      <c r="P2174" s="4" t="s">
        <v>64</v>
      </c>
    </row>
    <row r="2175">
      <c r="A2175" s="4" t="s">
        <v>5965</v>
      </c>
      <c r="B2175" s="4" t="s">
        <v>5965</v>
      </c>
      <c r="C2175" s="4">
        <v>564.0</v>
      </c>
      <c r="D2175" s="5" t="str">
        <f>HYPERLINK("https://www.linkedin.com/ad-library/detail/1502843066","Open Ad")</f>
        <v>Open Ad</v>
      </c>
      <c r="E2175" s="4" t="s">
        <v>78</v>
      </c>
      <c r="F2175" s="4" t="s">
        <v>54</v>
      </c>
      <c r="G2175" s="4" t="s">
        <v>6069</v>
      </c>
      <c r="H2175" s="4" t="s">
        <v>49</v>
      </c>
      <c r="I2175" s="4" t="s">
        <v>6005</v>
      </c>
      <c r="J2175" s="4" t="s">
        <v>78</v>
      </c>
      <c r="K2175" s="5" t="str">
        <f>HYPERLINK("https://media.licdn.com/dms/image/v2/D4E10AQEqECWLz8eLfg/image-shrink_1280/B4EZ3UsZ.CGkAc-/0/1777389904287?e=2147483647&amp;v=beta&amp;t=0Mbfqk_hLfichGIBXrMjoO2DeoHez5SeK866pI13xWU","View Creative")</f>
        <v>View Creative</v>
      </c>
      <c r="L2175" s="4" t="s">
        <v>106</v>
      </c>
      <c r="M2175" s="4" t="s">
        <v>5965</v>
      </c>
      <c r="O2175" s="4" t="s">
        <v>63</v>
      </c>
      <c r="P2175" s="4" t="s">
        <v>64</v>
      </c>
    </row>
    <row r="2176">
      <c r="A2176" s="4" t="s">
        <v>5965</v>
      </c>
      <c r="B2176" s="4" t="s">
        <v>5965</v>
      </c>
      <c r="C2176" s="4">
        <v>565.0</v>
      </c>
      <c r="D2176" s="5" t="str">
        <f>HYPERLINK("https://www.linkedin.com/ad-library/detail/1502716476","Open Ad")</f>
        <v>Open Ad</v>
      </c>
      <c r="E2176" s="4" t="s">
        <v>78</v>
      </c>
      <c r="F2176" s="4" t="s">
        <v>54</v>
      </c>
      <c r="G2176" s="4" t="s">
        <v>6076</v>
      </c>
      <c r="H2176" s="4" t="s">
        <v>49</v>
      </c>
      <c r="I2176" s="4" t="s">
        <v>6005</v>
      </c>
      <c r="J2176" s="4" t="s">
        <v>78</v>
      </c>
      <c r="K2176" s="5" t="str">
        <f>HYPERLINK("https://media.licdn.com/dms/image/v2/D5610AQFapQuTs5RyQg/image-shrink_1280/B56Z9h_6UCGcAg-/0/1784055572538?e=2147483647&amp;v=beta&amp;t=Kv2jNpyAeREV8VRiJojr6bkYk7Ofuq0wj6IaFzQHYEU","View Creative")</f>
        <v>View Creative</v>
      </c>
      <c r="L2176" s="4" t="s">
        <v>106</v>
      </c>
      <c r="M2176" s="4" t="s">
        <v>5965</v>
      </c>
      <c r="O2176" s="4" t="s">
        <v>63</v>
      </c>
      <c r="P2176" s="4" t="s">
        <v>64</v>
      </c>
    </row>
    <row r="2177">
      <c r="A2177" s="4" t="s">
        <v>5965</v>
      </c>
      <c r="B2177" s="4" t="s">
        <v>5965</v>
      </c>
      <c r="C2177" s="4">
        <v>566.0</v>
      </c>
      <c r="D2177" s="5" t="str">
        <f>HYPERLINK("https://www.linkedin.com/ad-library/detail/1502716466","Open Ad")</f>
        <v>Open Ad</v>
      </c>
      <c r="E2177" s="4" t="s">
        <v>78</v>
      </c>
      <c r="F2177" s="4" t="s">
        <v>54</v>
      </c>
      <c r="G2177" s="4" t="s">
        <v>6086</v>
      </c>
      <c r="H2177" s="4" t="s">
        <v>49</v>
      </c>
      <c r="I2177" s="4" t="s">
        <v>6005</v>
      </c>
      <c r="J2177" s="4" t="s">
        <v>78</v>
      </c>
      <c r="K2177" s="5" t="str">
        <f>HYPERLINK("https://media.licdn.com/dms/image/v2/D5610AQF5ONUziLB90Q/image-shrink_1280/B56Z8YuROrGcAc-/0/1782826211326?e=2147483647&amp;v=beta&amp;t=P2Cz2Aul20qMidWME_WS_vAnPWT-iq7vaBsEHckvets","View Creative")</f>
        <v>View Creative</v>
      </c>
      <c r="L2177" s="4" t="s">
        <v>106</v>
      </c>
      <c r="M2177" s="4" t="s">
        <v>5965</v>
      </c>
      <c r="O2177" s="4" t="s">
        <v>63</v>
      </c>
      <c r="P2177" s="4" t="s">
        <v>64</v>
      </c>
    </row>
    <row r="2178">
      <c r="A2178" s="4" t="s">
        <v>5965</v>
      </c>
      <c r="B2178" s="4" t="s">
        <v>5965</v>
      </c>
      <c r="C2178" s="4">
        <v>567.0</v>
      </c>
      <c r="D2178" s="5" t="str">
        <f>HYPERLINK("https://www.linkedin.com/ad-library/detail/1502843056","Open Ad")</f>
        <v>Open Ad</v>
      </c>
      <c r="E2178" s="4" t="s">
        <v>121</v>
      </c>
      <c r="F2178" s="4" t="s">
        <v>54</v>
      </c>
      <c r="G2178" s="4" t="s">
        <v>6386</v>
      </c>
      <c r="H2178" s="4" t="s">
        <v>49</v>
      </c>
      <c r="I2178" s="4" t="s">
        <v>6005</v>
      </c>
      <c r="J2178" s="4" t="s">
        <v>121</v>
      </c>
      <c r="K2178" s="5" t="str">
        <f>HYPERLINK("https://dms.licdn.com/playlist/vid/v2/D5610AQGPpIHkVJhCaA/mp4-640p-30fp-crf28/B56Z83aF5UG4BI-/0/1783341024306?e=2147483647&amp;v=beta&amp;t=6aPscOhwfZC6LVqbrnkx1wzDAaGeDks-p4lXPr_L8Fs","View Creative")</f>
        <v>View Creative</v>
      </c>
      <c r="L2178" s="4" t="s">
        <v>106</v>
      </c>
      <c r="M2178" s="4" t="s">
        <v>5965</v>
      </c>
      <c r="O2178" s="4" t="s">
        <v>63</v>
      </c>
      <c r="P2178" s="4" t="s">
        <v>64</v>
      </c>
    </row>
    <row r="2179">
      <c r="A2179" s="4" t="s">
        <v>5965</v>
      </c>
      <c r="B2179" s="4" t="s">
        <v>5965</v>
      </c>
      <c r="C2179" s="4">
        <v>568.0</v>
      </c>
      <c r="D2179" s="5" t="str">
        <f>HYPERLINK("https://www.linkedin.com/ad-library/detail/1502815086","Open Ad")</f>
        <v>Open Ad</v>
      </c>
      <c r="E2179" s="4" t="s">
        <v>78</v>
      </c>
      <c r="F2179" s="4" t="s">
        <v>54</v>
      </c>
      <c r="G2179" s="4" t="s">
        <v>6078</v>
      </c>
      <c r="H2179" s="4" t="s">
        <v>49</v>
      </c>
      <c r="I2179" s="4" t="s">
        <v>6390</v>
      </c>
      <c r="J2179" s="4" t="s">
        <v>78</v>
      </c>
      <c r="K2179" s="5" t="str">
        <f>HYPERLINK("https://media.licdn.com/dms/image/v2/D5610AQG6ROzWPETGmA/image-shrink_1280/B56Z9dR6t1KEAg-/0/1783976406842?e=2147483647&amp;v=beta&amp;t=ubEWJ1uNOIKQkdyOqmhR2qOxm2aAjGOzZhSszx4lxv4","View Creative")</f>
        <v>View Creative</v>
      </c>
      <c r="L2179" s="4" t="s">
        <v>60</v>
      </c>
      <c r="M2179" s="4" t="s">
        <v>5965</v>
      </c>
      <c r="N2179" s="4" t="s">
        <v>6391</v>
      </c>
      <c r="O2179" s="4" t="s">
        <v>74</v>
      </c>
      <c r="P2179" s="4" t="s">
        <v>6392</v>
      </c>
    </row>
    <row r="2180">
      <c r="A2180" s="4" t="s">
        <v>5965</v>
      </c>
      <c r="B2180" s="4" t="s">
        <v>5965</v>
      </c>
      <c r="C2180" s="4">
        <v>569.0</v>
      </c>
      <c r="D2180" s="5" t="str">
        <f>HYPERLINK("https://www.linkedin.com/ad-library/detail/1502716496","Open Ad")</f>
        <v>Open Ad</v>
      </c>
      <c r="E2180" s="4" t="s">
        <v>121</v>
      </c>
      <c r="F2180" s="4" t="s">
        <v>54</v>
      </c>
      <c r="G2180" s="4" t="s">
        <v>6393</v>
      </c>
      <c r="H2180" s="4" t="s">
        <v>49</v>
      </c>
      <c r="I2180" s="4" t="s">
        <v>6005</v>
      </c>
      <c r="J2180" s="4" t="s">
        <v>121</v>
      </c>
      <c r="K2180" s="5" t="str">
        <f>HYPERLINK("https://dms.licdn.com/playlist/vid/v2/D4E10AQFvAgWztv-5Uw/mp4-640p-30fp-crf28/B4EZ5LQGtKJ0BI-/0/1779378998766?e=2147483647&amp;v=beta&amp;t=_8bKLKhlOLLcnEfsCY9wk5B2yEE3QM48LsyZd6MkCAQ","View Creative")</f>
        <v>View Creative</v>
      </c>
      <c r="L2180" s="4" t="s">
        <v>106</v>
      </c>
      <c r="M2180" s="4" t="s">
        <v>5965</v>
      </c>
      <c r="O2180" s="4" t="s">
        <v>63</v>
      </c>
      <c r="P2180" s="4" t="s">
        <v>64</v>
      </c>
    </row>
    <row r="2181">
      <c r="A2181" s="4" t="s">
        <v>5965</v>
      </c>
      <c r="B2181" s="4" t="s">
        <v>5965</v>
      </c>
      <c r="C2181" s="4">
        <v>570.0</v>
      </c>
      <c r="D2181" s="5" t="str">
        <f>HYPERLINK("https://www.linkedin.com/ad-library/detail/1502794646","Open Ad")</f>
        <v>Open Ad</v>
      </c>
      <c r="E2181" s="4" t="s">
        <v>78</v>
      </c>
      <c r="F2181" s="4" t="s">
        <v>54</v>
      </c>
      <c r="G2181" s="4" t="s">
        <v>6069</v>
      </c>
      <c r="H2181" s="4" t="s">
        <v>49</v>
      </c>
      <c r="I2181" s="4" t="s">
        <v>6005</v>
      </c>
      <c r="J2181" s="4" t="s">
        <v>78</v>
      </c>
      <c r="K2181" s="5" t="str">
        <f>HYPERLINK("https://media.licdn.com/dms/image/v2/D4E10AQEqECWLz8eLfg/image-shrink_1280/B4EZ3UsZ.CGkAc-/0/1777389904287?e=2147483647&amp;v=beta&amp;t=0Mbfqk_hLfichGIBXrMjoO2DeoHez5SeK866pI13xWU","View Creative")</f>
        <v>View Creative</v>
      </c>
      <c r="L2181" s="4" t="s">
        <v>106</v>
      </c>
      <c r="M2181" s="4" t="s">
        <v>5965</v>
      </c>
      <c r="O2181" s="4" t="s">
        <v>63</v>
      </c>
      <c r="P2181" s="4" t="s">
        <v>64</v>
      </c>
    </row>
    <row r="2182">
      <c r="A2182" s="4" t="s">
        <v>5965</v>
      </c>
      <c r="B2182" s="4" t="s">
        <v>5965</v>
      </c>
      <c r="C2182" s="4">
        <v>571.0</v>
      </c>
      <c r="D2182" s="5" t="str">
        <f>HYPERLINK("https://www.linkedin.com/ad-library/detail/1502804316","Open Ad")</f>
        <v>Open Ad</v>
      </c>
      <c r="E2182" s="4" t="s">
        <v>78</v>
      </c>
      <c r="F2182" s="4" t="s">
        <v>54</v>
      </c>
      <c r="G2182" s="4" t="s">
        <v>6388</v>
      </c>
      <c r="H2182" s="4" t="s">
        <v>49</v>
      </c>
      <c r="I2182" s="4" t="s">
        <v>6005</v>
      </c>
      <c r="J2182" s="4" t="s">
        <v>78</v>
      </c>
      <c r="K2182" s="5" t="str">
        <f>HYPERLINK("https://media.licdn.com/dms/image/v2/D5610AQH3M2r-dN7_nA/image-shrink_1280/B56Z9MoPl0KEAg-/0/1783697046612?e=2147483647&amp;v=beta&amp;t=GCdSRI774vIlwuKc0JleptYCxEUXt22sxid6mhQ-ZRs","View Creative")</f>
        <v>View Creative</v>
      </c>
      <c r="L2182" s="4" t="s">
        <v>106</v>
      </c>
      <c r="M2182" s="4" t="s">
        <v>5965</v>
      </c>
      <c r="O2182" s="4" t="s">
        <v>63</v>
      </c>
      <c r="P2182" s="4" t="s">
        <v>64</v>
      </c>
    </row>
    <row r="2183">
      <c r="A2183" s="4" t="s">
        <v>5965</v>
      </c>
      <c r="B2183" s="4" t="s">
        <v>5965</v>
      </c>
      <c r="C2183" s="4">
        <v>572.0</v>
      </c>
      <c r="D2183" s="5" t="str">
        <f>HYPERLINK("https://www.linkedin.com/ad-library/detail/1502843096","Open Ad")</f>
        <v>Open Ad</v>
      </c>
      <c r="E2183" s="4" t="s">
        <v>78</v>
      </c>
      <c r="F2183" s="4" t="s">
        <v>54</v>
      </c>
      <c r="G2183" s="4" t="s">
        <v>6086</v>
      </c>
      <c r="H2183" s="4" t="s">
        <v>49</v>
      </c>
      <c r="I2183" s="4" t="s">
        <v>6005</v>
      </c>
      <c r="J2183" s="4" t="s">
        <v>78</v>
      </c>
      <c r="K2183" s="5" t="str">
        <f>HYPERLINK("https://media.licdn.com/dms/image/v2/D5610AQF5ONUziLB90Q/image-shrink_1280/B56Z8YuROrGcAc-/0/1782826211326?e=2147483647&amp;v=beta&amp;t=P2Cz2Aul20qMidWME_WS_vAnPWT-iq7vaBsEHckvets","View Creative")</f>
        <v>View Creative</v>
      </c>
      <c r="L2183" s="4" t="s">
        <v>106</v>
      </c>
      <c r="M2183" s="4" t="s">
        <v>5965</v>
      </c>
      <c r="O2183" s="4" t="s">
        <v>63</v>
      </c>
      <c r="P2183" s="4" t="s">
        <v>64</v>
      </c>
    </row>
    <row r="2184">
      <c r="A2184" s="4" t="s">
        <v>5965</v>
      </c>
      <c r="B2184" s="4" t="s">
        <v>5965</v>
      </c>
      <c r="C2184" s="4">
        <v>573.0</v>
      </c>
      <c r="D2184" s="5" t="str">
        <f>HYPERLINK("https://www.linkedin.com/ad-library/detail/1502658186","Open Ad")</f>
        <v>Open Ad</v>
      </c>
      <c r="E2184" s="4" t="s">
        <v>78</v>
      </c>
      <c r="F2184" s="4" t="s">
        <v>54</v>
      </c>
      <c r="G2184" s="4" t="s">
        <v>6034</v>
      </c>
      <c r="H2184" s="4" t="s">
        <v>49</v>
      </c>
      <c r="I2184" s="4" t="s">
        <v>6005</v>
      </c>
      <c r="J2184" s="4" t="s">
        <v>78</v>
      </c>
      <c r="K2184" s="4" t="s">
        <v>59</v>
      </c>
      <c r="L2184" s="4" t="s">
        <v>106</v>
      </c>
      <c r="M2184" s="4" t="s">
        <v>5965</v>
      </c>
      <c r="O2184" s="4" t="s">
        <v>63</v>
      </c>
      <c r="P2184" s="4" t="s">
        <v>64</v>
      </c>
    </row>
    <row r="2185">
      <c r="A2185" s="4" t="s">
        <v>5965</v>
      </c>
      <c r="B2185" s="4" t="s">
        <v>5965</v>
      </c>
      <c r="C2185" s="4">
        <v>574.0</v>
      </c>
      <c r="D2185" s="5" t="str">
        <f>HYPERLINK("https://www.linkedin.com/ad-library/detail/1502677896","Open Ad")</f>
        <v>Open Ad</v>
      </c>
      <c r="E2185" s="4" t="s">
        <v>121</v>
      </c>
      <c r="F2185" s="4" t="s">
        <v>54</v>
      </c>
      <c r="G2185" s="4" t="s">
        <v>6047</v>
      </c>
      <c r="H2185" s="4" t="s">
        <v>49</v>
      </c>
      <c r="I2185" s="4" t="s">
        <v>6005</v>
      </c>
      <c r="J2185" s="4" t="s">
        <v>121</v>
      </c>
      <c r="K2185" s="5" t="str">
        <f>HYPERLINK("https://dms.licdn.com/playlist/vid/v2/D4E10AQFbU42CgG1Z7g/mp4-720p-30fp-crf28/B4EZ6E1cjuIkBk-/0/1780345071320?e=2147483647&amp;v=beta&amp;t=lm4Raasi9Hn2k_Jca5TAGdFZZmL4wlksoW4hHU6e3XU","View Creative")</f>
        <v>View Creative</v>
      </c>
      <c r="L2185" s="4" t="s">
        <v>106</v>
      </c>
      <c r="M2185" s="4" t="s">
        <v>5965</v>
      </c>
      <c r="O2185" s="4" t="s">
        <v>63</v>
      </c>
      <c r="P2185" s="4" t="s">
        <v>64</v>
      </c>
    </row>
    <row r="2186">
      <c r="A2186" s="4" t="s">
        <v>5965</v>
      </c>
      <c r="B2186" s="4" t="s">
        <v>5965</v>
      </c>
      <c r="C2186" s="4">
        <v>575.0</v>
      </c>
      <c r="D2186" s="5" t="str">
        <f>HYPERLINK("https://www.linkedin.com/ad-library/detail/1502804296","Open Ad")</f>
        <v>Open Ad</v>
      </c>
      <c r="E2186" s="4" t="s">
        <v>78</v>
      </c>
      <c r="F2186" s="4" t="s">
        <v>54</v>
      </c>
      <c r="G2186" s="4" t="s">
        <v>6078</v>
      </c>
      <c r="H2186" s="4" t="s">
        <v>49</v>
      </c>
      <c r="I2186" s="4" t="s">
        <v>6005</v>
      </c>
      <c r="J2186" s="4" t="s">
        <v>78</v>
      </c>
      <c r="K2186" s="5" t="str">
        <f>HYPERLINK("https://media.licdn.com/dms/image/v2/D5610AQG6ROzWPETGmA/image-shrink_1280/B56Z9dR6t1KEAg-/0/1783976406842?e=2147483647&amp;v=beta&amp;t=ubEWJ1uNOIKQkdyOqmhR2qOxm2aAjGOzZhSszx4lxv4","View Creative")</f>
        <v>View Creative</v>
      </c>
      <c r="L2186" s="4" t="s">
        <v>106</v>
      </c>
      <c r="M2186" s="4" t="s">
        <v>5965</v>
      </c>
      <c r="O2186" s="4" t="s">
        <v>63</v>
      </c>
      <c r="P2186" s="4" t="s">
        <v>64</v>
      </c>
    </row>
    <row r="2187">
      <c r="A2187" s="4" t="s">
        <v>5965</v>
      </c>
      <c r="B2187" s="4" t="s">
        <v>5965</v>
      </c>
      <c r="C2187" s="4">
        <v>576.0</v>
      </c>
      <c r="D2187" s="5" t="str">
        <f>HYPERLINK("https://www.linkedin.com/ad-library/detail/1502804276","Open Ad")</f>
        <v>Open Ad</v>
      </c>
      <c r="E2187" s="4" t="s">
        <v>121</v>
      </c>
      <c r="F2187" s="4" t="s">
        <v>54</v>
      </c>
      <c r="G2187" s="4" t="s">
        <v>6387</v>
      </c>
      <c r="H2187" s="4" t="s">
        <v>49</v>
      </c>
      <c r="I2187" s="4" t="s">
        <v>6005</v>
      </c>
      <c r="J2187" s="4" t="s">
        <v>121</v>
      </c>
      <c r="K2187" s="5" t="str">
        <f t="shared" ref="K2187:K2188" si="64">HYPERLINK("https://dms.licdn.com/playlist/vid/v2/D4E10AQHnB83vIjfNvw/mp4-720p-30fp-crf28/B4EZ2Mv_NUIwCA-/0/1776182899083?e=2147483647&amp;v=beta&amp;t=nwcHAIB3FZdkl9NAtwlYsm_4VdxfPzV34i_gMRpBVio","View Creative")</f>
        <v>View Creative</v>
      </c>
      <c r="L2187" s="4" t="s">
        <v>106</v>
      </c>
      <c r="M2187" s="4" t="s">
        <v>5965</v>
      </c>
      <c r="O2187" s="4" t="s">
        <v>63</v>
      </c>
      <c r="P2187" s="4" t="s">
        <v>64</v>
      </c>
    </row>
    <row r="2188">
      <c r="A2188" s="4" t="s">
        <v>5965</v>
      </c>
      <c r="B2188" s="4" t="s">
        <v>5965</v>
      </c>
      <c r="C2188" s="4">
        <v>577.0</v>
      </c>
      <c r="D2188" s="5" t="str">
        <f>HYPERLINK("https://www.linkedin.com/ad-library/detail/1502670026","Open Ad")</f>
        <v>Open Ad</v>
      </c>
      <c r="E2188" s="4" t="s">
        <v>121</v>
      </c>
      <c r="F2188" s="4" t="s">
        <v>54</v>
      </c>
      <c r="G2188" s="4" t="s">
        <v>6387</v>
      </c>
      <c r="H2188" s="4" t="s">
        <v>49</v>
      </c>
      <c r="I2188" s="4" t="s">
        <v>6005</v>
      </c>
      <c r="J2188" s="4" t="s">
        <v>121</v>
      </c>
      <c r="K2188" s="5" t="str">
        <f t="shared" si="64"/>
        <v>View Creative</v>
      </c>
      <c r="L2188" s="4" t="s">
        <v>106</v>
      </c>
      <c r="M2188" s="4" t="s">
        <v>5965</v>
      </c>
      <c r="O2188" s="4" t="s">
        <v>63</v>
      </c>
      <c r="P2188" s="4" t="s">
        <v>64</v>
      </c>
    </row>
    <row r="2189">
      <c r="A2189" s="4" t="s">
        <v>5965</v>
      </c>
      <c r="B2189" s="4" t="s">
        <v>5965</v>
      </c>
      <c r="C2189" s="4">
        <v>578.0</v>
      </c>
      <c r="D2189" s="5" t="str">
        <f>HYPERLINK("https://www.linkedin.com/ad-library/detail/1499873716","Open Ad")</f>
        <v>Open Ad</v>
      </c>
      <c r="E2189" s="4" t="s">
        <v>78</v>
      </c>
      <c r="F2189" s="4" t="s">
        <v>54</v>
      </c>
      <c r="G2189" s="4" t="s">
        <v>6076</v>
      </c>
      <c r="H2189" s="4" t="s">
        <v>49</v>
      </c>
      <c r="I2189" s="4" t="s">
        <v>6005</v>
      </c>
      <c r="J2189" s="4" t="s">
        <v>78</v>
      </c>
      <c r="K2189" s="5" t="str">
        <f>HYPERLINK("https://media.licdn.com/dms/image/v2/D5610AQFapQuTs5RyQg/image-shrink_1280/B56Z9h_6UCGcAg-/0/1784055572538?e=2147483647&amp;v=beta&amp;t=Kv2jNpyAeREV8VRiJojr6bkYk7Ofuq0wj6IaFzQHYEU","View Creative")</f>
        <v>View Creative</v>
      </c>
      <c r="L2189" s="4" t="s">
        <v>106</v>
      </c>
      <c r="M2189" s="4" t="s">
        <v>5965</v>
      </c>
      <c r="O2189" s="4" t="s">
        <v>63</v>
      </c>
      <c r="P2189" s="4" t="s">
        <v>64</v>
      </c>
    </row>
    <row r="2190">
      <c r="A2190" s="4" t="s">
        <v>5965</v>
      </c>
      <c r="B2190" s="4" t="s">
        <v>5965</v>
      </c>
      <c r="C2190" s="4">
        <v>579.0</v>
      </c>
      <c r="D2190" s="5" t="str">
        <f>HYPERLINK("https://www.linkedin.com/ad-library/detail/1499767616","Open Ad")</f>
        <v>Open Ad</v>
      </c>
      <c r="E2190" s="4" t="s">
        <v>78</v>
      </c>
      <c r="F2190" s="4" t="s">
        <v>54</v>
      </c>
      <c r="G2190" s="4" t="s">
        <v>6388</v>
      </c>
      <c r="H2190" s="4" t="s">
        <v>49</v>
      </c>
      <c r="I2190" s="4" t="s">
        <v>6005</v>
      </c>
      <c r="J2190" s="4" t="s">
        <v>78</v>
      </c>
      <c r="K2190" s="5" t="str">
        <f>HYPERLINK("https://media.licdn.com/dms/image/v2/D5610AQH3M2r-dN7_nA/image-shrink_1280/B56Z9MoPl0KEAg-/0/1783697046612?e=2147483647&amp;v=beta&amp;t=GCdSRI774vIlwuKc0JleptYCxEUXt22sxid6mhQ-ZRs","View Creative")</f>
        <v>View Creative</v>
      </c>
      <c r="L2190" s="4" t="s">
        <v>106</v>
      </c>
      <c r="M2190" s="4" t="s">
        <v>5965</v>
      </c>
      <c r="O2190" s="4" t="s">
        <v>63</v>
      </c>
      <c r="P2190" s="4" t="s">
        <v>64</v>
      </c>
    </row>
    <row r="2191">
      <c r="A2191" s="4" t="s">
        <v>5965</v>
      </c>
      <c r="B2191" s="4" t="s">
        <v>5965</v>
      </c>
      <c r="C2191" s="4">
        <v>580.0</v>
      </c>
      <c r="D2191" s="5" t="str">
        <f>HYPERLINK("https://www.linkedin.com/ad-library/detail/1499699376","Open Ad")</f>
        <v>Open Ad</v>
      </c>
      <c r="E2191" s="4" t="s">
        <v>78</v>
      </c>
      <c r="F2191" s="4" t="s">
        <v>54</v>
      </c>
      <c r="G2191" s="4" t="s">
        <v>6076</v>
      </c>
      <c r="H2191" s="4" t="s">
        <v>49</v>
      </c>
      <c r="I2191" s="4" t="s">
        <v>6005</v>
      </c>
      <c r="J2191" s="4" t="s">
        <v>78</v>
      </c>
      <c r="K2191" s="5" t="str">
        <f>HYPERLINK("https://media.licdn.com/dms/image/v2/D5610AQFapQuTs5RyQg/image-shrink_1280/B56Z9h_6UCGcAg-/0/1784055572538?e=2147483647&amp;v=beta&amp;t=Kv2jNpyAeREV8VRiJojr6bkYk7Ofuq0wj6IaFzQHYEU","View Creative")</f>
        <v>View Creative</v>
      </c>
      <c r="L2191" s="4" t="s">
        <v>106</v>
      </c>
      <c r="M2191" s="4" t="s">
        <v>5965</v>
      </c>
      <c r="O2191" s="4" t="s">
        <v>63</v>
      </c>
      <c r="P2191" s="4" t="s">
        <v>64</v>
      </c>
    </row>
    <row r="2192">
      <c r="A2192" s="4" t="s">
        <v>5965</v>
      </c>
      <c r="B2192" s="4" t="s">
        <v>5965</v>
      </c>
      <c r="C2192" s="4">
        <v>581.0</v>
      </c>
      <c r="D2192" s="5" t="str">
        <f>HYPERLINK("https://www.linkedin.com/ad-library/detail/1502438826","Open Ad")</f>
        <v>Open Ad</v>
      </c>
      <c r="E2192" s="4" t="s">
        <v>121</v>
      </c>
      <c r="F2192" s="4" t="s">
        <v>54</v>
      </c>
      <c r="G2192" s="4" t="s">
        <v>6049</v>
      </c>
      <c r="H2192" s="4" t="s">
        <v>49</v>
      </c>
      <c r="I2192" s="4" t="s">
        <v>6005</v>
      </c>
      <c r="J2192" s="4" t="s">
        <v>121</v>
      </c>
      <c r="K2192" s="5" t="str">
        <f>HYPERLINK("https://dms.licdn.com/playlist/vid/v2/D5610AQHCJpD_4X3r0w/mp4-360p-30fp-crf28/B56Z8jGxPuG0Bg-/0/1783000416146?e=2147483647&amp;v=beta&amp;t=buNqytXIKQbDSPmN-gF0MjkJ-TiOGUHb02s8kF2cYZo","View Creative")</f>
        <v>View Creative</v>
      </c>
      <c r="L2192" s="4" t="s">
        <v>106</v>
      </c>
      <c r="M2192" s="4" t="s">
        <v>5965</v>
      </c>
      <c r="O2192" s="4" t="s">
        <v>63</v>
      </c>
      <c r="P2192" s="4" t="s">
        <v>64</v>
      </c>
    </row>
    <row r="2193">
      <c r="A2193" s="4" t="s">
        <v>5965</v>
      </c>
      <c r="B2193" s="4" t="s">
        <v>5965</v>
      </c>
      <c r="C2193" s="4">
        <v>582.0</v>
      </c>
      <c r="D2193" s="5" t="str">
        <f>HYPERLINK("https://www.linkedin.com/ad-library/detail/1502648866","Open Ad")</f>
        <v>Open Ad</v>
      </c>
      <c r="E2193" s="4" t="s">
        <v>78</v>
      </c>
      <c r="F2193" s="4" t="s">
        <v>54</v>
      </c>
      <c r="G2193" s="4" t="s">
        <v>6086</v>
      </c>
      <c r="H2193" s="4" t="s">
        <v>49</v>
      </c>
      <c r="I2193" s="4" t="s">
        <v>6005</v>
      </c>
      <c r="J2193" s="4" t="s">
        <v>78</v>
      </c>
      <c r="K2193" s="5" t="str">
        <f>HYPERLINK("https://media.licdn.com/dms/image/v2/D5610AQF5ONUziLB90Q/image-shrink_1280/B56Z8YuROrGcAc-/0/1782826211326?e=2147483647&amp;v=beta&amp;t=P2Cz2Aul20qMidWME_WS_vAnPWT-iq7vaBsEHckvets","View Creative")</f>
        <v>View Creative</v>
      </c>
      <c r="L2193" s="4" t="s">
        <v>106</v>
      </c>
      <c r="M2193" s="4" t="s">
        <v>5965</v>
      </c>
      <c r="O2193" s="4" t="s">
        <v>63</v>
      </c>
      <c r="P2193" s="4" t="s">
        <v>64</v>
      </c>
    </row>
    <row r="2194">
      <c r="A2194" s="4" t="s">
        <v>5965</v>
      </c>
      <c r="B2194" s="4" t="s">
        <v>5965</v>
      </c>
      <c r="C2194" s="4">
        <v>583.0</v>
      </c>
      <c r="D2194" s="5" t="str">
        <f>HYPERLINK("https://www.linkedin.com/ad-library/detail/1499738466","Open Ad")</f>
        <v>Open Ad</v>
      </c>
      <c r="E2194" s="4" t="s">
        <v>78</v>
      </c>
      <c r="F2194" s="4" t="s">
        <v>54</v>
      </c>
      <c r="G2194" s="4" t="s">
        <v>6388</v>
      </c>
      <c r="H2194" s="4" t="s">
        <v>49</v>
      </c>
      <c r="I2194" s="4" t="s">
        <v>6005</v>
      </c>
      <c r="J2194" s="4" t="s">
        <v>78</v>
      </c>
      <c r="K2194" s="5" t="str">
        <f t="shared" ref="K2194:K2195" si="65">HYPERLINK("https://media.licdn.com/dms/image/v2/D5610AQH3M2r-dN7_nA/image-shrink_1280/B56Z9MoPl0KEAg-/0/1783697046612?e=2147483647&amp;v=beta&amp;t=GCdSRI774vIlwuKc0JleptYCxEUXt22sxid6mhQ-ZRs","View Creative")</f>
        <v>View Creative</v>
      </c>
      <c r="L2194" s="4" t="s">
        <v>106</v>
      </c>
      <c r="M2194" s="4" t="s">
        <v>5965</v>
      </c>
      <c r="O2194" s="4" t="s">
        <v>63</v>
      </c>
      <c r="P2194" s="4" t="s">
        <v>64</v>
      </c>
    </row>
    <row r="2195">
      <c r="A2195" s="4" t="s">
        <v>5965</v>
      </c>
      <c r="B2195" s="4" t="s">
        <v>5965</v>
      </c>
      <c r="C2195" s="4">
        <v>584.0</v>
      </c>
      <c r="D2195" s="5" t="str">
        <f>HYPERLINK("https://www.linkedin.com/ad-library/detail/1499679606","Open Ad")</f>
        <v>Open Ad</v>
      </c>
      <c r="E2195" s="4" t="s">
        <v>78</v>
      </c>
      <c r="F2195" s="4" t="s">
        <v>54</v>
      </c>
      <c r="G2195" s="4" t="s">
        <v>6388</v>
      </c>
      <c r="H2195" s="4" t="s">
        <v>49</v>
      </c>
      <c r="I2195" s="4" t="s">
        <v>6005</v>
      </c>
      <c r="J2195" s="4" t="s">
        <v>78</v>
      </c>
      <c r="K2195" s="5" t="str">
        <f t="shared" si="65"/>
        <v>View Creative</v>
      </c>
      <c r="L2195" s="4" t="s">
        <v>106</v>
      </c>
      <c r="M2195" s="4" t="s">
        <v>5965</v>
      </c>
      <c r="O2195" s="4" t="s">
        <v>63</v>
      </c>
      <c r="P2195" s="4" t="s">
        <v>64</v>
      </c>
    </row>
    <row r="2196">
      <c r="A2196" s="4" t="s">
        <v>5965</v>
      </c>
      <c r="B2196" s="4" t="s">
        <v>5965</v>
      </c>
      <c r="C2196" s="4">
        <v>585.0</v>
      </c>
      <c r="D2196" s="5" t="str">
        <f>HYPERLINK("https://www.linkedin.com/ad-library/detail/1502794576","Open Ad")</f>
        <v>Open Ad</v>
      </c>
      <c r="E2196" s="4" t="s">
        <v>121</v>
      </c>
      <c r="F2196" s="4" t="s">
        <v>54</v>
      </c>
      <c r="G2196" s="4" t="s">
        <v>6049</v>
      </c>
      <c r="H2196" s="4" t="s">
        <v>49</v>
      </c>
      <c r="I2196" s="4" t="s">
        <v>6005</v>
      </c>
      <c r="J2196" s="4" t="s">
        <v>121</v>
      </c>
      <c r="K2196" s="5" t="str">
        <f>HYPERLINK("https://dms.licdn.com/playlist/vid/v2/D5610AQHCJpD_4X3r0w/mp4-360p-30fp-crf28/B56Z8jGxPuG0Bg-/0/1783000416146?e=2147483647&amp;v=beta&amp;t=buNqytXIKQbDSPmN-gF0MjkJ-TiOGUHb02s8kF2cYZo","View Creative")</f>
        <v>View Creative</v>
      </c>
      <c r="L2196" s="4" t="s">
        <v>106</v>
      </c>
      <c r="M2196" s="4" t="s">
        <v>5965</v>
      </c>
      <c r="O2196" s="4" t="s">
        <v>63</v>
      </c>
      <c r="P2196" s="4" t="s">
        <v>64</v>
      </c>
    </row>
    <row r="2197">
      <c r="A2197" s="4" t="s">
        <v>5965</v>
      </c>
      <c r="B2197" s="4" t="s">
        <v>5965</v>
      </c>
      <c r="C2197" s="4">
        <v>586.0</v>
      </c>
      <c r="D2197" s="5" t="str">
        <f>HYPERLINK("https://www.linkedin.com/ad-library/detail/1502686886","Open Ad")</f>
        <v>Open Ad</v>
      </c>
      <c r="E2197" s="4" t="s">
        <v>78</v>
      </c>
      <c r="F2197" s="4" t="s">
        <v>54</v>
      </c>
      <c r="G2197" s="4" t="s">
        <v>6385</v>
      </c>
      <c r="H2197" s="4" t="s">
        <v>49</v>
      </c>
      <c r="I2197" s="4" t="s">
        <v>6005</v>
      </c>
      <c r="J2197" s="4" t="s">
        <v>78</v>
      </c>
      <c r="K2197" s="5" t="str">
        <f>HYPERLINK("https://media.licdn.com/dms/image/v2/D5610AQFoFyqJ3g7Log/image-shrink_1280/B56Z9h_Mo.HUAc-/0/1784055385012?e=2147483647&amp;v=beta&amp;t=ahLhwf3XzHon78cEKdnNDmivIzsNgm82MjqmREwyCIw","View Creative")</f>
        <v>View Creative</v>
      </c>
      <c r="L2197" s="4" t="s">
        <v>106</v>
      </c>
      <c r="M2197" s="4" t="s">
        <v>5965</v>
      </c>
      <c r="O2197" s="4" t="s">
        <v>63</v>
      </c>
      <c r="P2197" s="4" t="s">
        <v>64</v>
      </c>
    </row>
    <row r="2198">
      <c r="A2198" s="4" t="s">
        <v>5965</v>
      </c>
      <c r="B2198" s="4" t="s">
        <v>5965</v>
      </c>
      <c r="C2198" s="4">
        <v>587.0</v>
      </c>
      <c r="D2198" s="5" t="str">
        <f>HYPERLINK("https://www.linkedin.com/ad-library/detail/1502612996","Open Ad")</f>
        <v>Open Ad</v>
      </c>
      <c r="E2198" s="4" t="s">
        <v>121</v>
      </c>
      <c r="F2198" s="4" t="s">
        <v>54</v>
      </c>
      <c r="G2198" s="4" t="s">
        <v>6386</v>
      </c>
      <c r="H2198" s="4" t="s">
        <v>49</v>
      </c>
      <c r="I2198" s="4" t="s">
        <v>6005</v>
      </c>
      <c r="J2198" s="4" t="s">
        <v>121</v>
      </c>
      <c r="K2198" s="5" t="str">
        <f>HYPERLINK("https://dms.licdn.com/playlist/vid/v2/D5610AQGPpIHkVJhCaA/mp4-640p-30fp-crf28/B56Z83aF5UG4BI-/0/1783341024306?e=2147483647&amp;v=beta&amp;t=6aPscOhwfZC6LVqbrnkx1wzDAaGeDks-p4lXPr_L8Fs","View Creative")</f>
        <v>View Creative</v>
      </c>
      <c r="L2198" s="4" t="s">
        <v>106</v>
      </c>
      <c r="M2198" s="4" t="s">
        <v>5965</v>
      </c>
      <c r="O2198" s="4" t="s">
        <v>63</v>
      </c>
      <c r="P2198" s="4" t="s">
        <v>64</v>
      </c>
    </row>
    <row r="2199">
      <c r="A2199" s="4" t="s">
        <v>5965</v>
      </c>
      <c r="B2199" s="4" t="s">
        <v>5965</v>
      </c>
      <c r="C2199" s="4">
        <v>588.0</v>
      </c>
      <c r="D2199" s="5" t="str">
        <f>HYPERLINK("https://www.linkedin.com/ad-library/detail/1499806666","Open Ad")</f>
        <v>Open Ad</v>
      </c>
      <c r="E2199" s="4" t="s">
        <v>78</v>
      </c>
      <c r="F2199" s="4" t="s">
        <v>54</v>
      </c>
      <c r="G2199" s="4" t="s">
        <v>6076</v>
      </c>
      <c r="H2199" s="4" t="s">
        <v>49</v>
      </c>
      <c r="I2199" s="4" t="s">
        <v>6005</v>
      </c>
      <c r="J2199" s="4" t="s">
        <v>78</v>
      </c>
      <c r="K2199" s="5" t="str">
        <f>HYPERLINK("https://media.licdn.com/dms/image/v2/D5610AQFapQuTs5RyQg/image-shrink_1280/B56Z9h_6UCGcAg-/0/1784055572538?e=2147483647&amp;v=beta&amp;t=Kv2jNpyAeREV8VRiJojr6bkYk7Ofuq0wj6IaFzQHYEU","View Creative")</f>
        <v>View Creative</v>
      </c>
      <c r="L2199" s="4" t="s">
        <v>106</v>
      </c>
      <c r="M2199" s="4" t="s">
        <v>5965</v>
      </c>
      <c r="O2199" s="4" t="s">
        <v>63</v>
      </c>
      <c r="P2199" s="4" t="s">
        <v>64</v>
      </c>
    </row>
    <row r="2200">
      <c r="A2200" s="4" t="s">
        <v>5965</v>
      </c>
      <c r="B2200" s="4" t="s">
        <v>5965</v>
      </c>
      <c r="C2200" s="4">
        <v>589.0</v>
      </c>
      <c r="D2200" s="5" t="str">
        <f>HYPERLINK("https://www.linkedin.com/ad-library/detail/1502706776","Open Ad")</f>
        <v>Open Ad</v>
      </c>
      <c r="E2200" s="4" t="s">
        <v>121</v>
      </c>
      <c r="F2200" s="4" t="s">
        <v>54</v>
      </c>
      <c r="G2200" s="4" t="s">
        <v>6393</v>
      </c>
      <c r="H2200" s="4" t="s">
        <v>49</v>
      </c>
      <c r="I2200" s="4" t="s">
        <v>6005</v>
      </c>
      <c r="J2200" s="4" t="s">
        <v>121</v>
      </c>
      <c r="K2200" s="5" t="str">
        <f>HYPERLINK("https://dms.licdn.com/playlist/vid/v2/D4E10AQFvAgWztv-5Uw/mp4-640p-30fp-crf28/B4EZ5LQGtKJ0BI-/0/1779378998766?e=2147483647&amp;v=beta&amp;t=_8bKLKhlOLLcnEfsCY9wk5B2yEE3QM48LsyZd6MkCAQ","View Creative")</f>
        <v>View Creative</v>
      </c>
      <c r="L2200" s="4" t="s">
        <v>106</v>
      </c>
      <c r="M2200" s="4" t="s">
        <v>5965</v>
      </c>
      <c r="O2200" s="4" t="s">
        <v>63</v>
      </c>
      <c r="P2200" s="4" t="s">
        <v>64</v>
      </c>
    </row>
    <row r="2201">
      <c r="A2201" s="4" t="s">
        <v>5965</v>
      </c>
      <c r="B2201" s="4" t="s">
        <v>5965</v>
      </c>
      <c r="C2201" s="4">
        <v>590.0</v>
      </c>
      <c r="D2201" s="5" t="str">
        <f>HYPERLINK("https://www.linkedin.com/ad-library/detail/1502815026","Open Ad")</f>
        <v>Open Ad</v>
      </c>
      <c r="E2201" s="4" t="s">
        <v>78</v>
      </c>
      <c r="F2201" s="4" t="s">
        <v>54</v>
      </c>
      <c r="G2201" s="4" t="s">
        <v>6069</v>
      </c>
      <c r="H2201" s="4" t="s">
        <v>49</v>
      </c>
      <c r="I2201" s="4" t="s">
        <v>6005</v>
      </c>
      <c r="J2201" s="4" t="s">
        <v>78</v>
      </c>
      <c r="K2201" s="5" t="str">
        <f>HYPERLINK("https://media.licdn.com/dms/image/v2/D4E10AQEqECWLz8eLfg/image-shrink_1280/B4EZ3UsZ.CGkAc-/0/1777389904287?e=2147483647&amp;v=beta&amp;t=0Mbfqk_hLfichGIBXrMjoO2DeoHez5SeK866pI13xWU","View Creative")</f>
        <v>View Creative</v>
      </c>
      <c r="L2201" s="4" t="s">
        <v>106</v>
      </c>
      <c r="M2201" s="4" t="s">
        <v>5965</v>
      </c>
      <c r="O2201" s="4" t="s">
        <v>63</v>
      </c>
      <c r="P2201" s="4" t="s">
        <v>64</v>
      </c>
    </row>
    <row r="2202">
      <c r="A2202" s="4" t="s">
        <v>5965</v>
      </c>
      <c r="B2202" s="4" t="s">
        <v>5965</v>
      </c>
      <c r="C2202" s="4">
        <v>591.0</v>
      </c>
      <c r="D2202" s="5" t="str">
        <f>HYPERLINK("https://www.linkedin.com/ad-library/detail/1502556246","Open Ad")</f>
        <v>Open Ad</v>
      </c>
      <c r="E2202" s="4" t="s">
        <v>121</v>
      </c>
      <c r="F2202" s="4" t="s">
        <v>54</v>
      </c>
      <c r="G2202" s="4" t="s">
        <v>6393</v>
      </c>
      <c r="H2202" s="4" t="s">
        <v>49</v>
      </c>
      <c r="I2202" s="4" t="s">
        <v>6005</v>
      </c>
      <c r="J2202" s="4" t="s">
        <v>121</v>
      </c>
      <c r="K2202" s="5" t="str">
        <f>HYPERLINK("https://dms.licdn.com/playlist/vid/v2/D4E10AQFvAgWztv-5Uw/mp4-640p-30fp-crf28/B4EZ5LQGtKJ0BI-/0/1779378998766?e=2147483647&amp;v=beta&amp;t=_8bKLKhlOLLcnEfsCY9wk5B2yEE3QM48LsyZd6MkCAQ","View Creative")</f>
        <v>View Creative</v>
      </c>
      <c r="L2202" s="4" t="s">
        <v>106</v>
      </c>
      <c r="M2202" s="4" t="s">
        <v>5965</v>
      </c>
      <c r="O2202" s="4" t="s">
        <v>63</v>
      </c>
      <c r="P2202" s="4" t="s">
        <v>64</v>
      </c>
    </row>
    <row r="2203">
      <c r="A2203" s="4" t="s">
        <v>5965</v>
      </c>
      <c r="B2203" s="4" t="s">
        <v>5965</v>
      </c>
      <c r="C2203" s="4">
        <v>592.0</v>
      </c>
      <c r="D2203" s="5" t="str">
        <f>HYPERLINK("https://www.linkedin.com/ad-library/detail/1502605016","Open Ad")</f>
        <v>Open Ad</v>
      </c>
      <c r="E2203" s="4" t="s">
        <v>121</v>
      </c>
      <c r="F2203" s="4" t="s">
        <v>54</v>
      </c>
      <c r="G2203" s="4" t="s">
        <v>6047</v>
      </c>
      <c r="H2203" s="4" t="s">
        <v>49</v>
      </c>
      <c r="I2203" s="4" t="s">
        <v>6005</v>
      </c>
      <c r="J2203" s="4" t="s">
        <v>121</v>
      </c>
      <c r="K2203" s="5" t="str">
        <f>HYPERLINK("https://dms.licdn.com/playlist/vid/v2/D4E10AQFbU42CgG1Z7g/mp4-720p-30fp-crf28/B4EZ6E1cjuIkBk-/0/1780345071320?e=2147483647&amp;v=beta&amp;t=lm4Raasi9Hn2k_Jca5TAGdFZZmL4wlksoW4hHU6e3XU","View Creative")</f>
        <v>View Creative</v>
      </c>
      <c r="L2203" s="4" t="s">
        <v>106</v>
      </c>
      <c r="M2203" s="4" t="s">
        <v>5965</v>
      </c>
      <c r="O2203" s="4" t="s">
        <v>63</v>
      </c>
      <c r="P2203" s="4" t="s">
        <v>64</v>
      </c>
    </row>
    <row r="2204">
      <c r="A2204" s="4" t="s">
        <v>5965</v>
      </c>
      <c r="B2204" s="4" t="s">
        <v>5965</v>
      </c>
      <c r="C2204" s="4">
        <v>593.0</v>
      </c>
      <c r="D2204" s="5" t="str">
        <f>HYPERLINK("https://www.linkedin.com/ad-library/detail/1499748976","Open Ad")</f>
        <v>Open Ad</v>
      </c>
      <c r="E2204" s="4" t="s">
        <v>78</v>
      </c>
      <c r="F2204" s="4" t="s">
        <v>54</v>
      </c>
      <c r="G2204" s="4" t="s">
        <v>6076</v>
      </c>
      <c r="H2204" s="4" t="s">
        <v>49</v>
      </c>
      <c r="I2204" s="4" t="s">
        <v>6005</v>
      </c>
      <c r="J2204" s="4" t="s">
        <v>78</v>
      </c>
      <c r="K2204" s="5" t="str">
        <f t="shared" ref="K2204:K2205" si="66">HYPERLINK("https://media.licdn.com/dms/image/v2/D5610AQFapQuTs5RyQg/image-shrink_1280/B56Z9h_6UCGcAg-/0/1784055572538?e=2147483647&amp;v=beta&amp;t=Kv2jNpyAeREV8VRiJojr6bkYk7Ofuq0wj6IaFzQHYEU","View Creative")</f>
        <v>View Creative</v>
      </c>
      <c r="L2204" s="4" t="s">
        <v>106</v>
      </c>
      <c r="M2204" s="4" t="s">
        <v>5965</v>
      </c>
      <c r="O2204" s="4" t="s">
        <v>63</v>
      </c>
      <c r="P2204" s="4" t="s">
        <v>64</v>
      </c>
    </row>
    <row r="2205">
      <c r="A2205" s="4" t="s">
        <v>5965</v>
      </c>
      <c r="B2205" s="4" t="s">
        <v>5965</v>
      </c>
      <c r="C2205" s="4">
        <v>594.0</v>
      </c>
      <c r="D2205" s="5" t="str">
        <f>HYPERLINK("https://www.linkedin.com/ad-library/detail/1502794566","Open Ad")</f>
        <v>Open Ad</v>
      </c>
      <c r="E2205" s="4" t="s">
        <v>78</v>
      </c>
      <c r="F2205" s="4" t="s">
        <v>54</v>
      </c>
      <c r="G2205" s="4" t="s">
        <v>6076</v>
      </c>
      <c r="H2205" s="4" t="s">
        <v>49</v>
      </c>
      <c r="I2205" s="4" t="s">
        <v>6005</v>
      </c>
      <c r="J2205" s="4" t="s">
        <v>78</v>
      </c>
      <c r="K2205" s="5" t="str">
        <f t="shared" si="66"/>
        <v>View Creative</v>
      </c>
      <c r="L2205" s="4" t="s">
        <v>106</v>
      </c>
      <c r="M2205" s="4" t="s">
        <v>5965</v>
      </c>
      <c r="O2205" s="4" t="s">
        <v>63</v>
      </c>
      <c r="P2205" s="4" t="s">
        <v>64</v>
      </c>
    </row>
    <row r="2206">
      <c r="A2206" s="4" t="s">
        <v>5965</v>
      </c>
      <c r="B2206" s="4" t="s">
        <v>5965</v>
      </c>
      <c r="C2206" s="4">
        <v>595.0</v>
      </c>
      <c r="D2206" s="5" t="str">
        <f>HYPERLINK("https://www.linkedin.com/ad-library/detail/1502804256","Open Ad")</f>
        <v>Open Ad</v>
      </c>
      <c r="E2206" s="4" t="s">
        <v>78</v>
      </c>
      <c r="F2206" s="4" t="s">
        <v>54</v>
      </c>
      <c r="G2206" s="4" t="s">
        <v>6388</v>
      </c>
      <c r="H2206" s="4" t="s">
        <v>49</v>
      </c>
      <c r="I2206" s="4" t="s">
        <v>6005</v>
      </c>
      <c r="J2206" s="4" t="s">
        <v>78</v>
      </c>
      <c r="K2206" s="5" t="str">
        <f>HYPERLINK("https://media.licdn.com/dms/image/v2/D5610AQH3M2r-dN7_nA/image-shrink_1280/B56Z9MoPl0KEAg-/0/1783697046612?e=2147483647&amp;v=beta&amp;t=GCdSRI774vIlwuKc0JleptYCxEUXt22sxid6mhQ-ZRs","View Creative")</f>
        <v>View Creative</v>
      </c>
      <c r="L2206" s="4" t="s">
        <v>106</v>
      </c>
      <c r="M2206" s="4" t="s">
        <v>5965</v>
      </c>
      <c r="O2206" s="4" t="s">
        <v>63</v>
      </c>
      <c r="P2206" s="4" t="s">
        <v>64</v>
      </c>
    </row>
    <row r="2207">
      <c r="A2207" s="4" t="s">
        <v>5965</v>
      </c>
      <c r="B2207" s="4" t="s">
        <v>5965</v>
      </c>
      <c r="C2207" s="4">
        <v>596.0</v>
      </c>
      <c r="D2207" s="5" t="str">
        <f>HYPERLINK("https://www.linkedin.com/ad-library/detail/1502860506","Open Ad")</f>
        <v>Open Ad</v>
      </c>
      <c r="E2207" s="4" t="s">
        <v>78</v>
      </c>
      <c r="F2207" s="4" t="s">
        <v>54</v>
      </c>
      <c r="G2207" s="4" t="s">
        <v>6078</v>
      </c>
      <c r="H2207" s="4" t="s">
        <v>49</v>
      </c>
      <c r="I2207" s="4" t="s">
        <v>6005</v>
      </c>
      <c r="J2207" s="4" t="s">
        <v>78</v>
      </c>
      <c r="K2207" s="5" t="str">
        <f>HYPERLINK("https://media.licdn.com/dms/image/v2/D5610AQG6ROzWPETGmA/image-shrink_1280/B56Z9dR6t1KEAg-/0/1783976406842?e=2147483647&amp;v=beta&amp;t=ubEWJ1uNOIKQkdyOqmhR2qOxm2aAjGOzZhSszx4lxv4","View Creative")</f>
        <v>View Creative</v>
      </c>
      <c r="L2207" s="4" t="s">
        <v>106</v>
      </c>
      <c r="M2207" s="4" t="s">
        <v>5965</v>
      </c>
      <c r="O2207" s="4" t="s">
        <v>63</v>
      </c>
      <c r="P2207" s="4" t="s">
        <v>64</v>
      </c>
    </row>
    <row r="2208">
      <c r="A2208" s="4" t="s">
        <v>5965</v>
      </c>
      <c r="B2208" s="4" t="s">
        <v>5965</v>
      </c>
      <c r="C2208" s="4">
        <v>597.0</v>
      </c>
      <c r="D2208" s="5" t="str">
        <f>HYPERLINK("https://www.linkedin.com/ad-library/detail/1499797066","Open Ad")</f>
        <v>Open Ad</v>
      </c>
      <c r="E2208" s="4" t="s">
        <v>78</v>
      </c>
      <c r="F2208" s="4" t="s">
        <v>54</v>
      </c>
      <c r="G2208" s="4" t="s">
        <v>6388</v>
      </c>
      <c r="H2208" s="4" t="s">
        <v>49</v>
      </c>
      <c r="I2208" s="4" t="s">
        <v>6005</v>
      </c>
      <c r="J2208" s="4" t="s">
        <v>78</v>
      </c>
      <c r="K2208" s="5" t="str">
        <f>HYPERLINK("https://media.licdn.com/dms/image/v2/D5610AQH3M2r-dN7_nA/image-shrink_1280/B56Z9MoPl0KEAg-/0/1783697046612?e=2147483647&amp;v=beta&amp;t=GCdSRI774vIlwuKc0JleptYCxEUXt22sxid6mhQ-ZRs","View Creative")</f>
        <v>View Creative</v>
      </c>
      <c r="L2208" s="4" t="s">
        <v>106</v>
      </c>
      <c r="M2208" s="4" t="s">
        <v>5965</v>
      </c>
      <c r="O2208" s="4" t="s">
        <v>63</v>
      </c>
      <c r="P2208" s="4" t="s">
        <v>64</v>
      </c>
    </row>
    <row r="2209">
      <c r="A2209" s="4" t="s">
        <v>5965</v>
      </c>
      <c r="B2209" s="4" t="s">
        <v>5965</v>
      </c>
      <c r="C2209" s="4">
        <v>598.0</v>
      </c>
      <c r="D2209" s="5" t="str">
        <f>HYPERLINK("https://www.linkedin.com/ad-library/detail/1502547456","Open Ad")</f>
        <v>Open Ad</v>
      </c>
      <c r="E2209" s="4" t="s">
        <v>121</v>
      </c>
      <c r="F2209" s="4" t="s">
        <v>54</v>
      </c>
      <c r="G2209" s="4" t="s">
        <v>6389</v>
      </c>
      <c r="H2209" s="4" t="s">
        <v>49</v>
      </c>
      <c r="I2209" s="4" t="s">
        <v>6005</v>
      </c>
      <c r="J2209" s="4" t="s">
        <v>121</v>
      </c>
      <c r="K2209" s="5" t="str">
        <f t="shared" ref="K2209:K2210" si="67">HYPERLINK("https://dms.licdn.com/playlist/vid/v2/D4E05AQEZIBMQ5dvMiw/mp4-640p-30fp-crf28/B4EZq7fWtpGcB0-/0/1764082160741?e=2147483647&amp;v=beta&amp;t=XFL1jBqfg-_iulKKPx99xtiUuPTR1oKXosCHSzSTLSs","View Creative")</f>
        <v>View Creative</v>
      </c>
      <c r="L2209" s="4" t="s">
        <v>106</v>
      </c>
      <c r="M2209" s="4" t="s">
        <v>5965</v>
      </c>
      <c r="O2209" s="4" t="s">
        <v>63</v>
      </c>
      <c r="P2209" s="4" t="s">
        <v>64</v>
      </c>
    </row>
    <row r="2210">
      <c r="A2210" s="4" t="s">
        <v>5965</v>
      </c>
      <c r="B2210" s="4" t="s">
        <v>5965</v>
      </c>
      <c r="C2210" s="4">
        <v>599.0</v>
      </c>
      <c r="D2210" s="5" t="str">
        <f>HYPERLINK("https://www.linkedin.com/ad-library/detail/1502804266","Open Ad")</f>
        <v>Open Ad</v>
      </c>
      <c r="E2210" s="4" t="s">
        <v>121</v>
      </c>
      <c r="F2210" s="4" t="s">
        <v>54</v>
      </c>
      <c r="G2210" s="4" t="s">
        <v>6389</v>
      </c>
      <c r="H2210" s="4" t="s">
        <v>49</v>
      </c>
      <c r="I2210" s="4" t="s">
        <v>6005</v>
      </c>
      <c r="J2210" s="4" t="s">
        <v>121</v>
      </c>
      <c r="K2210" s="5" t="str">
        <f t="shared" si="67"/>
        <v>View Creative</v>
      </c>
      <c r="L2210" s="4" t="s">
        <v>106</v>
      </c>
      <c r="M2210" s="4" t="s">
        <v>5965</v>
      </c>
      <c r="O2210" s="4" t="s">
        <v>63</v>
      </c>
      <c r="P2210" s="4" t="s">
        <v>64</v>
      </c>
    </row>
    <row r="2211">
      <c r="A2211" s="4" t="s">
        <v>5965</v>
      </c>
      <c r="B2211" s="4" t="s">
        <v>5965</v>
      </c>
      <c r="C2211" s="4">
        <v>600.0</v>
      </c>
      <c r="D2211" s="5" t="str">
        <f>HYPERLINK("https://www.linkedin.com/ad-library/detail/1502756506","Open Ad")</f>
        <v>Open Ad</v>
      </c>
      <c r="E2211" s="4" t="s">
        <v>78</v>
      </c>
      <c r="F2211" s="4" t="s">
        <v>54</v>
      </c>
      <c r="G2211" s="4" t="s">
        <v>6330</v>
      </c>
      <c r="H2211" s="4" t="s">
        <v>49</v>
      </c>
      <c r="I2211" s="4" t="s">
        <v>6005</v>
      </c>
      <c r="J2211" s="4" t="s">
        <v>78</v>
      </c>
      <c r="K2211" s="5" t="str">
        <f>HYPERLINK("https://media.licdn.com/dms/image/v2/D5610AQHWN3cBgpsrZA/image-shrink_1280/B56Z8ThVnqLAAc-/0/1782738934569?e=2147483647&amp;v=beta&amp;t=A-Y9kI8t-vvKXU86I3eo4Ke7-nBQGOwNbp_-WJGBzdU","View Creative")</f>
        <v>View Creative</v>
      </c>
      <c r="L2211" s="4" t="s">
        <v>106</v>
      </c>
      <c r="M2211" s="4" t="s">
        <v>5965</v>
      </c>
      <c r="O2211" s="4" t="s">
        <v>63</v>
      </c>
      <c r="P2211" s="4" t="s">
        <v>64</v>
      </c>
    </row>
    <row r="2212">
      <c r="A2212" s="4" t="s">
        <v>5965</v>
      </c>
      <c r="B2212" s="4" t="s">
        <v>5965</v>
      </c>
      <c r="C2212" s="4">
        <v>601.0</v>
      </c>
      <c r="D2212" s="5" t="str">
        <f>HYPERLINK("https://www.linkedin.com/ad-library/detail/1499738436","Open Ad")</f>
        <v>Open Ad</v>
      </c>
      <c r="E2212" s="4" t="s">
        <v>78</v>
      </c>
      <c r="F2212" s="4" t="s">
        <v>54</v>
      </c>
      <c r="G2212" s="4" t="s">
        <v>6078</v>
      </c>
      <c r="H2212" s="4" t="s">
        <v>49</v>
      </c>
      <c r="I2212" s="4" t="s">
        <v>6005</v>
      </c>
      <c r="J2212" s="4" t="s">
        <v>78</v>
      </c>
      <c r="K2212" s="5" t="str">
        <f>HYPERLINK("https://media.licdn.com/dms/image/v2/D5610AQG6ROzWPETGmA/image-shrink_1280/B56Z9dR6t1KEAg-/0/1783976406842?e=2147483647&amp;v=beta&amp;t=ubEWJ1uNOIKQkdyOqmhR2qOxm2aAjGOzZhSszx4lxv4","View Creative")</f>
        <v>View Creative</v>
      </c>
      <c r="L2212" s="4" t="s">
        <v>106</v>
      </c>
      <c r="M2212" s="4" t="s">
        <v>5965</v>
      </c>
      <c r="O2212" s="4" t="s">
        <v>63</v>
      </c>
      <c r="P2212" s="4" t="s">
        <v>64</v>
      </c>
    </row>
    <row r="2213">
      <c r="A2213" s="4" t="s">
        <v>5965</v>
      </c>
      <c r="B2213" s="4" t="s">
        <v>5965</v>
      </c>
      <c r="C2213" s="4">
        <v>602.0</v>
      </c>
      <c r="D2213" s="5" t="str">
        <f>HYPERLINK("https://www.linkedin.com/ad-library/detail/1499767606","Open Ad")</f>
        <v>Open Ad</v>
      </c>
      <c r="E2213" s="4" t="s">
        <v>78</v>
      </c>
      <c r="F2213" s="4" t="s">
        <v>54</v>
      </c>
      <c r="G2213" s="4" t="s">
        <v>6388</v>
      </c>
      <c r="H2213" s="4" t="s">
        <v>49</v>
      </c>
      <c r="I2213" s="4" t="s">
        <v>6005</v>
      </c>
      <c r="J2213" s="4" t="s">
        <v>78</v>
      </c>
      <c r="K2213" s="5" t="str">
        <f>HYPERLINK("https://media.licdn.com/dms/image/v2/D5610AQH3M2r-dN7_nA/image-shrink_1280/B56Z9MoPl0KEAg-/0/1783697046612?e=2147483647&amp;v=beta&amp;t=GCdSRI774vIlwuKc0JleptYCxEUXt22sxid6mhQ-ZRs","View Creative")</f>
        <v>View Creative</v>
      </c>
      <c r="L2213" s="4" t="s">
        <v>106</v>
      </c>
      <c r="M2213" s="4" t="s">
        <v>5965</v>
      </c>
      <c r="O2213" s="4" t="s">
        <v>63</v>
      </c>
      <c r="P2213" s="4" t="s">
        <v>64</v>
      </c>
    </row>
    <row r="2214">
      <c r="A2214" s="4" t="s">
        <v>5965</v>
      </c>
      <c r="B2214" s="4" t="s">
        <v>5965</v>
      </c>
      <c r="C2214" s="4">
        <v>603.0</v>
      </c>
      <c r="D2214" s="5" t="str">
        <f>HYPERLINK("https://www.linkedin.com/ad-library/detail/1499891176","Open Ad")</f>
        <v>Open Ad</v>
      </c>
      <c r="E2214" s="4" t="s">
        <v>78</v>
      </c>
      <c r="F2214" s="4" t="s">
        <v>54</v>
      </c>
      <c r="G2214" s="4" t="s">
        <v>6385</v>
      </c>
      <c r="H2214" s="4" t="s">
        <v>49</v>
      </c>
      <c r="I2214" s="4" t="s">
        <v>6005</v>
      </c>
      <c r="J2214" s="4" t="s">
        <v>78</v>
      </c>
      <c r="K2214" s="5" t="str">
        <f t="shared" ref="K2214:K2215" si="68">HYPERLINK("https://media.licdn.com/dms/image/v2/D5610AQFoFyqJ3g7Log/image-shrink_1280/B56Z9h_Mo.HUAc-/0/1784055385012?e=2147483647&amp;v=beta&amp;t=ahLhwf3XzHon78cEKdnNDmivIzsNgm82MjqmREwyCIw","View Creative")</f>
        <v>View Creative</v>
      </c>
      <c r="L2214" s="4" t="s">
        <v>106</v>
      </c>
      <c r="M2214" s="4" t="s">
        <v>5965</v>
      </c>
      <c r="O2214" s="4" t="s">
        <v>63</v>
      </c>
      <c r="P2214" s="4" t="s">
        <v>64</v>
      </c>
    </row>
    <row r="2215">
      <c r="A2215" s="4" t="s">
        <v>5965</v>
      </c>
      <c r="B2215" s="4" t="s">
        <v>5965</v>
      </c>
      <c r="C2215" s="4">
        <v>604.0</v>
      </c>
      <c r="D2215" s="5" t="str">
        <f>HYPERLINK("https://www.linkedin.com/ad-library/detail/1499709286","Open Ad")</f>
        <v>Open Ad</v>
      </c>
      <c r="E2215" s="4" t="s">
        <v>78</v>
      </c>
      <c r="F2215" s="4" t="s">
        <v>54</v>
      </c>
      <c r="G2215" s="4" t="s">
        <v>6385</v>
      </c>
      <c r="H2215" s="4" t="s">
        <v>49</v>
      </c>
      <c r="I2215" s="4" t="s">
        <v>6005</v>
      </c>
      <c r="J2215" s="4" t="s">
        <v>78</v>
      </c>
      <c r="K2215" s="5" t="str">
        <f t="shared" si="68"/>
        <v>View Creative</v>
      </c>
      <c r="L2215" s="4" t="s">
        <v>106</v>
      </c>
      <c r="M2215" s="4" t="s">
        <v>5965</v>
      </c>
      <c r="O2215" s="4" t="s">
        <v>63</v>
      </c>
      <c r="P2215" s="4" t="s">
        <v>64</v>
      </c>
    </row>
    <row r="2216">
      <c r="A2216" s="4" t="s">
        <v>5965</v>
      </c>
      <c r="B2216" s="4" t="s">
        <v>5965</v>
      </c>
      <c r="C2216" s="4">
        <v>605.0</v>
      </c>
      <c r="D2216" s="5" t="str">
        <f>HYPERLINK("https://www.linkedin.com/ad-library/detail/1499709346","Open Ad")</f>
        <v>Open Ad</v>
      </c>
      <c r="E2216" s="4" t="s">
        <v>78</v>
      </c>
      <c r="F2216" s="4" t="s">
        <v>54</v>
      </c>
      <c r="G2216" s="4" t="s">
        <v>6078</v>
      </c>
      <c r="H2216" s="4" t="s">
        <v>49</v>
      </c>
      <c r="I2216" s="4" t="s">
        <v>6005</v>
      </c>
      <c r="J2216" s="4" t="s">
        <v>78</v>
      </c>
      <c r="K2216" s="5" t="str">
        <f>HYPERLINK("https://media.licdn.com/dms/image/v2/D5610AQG6ROzWPETGmA/image-shrink_1280/B56Z9dR6t1KEAg-/0/1783976406842?e=2147483647&amp;v=beta&amp;t=ubEWJ1uNOIKQkdyOqmhR2qOxm2aAjGOzZhSszx4lxv4","View Creative")</f>
        <v>View Creative</v>
      </c>
      <c r="L2216" s="4" t="s">
        <v>106</v>
      </c>
      <c r="M2216" s="4" t="s">
        <v>5965</v>
      </c>
      <c r="O2216" s="4" t="s">
        <v>63</v>
      </c>
      <c r="P2216" s="4" t="s">
        <v>64</v>
      </c>
    </row>
    <row r="2217">
      <c r="A2217" s="4" t="s">
        <v>5965</v>
      </c>
      <c r="B2217" s="4" t="s">
        <v>5965</v>
      </c>
      <c r="C2217" s="4">
        <v>606.0</v>
      </c>
      <c r="D2217" s="5" t="str">
        <f>HYPERLINK("https://www.linkedin.com/ad-library/detail/1499709356","Open Ad")</f>
        <v>Open Ad</v>
      </c>
      <c r="E2217" s="4" t="s">
        <v>78</v>
      </c>
      <c r="F2217" s="4" t="s">
        <v>54</v>
      </c>
      <c r="G2217" s="4" t="s">
        <v>6076</v>
      </c>
      <c r="H2217" s="4" t="s">
        <v>49</v>
      </c>
      <c r="I2217" s="4" t="s">
        <v>6005</v>
      </c>
      <c r="J2217" s="4" t="s">
        <v>78</v>
      </c>
      <c r="K2217" s="5" t="str">
        <f>HYPERLINK("https://media.licdn.com/dms/image/v2/D5610AQFapQuTs5RyQg/image-shrink_1280/B56Z9h_6UCGcAg-/0/1784055572538?e=2147483647&amp;v=beta&amp;t=Kv2jNpyAeREV8VRiJojr6bkYk7Ofuq0wj6IaFzQHYEU","View Creative")</f>
        <v>View Creative</v>
      </c>
      <c r="L2217" s="4" t="s">
        <v>106</v>
      </c>
      <c r="M2217" s="4" t="s">
        <v>5965</v>
      </c>
      <c r="O2217" s="4" t="s">
        <v>63</v>
      </c>
      <c r="P2217" s="4" t="s">
        <v>64</v>
      </c>
    </row>
    <row r="2218">
      <c r="A2218" s="4" t="s">
        <v>5965</v>
      </c>
      <c r="B2218" s="4" t="s">
        <v>5965</v>
      </c>
      <c r="C2218" s="4">
        <v>607.0</v>
      </c>
      <c r="D2218" s="5" t="str">
        <f>HYPERLINK("https://www.linkedin.com/ad-library/detail/1499699316","Open Ad")</f>
        <v>Open Ad</v>
      </c>
      <c r="E2218" s="4" t="s">
        <v>78</v>
      </c>
      <c r="F2218" s="4" t="s">
        <v>54</v>
      </c>
      <c r="G2218" s="4" t="s">
        <v>6078</v>
      </c>
      <c r="H2218" s="4" t="s">
        <v>49</v>
      </c>
      <c r="I2218" s="4" t="s">
        <v>6005</v>
      </c>
      <c r="J2218" s="4" t="s">
        <v>78</v>
      </c>
      <c r="K2218" s="5" t="str">
        <f>HYPERLINK("https://media.licdn.com/dms/image/v2/D5610AQG6ROzWPETGmA/image-shrink_1280/B56Z9dR6t1KEAg-/0/1783976406842?e=2147483647&amp;v=beta&amp;t=ubEWJ1uNOIKQkdyOqmhR2qOxm2aAjGOzZhSszx4lxv4","View Creative")</f>
        <v>View Creative</v>
      </c>
      <c r="L2218" s="4" t="s">
        <v>106</v>
      </c>
      <c r="M2218" s="4" t="s">
        <v>5965</v>
      </c>
      <c r="O2218" s="4" t="s">
        <v>63</v>
      </c>
      <c r="P2218" s="4" t="s">
        <v>64</v>
      </c>
    </row>
    <row r="2219">
      <c r="A2219" s="4" t="s">
        <v>5965</v>
      </c>
      <c r="B2219" s="4" t="s">
        <v>5965</v>
      </c>
      <c r="C2219" s="4">
        <v>608.0</v>
      </c>
      <c r="D2219" s="5" t="str">
        <f>HYPERLINK("https://www.linkedin.com/ad-library/detail/1499699346","Open Ad")</f>
        <v>Open Ad</v>
      </c>
      <c r="E2219" s="4" t="s">
        <v>78</v>
      </c>
      <c r="F2219" s="4" t="s">
        <v>54</v>
      </c>
      <c r="G2219" s="4" t="s">
        <v>6076</v>
      </c>
      <c r="H2219" s="4" t="s">
        <v>49</v>
      </c>
      <c r="I2219" s="4" t="s">
        <v>6005</v>
      </c>
      <c r="J2219" s="4" t="s">
        <v>78</v>
      </c>
      <c r="K2219" s="5" t="str">
        <f>HYPERLINK("https://media.licdn.com/dms/image/v2/D5610AQFapQuTs5RyQg/image-shrink_1280/B56Z9h_6UCGcAg-/0/1784055572538?e=2147483647&amp;v=beta&amp;t=Kv2jNpyAeREV8VRiJojr6bkYk7Ofuq0wj6IaFzQHYEU","View Creative")</f>
        <v>View Creative</v>
      </c>
      <c r="L2219" s="4" t="s">
        <v>106</v>
      </c>
      <c r="M2219" s="4" t="s">
        <v>5965</v>
      </c>
      <c r="O2219" s="4" t="s">
        <v>63</v>
      </c>
      <c r="P2219" s="4" t="s">
        <v>64</v>
      </c>
    </row>
    <row r="2220">
      <c r="A2220" s="4" t="s">
        <v>5965</v>
      </c>
      <c r="B2220" s="4" t="s">
        <v>5965</v>
      </c>
      <c r="C2220" s="4">
        <v>609.0</v>
      </c>
      <c r="D2220" s="5" t="str">
        <f>HYPERLINK("https://www.linkedin.com/ad-library/detail/1499699356","Open Ad")</f>
        <v>Open Ad</v>
      </c>
      <c r="E2220" s="4" t="s">
        <v>78</v>
      </c>
      <c r="F2220" s="4" t="s">
        <v>54</v>
      </c>
      <c r="G2220" s="4" t="s">
        <v>6388</v>
      </c>
      <c r="H2220" s="4" t="s">
        <v>49</v>
      </c>
      <c r="I2220" s="4" t="s">
        <v>6005</v>
      </c>
      <c r="J2220" s="4" t="s">
        <v>78</v>
      </c>
      <c r="K2220" s="5" t="str">
        <f>HYPERLINK("https://media.licdn.com/dms/image/v2/D5610AQH3M2r-dN7_nA/image-shrink_1280/B56Z9MoPl0KEAg-/0/1783697046612?e=2147483647&amp;v=beta&amp;t=GCdSRI774vIlwuKc0JleptYCxEUXt22sxid6mhQ-ZRs","View Creative")</f>
        <v>View Creative</v>
      </c>
      <c r="L2220" s="4" t="s">
        <v>106</v>
      </c>
      <c r="M2220" s="4" t="s">
        <v>5965</v>
      </c>
      <c r="O2220" s="4" t="s">
        <v>63</v>
      </c>
      <c r="P2220" s="4" t="s">
        <v>64</v>
      </c>
    </row>
    <row r="2221">
      <c r="A2221" s="4" t="s">
        <v>5965</v>
      </c>
      <c r="B2221" s="4" t="s">
        <v>5965</v>
      </c>
      <c r="C2221" s="4">
        <v>610.0</v>
      </c>
      <c r="D2221" s="5" t="str">
        <f>HYPERLINK("https://www.linkedin.com/ad-library/detail/1499679566","Open Ad")</f>
        <v>Open Ad</v>
      </c>
      <c r="E2221" s="4" t="s">
        <v>78</v>
      </c>
      <c r="F2221" s="4" t="s">
        <v>54</v>
      </c>
      <c r="G2221" s="4" t="s">
        <v>6385</v>
      </c>
      <c r="H2221" s="4" t="s">
        <v>49</v>
      </c>
      <c r="I2221" s="4" t="s">
        <v>6005</v>
      </c>
      <c r="J2221" s="4" t="s">
        <v>78</v>
      </c>
      <c r="K2221" s="5" t="str">
        <f>HYPERLINK("https://media.licdn.com/dms/image/v2/D5610AQFoFyqJ3g7Log/image-shrink_1280/B56Z9h_Mo.HUAc-/0/1784055385012?e=2147483647&amp;v=beta&amp;t=ahLhwf3XzHon78cEKdnNDmivIzsNgm82MjqmREwyCIw","View Creative")</f>
        <v>View Creative</v>
      </c>
      <c r="L2221" s="4" t="s">
        <v>106</v>
      </c>
      <c r="M2221" s="4" t="s">
        <v>5965</v>
      </c>
      <c r="O2221" s="4" t="s">
        <v>63</v>
      </c>
      <c r="P2221" s="4" t="s">
        <v>64</v>
      </c>
    </row>
    <row r="2222">
      <c r="A2222" s="4" t="s">
        <v>5965</v>
      </c>
      <c r="B2222" s="4" t="s">
        <v>5965</v>
      </c>
      <c r="C2222" s="4">
        <v>611.0</v>
      </c>
      <c r="D2222" s="5" t="str">
        <f>HYPERLINK("https://www.linkedin.com/ad-library/detail/1499778716","Open Ad")</f>
        <v>Open Ad</v>
      </c>
      <c r="E2222" s="4" t="s">
        <v>78</v>
      </c>
      <c r="F2222" s="4" t="s">
        <v>54</v>
      </c>
      <c r="G2222" s="4" t="s">
        <v>6076</v>
      </c>
      <c r="H2222" s="4" t="s">
        <v>49</v>
      </c>
      <c r="I2222" s="4" t="s">
        <v>6005</v>
      </c>
      <c r="J2222" s="4" t="s">
        <v>78</v>
      </c>
      <c r="K2222" s="5" t="str">
        <f>HYPERLINK("https://media.licdn.com/dms/image/v2/D5610AQFapQuTs5RyQg/image-shrink_1280/B56Z9h_6UCGcAg-/0/1784055572538?e=2147483647&amp;v=beta&amp;t=Kv2jNpyAeREV8VRiJojr6bkYk7Ofuq0wj6IaFzQHYEU","View Creative")</f>
        <v>View Creative</v>
      </c>
      <c r="L2222" s="4" t="s">
        <v>106</v>
      </c>
      <c r="M2222" s="4" t="s">
        <v>5965</v>
      </c>
      <c r="O2222" s="4" t="s">
        <v>63</v>
      </c>
      <c r="P2222" s="4" t="s">
        <v>64</v>
      </c>
    </row>
    <row r="2223">
      <c r="A2223" s="4" t="s">
        <v>5965</v>
      </c>
      <c r="B2223" s="4" t="s">
        <v>5965</v>
      </c>
      <c r="C2223" s="4">
        <v>612.0</v>
      </c>
      <c r="D2223" s="5" t="str">
        <f>HYPERLINK("https://www.linkedin.com/ad-library/detail/1499797026","Open Ad")</f>
        <v>Open Ad</v>
      </c>
      <c r="E2223" s="4" t="s">
        <v>78</v>
      </c>
      <c r="F2223" s="4" t="s">
        <v>54</v>
      </c>
      <c r="G2223" s="4" t="s">
        <v>6078</v>
      </c>
      <c r="H2223" s="4" t="s">
        <v>49</v>
      </c>
      <c r="I2223" s="4" t="s">
        <v>6005</v>
      </c>
      <c r="J2223" s="4" t="s">
        <v>78</v>
      </c>
      <c r="K2223" s="5" t="str">
        <f>HYPERLINK("https://media.licdn.com/dms/image/v2/D5610AQG6ROzWPETGmA/image-shrink_1280/B56Z9dR6t1KEAg-/0/1783976406842?e=2147483647&amp;v=beta&amp;t=ubEWJ1uNOIKQkdyOqmhR2qOxm2aAjGOzZhSszx4lxv4","View Creative")</f>
        <v>View Creative</v>
      </c>
      <c r="L2223" s="4" t="s">
        <v>106</v>
      </c>
      <c r="M2223" s="4" t="s">
        <v>5965</v>
      </c>
      <c r="O2223" s="4" t="s">
        <v>63</v>
      </c>
      <c r="P2223" s="4" t="s">
        <v>64</v>
      </c>
    </row>
    <row r="2224">
      <c r="A2224" s="4" t="s">
        <v>5965</v>
      </c>
      <c r="B2224" s="4" t="s">
        <v>5965</v>
      </c>
      <c r="C2224" s="4">
        <v>613.0</v>
      </c>
      <c r="D2224" s="5" t="str">
        <f>HYPERLINK("https://www.linkedin.com/ad-library/detail/1499669856","Open Ad")</f>
        <v>Open Ad</v>
      </c>
      <c r="E2224" s="4" t="s">
        <v>78</v>
      </c>
      <c r="F2224" s="4" t="s">
        <v>54</v>
      </c>
      <c r="G2224" s="4" t="s">
        <v>6388</v>
      </c>
      <c r="H2224" s="4" t="s">
        <v>49</v>
      </c>
      <c r="I2224" s="4" t="s">
        <v>6005</v>
      </c>
      <c r="J2224" s="4" t="s">
        <v>78</v>
      </c>
      <c r="K2224" s="5" t="str">
        <f>HYPERLINK("https://media.licdn.com/dms/image/v2/D5610AQH3M2r-dN7_nA/image-shrink_1280/B56Z9MoPl0KEAg-/0/1783697046612?e=2147483647&amp;v=beta&amp;t=GCdSRI774vIlwuKc0JleptYCxEUXt22sxid6mhQ-ZRs","View Creative")</f>
        <v>View Creative</v>
      </c>
      <c r="L2224" s="4" t="s">
        <v>106</v>
      </c>
      <c r="M2224" s="4" t="s">
        <v>5965</v>
      </c>
      <c r="O2224" s="4" t="s">
        <v>63</v>
      </c>
      <c r="P2224" s="4" t="s">
        <v>64</v>
      </c>
    </row>
    <row r="2225">
      <c r="A2225" s="4" t="s">
        <v>5965</v>
      </c>
      <c r="B2225" s="4" t="s">
        <v>5965</v>
      </c>
      <c r="C2225" s="4">
        <v>614.0</v>
      </c>
      <c r="D2225" s="5" t="str">
        <f>HYPERLINK("https://www.linkedin.com/ad-library/detail/1499797036","Open Ad")</f>
        <v>Open Ad</v>
      </c>
      <c r="E2225" s="4" t="s">
        <v>78</v>
      </c>
      <c r="F2225" s="4" t="s">
        <v>54</v>
      </c>
      <c r="G2225" s="4" t="s">
        <v>6078</v>
      </c>
      <c r="H2225" s="4" t="s">
        <v>49</v>
      </c>
      <c r="I2225" s="4" t="s">
        <v>6005</v>
      </c>
      <c r="J2225" s="4" t="s">
        <v>78</v>
      </c>
      <c r="K2225" s="5" t="str">
        <f>HYPERLINK("https://media.licdn.com/dms/image/v2/D5610AQG6ROzWPETGmA/image-shrink_1280/B56Z9dR6t1KEAg-/0/1783976406842?e=2147483647&amp;v=beta&amp;t=ubEWJ1uNOIKQkdyOqmhR2qOxm2aAjGOzZhSszx4lxv4","View Creative")</f>
        <v>View Creative</v>
      </c>
      <c r="L2225" s="4" t="s">
        <v>106</v>
      </c>
      <c r="M2225" s="4" t="s">
        <v>5965</v>
      </c>
      <c r="O2225" s="4" t="s">
        <v>63</v>
      </c>
      <c r="P2225" s="4" t="s">
        <v>64</v>
      </c>
    </row>
    <row r="2226">
      <c r="A2226" s="4" t="s">
        <v>5965</v>
      </c>
      <c r="B2226" s="4" t="s">
        <v>5965</v>
      </c>
      <c r="C2226" s="4">
        <v>615.0</v>
      </c>
      <c r="D2226" s="5" t="str">
        <f>HYPERLINK("https://www.linkedin.com/ad-library/detail/1499835846","Open Ad")</f>
        <v>Open Ad</v>
      </c>
      <c r="E2226" s="4" t="s">
        <v>78</v>
      </c>
      <c r="F2226" s="4" t="s">
        <v>54</v>
      </c>
      <c r="G2226" s="4" t="s">
        <v>6076</v>
      </c>
      <c r="H2226" s="4" t="s">
        <v>49</v>
      </c>
      <c r="I2226" s="4" t="s">
        <v>6005</v>
      </c>
      <c r="J2226" s="4" t="s">
        <v>78</v>
      </c>
      <c r="K2226" s="5" t="str">
        <f>HYPERLINK("https://media.licdn.com/dms/image/v2/D5610AQFapQuTs5RyQg/image-shrink_1280/B56Z9h_6UCGcAg-/0/1784055572538?e=2147483647&amp;v=beta&amp;t=Kv2jNpyAeREV8VRiJojr6bkYk7Ofuq0wj6IaFzQHYEU","View Creative")</f>
        <v>View Creative</v>
      </c>
      <c r="L2226" s="4" t="s">
        <v>106</v>
      </c>
      <c r="M2226" s="4" t="s">
        <v>5965</v>
      </c>
      <c r="O2226" s="4" t="s">
        <v>63</v>
      </c>
      <c r="P2226" s="4" t="s">
        <v>64</v>
      </c>
    </row>
    <row r="2227">
      <c r="A2227" s="4" t="s">
        <v>5965</v>
      </c>
      <c r="B2227" s="4" t="s">
        <v>5965</v>
      </c>
      <c r="C2227" s="4">
        <v>616.0</v>
      </c>
      <c r="D2227" s="5" t="str">
        <f>HYPERLINK("https://www.linkedin.com/ad-library/detail/1499669826","Open Ad")</f>
        <v>Open Ad</v>
      </c>
      <c r="E2227" s="4" t="s">
        <v>78</v>
      </c>
      <c r="F2227" s="4" t="s">
        <v>54</v>
      </c>
      <c r="G2227" s="4" t="s">
        <v>6078</v>
      </c>
      <c r="H2227" s="4" t="s">
        <v>49</v>
      </c>
      <c r="I2227" s="4" t="s">
        <v>6005</v>
      </c>
      <c r="J2227" s="4" t="s">
        <v>78</v>
      </c>
      <c r="K2227" s="5" t="str">
        <f t="shared" ref="K2227:K2228" si="69">HYPERLINK("https://media.licdn.com/dms/image/v2/D5610AQG6ROzWPETGmA/image-shrink_1280/B56Z9dR6t1KEAg-/0/1783976406842?e=2147483647&amp;v=beta&amp;t=ubEWJ1uNOIKQkdyOqmhR2qOxm2aAjGOzZhSszx4lxv4","View Creative")</f>
        <v>View Creative</v>
      </c>
      <c r="L2227" s="4" t="s">
        <v>106</v>
      </c>
      <c r="M2227" s="4" t="s">
        <v>5965</v>
      </c>
      <c r="O2227" s="4" t="s">
        <v>63</v>
      </c>
      <c r="P2227" s="4" t="s">
        <v>64</v>
      </c>
    </row>
    <row r="2228">
      <c r="A2228" s="4" t="s">
        <v>5965</v>
      </c>
      <c r="B2228" s="4" t="s">
        <v>5965</v>
      </c>
      <c r="C2228" s="4">
        <v>617.0</v>
      </c>
      <c r="D2228" s="5" t="str">
        <f>HYPERLINK("https://www.linkedin.com/ad-library/detail/1499778686","Open Ad")</f>
        <v>Open Ad</v>
      </c>
      <c r="E2228" s="4" t="s">
        <v>78</v>
      </c>
      <c r="F2228" s="4" t="s">
        <v>54</v>
      </c>
      <c r="G2228" s="4" t="s">
        <v>6078</v>
      </c>
      <c r="H2228" s="4" t="s">
        <v>49</v>
      </c>
      <c r="I2228" s="4" t="s">
        <v>6005</v>
      </c>
      <c r="J2228" s="4" t="s">
        <v>78</v>
      </c>
      <c r="K2228" s="5" t="str">
        <f t="shared" si="69"/>
        <v>View Creative</v>
      </c>
      <c r="L2228" s="4" t="s">
        <v>106</v>
      </c>
      <c r="M2228" s="4" t="s">
        <v>5965</v>
      </c>
      <c r="O2228" s="4" t="s">
        <v>63</v>
      </c>
      <c r="P2228" s="4" t="s">
        <v>64</v>
      </c>
    </row>
    <row r="2229">
      <c r="A2229" s="4" t="s">
        <v>5965</v>
      </c>
      <c r="B2229" s="4" t="s">
        <v>5965</v>
      </c>
      <c r="C2229" s="4">
        <v>618.0</v>
      </c>
      <c r="D2229" s="5" t="str">
        <f>HYPERLINK("https://www.linkedin.com/ad-library/detail/1499891206","Open Ad")</f>
        <v>Open Ad</v>
      </c>
      <c r="E2229" s="4" t="s">
        <v>78</v>
      </c>
      <c r="F2229" s="4" t="s">
        <v>54</v>
      </c>
      <c r="G2229" s="4" t="s">
        <v>6076</v>
      </c>
      <c r="H2229" s="4" t="s">
        <v>49</v>
      </c>
      <c r="I2229" s="4" t="s">
        <v>6005</v>
      </c>
      <c r="J2229" s="4" t="s">
        <v>78</v>
      </c>
      <c r="K2229" s="5" t="str">
        <f>HYPERLINK("https://media.licdn.com/dms/image/v2/D5610AQFapQuTs5RyQg/image-shrink_1280/B56Z9h_6UCGcAg-/0/1784055572538?e=2147483647&amp;v=beta&amp;t=Kv2jNpyAeREV8VRiJojr6bkYk7Ofuq0wj6IaFzQHYEU","View Creative")</f>
        <v>View Creative</v>
      </c>
      <c r="L2229" s="4" t="s">
        <v>106</v>
      </c>
      <c r="M2229" s="4" t="s">
        <v>5965</v>
      </c>
      <c r="O2229" s="4" t="s">
        <v>63</v>
      </c>
      <c r="P2229" s="4" t="s">
        <v>64</v>
      </c>
    </row>
    <row r="2230">
      <c r="A2230" s="4" t="s">
        <v>5965</v>
      </c>
      <c r="B2230" s="4" t="s">
        <v>5965</v>
      </c>
      <c r="C2230" s="4">
        <v>619.0</v>
      </c>
      <c r="D2230" s="5" t="str">
        <f>HYPERLINK("https://www.linkedin.com/ad-library/detail/1499688856","Open Ad")</f>
        <v>Open Ad</v>
      </c>
      <c r="E2230" s="4" t="s">
        <v>78</v>
      </c>
      <c r="F2230" s="4" t="s">
        <v>54</v>
      </c>
      <c r="G2230" s="4" t="s">
        <v>6388</v>
      </c>
      <c r="H2230" s="4" t="s">
        <v>49</v>
      </c>
      <c r="I2230" s="4" t="s">
        <v>6005</v>
      </c>
      <c r="J2230" s="4" t="s">
        <v>78</v>
      </c>
      <c r="K2230" s="5" t="str">
        <f>HYPERLINK("https://media.licdn.com/dms/image/v2/D5610AQH3M2r-dN7_nA/image-shrink_1280/B56Z9MoPl0KEAg-/0/1783697046612?e=2147483647&amp;v=beta&amp;t=GCdSRI774vIlwuKc0JleptYCxEUXt22sxid6mhQ-ZRs","View Creative")</f>
        <v>View Creative</v>
      </c>
      <c r="L2230" s="4" t="s">
        <v>106</v>
      </c>
      <c r="M2230" s="4" t="s">
        <v>5965</v>
      </c>
      <c r="O2230" s="4" t="s">
        <v>63</v>
      </c>
      <c r="P2230" s="4" t="s">
        <v>64</v>
      </c>
    </row>
    <row r="2231">
      <c r="A2231" s="4" t="s">
        <v>5965</v>
      </c>
      <c r="B2231" s="4" t="s">
        <v>5965</v>
      </c>
      <c r="C2231" s="4">
        <v>620.0</v>
      </c>
      <c r="D2231" s="5" t="str">
        <f>HYPERLINK("https://www.linkedin.com/ad-library/detail/1499748956","Open Ad")</f>
        <v>Open Ad</v>
      </c>
      <c r="E2231" s="4" t="s">
        <v>78</v>
      </c>
      <c r="F2231" s="4" t="s">
        <v>54</v>
      </c>
      <c r="G2231" s="4" t="s">
        <v>6078</v>
      </c>
      <c r="H2231" s="4" t="s">
        <v>49</v>
      </c>
      <c r="I2231" s="4" t="s">
        <v>6005</v>
      </c>
      <c r="J2231" s="4" t="s">
        <v>78</v>
      </c>
      <c r="K2231" s="5" t="str">
        <f>HYPERLINK("https://media.licdn.com/dms/image/v2/D5610AQG6ROzWPETGmA/image-shrink_1280/B56Z9dR6t1KEAg-/0/1783976406842?e=2147483647&amp;v=beta&amp;t=ubEWJ1uNOIKQkdyOqmhR2qOxm2aAjGOzZhSszx4lxv4","View Creative")</f>
        <v>View Creative</v>
      </c>
      <c r="L2231" s="4" t="s">
        <v>106</v>
      </c>
      <c r="M2231" s="4" t="s">
        <v>5965</v>
      </c>
      <c r="O2231" s="4" t="s">
        <v>63</v>
      </c>
      <c r="P2231" s="4" t="s">
        <v>64</v>
      </c>
    </row>
    <row r="2232">
      <c r="A2232" s="4" t="s">
        <v>5965</v>
      </c>
      <c r="B2232" s="4" t="s">
        <v>5965</v>
      </c>
      <c r="C2232" s="4">
        <v>621.0</v>
      </c>
      <c r="D2232" s="5" t="str">
        <f>HYPERLINK("https://www.linkedin.com/ad-library/detail/1499854826","Open Ad")</f>
        <v>Open Ad</v>
      </c>
      <c r="E2232" s="4" t="s">
        <v>78</v>
      </c>
      <c r="F2232" s="4" t="s">
        <v>54</v>
      </c>
      <c r="G2232" s="4" t="s">
        <v>6385</v>
      </c>
      <c r="H2232" s="4" t="s">
        <v>49</v>
      </c>
      <c r="I2232" s="4" t="s">
        <v>6005</v>
      </c>
      <c r="J2232" s="4" t="s">
        <v>78</v>
      </c>
      <c r="K2232" s="5" t="str">
        <f>HYPERLINK("https://media.licdn.com/dms/image/v2/D5610AQFoFyqJ3g7Log/image-shrink_1280/B56Z9h_Mo.HUAc-/0/1784055385012?e=2147483647&amp;v=beta&amp;t=ahLhwf3XzHon78cEKdnNDmivIzsNgm82MjqmREwyCIw","View Creative")</f>
        <v>View Creative</v>
      </c>
      <c r="L2232" s="4" t="s">
        <v>106</v>
      </c>
      <c r="M2232" s="4" t="s">
        <v>5965</v>
      </c>
      <c r="O2232" s="4" t="s">
        <v>63</v>
      </c>
      <c r="P2232" s="4" t="s">
        <v>64</v>
      </c>
    </row>
    <row r="2233">
      <c r="A2233" s="4" t="s">
        <v>5965</v>
      </c>
      <c r="B2233" s="4" t="s">
        <v>5965</v>
      </c>
      <c r="C2233" s="4">
        <v>622.0</v>
      </c>
      <c r="D2233" s="5" t="str">
        <f>HYPERLINK("https://www.linkedin.com/ad-library/detail/1499748966","Open Ad")</f>
        <v>Open Ad</v>
      </c>
      <c r="E2233" s="4" t="s">
        <v>78</v>
      </c>
      <c r="F2233" s="4" t="s">
        <v>54</v>
      </c>
      <c r="G2233" s="4" t="s">
        <v>6388</v>
      </c>
      <c r="H2233" s="4" t="s">
        <v>49</v>
      </c>
      <c r="I2233" s="4" t="s">
        <v>6005</v>
      </c>
      <c r="J2233" s="4" t="s">
        <v>78</v>
      </c>
      <c r="K2233" s="5" t="str">
        <f>HYPERLINK("https://media.licdn.com/dms/image/v2/D5610AQH3M2r-dN7_nA/image-shrink_1280/B56Z9MoPl0KEAg-/0/1783697046612?e=2147483647&amp;v=beta&amp;t=GCdSRI774vIlwuKc0JleptYCxEUXt22sxid6mhQ-ZRs","View Creative")</f>
        <v>View Creative</v>
      </c>
      <c r="L2233" s="4" t="s">
        <v>106</v>
      </c>
      <c r="M2233" s="4" t="s">
        <v>5965</v>
      </c>
      <c r="O2233" s="4" t="s">
        <v>63</v>
      </c>
      <c r="P2233" s="4" t="s">
        <v>64</v>
      </c>
    </row>
    <row r="2234">
      <c r="A2234" s="4" t="s">
        <v>5965</v>
      </c>
      <c r="B2234" s="4" t="s">
        <v>5965</v>
      </c>
      <c r="C2234" s="4">
        <v>623.0</v>
      </c>
      <c r="D2234" s="5" t="str">
        <f>HYPERLINK("https://www.linkedin.com/ad-library/detail/1499816856","Open Ad")</f>
        <v>Open Ad</v>
      </c>
      <c r="E2234" s="4" t="s">
        <v>78</v>
      </c>
      <c r="F2234" s="4" t="s">
        <v>54</v>
      </c>
      <c r="G2234" s="4" t="s">
        <v>6078</v>
      </c>
      <c r="H2234" s="4" t="s">
        <v>49</v>
      </c>
      <c r="I2234" s="4" t="s">
        <v>6005</v>
      </c>
      <c r="J2234" s="4" t="s">
        <v>78</v>
      </c>
      <c r="K2234" s="5" t="str">
        <f>HYPERLINK("https://media.licdn.com/dms/image/v2/D5610AQG6ROzWPETGmA/image-shrink_1280/B56Z9dR6t1KEAg-/0/1783976406842?e=2147483647&amp;v=beta&amp;t=ubEWJ1uNOIKQkdyOqmhR2qOxm2aAjGOzZhSszx4lxv4","View Creative")</f>
        <v>View Creative</v>
      </c>
      <c r="L2234" s="4" t="s">
        <v>106</v>
      </c>
      <c r="M2234" s="4" t="s">
        <v>5965</v>
      </c>
      <c r="O2234" s="4" t="s">
        <v>63</v>
      </c>
      <c r="P2234" s="4" t="s">
        <v>64</v>
      </c>
    </row>
    <row r="2235">
      <c r="A2235" s="4" t="s">
        <v>5965</v>
      </c>
      <c r="B2235" s="4" t="s">
        <v>5965</v>
      </c>
      <c r="C2235" s="4">
        <v>624.0</v>
      </c>
      <c r="D2235" s="5" t="str">
        <f>HYPERLINK("https://www.linkedin.com/ad-library/detail/1499748916","Open Ad")</f>
        <v>Open Ad</v>
      </c>
      <c r="E2235" s="4" t="s">
        <v>78</v>
      </c>
      <c r="F2235" s="4" t="s">
        <v>54</v>
      </c>
      <c r="G2235" s="4" t="s">
        <v>6385</v>
      </c>
      <c r="H2235" s="4" t="s">
        <v>49</v>
      </c>
      <c r="I2235" s="4" t="s">
        <v>6005</v>
      </c>
      <c r="J2235" s="4" t="s">
        <v>78</v>
      </c>
      <c r="K2235" s="5" t="str">
        <f>HYPERLINK("https://media.licdn.com/dms/image/v2/D5610AQFoFyqJ3g7Log/image-shrink_1280/B56Z9h_Mo.HUAc-/0/1784055385012?e=2147483647&amp;v=beta&amp;t=ahLhwf3XzHon78cEKdnNDmivIzsNgm82MjqmREwyCIw","View Creative")</f>
        <v>View Creative</v>
      </c>
      <c r="L2235" s="4" t="s">
        <v>106</v>
      </c>
      <c r="M2235" s="4" t="s">
        <v>5965</v>
      </c>
      <c r="O2235" s="4" t="s">
        <v>63</v>
      </c>
      <c r="P2235" s="4" t="s">
        <v>64</v>
      </c>
    </row>
    <row r="2236">
      <c r="A2236" s="4" t="s">
        <v>5965</v>
      </c>
      <c r="B2236" s="4" t="s">
        <v>5965</v>
      </c>
      <c r="C2236" s="4">
        <v>625.0</v>
      </c>
      <c r="D2236" s="5" t="str">
        <f>HYPERLINK("https://www.linkedin.com/ad-library/detail/1498850226","Open Ad")</f>
        <v>Open Ad</v>
      </c>
      <c r="E2236" s="4" t="s">
        <v>78</v>
      </c>
      <c r="F2236" s="4" t="s">
        <v>54</v>
      </c>
      <c r="G2236" s="4" t="s">
        <v>6330</v>
      </c>
      <c r="H2236" s="4" t="s">
        <v>49</v>
      </c>
      <c r="I2236" s="4" t="s">
        <v>6005</v>
      </c>
      <c r="J2236" s="4" t="s">
        <v>78</v>
      </c>
      <c r="K2236" s="5" t="str">
        <f>HYPERLINK("https://media.licdn.com/dms/image/v2/D5610AQHWN3cBgpsrZA/image-shrink_1280/B56Z8ThVnqLAAc-/0/1782738934569?e=2147483647&amp;v=beta&amp;t=A-Y9kI8t-vvKXU86I3eo4Ke7-nBQGOwNbp_-WJGBzdU","View Creative")</f>
        <v>View Creative</v>
      </c>
      <c r="L2236" s="4" t="s">
        <v>106</v>
      </c>
      <c r="M2236" s="4" t="s">
        <v>5965</v>
      </c>
      <c r="O2236" s="4" t="s">
        <v>63</v>
      </c>
      <c r="P2236" s="4" t="s">
        <v>64</v>
      </c>
    </row>
    <row r="2237">
      <c r="A2237" s="4" t="s">
        <v>5965</v>
      </c>
      <c r="B2237" s="4" t="s">
        <v>5965</v>
      </c>
      <c r="C2237" s="4">
        <v>626.0</v>
      </c>
      <c r="D2237" s="5" t="str">
        <f>HYPERLINK("https://www.linkedin.com/ad-library/detail/1499716506","Open Ad")</f>
        <v>Open Ad</v>
      </c>
      <c r="E2237" s="4" t="s">
        <v>121</v>
      </c>
      <c r="F2237" s="4" t="s">
        <v>54</v>
      </c>
      <c r="G2237" s="4" t="s">
        <v>6234</v>
      </c>
      <c r="H2237" s="4" t="s">
        <v>49</v>
      </c>
      <c r="I2237" s="4" t="s">
        <v>6005</v>
      </c>
      <c r="J2237" s="4" t="s">
        <v>121</v>
      </c>
      <c r="K2237" s="5" t="str">
        <f>HYPERLINK("https://dms.licdn.com/playlist/vid/v2/D5610AQGkgKeLU74ILQ/progressive-servable-video/B56Z9hvf3JKgAY-/0/1784051270316?e=2147483647&amp;v=beta&amp;t=V4d6Gtg2Tm_7eNkIGNTfwXZNbFVZhf2lkGahZpMiJ60","View Creative")</f>
        <v>View Creative</v>
      </c>
      <c r="L2237" s="4" t="s">
        <v>106</v>
      </c>
      <c r="M2237" s="4" t="s">
        <v>5965</v>
      </c>
      <c r="O2237" s="4" t="s">
        <v>63</v>
      </c>
      <c r="P2237" s="4" t="s">
        <v>64</v>
      </c>
    </row>
    <row r="2238">
      <c r="A2238" s="4" t="s">
        <v>5965</v>
      </c>
      <c r="B2238" s="4" t="s">
        <v>5965</v>
      </c>
      <c r="C2238" s="4">
        <v>627.0</v>
      </c>
      <c r="D2238" s="5" t="str">
        <f>HYPERLINK("https://www.linkedin.com/ad-library/detail/1499718906","Open Ad")</f>
        <v>Open Ad</v>
      </c>
      <c r="E2238" s="4" t="s">
        <v>78</v>
      </c>
      <c r="F2238" s="4" t="s">
        <v>54</v>
      </c>
      <c r="G2238" s="4" t="s">
        <v>6385</v>
      </c>
      <c r="H2238" s="4" t="s">
        <v>49</v>
      </c>
      <c r="I2238" s="4" t="s">
        <v>6005</v>
      </c>
      <c r="J2238" s="4" t="s">
        <v>78</v>
      </c>
      <c r="K2238" s="5" t="str">
        <f t="shared" ref="K2238:K2239" si="70">HYPERLINK("https://media.licdn.com/dms/image/v2/D5610AQFoFyqJ3g7Log/image-shrink_1280/B56Z9h_Mo.HUAc-/0/1784055385012?e=2147483647&amp;v=beta&amp;t=ahLhwf3XzHon78cEKdnNDmivIzsNgm82MjqmREwyCIw","View Creative")</f>
        <v>View Creative</v>
      </c>
      <c r="L2238" s="4" t="s">
        <v>106</v>
      </c>
      <c r="M2238" s="4" t="s">
        <v>5965</v>
      </c>
      <c r="O2238" s="4" t="s">
        <v>63</v>
      </c>
      <c r="P2238" s="4" t="s">
        <v>64</v>
      </c>
    </row>
    <row r="2239">
      <c r="A2239" s="4" t="s">
        <v>5965</v>
      </c>
      <c r="B2239" s="4" t="s">
        <v>5965</v>
      </c>
      <c r="C2239" s="4">
        <v>628.0</v>
      </c>
      <c r="D2239" s="5" t="str">
        <f>HYPERLINK("https://www.linkedin.com/ad-library/detail/1499738376","Open Ad")</f>
        <v>Open Ad</v>
      </c>
      <c r="E2239" s="4" t="s">
        <v>78</v>
      </c>
      <c r="F2239" s="4" t="s">
        <v>54</v>
      </c>
      <c r="G2239" s="4" t="s">
        <v>6385</v>
      </c>
      <c r="H2239" s="4" t="s">
        <v>49</v>
      </c>
      <c r="I2239" s="4" t="s">
        <v>6005</v>
      </c>
      <c r="J2239" s="4" t="s">
        <v>78</v>
      </c>
      <c r="K2239" s="5" t="str">
        <f t="shared" si="70"/>
        <v>View Creative</v>
      </c>
      <c r="L2239" s="4" t="s">
        <v>106</v>
      </c>
      <c r="M2239" s="4" t="s">
        <v>5965</v>
      </c>
      <c r="O2239" s="4" t="s">
        <v>63</v>
      </c>
      <c r="P2239" s="4" t="s">
        <v>64</v>
      </c>
    </row>
    <row r="2240">
      <c r="A2240" s="4" t="s">
        <v>5965</v>
      </c>
      <c r="B2240" s="4" t="s">
        <v>5965</v>
      </c>
      <c r="C2240" s="4">
        <v>629.0</v>
      </c>
      <c r="D2240" s="5" t="str">
        <f>HYPERLINK("https://www.linkedin.com/ad-library/detail/1499804406","Open Ad")</f>
        <v>Open Ad</v>
      </c>
      <c r="E2240" s="4" t="s">
        <v>121</v>
      </c>
      <c r="F2240" s="4" t="s">
        <v>54</v>
      </c>
      <c r="G2240" s="4" t="s">
        <v>6227</v>
      </c>
      <c r="H2240" s="4" t="s">
        <v>49</v>
      </c>
      <c r="I2240" s="4" t="s">
        <v>6005</v>
      </c>
      <c r="J2240" s="4" t="s">
        <v>121</v>
      </c>
      <c r="K2240" s="5" t="str">
        <f>HYPERLINK("https://dms.licdn.com/playlist/vid/v2/D5610AQGkgKeLU74ILQ/progressive-servable-video/B56Z9hvf3JKgAY-/0/1784051270316?e=2147483647&amp;v=beta&amp;t=V4d6Gtg2Tm_7eNkIGNTfwXZNbFVZhf2lkGahZpMiJ60","View Creative")</f>
        <v>View Creative</v>
      </c>
      <c r="L2240" s="4" t="s">
        <v>106</v>
      </c>
      <c r="M2240" s="4" t="s">
        <v>5965</v>
      </c>
      <c r="O2240" s="4" t="s">
        <v>63</v>
      </c>
      <c r="P2240" s="4" t="s">
        <v>64</v>
      </c>
    </row>
    <row r="2241">
      <c r="A2241" s="4" t="s">
        <v>5965</v>
      </c>
      <c r="B2241" s="4" t="s">
        <v>5965</v>
      </c>
      <c r="C2241" s="4">
        <v>630.0</v>
      </c>
      <c r="D2241" s="5" t="str">
        <f>HYPERLINK("https://www.linkedin.com/ad-library/detail/1498675596","Open Ad")</f>
        <v>Open Ad</v>
      </c>
      <c r="E2241" s="4" t="s">
        <v>78</v>
      </c>
      <c r="F2241" s="4" t="s">
        <v>54</v>
      </c>
      <c r="G2241" s="4" t="s">
        <v>6086</v>
      </c>
      <c r="H2241" s="4" t="s">
        <v>49</v>
      </c>
      <c r="I2241" s="4" t="s">
        <v>6394</v>
      </c>
      <c r="J2241" s="4" t="s">
        <v>78</v>
      </c>
      <c r="K2241" s="5" t="str">
        <f>HYPERLINK("https://media.licdn.com/dms/image/v2/D5610AQF5ONUziLB90Q/image-shrink_1280/B56Z8YuROrGcAc-/0/1782826211326?e=2147483647&amp;v=beta&amp;t=P2Cz2Aul20qMidWME_WS_vAnPWT-iq7vaBsEHckvets","View Creative")</f>
        <v>View Creative</v>
      </c>
      <c r="L2241" s="4" t="s">
        <v>60</v>
      </c>
      <c r="M2241" s="4" t="s">
        <v>5965</v>
      </c>
      <c r="N2241" s="4" t="s">
        <v>6395</v>
      </c>
      <c r="O2241" s="4" t="s">
        <v>74</v>
      </c>
      <c r="P2241" s="4" t="s">
        <v>6396</v>
      </c>
    </row>
    <row r="2242">
      <c r="A2242" s="4" t="s">
        <v>5965</v>
      </c>
      <c r="B2242" s="4" t="s">
        <v>5965</v>
      </c>
      <c r="C2242" s="4">
        <v>631.0</v>
      </c>
      <c r="D2242" s="5" t="str">
        <f>HYPERLINK("https://www.linkedin.com/ad-library/detail/1498647186","Open Ad")</f>
        <v>Open Ad</v>
      </c>
      <c r="E2242" s="4" t="s">
        <v>78</v>
      </c>
      <c r="F2242" s="4" t="s">
        <v>54</v>
      </c>
      <c r="G2242" s="4" t="s">
        <v>6069</v>
      </c>
      <c r="H2242" s="4" t="s">
        <v>49</v>
      </c>
      <c r="I2242" s="4" t="s">
        <v>6005</v>
      </c>
      <c r="J2242" s="4" t="s">
        <v>78</v>
      </c>
      <c r="K2242" s="5" t="str">
        <f>HYPERLINK("https://media.licdn.com/dms/image/v2/D4E10AQEqECWLz8eLfg/image-shrink_1280/B4EZ3UsZ.CGkAc-/0/1777389904287?e=2147483647&amp;v=beta&amp;t=0Mbfqk_hLfichGIBXrMjoO2DeoHez5SeK866pI13xWU","View Creative")</f>
        <v>View Creative</v>
      </c>
      <c r="L2242" s="4" t="s">
        <v>106</v>
      </c>
      <c r="M2242" s="4" t="s">
        <v>5965</v>
      </c>
      <c r="O2242" s="4" t="s">
        <v>63</v>
      </c>
      <c r="P2242" s="4" t="s">
        <v>64</v>
      </c>
    </row>
    <row r="2243">
      <c r="A2243" s="4" t="s">
        <v>5965</v>
      </c>
      <c r="B2243" s="4" t="s">
        <v>5965</v>
      </c>
      <c r="C2243" s="4">
        <v>632.0</v>
      </c>
      <c r="D2243" s="5" t="str">
        <f>HYPERLINK("https://www.linkedin.com/ad-library/detail/1498762326","Open Ad")</f>
        <v>Open Ad</v>
      </c>
      <c r="E2243" s="4" t="s">
        <v>78</v>
      </c>
      <c r="F2243" s="4" t="s">
        <v>54</v>
      </c>
      <c r="G2243" s="4" t="s">
        <v>6330</v>
      </c>
      <c r="H2243" s="4" t="s">
        <v>49</v>
      </c>
      <c r="I2243" s="4" t="s">
        <v>6005</v>
      </c>
      <c r="J2243" s="4" t="s">
        <v>78</v>
      </c>
      <c r="K2243" s="5" t="str">
        <f>HYPERLINK("https://media.licdn.com/dms/image/v2/D5610AQHWN3cBgpsrZA/image-shrink_1280/B56Z8ThVnqLAAc-/0/1782738934569?e=2147483647&amp;v=beta&amp;t=A-Y9kI8t-vvKXU86I3eo4Ke7-nBQGOwNbp_-WJGBzdU","View Creative")</f>
        <v>View Creative</v>
      </c>
      <c r="L2243" s="4" t="s">
        <v>106</v>
      </c>
      <c r="M2243" s="4" t="s">
        <v>5965</v>
      </c>
      <c r="O2243" s="4" t="s">
        <v>63</v>
      </c>
      <c r="P2243" s="4" t="s">
        <v>64</v>
      </c>
    </row>
    <row r="2244">
      <c r="A2244" s="4" t="s">
        <v>5965</v>
      </c>
      <c r="B2244" s="4" t="s">
        <v>5965</v>
      </c>
      <c r="C2244" s="4">
        <v>633.0</v>
      </c>
      <c r="D2244" s="5" t="str">
        <f>HYPERLINK("https://www.linkedin.com/ad-library/detail/1498821006","Open Ad")</f>
        <v>Open Ad</v>
      </c>
      <c r="E2244" s="4" t="s">
        <v>78</v>
      </c>
      <c r="F2244" s="4" t="s">
        <v>54</v>
      </c>
      <c r="G2244" s="4" t="s">
        <v>6086</v>
      </c>
      <c r="H2244" s="4" t="s">
        <v>49</v>
      </c>
      <c r="I2244" s="4" t="s">
        <v>6005</v>
      </c>
      <c r="J2244" s="4" t="s">
        <v>78</v>
      </c>
      <c r="K2244" s="5" t="str">
        <f>HYPERLINK("https://media.licdn.com/dms/image/v2/D5610AQF5ONUziLB90Q/image-shrink_1280/B56Z8YuROrGcAc-/0/1782826211326?e=2147483647&amp;v=beta&amp;t=P2Cz2Aul20qMidWME_WS_vAnPWT-iq7vaBsEHckvets","View Creative")</f>
        <v>View Creative</v>
      </c>
      <c r="L2244" s="4" t="s">
        <v>106</v>
      </c>
      <c r="M2244" s="4" t="s">
        <v>5965</v>
      </c>
      <c r="O2244" s="4" t="s">
        <v>63</v>
      </c>
      <c r="P2244" s="4" t="s">
        <v>64</v>
      </c>
    </row>
    <row r="2245">
      <c r="A2245" s="4" t="s">
        <v>5965</v>
      </c>
      <c r="B2245" s="4" t="s">
        <v>5965</v>
      </c>
      <c r="C2245" s="4">
        <v>634.0</v>
      </c>
      <c r="D2245" s="5" t="str">
        <f>HYPERLINK("https://www.linkedin.com/ad-library/detail/1498723266","Open Ad")</f>
        <v>Open Ad</v>
      </c>
      <c r="E2245" s="4" t="s">
        <v>78</v>
      </c>
      <c r="F2245" s="4" t="s">
        <v>54</v>
      </c>
      <c r="G2245" s="4" t="s">
        <v>6069</v>
      </c>
      <c r="H2245" s="4" t="s">
        <v>49</v>
      </c>
      <c r="I2245" s="4" t="s">
        <v>6005</v>
      </c>
      <c r="J2245" s="4" t="s">
        <v>78</v>
      </c>
      <c r="K2245" s="5" t="str">
        <f>HYPERLINK("https://media.licdn.com/dms/image/v2/D4E10AQEqECWLz8eLfg/image-shrink_1280/B4EZ3UsZ.CGkAc-/0/1777389904287?e=2147483647&amp;v=beta&amp;t=0Mbfqk_hLfichGIBXrMjoO2DeoHez5SeK866pI13xWU","View Creative")</f>
        <v>View Creative</v>
      </c>
      <c r="L2245" s="4" t="s">
        <v>106</v>
      </c>
      <c r="M2245" s="4" t="s">
        <v>5965</v>
      </c>
      <c r="O2245" s="4" t="s">
        <v>63</v>
      </c>
      <c r="P2245" s="4" t="s">
        <v>64</v>
      </c>
    </row>
    <row r="2246">
      <c r="A2246" s="4" t="s">
        <v>5965</v>
      </c>
      <c r="B2246" s="4" t="s">
        <v>5965</v>
      </c>
      <c r="C2246" s="4">
        <v>635.0</v>
      </c>
      <c r="D2246" s="5" t="str">
        <f>HYPERLINK("https://www.linkedin.com/ad-library/detail/1499785276","Open Ad")</f>
        <v>Open Ad</v>
      </c>
      <c r="E2246" s="4" t="s">
        <v>121</v>
      </c>
      <c r="F2246" s="4" t="s">
        <v>54</v>
      </c>
      <c r="G2246" s="4" t="s">
        <v>6227</v>
      </c>
      <c r="H2246" s="4" t="s">
        <v>49</v>
      </c>
      <c r="I2246" s="4" t="s">
        <v>6005</v>
      </c>
      <c r="J2246" s="4" t="s">
        <v>121</v>
      </c>
      <c r="K2246" s="5" t="str">
        <f t="shared" ref="K2246:K2247" si="71">HYPERLINK("https://dms.licdn.com/playlist/vid/v2/D5610AQElQnh6MPL7gQ/mp4-640p-30fp-crf28/B56Z9hwEeDGgBo-/0/1784051422101?e=2147483647&amp;v=beta&amp;t=n6O9PrgSfT0hVQ4c2w4atkiCaX9_sTRGRbzi62OVpFs","View Creative")</f>
        <v>View Creative</v>
      </c>
      <c r="L2246" s="4" t="s">
        <v>106</v>
      </c>
      <c r="M2246" s="4" t="s">
        <v>5965</v>
      </c>
      <c r="O2246" s="4" t="s">
        <v>63</v>
      </c>
      <c r="P2246" s="4" t="s">
        <v>64</v>
      </c>
    </row>
    <row r="2247">
      <c r="A2247" s="4" t="s">
        <v>5965</v>
      </c>
      <c r="B2247" s="4" t="s">
        <v>5965</v>
      </c>
      <c r="C2247" s="4">
        <v>636.0</v>
      </c>
      <c r="D2247" s="5" t="str">
        <f>HYPERLINK("https://www.linkedin.com/ad-library/detail/1499696596","Open Ad")</f>
        <v>Open Ad</v>
      </c>
      <c r="E2247" s="4" t="s">
        <v>121</v>
      </c>
      <c r="F2247" s="4" t="s">
        <v>54</v>
      </c>
      <c r="G2247" s="4" t="s">
        <v>6227</v>
      </c>
      <c r="H2247" s="4" t="s">
        <v>49</v>
      </c>
      <c r="I2247" s="4" t="s">
        <v>6005</v>
      </c>
      <c r="J2247" s="4" t="s">
        <v>121</v>
      </c>
      <c r="K2247" s="5" t="str">
        <f t="shared" si="71"/>
        <v>View Creative</v>
      </c>
      <c r="L2247" s="4" t="s">
        <v>106</v>
      </c>
      <c r="M2247" s="4" t="s">
        <v>5965</v>
      </c>
      <c r="O2247" s="4" t="s">
        <v>63</v>
      </c>
      <c r="P2247" s="4" t="s">
        <v>64</v>
      </c>
    </row>
    <row r="2248">
      <c r="A2248" s="4" t="s">
        <v>5965</v>
      </c>
      <c r="B2248" s="4" t="s">
        <v>5965</v>
      </c>
      <c r="C2248" s="4">
        <v>637.0</v>
      </c>
      <c r="D2248" s="5" t="str">
        <f>HYPERLINK("https://www.linkedin.com/ad-library/detail/1499804386","Open Ad")</f>
        <v>Open Ad</v>
      </c>
      <c r="E2248" s="4" t="s">
        <v>121</v>
      </c>
      <c r="F2248" s="4" t="s">
        <v>54</v>
      </c>
      <c r="G2248" s="4" t="s">
        <v>6227</v>
      </c>
      <c r="H2248" s="4" t="s">
        <v>49</v>
      </c>
      <c r="I2248" s="4" t="s">
        <v>6005</v>
      </c>
      <c r="J2248" s="4" t="s">
        <v>121</v>
      </c>
      <c r="K2248" s="5" t="str">
        <f t="shared" ref="K2248:K2249" si="72">HYPERLINK("https://dms.licdn.com/playlist/vid/v2/D5610AQGkgKeLU74ILQ/progressive-servable-video/B56Z9hvf3JKgAY-/0/1784051270316?e=2147483647&amp;v=beta&amp;t=V4d6Gtg2Tm_7eNkIGNTfwXZNbFVZhf2lkGahZpMiJ60","View Creative")</f>
        <v>View Creative</v>
      </c>
      <c r="L2248" s="4" t="s">
        <v>106</v>
      </c>
      <c r="M2248" s="4" t="s">
        <v>5965</v>
      </c>
      <c r="O2248" s="4" t="s">
        <v>63</v>
      </c>
      <c r="P2248" s="4" t="s">
        <v>64</v>
      </c>
    </row>
    <row r="2249">
      <c r="A2249" s="4" t="s">
        <v>5965</v>
      </c>
      <c r="B2249" s="4" t="s">
        <v>5965</v>
      </c>
      <c r="C2249" s="4">
        <v>638.0</v>
      </c>
      <c r="D2249" s="5" t="str">
        <f>HYPERLINK("https://www.linkedin.com/ad-library/detail/1499880676","Open Ad")</f>
        <v>Open Ad</v>
      </c>
      <c r="E2249" s="4" t="s">
        <v>121</v>
      </c>
      <c r="F2249" s="4" t="s">
        <v>54</v>
      </c>
      <c r="G2249" s="4" t="s">
        <v>6227</v>
      </c>
      <c r="H2249" s="4" t="s">
        <v>49</v>
      </c>
      <c r="I2249" s="4" t="s">
        <v>6005</v>
      </c>
      <c r="J2249" s="4" t="s">
        <v>121</v>
      </c>
      <c r="K2249" s="5" t="str">
        <f t="shared" si="72"/>
        <v>View Creative</v>
      </c>
      <c r="L2249" s="4" t="s">
        <v>106</v>
      </c>
      <c r="M2249" s="4" t="s">
        <v>5965</v>
      </c>
      <c r="O2249" s="4" t="s">
        <v>63</v>
      </c>
      <c r="P2249" s="4" t="s">
        <v>64</v>
      </c>
    </row>
    <row r="2250">
      <c r="A2250" s="4" t="s">
        <v>5965</v>
      </c>
      <c r="B2250" s="4" t="s">
        <v>5965</v>
      </c>
      <c r="C2250" s="4">
        <v>639.0</v>
      </c>
      <c r="D2250" s="5" t="str">
        <f>HYPERLINK("https://www.linkedin.com/ad-library/detail/1499746236","Open Ad")</f>
        <v>Open Ad</v>
      </c>
      <c r="E2250" s="4" t="s">
        <v>121</v>
      </c>
      <c r="F2250" s="4" t="s">
        <v>54</v>
      </c>
      <c r="G2250" s="4" t="s">
        <v>6234</v>
      </c>
      <c r="H2250" s="4" t="s">
        <v>49</v>
      </c>
      <c r="I2250" s="4" t="s">
        <v>6005</v>
      </c>
      <c r="J2250" s="4" t="s">
        <v>121</v>
      </c>
      <c r="K2250" s="5" t="str">
        <f>HYPERLINK("https://dms.licdn.com/playlist/vid/v2/D5610AQElQnh6MPL7gQ/mp4-640p-30fp-crf28/B56Z9hwEeDGgBo-/0/1784051422101?e=2147483647&amp;v=beta&amp;t=n6O9PrgSfT0hVQ4c2w4atkiCaX9_sTRGRbzi62OVpFs","View Creative")</f>
        <v>View Creative</v>
      </c>
      <c r="L2250" s="4" t="s">
        <v>106</v>
      </c>
      <c r="M2250" s="4" t="s">
        <v>5965</v>
      </c>
      <c r="O2250" s="4" t="s">
        <v>63</v>
      </c>
      <c r="P2250" s="4" t="s">
        <v>64</v>
      </c>
    </row>
    <row r="2251">
      <c r="A2251" s="4" t="s">
        <v>5965</v>
      </c>
      <c r="B2251" s="4" t="s">
        <v>5965</v>
      </c>
      <c r="C2251" s="4">
        <v>640.0</v>
      </c>
      <c r="D2251" s="5" t="str">
        <f>HYPERLINK("https://www.linkedin.com/ad-library/detail/1499696626","Open Ad")</f>
        <v>Open Ad</v>
      </c>
      <c r="E2251" s="4" t="s">
        <v>121</v>
      </c>
      <c r="F2251" s="4" t="s">
        <v>54</v>
      </c>
      <c r="G2251" s="4" t="s">
        <v>6234</v>
      </c>
      <c r="H2251" s="4" t="s">
        <v>49</v>
      </c>
      <c r="I2251" s="4" t="s">
        <v>6005</v>
      </c>
      <c r="J2251" s="4" t="s">
        <v>121</v>
      </c>
      <c r="K2251" s="5" t="str">
        <f>HYPERLINK("https://dms.licdn.com/playlist/vid/v2/D5610AQGkgKeLU74ILQ/progressive-servable-video/B56Z9hvf3JKgAY-/0/1784051270316?e=2147483647&amp;v=beta&amp;t=V4d6Gtg2Tm_7eNkIGNTfwXZNbFVZhf2lkGahZpMiJ60","View Creative")</f>
        <v>View Creative</v>
      </c>
      <c r="L2251" s="4" t="s">
        <v>106</v>
      </c>
      <c r="M2251" s="4" t="s">
        <v>5965</v>
      </c>
      <c r="O2251" s="4" t="s">
        <v>63</v>
      </c>
      <c r="P2251" s="4" t="s">
        <v>64</v>
      </c>
    </row>
    <row r="2252">
      <c r="A2252" s="4" t="s">
        <v>5965</v>
      </c>
      <c r="B2252" s="4" t="s">
        <v>5965</v>
      </c>
      <c r="C2252" s="4">
        <v>641.0</v>
      </c>
      <c r="D2252" s="5" t="str">
        <f>HYPERLINK("https://www.linkedin.com/ad-library/detail/1499816806","Open Ad")</f>
        <v>Open Ad</v>
      </c>
      <c r="E2252" s="4" t="s">
        <v>78</v>
      </c>
      <c r="F2252" s="4" t="s">
        <v>54</v>
      </c>
      <c r="G2252" s="4" t="s">
        <v>6385</v>
      </c>
      <c r="H2252" s="4" t="s">
        <v>49</v>
      </c>
      <c r="I2252" s="4" t="s">
        <v>6005</v>
      </c>
      <c r="J2252" s="4" t="s">
        <v>78</v>
      </c>
      <c r="K2252" s="5" t="str">
        <f>HYPERLINK("https://media.licdn.com/dms/image/v2/D5610AQFoFyqJ3g7Log/image-shrink_1280/B56Z9h_Mo.HUAc-/0/1784055385012?e=2147483647&amp;v=beta&amp;t=ahLhwf3XzHon78cEKdnNDmivIzsNgm82MjqmREwyCIw","View Creative")</f>
        <v>View Creative</v>
      </c>
      <c r="L2252" s="4" t="s">
        <v>106</v>
      </c>
      <c r="M2252" s="4" t="s">
        <v>5965</v>
      </c>
      <c r="O2252" s="4" t="s">
        <v>63</v>
      </c>
      <c r="P2252" s="4" t="s">
        <v>64</v>
      </c>
    </row>
    <row r="2253">
      <c r="A2253" s="4" t="s">
        <v>5965</v>
      </c>
      <c r="B2253" s="4" t="s">
        <v>5965</v>
      </c>
      <c r="C2253" s="4">
        <v>642.0</v>
      </c>
      <c r="D2253" s="5" t="str">
        <f>HYPERLINK("https://www.linkedin.com/ad-library/detail/1499686536","Open Ad")</f>
        <v>Open Ad</v>
      </c>
      <c r="E2253" s="4" t="s">
        <v>121</v>
      </c>
      <c r="F2253" s="4" t="s">
        <v>54</v>
      </c>
      <c r="G2253" s="4" t="s">
        <v>6234</v>
      </c>
      <c r="H2253" s="4" t="s">
        <v>49</v>
      </c>
      <c r="I2253" s="4" t="s">
        <v>6005</v>
      </c>
      <c r="J2253" s="4" t="s">
        <v>121</v>
      </c>
      <c r="K2253" s="5" t="str">
        <f>HYPERLINK("https://dms.licdn.com/playlist/vid/v2/D5610AQElQnh6MPL7gQ/mp4-640p-30fp-crf28/B56Z9hwEeDGgBo-/0/1784051422101?e=2147483647&amp;v=beta&amp;t=n6O9PrgSfT0hVQ4c2w4atkiCaX9_sTRGRbzi62OVpFs","View Creative")</f>
        <v>View Creative</v>
      </c>
      <c r="L2253" s="4" t="s">
        <v>106</v>
      </c>
      <c r="M2253" s="4" t="s">
        <v>5965</v>
      </c>
      <c r="O2253" s="4" t="s">
        <v>63</v>
      </c>
      <c r="P2253" s="4" t="s">
        <v>64</v>
      </c>
    </row>
    <row r="2254">
      <c r="A2254" s="4" t="s">
        <v>5965</v>
      </c>
      <c r="B2254" s="4" t="s">
        <v>5965</v>
      </c>
      <c r="C2254" s="4">
        <v>643.0</v>
      </c>
      <c r="D2254" s="5" t="str">
        <f>HYPERLINK("https://www.linkedin.com/ad-library/detail/1498772436","Open Ad")</f>
        <v>Open Ad</v>
      </c>
      <c r="E2254" s="4" t="s">
        <v>78</v>
      </c>
      <c r="F2254" s="4" t="s">
        <v>54</v>
      </c>
      <c r="G2254" s="4" t="s">
        <v>6086</v>
      </c>
      <c r="H2254" s="4" t="s">
        <v>49</v>
      </c>
      <c r="I2254" s="4" t="s">
        <v>6005</v>
      </c>
      <c r="J2254" s="4" t="s">
        <v>78</v>
      </c>
      <c r="K2254" s="5" t="str">
        <f>HYPERLINK("https://media.licdn.com/dms/image/v2/D5610AQF5ONUziLB90Q/image-shrink_1280/B56Z8YuROrGcAc-/0/1782826211326?e=2147483647&amp;v=beta&amp;t=P2Cz2Aul20qMidWME_WS_vAnPWT-iq7vaBsEHckvets","View Creative")</f>
        <v>View Creative</v>
      </c>
      <c r="L2254" s="4" t="s">
        <v>106</v>
      </c>
      <c r="M2254" s="4" t="s">
        <v>5965</v>
      </c>
      <c r="O2254" s="4" t="s">
        <v>63</v>
      </c>
      <c r="P2254" s="4" t="s">
        <v>64</v>
      </c>
    </row>
    <row r="2255">
      <c r="A2255" s="4" t="s">
        <v>5965</v>
      </c>
      <c r="B2255" s="4" t="s">
        <v>5965</v>
      </c>
      <c r="C2255" s="4">
        <v>644.0</v>
      </c>
      <c r="D2255" s="5" t="str">
        <f>HYPERLINK("https://www.linkedin.com/ad-library/detail/1499676906","Open Ad")</f>
        <v>Open Ad</v>
      </c>
      <c r="E2255" s="4" t="s">
        <v>121</v>
      </c>
      <c r="F2255" s="4" t="s">
        <v>54</v>
      </c>
      <c r="G2255" s="4" t="s">
        <v>6227</v>
      </c>
      <c r="H2255" s="4" t="s">
        <v>49</v>
      </c>
      <c r="I2255" s="4" t="s">
        <v>6005</v>
      </c>
      <c r="J2255" s="4" t="s">
        <v>121</v>
      </c>
      <c r="K2255" s="5" t="str">
        <f>HYPERLINK("https://dms.licdn.com/playlist/vid/v2/D5610AQElQnh6MPL7gQ/mp4-640p-30fp-crf28/B56Z9hwEeDGgBo-/0/1784051422101?e=2147483647&amp;v=beta&amp;t=n6O9PrgSfT0hVQ4c2w4atkiCaX9_sTRGRbzi62OVpFs","View Creative")</f>
        <v>View Creative</v>
      </c>
      <c r="L2255" s="4" t="s">
        <v>106</v>
      </c>
      <c r="M2255" s="4" t="s">
        <v>5965</v>
      </c>
      <c r="O2255" s="4" t="s">
        <v>63</v>
      </c>
      <c r="P2255" s="4" t="s">
        <v>64</v>
      </c>
    </row>
    <row r="2256">
      <c r="A2256" s="4" t="s">
        <v>5965</v>
      </c>
      <c r="B2256" s="4" t="s">
        <v>5965</v>
      </c>
      <c r="C2256" s="4">
        <v>645.0</v>
      </c>
      <c r="D2256" s="5" t="str">
        <f>HYPERLINK("https://www.linkedin.com/ad-library/detail/1499759176","Open Ad")</f>
        <v>Open Ad</v>
      </c>
      <c r="E2256" s="4" t="s">
        <v>78</v>
      </c>
      <c r="F2256" s="4" t="s">
        <v>54</v>
      </c>
      <c r="G2256" s="4" t="s">
        <v>6385</v>
      </c>
      <c r="H2256" s="4" t="s">
        <v>49</v>
      </c>
      <c r="I2256" s="4" t="s">
        <v>6005</v>
      </c>
      <c r="J2256" s="4" t="s">
        <v>78</v>
      </c>
      <c r="K2256" s="5" t="str">
        <f>HYPERLINK("https://media.licdn.com/dms/image/v2/D5610AQFoFyqJ3g7Log/image-shrink_1280/B56Z9h_Mo.HUAc-/0/1784055385012?e=2147483647&amp;v=beta&amp;t=ahLhwf3XzHon78cEKdnNDmivIzsNgm82MjqmREwyCIw","View Creative")</f>
        <v>View Creative</v>
      </c>
      <c r="L2256" s="4" t="s">
        <v>106</v>
      </c>
      <c r="M2256" s="4" t="s">
        <v>5965</v>
      </c>
      <c r="O2256" s="4" t="s">
        <v>63</v>
      </c>
      <c r="P2256" s="4" t="s">
        <v>64</v>
      </c>
    </row>
    <row r="2257">
      <c r="A2257" s="4" t="s">
        <v>5965</v>
      </c>
      <c r="B2257" s="4" t="s">
        <v>5965</v>
      </c>
      <c r="C2257" s="4">
        <v>646.0</v>
      </c>
      <c r="D2257" s="5" t="str">
        <f>HYPERLINK("https://www.linkedin.com/ad-library/detail/1498792446","Open Ad")</f>
        <v>Open Ad</v>
      </c>
      <c r="E2257" s="4" t="s">
        <v>78</v>
      </c>
      <c r="F2257" s="4" t="s">
        <v>54</v>
      </c>
      <c r="G2257" s="4" t="s">
        <v>6330</v>
      </c>
      <c r="H2257" s="4" t="s">
        <v>49</v>
      </c>
      <c r="I2257" s="4" t="s">
        <v>6005</v>
      </c>
      <c r="J2257" s="4" t="s">
        <v>78</v>
      </c>
      <c r="K2257" s="5" t="str">
        <f>HYPERLINK("https://media.licdn.com/dms/image/v2/D5610AQHWN3cBgpsrZA/image-shrink_1280/B56Z8ThVnqLAAc-/0/1782738934569?e=2147483647&amp;v=beta&amp;t=A-Y9kI8t-vvKXU86I3eo4Ke7-nBQGOwNbp_-WJGBzdU","View Creative")</f>
        <v>View Creative</v>
      </c>
      <c r="L2257" s="4" t="s">
        <v>106</v>
      </c>
      <c r="M2257" s="4" t="s">
        <v>5965</v>
      </c>
      <c r="O2257" s="4" t="s">
        <v>63</v>
      </c>
      <c r="P2257" s="4" t="s">
        <v>64</v>
      </c>
    </row>
    <row r="2258">
      <c r="A2258" s="4" t="s">
        <v>5965</v>
      </c>
      <c r="B2258" s="4" t="s">
        <v>5965</v>
      </c>
      <c r="C2258" s="4">
        <v>647.0</v>
      </c>
      <c r="D2258" s="5" t="str">
        <f>HYPERLINK("https://www.linkedin.com/ad-library/detail/1499852006","Open Ad")</f>
        <v>Open Ad</v>
      </c>
      <c r="E2258" s="4" t="s">
        <v>121</v>
      </c>
      <c r="F2258" s="4" t="s">
        <v>54</v>
      </c>
      <c r="G2258" s="4" t="s">
        <v>6234</v>
      </c>
      <c r="H2258" s="4" t="s">
        <v>49</v>
      </c>
      <c r="I2258" s="4" t="s">
        <v>6005</v>
      </c>
      <c r="J2258" s="4" t="s">
        <v>121</v>
      </c>
      <c r="K2258" s="5" t="str">
        <f>HYPERLINK("https://dms.licdn.com/playlist/vid/v2/D5610AQElQnh6MPL7gQ/mp4-640p-30fp-crf28/B56Z9hwEeDGgBo-/0/1784051422101?e=2147483647&amp;v=beta&amp;t=n6O9PrgSfT0hVQ4c2w4atkiCaX9_sTRGRbzi62OVpFs","View Creative")</f>
        <v>View Creative</v>
      </c>
      <c r="L2258" s="4" t="s">
        <v>106</v>
      </c>
      <c r="M2258" s="4" t="s">
        <v>5965</v>
      </c>
      <c r="O2258" s="4" t="s">
        <v>63</v>
      </c>
      <c r="P2258" s="4" t="s">
        <v>64</v>
      </c>
    </row>
    <row r="2259">
      <c r="A2259" s="4" t="s">
        <v>5965</v>
      </c>
      <c r="B2259" s="4" t="s">
        <v>5965</v>
      </c>
      <c r="C2259" s="4">
        <v>648.0</v>
      </c>
      <c r="D2259" s="5" t="str">
        <f>HYPERLINK("https://www.linkedin.com/ad-library/detail/1499706646","Open Ad")</f>
        <v>Open Ad</v>
      </c>
      <c r="E2259" s="4" t="s">
        <v>121</v>
      </c>
      <c r="F2259" s="4" t="s">
        <v>54</v>
      </c>
      <c r="G2259" s="4" t="s">
        <v>6234</v>
      </c>
      <c r="H2259" s="4" t="s">
        <v>49</v>
      </c>
      <c r="I2259" s="4" t="s">
        <v>6005</v>
      </c>
      <c r="J2259" s="4" t="s">
        <v>121</v>
      </c>
      <c r="K2259" s="5" t="str">
        <f>HYPERLINK("https://dms.licdn.com/playlist/vid/v2/D5610AQGkgKeLU74ILQ/progressive-servable-video/B56Z9hvf3JKgAY-/0/1784051270316?e=2147483647&amp;v=beta&amp;t=V4d6Gtg2Tm_7eNkIGNTfwXZNbFVZhf2lkGahZpMiJ60","View Creative")</f>
        <v>View Creative</v>
      </c>
      <c r="L2259" s="4" t="s">
        <v>106</v>
      </c>
      <c r="M2259" s="4" t="s">
        <v>5965</v>
      </c>
      <c r="O2259" s="4" t="s">
        <v>63</v>
      </c>
      <c r="P2259" s="4" t="s">
        <v>64</v>
      </c>
    </row>
    <row r="2260">
      <c r="A2260" s="4" t="s">
        <v>5965</v>
      </c>
      <c r="B2260" s="4" t="s">
        <v>5965</v>
      </c>
      <c r="C2260" s="4">
        <v>649.0</v>
      </c>
      <c r="D2260" s="5" t="str">
        <f>HYPERLINK("https://www.linkedin.com/ad-library/detail/1498800896","Open Ad")</f>
        <v>Open Ad</v>
      </c>
      <c r="E2260" s="4" t="s">
        <v>78</v>
      </c>
      <c r="F2260" s="4" t="s">
        <v>54</v>
      </c>
      <c r="G2260" s="4" t="s">
        <v>6242</v>
      </c>
      <c r="H2260" s="4" t="s">
        <v>49</v>
      </c>
      <c r="I2260" s="4" t="s">
        <v>6005</v>
      </c>
      <c r="J2260" s="4" t="s">
        <v>78</v>
      </c>
      <c r="K2260" s="4" t="s">
        <v>59</v>
      </c>
      <c r="L2260" s="4" t="s">
        <v>106</v>
      </c>
      <c r="M2260" s="4" t="s">
        <v>5965</v>
      </c>
      <c r="O2260" s="4" t="s">
        <v>63</v>
      </c>
      <c r="P2260" s="4" t="s">
        <v>64</v>
      </c>
    </row>
    <row r="2261">
      <c r="A2261" s="4" t="s">
        <v>5965</v>
      </c>
      <c r="B2261" s="4" t="s">
        <v>5965</v>
      </c>
      <c r="C2261" s="4">
        <v>650.0</v>
      </c>
      <c r="D2261" s="5" t="str">
        <f>HYPERLINK("https://www.linkedin.com/ad-library/detail/1498617926","Open Ad")</f>
        <v>Open Ad</v>
      </c>
      <c r="E2261" s="4" t="s">
        <v>78</v>
      </c>
      <c r="F2261" s="4" t="s">
        <v>54</v>
      </c>
      <c r="G2261" s="4" t="s">
        <v>6034</v>
      </c>
      <c r="H2261" s="4" t="s">
        <v>49</v>
      </c>
      <c r="I2261" s="4" t="s">
        <v>6005</v>
      </c>
      <c r="J2261" s="4" t="s">
        <v>78</v>
      </c>
      <c r="K2261" s="4" t="s">
        <v>59</v>
      </c>
      <c r="L2261" s="4" t="s">
        <v>106</v>
      </c>
      <c r="M2261" s="4" t="s">
        <v>5965</v>
      </c>
      <c r="O2261" s="4" t="s">
        <v>63</v>
      </c>
      <c r="P2261" s="4" t="s">
        <v>64</v>
      </c>
    </row>
    <row r="2262">
      <c r="A2262" s="4" t="s">
        <v>5965</v>
      </c>
      <c r="B2262" s="4" t="s">
        <v>5965</v>
      </c>
      <c r="C2262" s="4">
        <v>651.0</v>
      </c>
      <c r="D2262" s="5" t="str">
        <f>HYPERLINK("https://www.linkedin.com/ad-library/detail/1498721656","Open Ad")</f>
        <v>Open Ad</v>
      </c>
      <c r="E2262" s="4" t="s">
        <v>5970</v>
      </c>
      <c r="F2262" s="4" t="s">
        <v>54</v>
      </c>
      <c r="G2262" s="4" t="s">
        <v>6015</v>
      </c>
      <c r="H2262" s="4" t="s">
        <v>49</v>
      </c>
      <c r="I2262" s="4" t="s">
        <v>6005</v>
      </c>
      <c r="J2262" s="4" t="s">
        <v>5973</v>
      </c>
      <c r="K2262" s="4" t="s">
        <v>59</v>
      </c>
      <c r="L2262" s="4" t="s">
        <v>106</v>
      </c>
      <c r="M2262" s="4" t="s">
        <v>5965</v>
      </c>
      <c r="O2262" s="4" t="s">
        <v>63</v>
      </c>
      <c r="P2262" s="4" t="s">
        <v>64</v>
      </c>
    </row>
    <row r="2263">
      <c r="A2263" s="4" t="s">
        <v>5965</v>
      </c>
      <c r="B2263" s="4" t="s">
        <v>5965</v>
      </c>
      <c r="C2263" s="4">
        <v>652.0</v>
      </c>
      <c r="D2263" s="5" t="str">
        <f>HYPERLINK("https://www.linkedin.com/ad-library/detail/1498791606","Open Ad")</f>
        <v>Open Ad</v>
      </c>
      <c r="E2263" s="4" t="s">
        <v>78</v>
      </c>
      <c r="F2263" s="4" t="s">
        <v>54</v>
      </c>
      <c r="G2263" s="4" t="s">
        <v>6037</v>
      </c>
      <c r="H2263" s="4" t="s">
        <v>49</v>
      </c>
      <c r="I2263" s="4" t="s">
        <v>6005</v>
      </c>
      <c r="J2263" s="4" t="s">
        <v>78</v>
      </c>
      <c r="K2263" s="4" t="s">
        <v>59</v>
      </c>
      <c r="L2263" s="4" t="s">
        <v>106</v>
      </c>
      <c r="M2263" s="4" t="s">
        <v>5965</v>
      </c>
      <c r="O2263" s="4" t="s">
        <v>63</v>
      </c>
      <c r="P2263" s="4" t="s">
        <v>64</v>
      </c>
    </row>
    <row r="2264">
      <c r="A2264" s="4" t="s">
        <v>5965</v>
      </c>
      <c r="B2264" s="4" t="s">
        <v>5965</v>
      </c>
      <c r="C2264" s="4">
        <v>653.0</v>
      </c>
      <c r="D2264" s="5" t="str">
        <f>HYPERLINK("https://www.linkedin.com/ad-library/detail/1498568566","Open Ad")</f>
        <v>Open Ad</v>
      </c>
      <c r="E2264" s="4" t="s">
        <v>121</v>
      </c>
      <c r="F2264" s="4" t="s">
        <v>54</v>
      </c>
      <c r="G2264" s="4" t="s">
        <v>6386</v>
      </c>
      <c r="H2264" s="4" t="s">
        <v>49</v>
      </c>
      <c r="I2264" s="4" t="s">
        <v>6005</v>
      </c>
      <c r="J2264" s="4" t="s">
        <v>121</v>
      </c>
      <c r="K2264" s="5" t="str">
        <f>HYPERLINK("https://dms.licdn.com/playlist/vid/v2/D5610AQGPpIHkVJhCaA/mp4-640p-30fp-crf28/B56Z83aF5UG4BI-/0/1783341024306?e=2147483647&amp;v=beta&amp;t=6aPscOhwfZC6LVqbrnkx1wzDAaGeDks-p4lXPr_L8Fs","View Creative")</f>
        <v>View Creative</v>
      </c>
      <c r="L2264" s="4" t="s">
        <v>106</v>
      </c>
      <c r="M2264" s="4" t="s">
        <v>5965</v>
      </c>
      <c r="O2264" s="4" t="s">
        <v>63</v>
      </c>
      <c r="P2264" s="4" t="s">
        <v>64</v>
      </c>
    </row>
    <row r="2265">
      <c r="A2265" s="4" t="s">
        <v>5965</v>
      </c>
      <c r="B2265" s="4" t="s">
        <v>5965</v>
      </c>
      <c r="C2265" s="4">
        <v>654.0</v>
      </c>
      <c r="D2265" s="5" t="str">
        <f>HYPERLINK("https://www.linkedin.com/ad-library/detail/1498617956","Open Ad")</f>
        <v>Open Ad</v>
      </c>
      <c r="E2265" s="4" t="s">
        <v>78</v>
      </c>
      <c r="F2265" s="4" t="s">
        <v>54</v>
      </c>
      <c r="G2265" s="4" t="s">
        <v>6034</v>
      </c>
      <c r="H2265" s="4" t="s">
        <v>49</v>
      </c>
      <c r="I2265" s="4" t="s">
        <v>6005</v>
      </c>
      <c r="J2265" s="4" t="s">
        <v>78</v>
      </c>
      <c r="K2265" s="4" t="s">
        <v>59</v>
      </c>
      <c r="L2265" s="4" t="s">
        <v>106</v>
      </c>
      <c r="M2265" s="4" t="s">
        <v>5965</v>
      </c>
      <c r="O2265" s="4" t="s">
        <v>63</v>
      </c>
      <c r="P2265" s="4" t="s">
        <v>64</v>
      </c>
    </row>
    <row r="2266">
      <c r="A2266" s="4" t="s">
        <v>5965</v>
      </c>
      <c r="B2266" s="4" t="s">
        <v>5965</v>
      </c>
      <c r="C2266" s="4">
        <v>655.0</v>
      </c>
      <c r="D2266" s="5" t="str">
        <f>HYPERLINK("https://www.linkedin.com/ad-library/detail/1498761646","Open Ad")</f>
        <v>Open Ad</v>
      </c>
      <c r="E2266" s="4" t="s">
        <v>78</v>
      </c>
      <c r="F2266" s="4" t="s">
        <v>54</v>
      </c>
      <c r="G2266" s="4" t="s">
        <v>6242</v>
      </c>
      <c r="H2266" s="4" t="s">
        <v>49</v>
      </c>
      <c r="I2266" s="4" t="s">
        <v>6005</v>
      </c>
      <c r="J2266" s="4" t="s">
        <v>78</v>
      </c>
      <c r="K2266" s="4" t="s">
        <v>59</v>
      </c>
      <c r="L2266" s="4" t="s">
        <v>106</v>
      </c>
      <c r="M2266" s="4" t="s">
        <v>5965</v>
      </c>
      <c r="O2266" s="4" t="s">
        <v>63</v>
      </c>
      <c r="P2266" s="4" t="s">
        <v>64</v>
      </c>
    </row>
    <row r="2267">
      <c r="A2267" s="4" t="s">
        <v>5965</v>
      </c>
      <c r="B2267" s="4" t="s">
        <v>5965</v>
      </c>
      <c r="C2267" s="4">
        <v>656.0</v>
      </c>
      <c r="D2267" s="5" t="str">
        <f>HYPERLINK("https://www.linkedin.com/ad-library/detail/1498653446","Open Ad")</f>
        <v>Open Ad</v>
      </c>
      <c r="E2267" s="4" t="s">
        <v>121</v>
      </c>
      <c r="F2267" s="4" t="s">
        <v>54</v>
      </c>
      <c r="G2267" s="4" t="s">
        <v>6049</v>
      </c>
      <c r="H2267" s="4" t="s">
        <v>49</v>
      </c>
      <c r="I2267" s="4" t="s">
        <v>6005</v>
      </c>
      <c r="J2267" s="4" t="s">
        <v>121</v>
      </c>
      <c r="K2267" s="5" t="str">
        <f>HYPERLINK("https://dms.licdn.com/playlist/vid/v2/D5610AQHCJpD_4X3r0w/mp4-360p-30fp-crf28/B56Z8jGxPuG0Bg-/0/1783000416146?e=2147483647&amp;v=beta&amp;t=buNqytXIKQbDSPmN-gF0MjkJ-TiOGUHb02s8kF2cYZo","View Creative")</f>
        <v>View Creative</v>
      </c>
      <c r="L2267" s="4" t="s">
        <v>106</v>
      </c>
      <c r="M2267" s="4" t="s">
        <v>5965</v>
      </c>
      <c r="O2267" s="4" t="s">
        <v>63</v>
      </c>
      <c r="P2267" s="4" t="s">
        <v>64</v>
      </c>
    </row>
    <row r="2268">
      <c r="A2268" s="4" t="s">
        <v>5965</v>
      </c>
      <c r="B2268" s="4" t="s">
        <v>5965</v>
      </c>
      <c r="C2268" s="4">
        <v>657.0</v>
      </c>
      <c r="D2268" s="5" t="str">
        <f>HYPERLINK("https://www.linkedin.com/ad-library/detail/1498703356","Open Ad")</f>
        <v>Open Ad</v>
      </c>
      <c r="E2268" s="4" t="s">
        <v>78</v>
      </c>
      <c r="F2268" s="4" t="s">
        <v>54</v>
      </c>
      <c r="G2268" s="4" t="s">
        <v>6034</v>
      </c>
      <c r="H2268" s="4" t="s">
        <v>49</v>
      </c>
      <c r="I2268" s="4" t="s">
        <v>6005</v>
      </c>
      <c r="J2268" s="4" t="s">
        <v>78</v>
      </c>
      <c r="K2268" s="4" t="s">
        <v>59</v>
      </c>
      <c r="L2268" s="4" t="s">
        <v>106</v>
      </c>
      <c r="M2268" s="4" t="s">
        <v>5965</v>
      </c>
      <c r="O2268" s="4" t="s">
        <v>63</v>
      </c>
      <c r="P2268" s="4" t="s">
        <v>64</v>
      </c>
    </row>
    <row r="2269">
      <c r="A2269" s="4" t="s">
        <v>5965</v>
      </c>
      <c r="B2269" s="4" t="s">
        <v>5965</v>
      </c>
      <c r="C2269" s="4">
        <v>658.0</v>
      </c>
      <c r="D2269" s="5" t="str">
        <f>HYPERLINK("https://www.linkedin.com/ad-library/detail/1498644576","Open Ad")</f>
        <v>Open Ad</v>
      </c>
      <c r="E2269" s="4" t="s">
        <v>5970</v>
      </c>
      <c r="F2269" s="4" t="s">
        <v>54</v>
      </c>
      <c r="G2269" s="4" t="s">
        <v>5980</v>
      </c>
      <c r="H2269" s="4" t="s">
        <v>49</v>
      </c>
      <c r="I2269" s="4" t="s">
        <v>6005</v>
      </c>
      <c r="J2269" s="4" t="s">
        <v>5973</v>
      </c>
      <c r="K2269" s="4" t="s">
        <v>59</v>
      </c>
      <c r="L2269" s="4" t="s">
        <v>106</v>
      </c>
      <c r="M2269" s="4" t="s">
        <v>5965</v>
      </c>
      <c r="O2269" s="4" t="s">
        <v>63</v>
      </c>
      <c r="P2269" s="4" t="s">
        <v>64</v>
      </c>
    </row>
    <row r="2270">
      <c r="A2270" s="4" t="s">
        <v>5965</v>
      </c>
      <c r="B2270" s="4" t="s">
        <v>5965</v>
      </c>
      <c r="C2270" s="4">
        <v>659.0</v>
      </c>
      <c r="D2270" s="5" t="str">
        <f>HYPERLINK("https://www.linkedin.com/ad-library/detail/1498644466","Open Ad")</f>
        <v>Open Ad</v>
      </c>
      <c r="E2270" s="4" t="s">
        <v>121</v>
      </c>
      <c r="F2270" s="4" t="s">
        <v>54</v>
      </c>
      <c r="G2270" s="4" t="s">
        <v>6047</v>
      </c>
      <c r="H2270" s="4" t="s">
        <v>49</v>
      </c>
      <c r="I2270" s="4" t="s">
        <v>6005</v>
      </c>
      <c r="J2270" s="4" t="s">
        <v>121</v>
      </c>
      <c r="K2270" s="5" t="str">
        <f>HYPERLINK("https://dms.licdn.com/playlist/vid/v2/D4E10AQFbU42CgG1Z7g/mp4-720p-30fp-crf28/B4EZ6E1cjuIkBk-/0/1780345071320?e=2147483647&amp;v=beta&amp;t=lm4Raasi9Hn2k_Jca5TAGdFZZmL4wlksoW4hHU6e3XU","View Creative")</f>
        <v>View Creative</v>
      </c>
      <c r="L2270" s="4" t="s">
        <v>106</v>
      </c>
      <c r="M2270" s="4" t="s">
        <v>5965</v>
      </c>
      <c r="O2270" s="4" t="s">
        <v>63</v>
      </c>
      <c r="P2270" s="4" t="s">
        <v>64</v>
      </c>
    </row>
    <row r="2271">
      <c r="A2271" s="4" t="s">
        <v>5965</v>
      </c>
      <c r="B2271" s="4" t="s">
        <v>5965</v>
      </c>
      <c r="C2271" s="4">
        <v>660.0</v>
      </c>
      <c r="D2271" s="5" t="str">
        <f>HYPERLINK("https://www.linkedin.com/ad-library/detail/1498830196","Open Ad")</f>
        <v>Open Ad</v>
      </c>
      <c r="E2271" s="4" t="s">
        <v>78</v>
      </c>
      <c r="F2271" s="4" t="s">
        <v>54</v>
      </c>
      <c r="G2271" s="4" t="s">
        <v>6242</v>
      </c>
      <c r="H2271" s="4" t="s">
        <v>49</v>
      </c>
      <c r="I2271" s="4" t="s">
        <v>6005</v>
      </c>
      <c r="J2271" s="4" t="s">
        <v>78</v>
      </c>
      <c r="K2271" s="4" t="s">
        <v>59</v>
      </c>
      <c r="L2271" s="4" t="s">
        <v>106</v>
      </c>
      <c r="M2271" s="4" t="s">
        <v>5965</v>
      </c>
      <c r="O2271" s="4" t="s">
        <v>63</v>
      </c>
      <c r="P2271" s="4" t="s">
        <v>64</v>
      </c>
    </row>
    <row r="2272">
      <c r="A2272" s="4" t="s">
        <v>5965</v>
      </c>
      <c r="B2272" s="4" t="s">
        <v>5965</v>
      </c>
      <c r="C2272" s="4">
        <v>661.0</v>
      </c>
      <c r="D2272" s="5" t="str">
        <f>HYPERLINK("https://www.linkedin.com/ad-library/detail/1498693336","Open Ad")</f>
        <v>Open Ad</v>
      </c>
      <c r="E2272" s="4" t="s">
        <v>78</v>
      </c>
      <c r="F2272" s="4" t="s">
        <v>54</v>
      </c>
      <c r="G2272" s="4" t="s">
        <v>6037</v>
      </c>
      <c r="H2272" s="4" t="s">
        <v>49</v>
      </c>
      <c r="I2272" s="4" t="s">
        <v>6005</v>
      </c>
      <c r="J2272" s="4" t="s">
        <v>78</v>
      </c>
      <c r="K2272" s="4" t="s">
        <v>59</v>
      </c>
      <c r="L2272" s="4" t="s">
        <v>106</v>
      </c>
      <c r="M2272" s="4" t="s">
        <v>5965</v>
      </c>
      <c r="O2272" s="4" t="s">
        <v>63</v>
      </c>
      <c r="P2272" s="4" t="s">
        <v>64</v>
      </c>
    </row>
    <row r="2273">
      <c r="A2273" s="4" t="s">
        <v>5965</v>
      </c>
      <c r="B2273" s="4" t="s">
        <v>5965</v>
      </c>
      <c r="C2273" s="4">
        <v>662.0</v>
      </c>
      <c r="D2273" s="5" t="str">
        <f>HYPERLINK("https://www.linkedin.com/ad-library/detail/1498770086","Open Ad")</f>
        <v>Open Ad</v>
      </c>
      <c r="E2273" s="4" t="s">
        <v>5970</v>
      </c>
      <c r="F2273" s="4" t="s">
        <v>54</v>
      </c>
      <c r="G2273" s="4" t="s">
        <v>6015</v>
      </c>
      <c r="H2273" s="4" t="s">
        <v>49</v>
      </c>
      <c r="I2273" s="4" t="s">
        <v>6005</v>
      </c>
      <c r="J2273" s="4" t="s">
        <v>5973</v>
      </c>
      <c r="K2273" s="4" t="s">
        <v>59</v>
      </c>
      <c r="L2273" s="4" t="s">
        <v>106</v>
      </c>
      <c r="M2273" s="4" t="s">
        <v>5965</v>
      </c>
      <c r="O2273" s="4" t="s">
        <v>63</v>
      </c>
      <c r="P2273" s="4" t="s">
        <v>64</v>
      </c>
    </row>
    <row r="2274">
      <c r="A2274" s="4" t="s">
        <v>5965</v>
      </c>
      <c r="B2274" s="4" t="s">
        <v>5965</v>
      </c>
      <c r="C2274" s="4">
        <v>663.0</v>
      </c>
      <c r="D2274" s="5" t="str">
        <f>HYPERLINK("https://www.linkedin.com/ad-library/detail/1498627836","Open Ad")</f>
        <v>Open Ad</v>
      </c>
      <c r="E2274" s="4" t="s">
        <v>78</v>
      </c>
      <c r="F2274" s="4" t="s">
        <v>54</v>
      </c>
      <c r="G2274" s="4" t="s">
        <v>6033</v>
      </c>
      <c r="H2274" s="4" t="s">
        <v>49</v>
      </c>
      <c r="I2274" s="4" t="s">
        <v>6005</v>
      </c>
      <c r="J2274" s="4" t="s">
        <v>78</v>
      </c>
      <c r="K2274" s="4" t="s">
        <v>59</v>
      </c>
      <c r="L2274" s="4" t="s">
        <v>106</v>
      </c>
      <c r="M2274" s="4" t="s">
        <v>5965</v>
      </c>
      <c r="O2274" s="4" t="s">
        <v>63</v>
      </c>
      <c r="P2274" s="4" t="s">
        <v>64</v>
      </c>
    </row>
    <row r="2275">
      <c r="A2275" s="4" t="s">
        <v>5965</v>
      </c>
      <c r="B2275" s="4" t="s">
        <v>5965</v>
      </c>
      <c r="C2275" s="4">
        <v>664.0</v>
      </c>
      <c r="D2275" s="5" t="str">
        <f>HYPERLINK("https://www.linkedin.com/ad-library/detail/1498740606","Open Ad")</f>
        <v>Open Ad</v>
      </c>
      <c r="E2275" s="4" t="s">
        <v>121</v>
      </c>
      <c r="F2275" s="4" t="s">
        <v>54</v>
      </c>
      <c r="G2275" s="4" t="s">
        <v>6393</v>
      </c>
      <c r="H2275" s="4" t="s">
        <v>49</v>
      </c>
      <c r="I2275" s="4" t="s">
        <v>6005</v>
      </c>
      <c r="J2275" s="4" t="s">
        <v>121</v>
      </c>
      <c r="K2275" s="5" t="str">
        <f>HYPERLINK("https://dms.licdn.com/playlist/vid/v2/D4E10AQFvAgWztv-5Uw/mp4-640p-30fp-crf28/B4EZ5LQGtKJ0BI-/0/1779378998766?e=2147483647&amp;v=beta&amp;t=_8bKLKhlOLLcnEfsCY9wk5B2yEE3QM48LsyZd6MkCAQ","View Creative")</f>
        <v>View Creative</v>
      </c>
      <c r="L2275" s="4" t="s">
        <v>106</v>
      </c>
      <c r="M2275" s="4" t="s">
        <v>5965</v>
      </c>
      <c r="O2275" s="4" t="s">
        <v>63</v>
      </c>
      <c r="P2275" s="4" t="s">
        <v>64</v>
      </c>
    </row>
    <row r="2276">
      <c r="A2276" s="4" t="s">
        <v>5965</v>
      </c>
      <c r="B2276" s="4" t="s">
        <v>5965</v>
      </c>
      <c r="C2276" s="4">
        <v>665.0</v>
      </c>
      <c r="D2276" s="5" t="str">
        <f>HYPERLINK("https://www.linkedin.com/ad-library/detail/1498740626","Open Ad")</f>
        <v>Open Ad</v>
      </c>
      <c r="E2276" s="4" t="s">
        <v>5970</v>
      </c>
      <c r="F2276" s="4" t="s">
        <v>54</v>
      </c>
      <c r="G2276" s="4" t="s">
        <v>5980</v>
      </c>
      <c r="H2276" s="4" t="s">
        <v>49</v>
      </c>
      <c r="I2276" s="4" t="s">
        <v>6005</v>
      </c>
      <c r="J2276" s="4" t="s">
        <v>5973</v>
      </c>
      <c r="K2276" s="4" t="s">
        <v>59</v>
      </c>
      <c r="L2276" s="4" t="s">
        <v>106</v>
      </c>
      <c r="M2276" s="4" t="s">
        <v>5965</v>
      </c>
      <c r="O2276" s="4" t="s">
        <v>63</v>
      </c>
      <c r="P2276" s="4" t="s">
        <v>64</v>
      </c>
    </row>
    <row r="2277">
      <c r="A2277" s="4" t="s">
        <v>5965</v>
      </c>
      <c r="B2277" s="4" t="s">
        <v>5965</v>
      </c>
      <c r="C2277" s="4">
        <v>666.0</v>
      </c>
      <c r="D2277" s="5" t="str">
        <f>HYPERLINK("https://www.linkedin.com/ad-library/detail/1498588486","Open Ad")</f>
        <v>Open Ad</v>
      </c>
      <c r="E2277" s="4" t="s">
        <v>121</v>
      </c>
      <c r="F2277" s="4" t="s">
        <v>54</v>
      </c>
      <c r="G2277" s="4" t="s">
        <v>6047</v>
      </c>
      <c r="H2277" s="4" t="s">
        <v>49</v>
      </c>
      <c r="I2277" s="4" t="s">
        <v>6005</v>
      </c>
      <c r="J2277" s="4" t="s">
        <v>121</v>
      </c>
      <c r="K2277" s="5" t="str">
        <f>HYPERLINK("https://dms.licdn.com/playlist/vid/v2/D4E10AQFbU42CgG1Z7g/mp4-720p-30fp-crf28/B4EZ6E1cjuIkBk-/0/1780345071320?e=2147483647&amp;v=beta&amp;t=lm4Raasi9Hn2k_Jca5TAGdFZZmL4wlksoW4hHU6e3XU","View Creative")</f>
        <v>View Creative</v>
      </c>
      <c r="L2277" s="4" t="s">
        <v>106</v>
      </c>
      <c r="M2277" s="4" t="s">
        <v>5965</v>
      </c>
      <c r="O2277" s="4" t="s">
        <v>63</v>
      </c>
      <c r="P2277" s="4" t="s">
        <v>64</v>
      </c>
    </row>
    <row r="2278">
      <c r="A2278" s="4" t="s">
        <v>5965</v>
      </c>
      <c r="B2278" s="4" t="s">
        <v>5965</v>
      </c>
      <c r="C2278" s="4">
        <v>667.0</v>
      </c>
      <c r="D2278" s="5" t="str">
        <f>HYPERLINK("https://www.linkedin.com/ad-library/detail/1498701646","Open Ad")</f>
        <v>Open Ad</v>
      </c>
      <c r="E2278" s="4" t="s">
        <v>5970</v>
      </c>
      <c r="F2278" s="4" t="s">
        <v>54</v>
      </c>
      <c r="G2278" s="4" t="s">
        <v>6015</v>
      </c>
      <c r="H2278" s="4" t="s">
        <v>49</v>
      </c>
      <c r="I2278" s="4" t="s">
        <v>6005</v>
      </c>
      <c r="J2278" s="4" t="s">
        <v>5973</v>
      </c>
      <c r="K2278" s="4" t="s">
        <v>59</v>
      </c>
      <c r="L2278" s="4" t="s">
        <v>106</v>
      </c>
      <c r="M2278" s="4" t="s">
        <v>5965</v>
      </c>
      <c r="O2278" s="4" t="s">
        <v>63</v>
      </c>
      <c r="P2278" s="4" t="s">
        <v>64</v>
      </c>
    </row>
    <row r="2279">
      <c r="A2279" s="4" t="s">
        <v>5965</v>
      </c>
      <c r="B2279" s="4" t="s">
        <v>5965</v>
      </c>
      <c r="C2279" s="4">
        <v>668.0</v>
      </c>
      <c r="D2279" s="5" t="str">
        <f>HYPERLINK("https://www.linkedin.com/ad-library/detail/1498830206","Open Ad")</f>
        <v>Open Ad</v>
      </c>
      <c r="E2279" s="4" t="s">
        <v>78</v>
      </c>
      <c r="F2279" s="4" t="s">
        <v>54</v>
      </c>
      <c r="G2279" s="4" t="s">
        <v>6033</v>
      </c>
      <c r="H2279" s="4" t="s">
        <v>49</v>
      </c>
      <c r="I2279" s="4" t="s">
        <v>6005</v>
      </c>
      <c r="J2279" s="4" t="s">
        <v>78</v>
      </c>
      <c r="K2279" s="4" t="s">
        <v>59</v>
      </c>
      <c r="L2279" s="4" t="s">
        <v>106</v>
      </c>
      <c r="M2279" s="4" t="s">
        <v>5965</v>
      </c>
      <c r="O2279" s="4" t="s">
        <v>63</v>
      </c>
      <c r="P2279" s="4" t="s">
        <v>64</v>
      </c>
    </row>
    <row r="2280">
      <c r="A2280" s="4" t="s">
        <v>5965</v>
      </c>
      <c r="B2280" s="4" t="s">
        <v>5965</v>
      </c>
      <c r="C2280" s="4">
        <v>669.0</v>
      </c>
      <c r="D2280" s="5" t="str">
        <f>HYPERLINK("https://www.linkedin.com/ad-library/detail/1498839916","Open Ad")</f>
        <v>Open Ad</v>
      </c>
      <c r="E2280" s="4" t="s">
        <v>78</v>
      </c>
      <c r="F2280" s="4" t="s">
        <v>54</v>
      </c>
      <c r="G2280" s="4" t="s">
        <v>6037</v>
      </c>
      <c r="H2280" s="4" t="s">
        <v>49</v>
      </c>
      <c r="I2280" s="4" t="s">
        <v>6005</v>
      </c>
      <c r="J2280" s="4" t="s">
        <v>78</v>
      </c>
      <c r="K2280" s="4" t="s">
        <v>59</v>
      </c>
      <c r="L2280" s="4" t="s">
        <v>106</v>
      </c>
      <c r="M2280" s="4" t="s">
        <v>5965</v>
      </c>
      <c r="O2280" s="4" t="s">
        <v>63</v>
      </c>
      <c r="P2280" s="4" t="s">
        <v>64</v>
      </c>
    </row>
    <row r="2281">
      <c r="A2281" s="4" t="s">
        <v>5965</v>
      </c>
      <c r="B2281" s="4" t="s">
        <v>5965</v>
      </c>
      <c r="C2281" s="4">
        <v>670.0</v>
      </c>
      <c r="D2281" s="5" t="str">
        <f>HYPERLINK("https://www.linkedin.com/ad-library/detail/1498664306","Open Ad")</f>
        <v>Open Ad</v>
      </c>
      <c r="E2281" s="4" t="s">
        <v>5970</v>
      </c>
      <c r="F2281" s="4" t="s">
        <v>54</v>
      </c>
      <c r="G2281" s="4" t="s">
        <v>5980</v>
      </c>
      <c r="H2281" s="4" t="s">
        <v>49</v>
      </c>
      <c r="I2281" s="4" t="s">
        <v>6005</v>
      </c>
      <c r="J2281" s="4" t="s">
        <v>5973</v>
      </c>
      <c r="K2281" s="4" t="s">
        <v>59</v>
      </c>
      <c r="L2281" s="4" t="s">
        <v>106</v>
      </c>
      <c r="M2281" s="4" t="s">
        <v>5965</v>
      </c>
      <c r="O2281" s="4" t="s">
        <v>63</v>
      </c>
      <c r="P2281" s="4" t="s">
        <v>64</v>
      </c>
    </row>
    <row r="2282">
      <c r="A2282" s="4" t="s">
        <v>5965</v>
      </c>
      <c r="B2282" s="4" t="s">
        <v>5965</v>
      </c>
      <c r="C2282" s="4">
        <v>671.0</v>
      </c>
      <c r="D2282" s="5" t="str">
        <f>HYPERLINK("https://www.linkedin.com/ad-library/detail/1498713076","Open Ad")</f>
        <v>Open Ad</v>
      </c>
      <c r="E2282" s="4" t="s">
        <v>78</v>
      </c>
      <c r="F2282" s="4" t="s">
        <v>54</v>
      </c>
      <c r="G2282" s="4" t="s">
        <v>6069</v>
      </c>
      <c r="H2282" s="4" t="s">
        <v>49</v>
      </c>
      <c r="I2282" s="4" t="s">
        <v>6005</v>
      </c>
      <c r="J2282" s="4" t="s">
        <v>78</v>
      </c>
      <c r="K2282" s="5" t="str">
        <f>HYPERLINK("https://media.licdn.com/dms/image/v2/D4E10AQEqECWLz8eLfg/image-shrink_1280/B4EZ3UsZ.CGkAc-/0/1777389904287?e=2147483647&amp;v=beta&amp;t=0Mbfqk_hLfichGIBXrMjoO2DeoHez5SeK866pI13xWU","View Creative")</f>
        <v>View Creative</v>
      </c>
      <c r="L2282" s="4" t="s">
        <v>106</v>
      </c>
      <c r="M2282" s="4" t="s">
        <v>5965</v>
      </c>
      <c r="O2282" s="4" t="s">
        <v>63</v>
      </c>
      <c r="P2282" s="4" t="s">
        <v>64</v>
      </c>
    </row>
    <row r="2283">
      <c r="A2283" s="4" t="s">
        <v>5965</v>
      </c>
      <c r="B2283" s="4" t="s">
        <v>5965</v>
      </c>
      <c r="C2283" s="4">
        <v>672.0</v>
      </c>
      <c r="D2283" s="5" t="str">
        <f>HYPERLINK("https://www.linkedin.com/ad-library/detail/1498646206","Open Ad")</f>
        <v>Open Ad</v>
      </c>
      <c r="E2283" s="4" t="s">
        <v>78</v>
      </c>
      <c r="F2283" s="4" t="s">
        <v>54</v>
      </c>
      <c r="G2283" s="4" t="s">
        <v>6033</v>
      </c>
      <c r="H2283" s="4" t="s">
        <v>49</v>
      </c>
      <c r="I2283" s="4" t="s">
        <v>6005</v>
      </c>
      <c r="J2283" s="4" t="s">
        <v>78</v>
      </c>
      <c r="K2283" s="4" t="s">
        <v>59</v>
      </c>
      <c r="L2283" s="4" t="s">
        <v>106</v>
      </c>
      <c r="M2283" s="4" t="s">
        <v>5965</v>
      </c>
      <c r="O2283" s="4" t="s">
        <v>63</v>
      </c>
      <c r="P2283" s="4" t="s">
        <v>64</v>
      </c>
    </row>
    <row r="2284">
      <c r="A2284" s="4" t="s">
        <v>5965</v>
      </c>
      <c r="B2284" s="4" t="s">
        <v>5965</v>
      </c>
      <c r="C2284" s="4">
        <v>673.0</v>
      </c>
      <c r="D2284" s="5" t="str">
        <f>HYPERLINK("https://www.linkedin.com/ad-library/detail/1497723866","Open Ad")</f>
        <v>Open Ad</v>
      </c>
      <c r="E2284" s="4" t="s">
        <v>121</v>
      </c>
      <c r="F2284" s="4" t="s">
        <v>54</v>
      </c>
      <c r="G2284" s="4" t="s">
        <v>6251</v>
      </c>
      <c r="H2284" s="4" t="s">
        <v>49</v>
      </c>
      <c r="I2284" s="4" t="s">
        <v>6005</v>
      </c>
      <c r="J2284" s="4" t="s">
        <v>121</v>
      </c>
      <c r="K2284" s="5" t="str">
        <f>HYPERLINK("https://dms.licdn.com/playlist/vid/v2/D5610AQEtQfuXDVOiXg/progressive-servable-video/B56Z9Mz00yIUAg-/0/1783700082646?e=2147483647&amp;v=beta&amp;t=wyK6PvsqvmZIB_2t2o5kOQbhGwkPTdZDU9WzVACYGRY","View Creative")</f>
        <v>View Creative</v>
      </c>
      <c r="L2284" s="4" t="s">
        <v>106</v>
      </c>
      <c r="M2284" s="4" t="s">
        <v>5965</v>
      </c>
      <c r="O2284" s="4" t="s">
        <v>63</v>
      </c>
      <c r="P2284" s="4" t="s">
        <v>64</v>
      </c>
    </row>
    <row r="2285">
      <c r="A2285" s="4" t="s">
        <v>5965</v>
      </c>
      <c r="B2285" s="4" t="s">
        <v>5965</v>
      </c>
      <c r="C2285" s="4">
        <v>674.0</v>
      </c>
      <c r="D2285" s="5" t="str">
        <f>HYPERLINK("https://www.linkedin.com/ad-library/detail/1497830756","Open Ad")</f>
        <v>Open Ad</v>
      </c>
      <c r="E2285" s="4" t="s">
        <v>121</v>
      </c>
      <c r="F2285" s="4" t="s">
        <v>54</v>
      </c>
      <c r="G2285" s="4" t="s">
        <v>6254</v>
      </c>
      <c r="H2285" s="4" t="s">
        <v>49</v>
      </c>
      <c r="I2285" s="4" t="s">
        <v>6005</v>
      </c>
      <c r="J2285" s="4" t="s">
        <v>121</v>
      </c>
      <c r="K2285" s="5" t="str">
        <f>HYPERLINK("https://dms.licdn.com/playlist/vid/v2/D5610AQHAC-6rkD2EcQ/mp4-720p-30fp-crf28/B56Z9M0IthG0CE-/0/1783700165654?e=2147483647&amp;v=beta&amp;t=IRp-d5Zc0ABShKpd1S3EP4MXYHD5JYVSGD17gLNqDe8","View Creative")</f>
        <v>View Creative</v>
      </c>
      <c r="L2285" s="4" t="s">
        <v>106</v>
      </c>
      <c r="M2285" s="4" t="s">
        <v>5965</v>
      </c>
      <c r="O2285" s="4" t="s">
        <v>63</v>
      </c>
      <c r="P2285" s="4" t="s">
        <v>64</v>
      </c>
    </row>
    <row r="2286">
      <c r="A2286" s="4" t="s">
        <v>5965</v>
      </c>
      <c r="B2286" s="4" t="s">
        <v>5965</v>
      </c>
      <c r="C2286" s="4">
        <v>675.0</v>
      </c>
      <c r="D2286" s="5" t="str">
        <f>HYPERLINK("https://www.linkedin.com/ad-library/detail/1498634516","Open Ad")</f>
        <v>Open Ad</v>
      </c>
      <c r="E2286" s="4" t="s">
        <v>121</v>
      </c>
      <c r="F2286" s="4" t="s">
        <v>54</v>
      </c>
      <c r="G2286" s="4" t="s">
        <v>6386</v>
      </c>
      <c r="H2286" s="4" t="s">
        <v>49</v>
      </c>
      <c r="I2286" s="4" t="s">
        <v>6005</v>
      </c>
      <c r="J2286" s="4" t="s">
        <v>121</v>
      </c>
      <c r="K2286" s="5" t="str">
        <f>HYPERLINK("https://dms.licdn.com/playlist/vid/v2/D5610AQGPpIHkVJhCaA/mp4-640p-30fp-crf28/B56Z83aF5UG4BI-/0/1783341024306?e=2147483647&amp;v=beta&amp;t=6aPscOhwfZC6LVqbrnkx1wzDAaGeDks-p4lXPr_L8Fs","View Creative")</f>
        <v>View Creative</v>
      </c>
      <c r="L2286" s="4" t="s">
        <v>106</v>
      </c>
      <c r="M2286" s="4" t="s">
        <v>5965</v>
      </c>
      <c r="O2286" s="4" t="s">
        <v>63</v>
      </c>
      <c r="P2286" s="4" t="s">
        <v>64</v>
      </c>
    </row>
    <row r="2287">
      <c r="A2287" s="4" t="s">
        <v>5965</v>
      </c>
      <c r="B2287" s="4" t="s">
        <v>5965</v>
      </c>
      <c r="C2287" s="4">
        <v>676.0</v>
      </c>
      <c r="D2287" s="5" t="str">
        <f>HYPERLINK("https://www.linkedin.com/ad-library/detail/1498578756","Open Ad")</f>
        <v>Open Ad</v>
      </c>
      <c r="E2287" s="4" t="s">
        <v>121</v>
      </c>
      <c r="F2287" s="4" t="s">
        <v>54</v>
      </c>
      <c r="G2287" s="4" t="s">
        <v>6049</v>
      </c>
      <c r="H2287" s="4" t="s">
        <v>49</v>
      </c>
      <c r="I2287" s="4" t="s">
        <v>6005</v>
      </c>
      <c r="J2287" s="4" t="s">
        <v>121</v>
      </c>
      <c r="K2287" s="5" t="str">
        <f>HYPERLINK("https://dms.licdn.com/playlist/vid/v2/D5610AQHCJpD_4X3r0w/mp4-360p-30fp-crf28/B56Z8jGxPuG0Bg-/0/1783000416146?e=2147483647&amp;v=beta&amp;t=buNqytXIKQbDSPmN-gF0MjkJ-TiOGUHb02s8kF2cYZo","View Creative")</f>
        <v>View Creative</v>
      </c>
      <c r="L2287" s="4" t="s">
        <v>106</v>
      </c>
      <c r="M2287" s="4" t="s">
        <v>5965</v>
      </c>
      <c r="O2287" s="4" t="s">
        <v>63</v>
      </c>
      <c r="P2287" s="4" t="s">
        <v>64</v>
      </c>
    </row>
    <row r="2288">
      <c r="A2288" s="4" t="s">
        <v>5965</v>
      </c>
      <c r="B2288" s="4" t="s">
        <v>5965</v>
      </c>
      <c r="C2288" s="4">
        <v>677.0</v>
      </c>
      <c r="D2288" s="5" t="str">
        <f>HYPERLINK("https://www.linkedin.com/ad-library/detail/1498682156","Open Ad")</f>
        <v>Open Ad</v>
      </c>
      <c r="E2288" s="4" t="s">
        <v>121</v>
      </c>
      <c r="F2288" s="4" t="s">
        <v>54</v>
      </c>
      <c r="G2288" s="4" t="s">
        <v>6386</v>
      </c>
      <c r="H2288" s="4" t="s">
        <v>49</v>
      </c>
      <c r="I2288" s="4" t="s">
        <v>6005</v>
      </c>
      <c r="J2288" s="4" t="s">
        <v>121</v>
      </c>
      <c r="K2288" s="5" t="str">
        <f>HYPERLINK("https://dms.licdn.com/playlist/vid/v2/D5610AQGPpIHkVJhCaA/mp4-640p-30fp-crf28/B56Z83aF5UG4BI-/0/1783341024306?e=2147483647&amp;v=beta&amp;t=6aPscOhwfZC6LVqbrnkx1wzDAaGeDks-p4lXPr_L8Fs","View Creative")</f>
        <v>View Creative</v>
      </c>
      <c r="L2288" s="4" t="s">
        <v>106</v>
      </c>
      <c r="M2288" s="4" t="s">
        <v>5965</v>
      </c>
      <c r="O2288" s="4" t="s">
        <v>63</v>
      </c>
      <c r="P2288" s="4" t="s">
        <v>64</v>
      </c>
    </row>
    <row r="2289">
      <c r="A2289" s="4" t="s">
        <v>5965</v>
      </c>
      <c r="B2289" s="4" t="s">
        <v>5965</v>
      </c>
      <c r="C2289" s="4">
        <v>678.0</v>
      </c>
      <c r="D2289" s="5" t="str">
        <f>HYPERLINK("https://www.linkedin.com/ad-library/detail/1497800896","Open Ad")</f>
        <v>Open Ad</v>
      </c>
      <c r="E2289" s="4" t="s">
        <v>78</v>
      </c>
      <c r="F2289" s="4" t="s">
        <v>54</v>
      </c>
      <c r="G2289" s="4" t="s">
        <v>6251</v>
      </c>
      <c r="H2289" s="4" t="s">
        <v>49</v>
      </c>
      <c r="I2289" s="4" t="s">
        <v>6005</v>
      </c>
      <c r="J2289" s="4" t="s">
        <v>78</v>
      </c>
      <c r="K2289" s="5" t="str">
        <f>HYPERLINK("https://media.licdn.com/dms/image/v2/D5610AQHEvvijYsI_tQ/image-shrink_1280/B56Z9Mvp9QHUAc-/0/1783698989137/StaticA_1_1png?e=2147483647&amp;v=beta&amp;t=MTZtkJ7l5gqylxrRaIdNRy7LYGh-h4daLFiI3M0fauw","View Creative")</f>
        <v>View Creative</v>
      </c>
      <c r="L2289" s="4" t="s">
        <v>106</v>
      </c>
      <c r="M2289" s="4" t="s">
        <v>5965</v>
      </c>
      <c r="O2289" s="4" t="s">
        <v>63</v>
      </c>
      <c r="P2289" s="4" t="s">
        <v>64</v>
      </c>
    </row>
    <row r="2290">
      <c r="A2290" s="4" t="s">
        <v>5965</v>
      </c>
      <c r="B2290" s="4" t="s">
        <v>5965</v>
      </c>
      <c r="C2290" s="4">
        <v>679.0</v>
      </c>
      <c r="D2290" s="5" t="str">
        <f>HYPERLINK("https://www.linkedin.com/ad-library/detail/1497801866","Open Ad")</f>
        <v>Open Ad</v>
      </c>
      <c r="E2290" s="4" t="s">
        <v>121</v>
      </c>
      <c r="F2290" s="4" t="s">
        <v>54</v>
      </c>
      <c r="G2290" s="4" t="s">
        <v>6254</v>
      </c>
      <c r="H2290" s="4" t="s">
        <v>49</v>
      </c>
      <c r="I2290" s="4" t="s">
        <v>6005</v>
      </c>
      <c r="J2290" s="4" t="s">
        <v>121</v>
      </c>
      <c r="K2290" s="5" t="str">
        <f>HYPERLINK("https://dms.licdn.com/playlist/vid/v2/D5610AQEtQfuXDVOiXg/progressive-servable-video/B56Z9Mz00yIUAg-/0/1783700082646?e=2147483647&amp;v=beta&amp;t=wyK6PvsqvmZIB_2t2o5kOQbhGwkPTdZDU9WzVACYGRY","View Creative")</f>
        <v>View Creative</v>
      </c>
      <c r="L2290" s="4" t="s">
        <v>106</v>
      </c>
      <c r="M2290" s="4" t="s">
        <v>5965</v>
      </c>
      <c r="O2290" s="4" t="s">
        <v>63</v>
      </c>
      <c r="P2290" s="4" t="s">
        <v>64</v>
      </c>
    </row>
    <row r="2291">
      <c r="A2291" s="4" t="s">
        <v>5965</v>
      </c>
      <c r="B2291" s="4" t="s">
        <v>5965</v>
      </c>
      <c r="C2291" s="4">
        <v>680.0</v>
      </c>
      <c r="D2291" s="5" t="str">
        <f>HYPERLINK("https://www.linkedin.com/ad-library/detail/1497800976","Open Ad")</f>
        <v>Open Ad</v>
      </c>
      <c r="E2291" s="4" t="s">
        <v>121</v>
      </c>
      <c r="F2291" s="4" t="s">
        <v>54</v>
      </c>
      <c r="G2291" s="4" t="s">
        <v>6254</v>
      </c>
      <c r="H2291" s="4" t="s">
        <v>49</v>
      </c>
      <c r="I2291" s="4" t="s">
        <v>6005</v>
      </c>
      <c r="J2291" s="4" t="s">
        <v>121</v>
      </c>
      <c r="K2291" s="5" t="str">
        <f>HYPERLINK("https://dms.licdn.com/playlist/vid/v2/D5610AQHAC-6rkD2EcQ/mp4-720p-30fp-crf28/B56Z9M0IthG0CE-/0/1783700165654?e=2147483647&amp;v=beta&amp;t=IRp-d5Zc0ABShKpd1S3EP4MXYHD5JYVSGD17gLNqDe8","View Creative")</f>
        <v>View Creative</v>
      </c>
      <c r="L2291" s="4" t="s">
        <v>106</v>
      </c>
      <c r="M2291" s="4" t="s">
        <v>5965</v>
      </c>
      <c r="O2291" s="4" t="s">
        <v>63</v>
      </c>
      <c r="P2291" s="4" t="s">
        <v>64</v>
      </c>
    </row>
    <row r="2292">
      <c r="A2292" s="4" t="s">
        <v>5965</v>
      </c>
      <c r="B2292" s="4" t="s">
        <v>5965</v>
      </c>
      <c r="C2292" s="4">
        <v>681.0</v>
      </c>
      <c r="D2292" s="5" t="str">
        <f>HYPERLINK("https://www.linkedin.com/ad-library/detail/1498760026","Open Ad")</f>
        <v>Open Ad</v>
      </c>
      <c r="E2292" s="4" t="s">
        <v>121</v>
      </c>
      <c r="F2292" s="4" t="s">
        <v>54</v>
      </c>
      <c r="G2292" s="4" t="s">
        <v>6393</v>
      </c>
      <c r="H2292" s="4" t="s">
        <v>49</v>
      </c>
      <c r="I2292" s="4" t="s">
        <v>6005</v>
      </c>
      <c r="J2292" s="4" t="s">
        <v>121</v>
      </c>
      <c r="K2292" s="5" t="str">
        <f>HYPERLINK("https://dms.licdn.com/playlist/vid/v2/D4E10AQFvAgWztv-5Uw/mp4-640p-30fp-crf28/B4EZ5LQGtKJ0BI-/0/1779378998766?e=2147483647&amp;v=beta&amp;t=_8bKLKhlOLLcnEfsCY9wk5B2yEE3QM48LsyZd6MkCAQ","View Creative")</f>
        <v>View Creative</v>
      </c>
      <c r="L2292" s="4" t="s">
        <v>106</v>
      </c>
      <c r="M2292" s="4" t="s">
        <v>5965</v>
      </c>
      <c r="O2292" s="4" t="s">
        <v>63</v>
      </c>
      <c r="P2292" s="4" t="s">
        <v>64</v>
      </c>
    </row>
    <row r="2293">
      <c r="A2293" s="4" t="s">
        <v>5965</v>
      </c>
      <c r="B2293" s="4" t="s">
        <v>5965</v>
      </c>
      <c r="C2293" s="4">
        <v>682.0</v>
      </c>
      <c r="D2293" s="5" t="str">
        <f>HYPERLINK("https://www.linkedin.com/ad-library/detail/1497800846","Open Ad")</f>
        <v>Open Ad</v>
      </c>
      <c r="E2293" s="4" t="s">
        <v>78</v>
      </c>
      <c r="F2293" s="4" t="s">
        <v>54</v>
      </c>
      <c r="G2293" s="4" t="s">
        <v>6251</v>
      </c>
      <c r="H2293" s="4" t="s">
        <v>49</v>
      </c>
      <c r="I2293" s="4" t="s">
        <v>6005</v>
      </c>
      <c r="J2293" s="4" t="s">
        <v>78</v>
      </c>
      <c r="K2293" s="5" t="str">
        <f>HYPERLINK("https://media.licdn.com/dms/image/v2/D5610AQHtT-BpHIdKlQ/image-shrink_1280/B56Z9Mv_AuGQAc-/0/1783699075522/StaticB_1_1png?e=2147483647&amp;v=beta&amp;t=VVED26XSFFiKyG6WnQSnhBql3EltELrjof_2fGTA4Ok","View Creative")</f>
        <v>View Creative</v>
      </c>
      <c r="L2293" s="4" t="s">
        <v>106</v>
      </c>
      <c r="M2293" s="4" t="s">
        <v>5965</v>
      </c>
      <c r="O2293" s="4" t="s">
        <v>63</v>
      </c>
      <c r="P2293" s="4" t="s">
        <v>64</v>
      </c>
    </row>
    <row r="2294">
      <c r="A2294" s="4" t="s">
        <v>5965</v>
      </c>
      <c r="B2294" s="4" t="s">
        <v>5965</v>
      </c>
      <c r="C2294" s="4">
        <v>683.0</v>
      </c>
      <c r="D2294" s="5" t="str">
        <f>HYPERLINK("https://www.linkedin.com/ad-library/detail/1497762446","Open Ad")</f>
        <v>Open Ad</v>
      </c>
      <c r="E2294" s="4" t="s">
        <v>121</v>
      </c>
      <c r="F2294" s="4" t="s">
        <v>54</v>
      </c>
      <c r="G2294" s="4" t="s">
        <v>6251</v>
      </c>
      <c r="H2294" s="4" t="s">
        <v>49</v>
      </c>
      <c r="I2294" s="4" t="s">
        <v>6005</v>
      </c>
      <c r="J2294" s="4" t="s">
        <v>121</v>
      </c>
      <c r="K2294" s="5" t="str">
        <f>HYPERLINK("https://dms.licdn.com/playlist/vid/v2/D5610AQHAC-6rkD2EcQ/mp4-720p-30fp-crf28/B56Z9M0IthG0CE-/0/1783700165654?e=2147483647&amp;v=beta&amp;t=IRp-d5Zc0ABShKpd1S3EP4MXYHD5JYVSGD17gLNqDe8","View Creative")</f>
        <v>View Creative</v>
      </c>
      <c r="L2294" s="4" t="s">
        <v>106</v>
      </c>
      <c r="M2294" s="4" t="s">
        <v>5965</v>
      </c>
      <c r="O2294" s="4" t="s">
        <v>63</v>
      </c>
      <c r="P2294" s="4" t="s">
        <v>64</v>
      </c>
    </row>
    <row r="2295">
      <c r="A2295" s="4" t="s">
        <v>5965</v>
      </c>
      <c r="B2295" s="4" t="s">
        <v>5965</v>
      </c>
      <c r="C2295" s="4">
        <v>684.0</v>
      </c>
      <c r="D2295" s="5" t="str">
        <f>HYPERLINK("https://www.linkedin.com/ad-library/detail/1498730926","Open Ad")</f>
        <v>Open Ad</v>
      </c>
      <c r="E2295" s="4" t="s">
        <v>121</v>
      </c>
      <c r="F2295" s="4" t="s">
        <v>54</v>
      </c>
      <c r="G2295" s="4" t="s">
        <v>6049</v>
      </c>
      <c r="H2295" s="4" t="s">
        <v>49</v>
      </c>
      <c r="I2295" s="4" t="s">
        <v>6005</v>
      </c>
      <c r="J2295" s="4" t="s">
        <v>121</v>
      </c>
      <c r="K2295" s="5" t="str">
        <f>HYPERLINK("https://dms.licdn.com/playlist/vid/v2/D5610AQHCJpD_4X3r0w/mp4-360p-30fp-crf28/B56Z8jGxPuG0Bg-/0/1783000416146?e=2147483647&amp;v=beta&amp;t=buNqytXIKQbDSPmN-gF0MjkJ-TiOGUHb02s8kF2cYZo","View Creative")</f>
        <v>View Creative</v>
      </c>
      <c r="L2295" s="4" t="s">
        <v>106</v>
      </c>
      <c r="M2295" s="4" t="s">
        <v>5965</v>
      </c>
      <c r="O2295" s="4" t="s">
        <v>63</v>
      </c>
      <c r="P2295" s="4" t="s">
        <v>64</v>
      </c>
    </row>
    <row r="2296">
      <c r="A2296" s="4" t="s">
        <v>5965</v>
      </c>
      <c r="B2296" s="4" t="s">
        <v>5965</v>
      </c>
      <c r="C2296" s="4">
        <v>685.0</v>
      </c>
      <c r="D2296" s="5" t="str">
        <f>HYPERLINK("https://www.linkedin.com/ad-library/detail/1497732456","Open Ad")</f>
        <v>Open Ad</v>
      </c>
      <c r="E2296" s="4" t="s">
        <v>78</v>
      </c>
      <c r="F2296" s="4" t="s">
        <v>54</v>
      </c>
      <c r="G2296" s="4" t="s">
        <v>6254</v>
      </c>
      <c r="H2296" s="4" t="s">
        <v>49</v>
      </c>
      <c r="I2296" s="4" t="s">
        <v>6005</v>
      </c>
      <c r="J2296" s="4" t="s">
        <v>78</v>
      </c>
      <c r="K2296" s="5" t="str">
        <f>HYPERLINK("https://media.licdn.com/dms/image/v2/D5610AQHtT-BpHIdKlQ/image-shrink_1280/B56Z9Mv_AuGQAc-/0/1783699075522/StaticB_1_1png?e=2147483647&amp;v=beta&amp;t=VVED26XSFFiKyG6WnQSnhBql3EltELrjof_2fGTA4Ok","View Creative")</f>
        <v>View Creative</v>
      </c>
      <c r="L2296" s="4" t="s">
        <v>106</v>
      </c>
      <c r="M2296" s="4" t="s">
        <v>5965</v>
      </c>
      <c r="O2296" s="4" t="s">
        <v>63</v>
      </c>
      <c r="P2296" s="4" t="s">
        <v>64</v>
      </c>
    </row>
    <row r="2297">
      <c r="A2297" s="4" t="s">
        <v>5965</v>
      </c>
      <c r="B2297" s="4" t="s">
        <v>5965</v>
      </c>
      <c r="C2297" s="4">
        <v>686.0</v>
      </c>
      <c r="D2297" s="5" t="str">
        <f>HYPERLINK("https://www.linkedin.com/ad-library/detail/1497674456","Open Ad")</f>
        <v>Open Ad</v>
      </c>
      <c r="E2297" s="4" t="s">
        <v>78</v>
      </c>
      <c r="F2297" s="4" t="s">
        <v>54</v>
      </c>
      <c r="G2297" s="4" t="s">
        <v>6254</v>
      </c>
      <c r="H2297" s="4" t="s">
        <v>49</v>
      </c>
      <c r="I2297" s="4" t="s">
        <v>6005</v>
      </c>
      <c r="J2297" s="4" t="s">
        <v>78</v>
      </c>
      <c r="K2297" s="5" t="str">
        <f>HYPERLINK("https://media.licdn.com/dms/image/v2/D5610AQHEvvijYsI_tQ/image-shrink_1280/B56Z9Mvp9QHUAc-/0/1783698989137/StaticA_1_1png?e=2147483647&amp;v=beta&amp;t=MTZtkJ7l5gqylxrRaIdNRy7LYGh-h4daLFiI3M0fauw","View Creative")</f>
        <v>View Creative</v>
      </c>
      <c r="L2297" s="4" t="s">
        <v>106</v>
      </c>
      <c r="M2297" s="4" t="s">
        <v>5965</v>
      </c>
      <c r="O2297" s="4" t="s">
        <v>63</v>
      </c>
      <c r="P2297" s="4" t="s">
        <v>64</v>
      </c>
    </row>
    <row r="2298">
      <c r="A2298" s="4" t="s">
        <v>5965</v>
      </c>
      <c r="B2298" s="4" t="s">
        <v>5965</v>
      </c>
      <c r="C2298" s="4">
        <v>687.0</v>
      </c>
      <c r="D2298" s="5" t="str">
        <f>HYPERLINK("https://www.linkedin.com/ad-library/detail/1497840216","Open Ad")</f>
        <v>Open Ad</v>
      </c>
      <c r="E2298" s="4" t="s">
        <v>121</v>
      </c>
      <c r="F2298" s="4" t="s">
        <v>54</v>
      </c>
      <c r="G2298" s="4" t="s">
        <v>6254</v>
      </c>
      <c r="H2298" s="4" t="s">
        <v>49</v>
      </c>
      <c r="I2298" s="4" t="s">
        <v>6005</v>
      </c>
      <c r="J2298" s="4" t="s">
        <v>121</v>
      </c>
      <c r="K2298" s="5" t="str">
        <f>HYPERLINK("https://dms.licdn.com/playlist/vid/v2/D5610AQHAC-6rkD2EcQ/mp4-720p-30fp-crf28/B56Z9M0IthG0CE-/0/1783700165654?e=2147483647&amp;v=beta&amp;t=IRp-d5Zc0ABShKpd1S3EP4MXYHD5JYVSGD17gLNqDe8","View Creative")</f>
        <v>View Creative</v>
      </c>
      <c r="L2298" s="4" t="s">
        <v>106</v>
      </c>
      <c r="M2298" s="4" t="s">
        <v>5965</v>
      </c>
      <c r="O2298" s="4" t="s">
        <v>63</v>
      </c>
      <c r="P2298" s="4" t="s">
        <v>64</v>
      </c>
    </row>
    <row r="2299">
      <c r="A2299" s="4" t="s">
        <v>5965</v>
      </c>
      <c r="B2299" s="4" t="s">
        <v>5965</v>
      </c>
      <c r="C2299" s="4">
        <v>688.0</v>
      </c>
      <c r="D2299" s="5" t="str">
        <f>HYPERLINK("https://www.linkedin.com/ad-library/detail/1498779936","Open Ad")</f>
        <v>Open Ad</v>
      </c>
      <c r="E2299" s="4" t="s">
        <v>121</v>
      </c>
      <c r="F2299" s="4" t="s">
        <v>54</v>
      </c>
      <c r="G2299" s="4" t="s">
        <v>6393</v>
      </c>
      <c r="H2299" s="4" t="s">
        <v>49</v>
      </c>
      <c r="I2299" s="4" t="s">
        <v>6005</v>
      </c>
      <c r="J2299" s="4" t="s">
        <v>121</v>
      </c>
      <c r="K2299" s="5" t="str">
        <f>HYPERLINK("https://dms.licdn.com/playlist/vid/v2/D4E10AQFvAgWztv-5Uw/mp4-640p-30fp-crf28/B4EZ5LQGtKJ0BI-/0/1779378998766?e=2147483647&amp;v=beta&amp;t=_8bKLKhlOLLcnEfsCY9wk5B2yEE3QM48LsyZd6MkCAQ","View Creative")</f>
        <v>View Creative</v>
      </c>
      <c r="L2299" s="4" t="s">
        <v>106</v>
      </c>
      <c r="M2299" s="4" t="s">
        <v>5965</v>
      </c>
      <c r="O2299" s="4" t="s">
        <v>63</v>
      </c>
      <c r="P2299" s="4" t="s">
        <v>64</v>
      </c>
    </row>
    <row r="2300">
      <c r="A2300" s="4" t="s">
        <v>5965</v>
      </c>
      <c r="B2300" s="4" t="s">
        <v>5965</v>
      </c>
      <c r="C2300" s="4">
        <v>689.0</v>
      </c>
      <c r="D2300" s="5" t="str">
        <f>HYPERLINK("https://www.linkedin.com/ad-library/detail/1497733266","Open Ad")</f>
        <v>Open Ad</v>
      </c>
      <c r="E2300" s="4" t="s">
        <v>121</v>
      </c>
      <c r="F2300" s="4" t="s">
        <v>54</v>
      </c>
      <c r="G2300" s="4" t="s">
        <v>6254</v>
      </c>
      <c r="H2300" s="4" t="s">
        <v>49</v>
      </c>
      <c r="I2300" s="4" t="s">
        <v>6005</v>
      </c>
      <c r="J2300" s="4" t="s">
        <v>121</v>
      </c>
      <c r="K2300" s="5" t="str">
        <f t="shared" ref="K2300:K2301" si="73">HYPERLINK("https://dms.licdn.com/playlist/vid/v2/D5610AQEtQfuXDVOiXg/progressive-servable-video/B56Z9Mz00yIUAg-/0/1783700082646?e=2147483647&amp;v=beta&amp;t=wyK6PvsqvmZIB_2t2o5kOQbhGwkPTdZDU9WzVACYGRY","View Creative")</f>
        <v>View Creative</v>
      </c>
      <c r="L2300" s="4" t="s">
        <v>106</v>
      </c>
      <c r="M2300" s="4" t="s">
        <v>5965</v>
      </c>
      <c r="O2300" s="4" t="s">
        <v>63</v>
      </c>
      <c r="P2300" s="4" t="s">
        <v>64</v>
      </c>
    </row>
    <row r="2301">
      <c r="A2301" s="4" t="s">
        <v>5965</v>
      </c>
      <c r="B2301" s="4" t="s">
        <v>5965</v>
      </c>
      <c r="C2301" s="4">
        <v>690.0</v>
      </c>
      <c r="D2301" s="5" t="str">
        <f>HYPERLINK("https://www.linkedin.com/ad-library/detail/1497618796","Open Ad")</f>
        <v>Open Ad</v>
      </c>
      <c r="E2301" s="4" t="s">
        <v>121</v>
      </c>
      <c r="F2301" s="4" t="s">
        <v>54</v>
      </c>
      <c r="G2301" s="4" t="s">
        <v>6254</v>
      </c>
      <c r="H2301" s="4" t="s">
        <v>49</v>
      </c>
      <c r="I2301" s="4" t="s">
        <v>6005</v>
      </c>
      <c r="J2301" s="4" t="s">
        <v>121</v>
      </c>
      <c r="K2301" s="5" t="str">
        <f t="shared" si="73"/>
        <v>View Creative</v>
      </c>
      <c r="L2301" s="4" t="s">
        <v>106</v>
      </c>
      <c r="M2301" s="4" t="s">
        <v>5965</v>
      </c>
      <c r="O2301" s="4" t="s">
        <v>63</v>
      </c>
      <c r="P2301" s="4" t="s">
        <v>64</v>
      </c>
    </row>
    <row r="2302">
      <c r="A2302" s="4" t="s">
        <v>5965</v>
      </c>
      <c r="B2302" s="4" t="s">
        <v>5965</v>
      </c>
      <c r="C2302" s="4">
        <v>691.0</v>
      </c>
      <c r="D2302" s="5" t="str">
        <f>HYPERLINK("https://www.linkedin.com/ad-library/detail/1498519576","Open Ad")</f>
        <v>Open Ad</v>
      </c>
      <c r="E2302" s="4" t="s">
        <v>121</v>
      </c>
      <c r="F2302" s="4" t="s">
        <v>54</v>
      </c>
      <c r="G2302" s="4" t="s">
        <v>6047</v>
      </c>
      <c r="H2302" s="4" t="s">
        <v>49</v>
      </c>
      <c r="I2302" s="4" t="s">
        <v>6005</v>
      </c>
      <c r="J2302" s="4" t="s">
        <v>121</v>
      </c>
      <c r="K2302" s="5" t="str">
        <f>HYPERLINK("https://dms.licdn.com/playlist/vid/v2/D4E10AQFbU42CgG1Z7g/mp4-720p-30fp-crf28/B4EZ6E1cjuIkBk-/0/1780345071320?e=2147483647&amp;v=beta&amp;t=lm4Raasi9Hn2k_Jca5TAGdFZZmL4wlksoW4hHU6e3XU","View Creative")</f>
        <v>View Creative</v>
      </c>
      <c r="L2302" s="4" t="s">
        <v>106</v>
      </c>
      <c r="M2302" s="4" t="s">
        <v>5965</v>
      </c>
      <c r="O2302" s="4" t="s">
        <v>63</v>
      </c>
      <c r="P2302" s="4" t="s">
        <v>64</v>
      </c>
    </row>
    <row r="2303">
      <c r="A2303" s="4" t="s">
        <v>5965</v>
      </c>
      <c r="B2303" s="4" t="s">
        <v>5965</v>
      </c>
      <c r="C2303" s="4">
        <v>692.0</v>
      </c>
      <c r="D2303" s="5" t="str">
        <f>HYPERLINK("https://www.linkedin.com/ad-library/detail/1497664936","Open Ad")</f>
        <v>Open Ad</v>
      </c>
      <c r="E2303" s="4" t="s">
        <v>121</v>
      </c>
      <c r="F2303" s="4" t="s">
        <v>54</v>
      </c>
      <c r="G2303" s="4" t="s">
        <v>6251</v>
      </c>
      <c r="H2303" s="4" t="s">
        <v>49</v>
      </c>
      <c r="I2303" s="4" t="s">
        <v>6005</v>
      </c>
      <c r="J2303" s="4" t="s">
        <v>121</v>
      </c>
      <c r="K2303" s="5" t="str">
        <f>HYPERLINK("https://dms.licdn.com/playlist/vid/v2/D5610AQEtQfuXDVOiXg/progressive-servable-video/B56Z9Mz00yIUAg-/0/1783700082646?e=2147483647&amp;v=beta&amp;t=wyK6PvsqvmZIB_2t2o5kOQbhGwkPTdZDU9WzVACYGRY","View Creative")</f>
        <v>View Creative</v>
      </c>
      <c r="L2303" s="4" t="s">
        <v>106</v>
      </c>
      <c r="M2303" s="4" t="s">
        <v>5965</v>
      </c>
      <c r="O2303" s="4" t="s">
        <v>63</v>
      </c>
      <c r="P2303" s="4" t="s">
        <v>64</v>
      </c>
    </row>
    <row r="2304">
      <c r="A2304" s="4" t="s">
        <v>5965</v>
      </c>
      <c r="B2304" s="4" t="s">
        <v>5965</v>
      </c>
      <c r="C2304" s="4">
        <v>693.0</v>
      </c>
      <c r="D2304" s="5" t="str">
        <f>HYPERLINK("https://www.linkedin.com/ad-library/detail/1497645616","Open Ad")</f>
        <v>Open Ad</v>
      </c>
      <c r="E2304" s="4" t="s">
        <v>78</v>
      </c>
      <c r="F2304" s="4" t="s">
        <v>54</v>
      </c>
      <c r="G2304" s="4" t="s">
        <v>6251</v>
      </c>
      <c r="H2304" s="4" t="s">
        <v>49</v>
      </c>
      <c r="I2304" s="4" t="s">
        <v>6005</v>
      </c>
      <c r="J2304" s="4" t="s">
        <v>78</v>
      </c>
      <c r="K2304" s="5" t="str">
        <f>HYPERLINK("https://media.licdn.com/dms/image/v2/D5610AQHtT-BpHIdKlQ/image-shrink_1280/B56Z9Mv_AuGQAc-/0/1783699075522/StaticB_1_1png?e=2147483647&amp;v=beta&amp;t=VVED26XSFFiKyG6WnQSnhBql3EltELrjof_2fGTA4Ok","View Creative")</f>
        <v>View Creative</v>
      </c>
      <c r="L2304" s="4" t="s">
        <v>106</v>
      </c>
      <c r="M2304" s="4" t="s">
        <v>5965</v>
      </c>
      <c r="O2304" s="4" t="s">
        <v>63</v>
      </c>
      <c r="P2304" s="4" t="s">
        <v>64</v>
      </c>
    </row>
    <row r="2305">
      <c r="A2305" s="4" t="s">
        <v>5965</v>
      </c>
      <c r="B2305" s="4" t="s">
        <v>5965</v>
      </c>
      <c r="C2305" s="4">
        <v>694.0</v>
      </c>
      <c r="D2305" s="5" t="str">
        <f>HYPERLINK("https://www.linkedin.com/ad-library/detail/1497821056","Open Ad")</f>
        <v>Open Ad</v>
      </c>
      <c r="E2305" s="4" t="s">
        <v>121</v>
      </c>
      <c r="F2305" s="4" t="s">
        <v>54</v>
      </c>
      <c r="G2305" s="4" t="s">
        <v>6251</v>
      </c>
      <c r="H2305" s="4" t="s">
        <v>49</v>
      </c>
      <c r="I2305" s="4" t="s">
        <v>6005</v>
      </c>
      <c r="J2305" s="4" t="s">
        <v>121</v>
      </c>
      <c r="K2305" s="5" t="str">
        <f>HYPERLINK("https://dms.licdn.com/playlist/vid/v2/D5610AQHAC-6rkD2EcQ/mp4-720p-30fp-crf28/B56Z9M0IthG0CE-/0/1783700165654?e=2147483647&amp;v=beta&amp;t=IRp-d5Zc0ABShKpd1S3EP4MXYHD5JYVSGD17gLNqDe8","View Creative")</f>
        <v>View Creative</v>
      </c>
      <c r="L2305" s="4" t="s">
        <v>106</v>
      </c>
      <c r="M2305" s="4" t="s">
        <v>5965</v>
      </c>
      <c r="O2305" s="4" t="s">
        <v>63</v>
      </c>
      <c r="P2305" s="4" t="s">
        <v>64</v>
      </c>
    </row>
    <row r="2306">
      <c r="A2306" s="4" t="s">
        <v>5965</v>
      </c>
      <c r="B2306" s="4" t="s">
        <v>5965</v>
      </c>
      <c r="C2306" s="4">
        <v>695.0</v>
      </c>
      <c r="D2306" s="5" t="str">
        <f>HYPERLINK("https://www.linkedin.com/ad-library/detail/1497791506","Open Ad")</f>
        <v>Open Ad</v>
      </c>
      <c r="E2306" s="4" t="s">
        <v>121</v>
      </c>
      <c r="F2306" s="4" t="s">
        <v>54</v>
      </c>
      <c r="G2306" s="4" t="s">
        <v>6251</v>
      </c>
      <c r="H2306" s="4" t="s">
        <v>49</v>
      </c>
      <c r="I2306" s="4" t="s">
        <v>6005</v>
      </c>
      <c r="J2306" s="4" t="s">
        <v>121</v>
      </c>
      <c r="K2306" s="5" t="str">
        <f>HYPERLINK("https://dms.licdn.com/playlist/vid/v2/D5610AQEtQfuXDVOiXg/progressive-servable-video/B56Z9Mz00yIUAg-/0/1783700082646?e=2147483647&amp;v=beta&amp;t=wyK6PvsqvmZIB_2t2o5kOQbhGwkPTdZDU9WzVACYGRY","View Creative")</f>
        <v>View Creative</v>
      </c>
      <c r="L2306" s="4" t="s">
        <v>106</v>
      </c>
      <c r="M2306" s="4" t="s">
        <v>5965</v>
      </c>
      <c r="O2306" s="4" t="s">
        <v>63</v>
      </c>
      <c r="P2306" s="4" t="s">
        <v>64</v>
      </c>
    </row>
    <row r="2307">
      <c r="A2307" s="4" t="s">
        <v>5965</v>
      </c>
      <c r="B2307" s="4" t="s">
        <v>5965</v>
      </c>
      <c r="C2307" s="4">
        <v>696.0</v>
      </c>
      <c r="D2307" s="5" t="str">
        <f>HYPERLINK("https://www.linkedin.com/ad-library/detail/1497638196","Open Ad")</f>
        <v>Open Ad</v>
      </c>
      <c r="E2307" s="4" t="s">
        <v>121</v>
      </c>
      <c r="F2307" s="4" t="s">
        <v>54</v>
      </c>
      <c r="G2307" s="4" t="s">
        <v>6251</v>
      </c>
      <c r="H2307" s="4" t="s">
        <v>49</v>
      </c>
      <c r="I2307" s="4" t="s">
        <v>6005</v>
      </c>
      <c r="J2307" s="4" t="s">
        <v>121</v>
      </c>
      <c r="K2307" s="5" t="str">
        <f>HYPERLINK("https://dms.licdn.com/playlist/vid/v2/D5610AQHAC-6rkD2EcQ/mp4-720p-30fp-crf28/B56Z9M0IthG0CE-/0/1783700165654?e=2147483647&amp;v=beta&amp;t=IRp-d5Zc0ABShKpd1S3EP4MXYHD5JYVSGD17gLNqDe8","View Creative")</f>
        <v>View Creative</v>
      </c>
      <c r="L2307" s="4" t="s">
        <v>106</v>
      </c>
      <c r="M2307" s="4" t="s">
        <v>5965</v>
      </c>
      <c r="O2307" s="4" t="s">
        <v>63</v>
      </c>
      <c r="P2307" s="4" t="s">
        <v>64</v>
      </c>
    </row>
    <row r="2308">
      <c r="A2308" s="4" t="s">
        <v>5965</v>
      </c>
      <c r="B2308" s="4" t="s">
        <v>5965</v>
      </c>
      <c r="C2308" s="4">
        <v>697.0</v>
      </c>
      <c r="D2308" s="5" t="str">
        <f>HYPERLINK("https://www.linkedin.com/ad-library/detail/1497468476","Open Ad")</f>
        <v>Open Ad</v>
      </c>
      <c r="E2308" s="4" t="s">
        <v>78</v>
      </c>
      <c r="F2308" s="4" t="s">
        <v>54</v>
      </c>
      <c r="G2308" s="4" t="s">
        <v>6234</v>
      </c>
      <c r="H2308" s="4" t="s">
        <v>49</v>
      </c>
      <c r="I2308" s="4" t="s">
        <v>6005</v>
      </c>
      <c r="J2308" s="4" t="s">
        <v>78</v>
      </c>
      <c r="K2308" s="5" t="str">
        <f>HYPERLINK("https://media.licdn.com/dms/image/v2/D5610AQGeqnWAUh7epw/image-shrink_1280/B56Z9JWXKUJoAc-/0/1783642026908/StaticA_1_1png?e=2147483647&amp;v=beta&amp;t=VtoLRIIvB_6SmNkFagK7x5k7ozf_O0g25FDHr-3O0Cg","View Creative")</f>
        <v>View Creative</v>
      </c>
      <c r="L2308" s="4" t="s">
        <v>106</v>
      </c>
      <c r="M2308" s="4" t="s">
        <v>5965</v>
      </c>
      <c r="O2308" s="4" t="s">
        <v>63</v>
      </c>
      <c r="P2308" s="4" t="s">
        <v>64</v>
      </c>
    </row>
    <row r="2309">
      <c r="A2309" s="4" t="s">
        <v>5965</v>
      </c>
      <c r="B2309" s="4" t="s">
        <v>5965</v>
      </c>
      <c r="C2309" s="4">
        <v>698.0</v>
      </c>
      <c r="D2309" s="5" t="str">
        <f>HYPERLINK("https://www.linkedin.com/ad-library/detail/1497531426","Open Ad")</f>
        <v>Open Ad</v>
      </c>
      <c r="E2309" s="4" t="s">
        <v>78</v>
      </c>
      <c r="F2309" s="4" t="s">
        <v>54</v>
      </c>
      <c r="G2309" s="8" t="s">
        <v>6299</v>
      </c>
      <c r="H2309" s="4" t="s">
        <v>49</v>
      </c>
      <c r="I2309" s="4" t="s">
        <v>6005</v>
      </c>
      <c r="J2309" s="4" t="s">
        <v>78</v>
      </c>
      <c r="K2309" s="5" t="str">
        <f>HYPERLINK("https://media.licdn.com/dms/image/v2/D5622AQFPvdKJ2rZGuA/feedshare-shrink_1280/B56Z9DGJizKgAM-/0/1783537114110?e=2147483647&amp;v=beta&amp;t=ibPphT7d-IkefsLLj8zjUziebSWt3eeZJVoLfHU82Kg","View Creative")</f>
        <v>View Creative</v>
      </c>
      <c r="L2309" s="4" t="s">
        <v>106</v>
      </c>
      <c r="M2309" s="4" t="s">
        <v>5965</v>
      </c>
      <c r="O2309" s="4" t="s">
        <v>63</v>
      </c>
      <c r="P2309" s="4" t="s">
        <v>64</v>
      </c>
    </row>
    <row r="2310">
      <c r="A2310" s="4" t="s">
        <v>5965</v>
      </c>
      <c r="B2310" s="4" t="s">
        <v>5965</v>
      </c>
      <c r="C2310" s="4">
        <v>699.0</v>
      </c>
      <c r="D2310" s="5" t="str">
        <f>HYPERLINK("https://www.linkedin.com/ad-library/detail/1493954416","Open Ad")</f>
        <v>Open Ad</v>
      </c>
      <c r="E2310" s="4" t="s">
        <v>78</v>
      </c>
      <c r="F2310" s="4" t="s">
        <v>54</v>
      </c>
      <c r="G2310" s="4" t="s">
        <v>6397</v>
      </c>
      <c r="H2310" s="4" t="s">
        <v>49</v>
      </c>
      <c r="I2310" s="4" t="s">
        <v>6005</v>
      </c>
      <c r="J2310" s="4" t="s">
        <v>78</v>
      </c>
      <c r="K2310" s="5" t="str">
        <f>HYPERLINK("https://media.licdn.com/dms/image/v2/D5622AQEyWmxDtBsI-A/feedshare-shrink_1280/B56Z84mCfvG4AM-/0/1783360925115?e=2147483647&amp;v=beta&amp;t=1c8ZwHdCiWcC3tPm0-oI1DcR9hvnGwRBtogB-swWYhQ","View Creative")</f>
        <v>View Creative</v>
      </c>
      <c r="L2310" s="4" t="s">
        <v>106</v>
      </c>
      <c r="M2310" s="4" t="s">
        <v>5965</v>
      </c>
      <c r="O2310" s="4" t="s">
        <v>63</v>
      </c>
      <c r="P2310" s="4" t="s">
        <v>64</v>
      </c>
    </row>
    <row r="2311">
      <c r="A2311" s="4" t="s">
        <v>5965</v>
      </c>
      <c r="B2311" s="4" t="s">
        <v>5965</v>
      </c>
      <c r="C2311" s="4">
        <v>700.0</v>
      </c>
      <c r="D2311" s="5" t="str">
        <f>HYPERLINK("https://www.linkedin.com/ad-library/detail/1497526576","Open Ad")</f>
        <v>Open Ad</v>
      </c>
      <c r="E2311" s="4" t="s">
        <v>78</v>
      </c>
      <c r="F2311" s="4" t="s">
        <v>54</v>
      </c>
      <c r="G2311" s="4" t="s">
        <v>6234</v>
      </c>
      <c r="H2311" s="4" t="s">
        <v>49</v>
      </c>
      <c r="I2311" s="4" t="s">
        <v>6005</v>
      </c>
      <c r="J2311" s="4" t="s">
        <v>78</v>
      </c>
      <c r="K2311" s="5" t="str">
        <f>HYPERLINK("https://media.licdn.com/dms/image/v2/D5610AQGeqnWAUh7epw/image-shrink_1280/B56Z9JWXKUJoAc-/0/1783642026908/StaticA_1_1png?e=2147483647&amp;v=beta&amp;t=VtoLRIIvB_6SmNkFagK7x5k7ozf_O0g25FDHr-3O0Cg","View Creative")</f>
        <v>View Creative</v>
      </c>
      <c r="L2311" s="4" t="s">
        <v>106</v>
      </c>
      <c r="M2311" s="4" t="s">
        <v>5965</v>
      </c>
      <c r="O2311" s="4" t="s">
        <v>63</v>
      </c>
      <c r="P2311" s="4" t="s">
        <v>64</v>
      </c>
    </row>
    <row r="2312">
      <c r="A2312" s="4" t="s">
        <v>5965</v>
      </c>
      <c r="B2312" s="4" t="s">
        <v>5965</v>
      </c>
      <c r="C2312" s="4">
        <v>701.0</v>
      </c>
      <c r="D2312" s="5" t="str">
        <f>HYPERLINK("https://www.linkedin.com/ad-library/detail/1494080456","Open Ad")</f>
        <v>Open Ad</v>
      </c>
      <c r="E2312" s="4" t="s">
        <v>78</v>
      </c>
      <c r="F2312" s="4" t="s">
        <v>54</v>
      </c>
      <c r="G2312" s="4" t="s">
        <v>6397</v>
      </c>
      <c r="H2312" s="4" t="s">
        <v>49</v>
      </c>
      <c r="I2312" s="4" t="s">
        <v>6005</v>
      </c>
      <c r="J2312" s="4" t="s">
        <v>78</v>
      </c>
      <c r="K2312" s="5" t="str">
        <f>HYPERLINK("https://media.licdn.com/dms/image/v2/D5622AQEyWmxDtBsI-A/feedshare-shrink_1280/B56Z84mCfvG4AM-/0/1783360925115?e=2147483647&amp;v=beta&amp;t=1c8ZwHdCiWcC3tPm0-oI1DcR9hvnGwRBtogB-swWYhQ","View Creative")</f>
        <v>View Creative</v>
      </c>
      <c r="L2312" s="4" t="s">
        <v>106</v>
      </c>
      <c r="M2312" s="4" t="s">
        <v>5965</v>
      </c>
      <c r="O2312" s="4" t="s">
        <v>63</v>
      </c>
      <c r="P2312" s="4" t="s">
        <v>64</v>
      </c>
    </row>
    <row r="2313">
      <c r="A2313" s="4" t="s">
        <v>5965</v>
      </c>
      <c r="B2313" s="4" t="s">
        <v>5965</v>
      </c>
      <c r="C2313" s="4">
        <v>702.0</v>
      </c>
      <c r="D2313" s="5" t="str">
        <f>HYPERLINK("https://www.linkedin.com/ad-library/detail/1497604166","Open Ad")</f>
        <v>Open Ad</v>
      </c>
      <c r="E2313" s="4" t="s">
        <v>78</v>
      </c>
      <c r="F2313" s="4" t="s">
        <v>54</v>
      </c>
      <c r="G2313" s="4" t="s">
        <v>6227</v>
      </c>
      <c r="H2313" s="4" t="s">
        <v>49</v>
      </c>
      <c r="I2313" s="4" t="s">
        <v>6005</v>
      </c>
      <c r="J2313" s="4" t="s">
        <v>78</v>
      </c>
      <c r="K2313" s="5" t="str">
        <f>HYPERLINK("https://media.licdn.com/dms/image/v2/D5610AQGeqnWAUh7epw/image-shrink_1280/B56Z9JWXKUJoAc-/0/1783642026908/StaticA_1_1png?e=2147483647&amp;v=beta&amp;t=VtoLRIIvB_6SmNkFagK7x5k7ozf_O0g25FDHr-3O0Cg","View Creative")</f>
        <v>View Creative</v>
      </c>
      <c r="L2313" s="4" t="s">
        <v>106</v>
      </c>
      <c r="M2313" s="4" t="s">
        <v>5965</v>
      </c>
      <c r="O2313" s="4" t="s">
        <v>63</v>
      </c>
      <c r="P2313" s="4" t="s">
        <v>64</v>
      </c>
    </row>
    <row r="2314">
      <c r="A2314" s="4" t="s">
        <v>5965</v>
      </c>
      <c r="B2314" s="4" t="s">
        <v>5965</v>
      </c>
      <c r="C2314" s="4">
        <v>703.0</v>
      </c>
      <c r="D2314" s="5" t="str">
        <f>HYPERLINK("https://www.linkedin.com/ad-library/detail/1497771396","Open Ad")</f>
        <v>Open Ad</v>
      </c>
      <c r="E2314" s="4" t="s">
        <v>78</v>
      </c>
      <c r="F2314" s="4" t="s">
        <v>54</v>
      </c>
      <c r="G2314" s="4" t="s">
        <v>6251</v>
      </c>
      <c r="H2314" s="4" t="s">
        <v>49</v>
      </c>
      <c r="I2314" s="4" t="s">
        <v>6005</v>
      </c>
      <c r="J2314" s="4" t="s">
        <v>78</v>
      </c>
      <c r="K2314" s="5" t="str">
        <f t="shared" ref="K2314:K2315" si="74">HYPERLINK("https://media.licdn.com/dms/image/v2/D5610AQHEvvijYsI_tQ/image-shrink_1280/B56Z9Mvp9QHUAc-/0/1783698989137/StaticA_1_1png?e=2147483647&amp;v=beta&amp;t=MTZtkJ7l5gqylxrRaIdNRy7LYGh-h4daLFiI3M0fauw","View Creative")</f>
        <v>View Creative</v>
      </c>
      <c r="L2314" s="4" t="s">
        <v>106</v>
      </c>
      <c r="M2314" s="4" t="s">
        <v>5965</v>
      </c>
      <c r="O2314" s="4" t="s">
        <v>63</v>
      </c>
      <c r="P2314" s="4" t="s">
        <v>64</v>
      </c>
    </row>
    <row r="2315">
      <c r="A2315" s="4" t="s">
        <v>5965</v>
      </c>
      <c r="B2315" s="4" t="s">
        <v>5965</v>
      </c>
      <c r="C2315" s="4">
        <v>704.0</v>
      </c>
      <c r="D2315" s="5" t="str">
        <f>HYPERLINK("https://www.linkedin.com/ad-library/detail/1497800836","Open Ad")</f>
        <v>Open Ad</v>
      </c>
      <c r="E2315" s="4" t="s">
        <v>78</v>
      </c>
      <c r="F2315" s="4" t="s">
        <v>54</v>
      </c>
      <c r="G2315" s="4" t="s">
        <v>6254</v>
      </c>
      <c r="H2315" s="4" t="s">
        <v>49</v>
      </c>
      <c r="I2315" s="4" t="s">
        <v>6005</v>
      </c>
      <c r="J2315" s="4" t="s">
        <v>78</v>
      </c>
      <c r="K2315" s="5" t="str">
        <f t="shared" si="74"/>
        <v>View Creative</v>
      </c>
      <c r="L2315" s="4" t="s">
        <v>106</v>
      </c>
      <c r="M2315" s="4" t="s">
        <v>5965</v>
      </c>
      <c r="O2315" s="4" t="s">
        <v>63</v>
      </c>
      <c r="P2315" s="4" t="s">
        <v>64</v>
      </c>
    </row>
    <row r="2316">
      <c r="A2316" s="4" t="s">
        <v>5965</v>
      </c>
      <c r="B2316" s="4" t="s">
        <v>5965</v>
      </c>
      <c r="C2316" s="4">
        <v>705.0</v>
      </c>
      <c r="D2316" s="5" t="str">
        <f>HYPERLINK("https://www.linkedin.com/ad-library/detail/1497810026","Open Ad")</f>
        <v>Open Ad</v>
      </c>
      <c r="E2316" s="4" t="s">
        <v>78</v>
      </c>
      <c r="F2316" s="4" t="s">
        <v>54</v>
      </c>
      <c r="G2316" s="4" t="s">
        <v>6251</v>
      </c>
      <c r="H2316" s="4" t="s">
        <v>49</v>
      </c>
      <c r="I2316" s="4" t="s">
        <v>6005</v>
      </c>
      <c r="J2316" s="4" t="s">
        <v>78</v>
      </c>
      <c r="K2316" s="5" t="str">
        <f>HYPERLINK("https://media.licdn.com/dms/image/v2/D5610AQHtT-BpHIdKlQ/image-shrink_1280/B56Z9Mv_AuGQAc-/0/1783699075522/StaticB_1_1png?e=2147483647&amp;v=beta&amp;t=VVED26XSFFiKyG6WnQSnhBql3EltELrjof_2fGTA4Ok","View Creative")</f>
        <v>View Creative</v>
      </c>
      <c r="L2316" s="4" t="s">
        <v>106</v>
      </c>
      <c r="M2316" s="4" t="s">
        <v>5965</v>
      </c>
      <c r="O2316" s="4" t="s">
        <v>63</v>
      </c>
      <c r="P2316" s="4" t="s">
        <v>64</v>
      </c>
    </row>
    <row r="2317">
      <c r="A2317" s="4" t="s">
        <v>5965</v>
      </c>
      <c r="B2317" s="4" t="s">
        <v>5965</v>
      </c>
      <c r="C2317" s="4">
        <v>706.0</v>
      </c>
      <c r="D2317" s="5" t="str">
        <f>HYPERLINK("https://www.linkedin.com/ad-library/detail/1497570566","Open Ad")</f>
        <v>Open Ad</v>
      </c>
      <c r="E2317" s="4" t="s">
        <v>78</v>
      </c>
      <c r="F2317" s="4" t="s">
        <v>54</v>
      </c>
      <c r="G2317" s="8" t="s">
        <v>6299</v>
      </c>
      <c r="H2317" s="4" t="s">
        <v>49</v>
      </c>
      <c r="I2317" s="4" t="s">
        <v>6005</v>
      </c>
      <c r="J2317" s="4" t="s">
        <v>78</v>
      </c>
      <c r="K2317" s="5" t="str">
        <f>HYPERLINK("https://media.licdn.com/dms/image/v2/D5622AQFPvdKJ2rZGuA/feedshare-shrink_1280/B56Z9DGJizKgAM-/0/1783537114110?e=2147483647&amp;v=beta&amp;t=ibPphT7d-IkefsLLj8zjUziebSWt3eeZJVoLfHU82Kg","View Creative")</f>
        <v>View Creative</v>
      </c>
      <c r="L2317" s="4" t="s">
        <v>106</v>
      </c>
      <c r="M2317" s="4" t="s">
        <v>5965</v>
      </c>
      <c r="O2317" s="4" t="s">
        <v>63</v>
      </c>
      <c r="P2317" s="4" t="s">
        <v>64</v>
      </c>
    </row>
    <row r="2318">
      <c r="A2318" s="4" t="s">
        <v>5965</v>
      </c>
      <c r="B2318" s="4" t="s">
        <v>5965</v>
      </c>
      <c r="C2318" s="4">
        <v>707.0</v>
      </c>
      <c r="D2318" s="5" t="str">
        <f>HYPERLINK("https://www.linkedin.com/ad-library/detail/1493944266","Open Ad")</f>
        <v>Open Ad</v>
      </c>
      <c r="E2318" s="4" t="s">
        <v>78</v>
      </c>
      <c r="F2318" s="4" t="s">
        <v>54</v>
      </c>
      <c r="G2318" s="4" t="s">
        <v>6397</v>
      </c>
      <c r="H2318" s="4" t="s">
        <v>49</v>
      </c>
      <c r="I2318" s="4" t="s">
        <v>6005</v>
      </c>
      <c r="J2318" s="4" t="s">
        <v>78</v>
      </c>
      <c r="K2318" s="5" t="str">
        <f>HYPERLINK("https://media.licdn.com/dms/image/v2/D5622AQEyWmxDtBsI-A/feedshare-shrink_1280/B56Z84mCfvG4AM-/0/1783360925115?e=2147483647&amp;v=beta&amp;t=1c8ZwHdCiWcC3tPm0-oI1DcR9hvnGwRBtogB-swWYhQ","View Creative")</f>
        <v>View Creative</v>
      </c>
      <c r="L2318" s="4" t="s">
        <v>106</v>
      </c>
      <c r="M2318" s="4" t="s">
        <v>5965</v>
      </c>
      <c r="O2318" s="4" t="s">
        <v>63</v>
      </c>
      <c r="P2318" s="4" t="s">
        <v>64</v>
      </c>
    </row>
    <row r="2319">
      <c r="A2319" s="4" t="s">
        <v>5965</v>
      </c>
      <c r="B2319" s="4" t="s">
        <v>5965</v>
      </c>
      <c r="C2319" s="4">
        <v>708.0</v>
      </c>
      <c r="D2319" s="5" t="str">
        <f>HYPERLINK("https://www.linkedin.com/ad-library/detail/1497448576","Open Ad")</f>
        <v>Open Ad</v>
      </c>
      <c r="E2319" s="4" t="s">
        <v>78</v>
      </c>
      <c r="F2319" s="4" t="s">
        <v>54</v>
      </c>
      <c r="G2319" s="4" t="s">
        <v>6227</v>
      </c>
      <c r="H2319" s="4" t="s">
        <v>49</v>
      </c>
      <c r="I2319" s="4" t="s">
        <v>6005</v>
      </c>
      <c r="J2319" s="4" t="s">
        <v>78</v>
      </c>
      <c r="K2319" s="5" t="str">
        <f>HYPERLINK("https://media.licdn.com/dms/image/v2/D5610AQGeqnWAUh7epw/image-shrink_1280/B56Z9JWXKUJoAc-/0/1783642026908/StaticA_1_1png?e=2147483647&amp;v=beta&amp;t=VtoLRIIvB_6SmNkFagK7x5k7ozf_O0g25FDHr-3O0Cg","View Creative")</f>
        <v>View Creative</v>
      </c>
      <c r="L2319" s="4" t="s">
        <v>106</v>
      </c>
      <c r="M2319" s="4" t="s">
        <v>5965</v>
      </c>
      <c r="O2319" s="4" t="s">
        <v>63</v>
      </c>
      <c r="P2319" s="4" t="s">
        <v>64</v>
      </c>
    </row>
    <row r="2320">
      <c r="A2320" s="4" t="s">
        <v>5965</v>
      </c>
      <c r="B2320" s="4" t="s">
        <v>5965</v>
      </c>
      <c r="C2320" s="4">
        <v>709.0</v>
      </c>
      <c r="D2320" s="5" t="str">
        <f>HYPERLINK("https://www.linkedin.com/ad-library/detail/1497395936","Open Ad")</f>
        <v>Open Ad</v>
      </c>
      <c r="E2320" s="4" t="s">
        <v>78</v>
      </c>
      <c r="F2320" s="4" t="s">
        <v>54</v>
      </c>
      <c r="G2320" s="8" t="s">
        <v>6299</v>
      </c>
      <c r="H2320" s="4" t="s">
        <v>49</v>
      </c>
      <c r="I2320" s="4" t="s">
        <v>6005</v>
      </c>
      <c r="J2320" s="4" t="s">
        <v>78</v>
      </c>
      <c r="K2320" s="5" t="str">
        <f>HYPERLINK("https://media.licdn.com/dms/image/v2/D5622AQFPvdKJ2rZGuA/feedshare-shrink_1280/B56Z9DGJizKgAM-/0/1783537114110?e=2147483647&amp;v=beta&amp;t=ibPphT7d-IkefsLLj8zjUziebSWt3eeZJVoLfHU82Kg","View Creative")</f>
        <v>View Creative</v>
      </c>
      <c r="L2320" s="4" t="s">
        <v>106</v>
      </c>
      <c r="M2320" s="4" t="s">
        <v>5965</v>
      </c>
      <c r="O2320" s="4" t="s">
        <v>63</v>
      </c>
      <c r="P2320" s="4" t="s">
        <v>64</v>
      </c>
    </row>
    <row r="2321">
      <c r="A2321" s="4" t="s">
        <v>5965</v>
      </c>
      <c r="B2321" s="4" t="s">
        <v>5965</v>
      </c>
      <c r="C2321" s="4">
        <v>710.0</v>
      </c>
      <c r="D2321" s="5" t="str">
        <f>HYPERLINK("https://www.linkedin.com/ad-library/detail/1497742116","Open Ad")</f>
        <v>Open Ad</v>
      </c>
      <c r="E2321" s="4" t="s">
        <v>78</v>
      </c>
      <c r="F2321" s="4" t="s">
        <v>54</v>
      </c>
      <c r="G2321" s="4" t="s">
        <v>6251</v>
      </c>
      <c r="H2321" s="4" t="s">
        <v>49</v>
      </c>
      <c r="I2321" s="4" t="s">
        <v>6005</v>
      </c>
      <c r="J2321" s="4" t="s">
        <v>78</v>
      </c>
      <c r="K2321" s="5" t="str">
        <f>HYPERLINK("https://media.licdn.com/dms/image/v2/D5610AQHEvvijYsI_tQ/image-shrink_1280/B56Z9Mvp9QHUAc-/0/1783698989137/StaticA_1_1png?e=2147483647&amp;v=beta&amp;t=MTZtkJ7l5gqylxrRaIdNRy7LYGh-h4daLFiI3M0fauw","View Creative")</f>
        <v>View Creative</v>
      </c>
      <c r="L2321" s="4" t="s">
        <v>106</v>
      </c>
      <c r="M2321" s="4" t="s">
        <v>5965</v>
      </c>
      <c r="O2321" s="4" t="s">
        <v>63</v>
      </c>
      <c r="P2321" s="4" t="s">
        <v>64</v>
      </c>
    </row>
    <row r="2322">
      <c r="A2322" s="4" t="s">
        <v>5965</v>
      </c>
      <c r="B2322" s="4" t="s">
        <v>5965</v>
      </c>
      <c r="C2322" s="4">
        <v>711.0</v>
      </c>
      <c r="D2322" s="5" t="str">
        <f>HYPERLINK("https://www.linkedin.com/ad-library/detail/1497521716","Open Ad")</f>
        <v>Open Ad</v>
      </c>
      <c r="E2322" s="4" t="s">
        <v>78</v>
      </c>
      <c r="F2322" s="4" t="s">
        <v>54</v>
      </c>
      <c r="G2322" s="8" t="s">
        <v>6299</v>
      </c>
      <c r="H2322" s="4" t="s">
        <v>49</v>
      </c>
      <c r="I2322" s="4" t="s">
        <v>6005</v>
      </c>
      <c r="J2322" s="4" t="s">
        <v>78</v>
      </c>
      <c r="K2322" s="5" t="str">
        <f t="shared" ref="K2322:K2323" si="75">HYPERLINK("https://media.licdn.com/dms/image/v2/D5622AQFPvdKJ2rZGuA/feedshare-shrink_1280/B56Z9DGJizKgAM-/0/1783537114110?e=2147483647&amp;v=beta&amp;t=ibPphT7d-IkefsLLj8zjUziebSWt3eeZJVoLfHU82Kg","View Creative")</f>
        <v>View Creative</v>
      </c>
      <c r="L2322" s="4" t="s">
        <v>106</v>
      </c>
      <c r="M2322" s="4" t="s">
        <v>5965</v>
      </c>
      <c r="O2322" s="4" t="s">
        <v>63</v>
      </c>
      <c r="P2322" s="4" t="s">
        <v>64</v>
      </c>
    </row>
    <row r="2323">
      <c r="A2323" s="4" t="s">
        <v>5965</v>
      </c>
      <c r="B2323" s="4" t="s">
        <v>5965</v>
      </c>
      <c r="C2323" s="4">
        <v>712.0</v>
      </c>
      <c r="D2323" s="5" t="str">
        <f>HYPERLINK("https://www.linkedin.com/ad-library/detail/1497444236","Open Ad")</f>
        <v>Open Ad</v>
      </c>
      <c r="E2323" s="4" t="s">
        <v>78</v>
      </c>
      <c r="F2323" s="4" t="s">
        <v>54</v>
      </c>
      <c r="G2323" s="8" t="s">
        <v>6299</v>
      </c>
      <c r="H2323" s="4" t="s">
        <v>49</v>
      </c>
      <c r="I2323" s="4" t="s">
        <v>6005</v>
      </c>
      <c r="J2323" s="4" t="s">
        <v>78</v>
      </c>
      <c r="K2323" s="5" t="str">
        <f t="shared" si="75"/>
        <v>View Creative</v>
      </c>
      <c r="L2323" s="4" t="s">
        <v>106</v>
      </c>
      <c r="M2323" s="4" t="s">
        <v>5965</v>
      </c>
      <c r="O2323" s="4" t="s">
        <v>63</v>
      </c>
      <c r="P2323" s="4" t="s">
        <v>64</v>
      </c>
    </row>
    <row r="2324">
      <c r="A2324" s="4" t="s">
        <v>5965</v>
      </c>
      <c r="B2324" s="4" t="s">
        <v>5965</v>
      </c>
      <c r="C2324" s="4">
        <v>713.0</v>
      </c>
      <c r="D2324" s="5" t="str">
        <f>HYPERLINK("https://www.linkedin.com/ad-library/detail/1497628206","Open Ad")</f>
        <v>Open Ad</v>
      </c>
      <c r="E2324" s="4" t="s">
        <v>78</v>
      </c>
      <c r="F2324" s="4" t="s">
        <v>54</v>
      </c>
      <c r="G2324" s="4" t="s">
        <v>6254</v>
      </c>
      <c r="H2324" s="4" t="s">
        <v>49</v>
      </c>
      <c r="I2324" s="4" t="s">
        <v>6005</v>
      </c>
      <c r="J2324" s="4" t="s">
        <v>78</v>
      </c>
      <c r="K2324" s="5" t="str">
        <f>HYPERLINK("https://media.licdn.com/dms/image/v2/D5610AQHEvvijYsI_tQ/image-shrink_1280/B56Z9Mvp9QHUAc-/0/1783698989137/StaticA_1_1png?e=2147483647&amp;v=beta&amp;t=MTZtkJ7l5gqylxrRaIdNRy7LYGh-h4daLFiI3M0fauw","View Creative")</f>
        <v>View Creative</v>
      </c>
      <c r="L2324" s="4" t="s">
        <v>106</v>
      </c>
      <c r="M2324" s="4" t="s">
        <v>5965</v>
      </c>
      <c r="O2324" s="4" t="s">
        <v>63</v>
      </c>
      <c r="P2324" s="4" t="s">
        <v>64</v>
      </c>
    </row>
    <row r="2325">
      <c r="A2325" s="4" t="s">
        <v>5965</v>
      </c>
      <c r="B2325" s="4" t="s">
        <v>5965</v>
      </c>
      <c r="C2325" s="4">
        <v>714.0</v>
      </c>
      <c r="D2325" s="5" t="str">
        <f>HYPERLINK("https://www.linkedin.com/ad-library/detail/1493964036","Open Ad")</f>
        <v>Open Ad</v>
      </c>
      <c r="E2325" s="4" t="s">
        <v>78</v>
      </c>
      <c r="F2325" s="4" t="s">
        <v>54</v>
      </c>
      <c r="G2325" s="4" t="s">
        <v>6397</v>
      </c>
      <c r="H2325" s="4" t="s">
        <v>49</v>
      </c>
      <c r="I2325" s="4" t="s">
        <v>6005</v>
      </c>
      <c r="J2325" s="4" t="s">
        <v>78</v>
      </c>
      <c r="K2325" s="5" t="str">
        <f>HYPERLINK("https://media.licdn.com/dms/image/v2/D5622AQEyWmxDtBsI-A/feedshare-shrink_1280/B56Z84mCfvG4AM-/0/1783360925115?e=2147483647&amp;v=beta&amp;t=1c8ZwHdCiWcC3tPm0-oI1DcR9hvnGwRBtogB-swWYhQ","View Creative")</f>
        <v>View Creative</v>
      </c>
      <c r="L2325" s="4" t="s">
        <v>106</v>
      </c>
      <c r="M2325" s="4" t="s">
        <v>5965</v>
      </c>
      <c r="O2325" s="4" t="s">
        <v>63</v>
      </c>
      <c r="P2325" s="4" t="s">
        <v>64</v>
      </c>
    </row>
    <row r="2326">
      <c r="A2326" s="4" t="s">
        <v>5965</v>
      </c>
      <c r="B2326" s="4" t="s">
        <v>5965</v>
      </c>
      <c r="C2326" s="4">
        <v>715.0</v>
      </c>
      <c r="D2326" s="5" t="str">
        <f>HYPERLINK("https://www.linkedin.com/ad-library/detail/1497628216","Open Ad")</f>
        <v>Open Ad</v>
      </c>
      <c r="E2326" s="4" t="s">
        <v>78</v>
      </c>
      <c r="F2326" s="4" t="s">
        <v>54</v>
      </c>
      <c r="G2326" s="4" t="s">
        <v>6254</v>
      </c>
      <c r="H2326" s="4" t="s">
        <v>49</v>
      </c>
      <c r="I2326" s="4" t="s">
        <v>6005</v>
      </c>
      <c r="J2326" s="4" t="s">
        <v>78</v>
      </c>
      <c r="K2326" s="5" t="str">
        <f>HYPERLINK("https://media.licdn.com/dms/image/v2/D5610AQHtT-BpHIdKlQ/image-shrink_1280/B56Z9Mv_AuGQAc-/0/1783699075522/StaticB_1_1png?e=2147483647&amp;v=beta&amp;t=VVED26XSFFiKyG6WnQSnhBql3EltELrjof_2fGTA4Ok","View Creative")</f>
        <v>View Creative</v>
      </c>
      <c r="L2326" s="4" t="s">
        <v>106</v>
      </c>
      <c r="M2326" s="4" t="s">
        <v>5965</v>
      </c>
      <c r="O2326" s="4" t="s">
        <v>63</v>
      </c>
      <c r="P2326" s="4" t="s">
        <v>64</v>
      </c>
    </row>
    <row r="2327">
      <c r="A2327" s="4" t="s">
        <v>5965</v>
      </c>
      <c r="B2327" s="4" t="s">
        <v>5965</v>
      </c>
      <c r="C2327" s="4">
        <v>716.0</v>
      </c>
      <c r="D2327" s="5" t="str">
        <f>HYPERLINK("https://www.linkedin.com/ad-library/detail/1497565736","Open Ad")</f>
        <v>Open Ad</v>
      </c>
      <c r="E2327" s="4" t="s">
        <v>78</v>
      </c>
      <c r="F2327" s="4" t="s">
        <v>54</v>
      </c>
      <c r="G2327" s="4" t="s">
        <v>6227</v>
      </c>
      <c r="H2327" s="4" t="s">
        <v>49</v>
      </c>
      <c r="I2327" s="4" t="s">
        <v>6005</v>
      </c>
      <c r="J2327" s="4" t="s">
        <v>78</v>
      </c>
      <c r="K2327" s="5" t="str">
        <f>HYPERLINK("https://media.licdn.com/dms/image/v2/D5610AQGeqnWAUh7epw/image-shrink_1280/B56Z9JWXKUJoAc-/0/1783642026908/StaticA_1_1png?e=2147483647&amp;v=beta&amp;t=VtoLRIIvB_6SmNkFagK7x5k7ozf_O0g25FDHr-3O0Cg","View Creative")</f>
        <v>View Creative</v>
      </c>
      <c r="L2327" s="4" t="s">
        <v>106</v>
      </c>
      <c r="M2327" s="4" t="s">
        <v>5965</v>
      </c>
      <c r="O2327" s="4" t="s">
        <v>63</v>
      </c>
      <c r="P2327" s="4" t="s">
        <v>64</v>
      </c>
    </row>
    <row r="2328">
      <c r="A2328" s="4" t="s">
        <v>5965</v>
      </c>
      <c r="B2328" s="4" t="s">
        <v>5965</v>
      </c>
      <c r="C2328" s="4">
        <v>717.0</v>
      </c>
      <c r="D2328" s="5" t="str">
        <f>HYPERLINK("https://www.linkedin.com/ad-library/detail/1497379016","Open Ad")</f>
        <v>Open Ad</v>
      </c>
      <c r="E2328" s="4" t="s">
        <v>78</v>
      </c>
      <c r="F2328" s="4" t="s">
        <v>54</v>
      </c>
      <c r="G2328" s="8" t="s">
        <v>6299</v>
      </c>
      <c r="H2328" s="4" t="s">
        <v>49</v>
      </c>
      <c r="I2328" s="4" t="s">
        <v>6398</v>
      </c>
      <c r="J2328" s="4" t="s">
        <v>78</v>
      </c>
      <c r="K2328" s="5" t="str">
        <f>HYPERLINK("https://media.licdn.com/dms/image/v2/D5622AQFPvdKJ2rZGuA/feedshare-shrink_1280/B56Z9DGJizKgAM-/0/1783537114110?e=2147483647&amp;v=beta&amp;t=ibPphT7d-IkefsLLj8zjUziebSWt3eeZJVoLfHU82Kg","View Creative")</f>
        <v>View Creative</v>
      </c>
      <c r="L2328" s="4" t="s">
        <v>106</v>
      </c>
      <c r="M2328" s="4" t="s">
        <v>5965</v>
      </c>
      <c r="O2328" s="4" t="s">
        <v>74</v>
      </c>
      <c r="P2328" s="4" t="s">
        <v>6399</v>
      </c>
    </row>
    <row r="2329">
      <c r="A2329" s="4" t="s">
        <v>5965</v>
      </c>
      <c r="B2329" s="4" t="s">
        <v>5965</v>
      </c>
      <c r="C2329" s="4">
        <v>718.0</v>
      </c>
      <c r="D2329" s="5" t="str">
        <f>HYPERLINK("https://www.linkedin.com/ad-library/detail/1494050926","Open Ad")</f>
        <v>Open Ad</v>
      </c>
      <c r="E2329" s="4" t="s">
        <v>78</v>
      </c>
      <c r="F2329" s="4" t="s">
        <v>54</v>
      </c>
      <c r="G2329" s="4" t="s">
        <v>6397</v>
      </c>
      <c r="H2329" s="4" t="s">
        <v>49</v>
      </c>
      <c r="I2329" s="4" t="s">
        <v>6005</v>
      </c>
      <c r="J2329" s="4" t="s">
        <v>78</v>
      </c>
      <c r="K2329" s="5" t="str">
        <f>HYPERLINK("https://media.licdn.com/dms/image/v2/D5622AQEyWmxDtBsI-A/feedshare-shrink_1280/B56Z84mCfvG4AM-/0/1783360925115?e=2147483647&amp;v=beta&amp;t=1c8ZwHdCiWcC3tPm0-oI1DcR9hvnGwRBtogB-swWYhQ","View Creative")</f>
        <v>View Creative</v>
      </c>
      <c r="L2329" s="4" t="s">
        <v>106</v>
      </c>
      <c r="M2329" s="4" t="s">
        <v>5965</v>
      </c>
      <c r="O2329" s="4" t="s">
        <v>63</v>
      </c>
      <c r="P2329" s="4" t="s">
        <v>64</v>
      </c>
    </row>
    <row r="2330">
      <c r="A2330" s="4" t="s">
        <v>5965</v>
      </c>
      <c r="B2330" s="4" t="s">
        <v>5965</v>
      </c>
      <c r="C2330" s="4">
        <v>719.0</v>
      </c>
      <c r="D2330" s="5" t="str">
        <f>HYPERLINK("https://www.linkedin.com/ad-library/detail/1497419666","Open Ad")</f>
        <v>Open Ad</v>
      </c>
      <c r="E2330" s="4" t="s">
        <v>78</v>
      </c>
      <c r="F2330" s="4" t="s">
        <v>54</v>
      </c>
      <c r="G2330" s="4" t="s">
        <v>6234</v>
      </c>
      <c r="H2330" s="4" t="s">
        <v>49</v>
      </c>
      <c r="I2330" s="4" t="s">
        <v>6005</v>
      </c>
      <c r="J2330" s="4" t="s">
        <v>78</v>
      </c>
      <c r="K2330" s="5" t="str">
        <f>HYPERLINK("https://media.licdn.com/dms/image/v2/D5610AQGeqnWAUh7epw/image-shrink_1280/B56Z9JWXKUJoAc-/0/1783642026908/StaticA_1_1png?e=2147483647&amp;v=beta&amp;t=VtoLRIIvB_6SmNkFagK7x5k7ozf_O0g25FDHr-3O0Cg","View Creative")</f>
        <v>View Creative</v>
      </c>
      <c r="L2330" s="4" t="s">
        <v>106</v>
      </c>
      <c r="M2330" s="4" t="s">
        <v>5965</v>
      </c>
      <c r="O2330" s="4" t="s">
        <v>63</v>
      </c>
      <c r="P2330" s="4" t="s">
        <v>64</v>
      </c>
    </row>
    <row r="2331">
      <c r="A2331" s="4" t="s">
        <v>5965</v>
      </c>
      <c r="B2331" s="4" t="s">
        <v>5965</v>
      </c>
      <c r="C2331" s="4">
        <v>720.0</v>
      </c>
      <c r="D2331" s="5" t="str">
        <f>HYPERLINK("https://www.linkedin.com/ad-library/detail/1497477426","Open Ad")</f>
        <v>Open Ad</v>
      </c>
      <c r="E2331" s="4" t="s">
        <v>78</v>
      </c>
      <c r="F2331" s="4" t="s">
        <v>54</v>
      </c>
      <c r="G2331" s="4" t="s">
        <v>6400</v>
      </c>
      <c r="H2331" s="4" t="s">
        <v>49</v>
      </c>
      <c r="I2331" s="4" t="s">
        <v>6005</v>
      </c>
      <c r="J2331" s="4" t="s">
        <v>78</v>
      </c>
      <c r="K2331" s="5" t="str">
        <f>HYPERLINK("https://media.licdn.com/dms/image/v2/D5610AQHoviLs2rErVg/image-shrink_1280/B56Z9IeyIrKEAc-/0/1783627457914?e=2147483647&amp;v=beta&amp;t=DSWfNqLakyhxV811UgcnawsSMqm5pxAl3-NG_Duc3DM","View Creative")</f>
        <v>View Creative</v>
      </c>
      <c r="L2331" s="4" t="s">
        <v>106</v>
      </c>
      <c r="M2331" s="4" t="s">
        <v>5965</v>
      </c>
      <c r="O2331" s="4" t="s">
        <v>63</v>
      </c>
      <c r="P2331" s="4" t="s">
        <v>64</v>
      </c>
    </row>
    <row r="2332">
      <c r="A2332" s="4" t="s">
        <v>5965</v>
      </c>
      <c r="B2332" s="4" t="s">
        <v>5965</v>
      </c>
      <c r="C2332" s="4">
        <v>721.0</v>
      </c>
      <c r="D2332" s="5" t="str">
        <f>HYPERLINK("https://www.linkedin.com/ad-library/detail/1493205906","Open Ad")</f>
        <v>Open Ad</v>
      </c>
      <c r="E2332" s="4" t="s">
        <v>78</v>
      </c>
      <c r="F2332" s="4" t="s">
        <v>54</v>
      </c>
      <c r="G2332" s="4" t="s">
        <v>6401</v>
      </c>
      <c r="H2332" s="4" t="s">
        <v>49</v>
      </c>
      <c r="I2332" s="4" t="s">
        <v>6005</v>
      </c>
      <c r="J2332" s="4" t="s">
        <v>78</v>
      </c>
      <c r="K2332" s="5" t="str">
        <f>HYPERLINK("https://media.licdn.com/dms/image/v2/D5610AQG-W0vfYlacXw/image-shrink_1280/B56Z85F8wlGQAc-/0/1783369288973/A_BW-1png?e=2147483647&amp;v=beta&amp;t=C8e2mjB9GcYKOdzzPPOGSMDzF2XyvmVPQN4iBzoWq_0","View Creative")</f>
        <v>View Creative</v>
      </c>
      <c r="L2332" s="4" t="s">
        <v>106</v>
      </c>
      <c r="M2332" s="4" t="s">
        <v>5965</v>
      </c>
      <c r="O2332" s="4" t="s">
        <v>63</v>
      </c>
      <c r="P2332" s="4" t="s">
        <v>64</v>
      </c>
    </row>
    <row r="2333">
      <c r="A2333" s="4" t="s">
        <v>5965</v>
      </c>
      <c r="B2333" s="4" t="s">
        <v>5965</v>
      </c>
      <c r="C2333" s="4">
        <v>722.0</v>
      </c>
      <c r="D2333" s="5" t="str">
        <f>HYPERLINK("https://www.linkedin.com/ad-library/detail/1493954406","Open Ad")</f>
        <v>Open Ad</v>
      </c>
      <c r="E2333" s="4" t="s">
        <v>78</v>
      </c>
      <c r="F2333" s="4" t="s">
        <v>54</v>
      </c>
      <c r="G2333" s="4" t="s">
        <v>6402</v>
      </c>
      <c r="H2333" s="4" t="s">
        <v>49</v>
      </c>
      <c r="I2333" s="4" t="s">
        <v>6005</v>
      </c>
      <c r="J2333" s="4" t="s">
        <v>78</v>
      </c>
      <c r="K2333" s="5" t="str">
        <f>HYPERLINK("https://media.licdn.com/dms/image/v2/D5610AQHnyqxk84j6Mg/image-shrink_1280/B56Z85LWF3G4Ac-/0/1783370704095?e=2147483647&amp;v=beta&amp;t=A_1Yy4MBJCEF4FZeXy8kgoYqe2AGlkNH7pDc8Sdm3-s","View Creative")</f>
        <v>View Creative</v>
      </c>
      <c r="L2333" s="4" t="s">
        <v>106</v>
      </c>
      <c r="M2333" s="4" t="s">
        <v>5965</v>
      </c>
      <c r="O2333" s="4" t="s">
        <v>63</v>
      </c>
      <c r="P2333" s="4" t="s">
        <v>64</v>
      </c>
    </row>
    <row r="2334">
      <c r="A2334" s="4" t="s">
        <v>5965</v>
      </c>
      <c r="B2334" s="4" t="s">
        <v>5965</v>
      </c>
      <c r="C2334" s="4">
        <v>723.0</v>
      </c>
      <c r="D2334" s="5" t="str">
        <f>HYPERLINK("https://www.linkedin.com/ad-library/detail/1493331866","Open Ad")</f>
        <v>Open Ad</v>
      </c>
      <c r="E2334" s="4" t="s">
        <v>78</v>
      </c>
      <c r="F2334" s="4" t="s">
        <v>54</v>
      </c>
      <c r="G2334" s="4" t="s">
        <v>6403</v>
      </c>
      <c r="H2334" s="4" t="s">
        <v>49</v>
      </c>
      <c r="I2334" s="4" t="s">
        <v>6005</v>
      </c>
      <c r="J2334" s="4" t="s">
        <v>78</v>
      </c>
      <c r="K2334" s="5" t="str">
        <f>HYPERLINK("https://media.licdn.com/dms/image/v2/D5610AQHCYdBxt7VRwA/image-shrink_1280/B56Z85GUc9IMAc-/0/1783369386053/B_colorpng?e=2147483647&amp;v=beta&amp;t=i9aat7HuIK6ApjhGLZw1eNfyrFSLgDXwpNird8uNkNE","View Creative")</f>
        <v>View Creative</v>
      </c>
      <c r="L2334" s="4" t="s">
        <v>106</v>
      </c>
      <c r="M2334" s="4" t="s">
        <v>5965</v>
      </c>
      <c r="O2334" s="4" t="s">
        <v>63</v>
      </c>
      <c r="P2334" s="4" t="s">
        <v>64</v>
      </c>
    </row>
    <row r="2335">
      <c r="A2335" s="4" t="s">
        <v>5965</v>
      </c>
      <c r="B2335" s="4" t="s">
        <v>5965</v>
      </c>
      <c r="C2335" s="4">
        <v>724.0</v>
      </c>
      <c r="D2335" s="5" t="str">
        <f>HYPERLINK("https://www.linkedin.com/ad-library/detail/1489334226","Open Ad")</f>
        <v>Open Ad</v>
      </c>
      <c r="E2335" s="4" t="s">
        <v>78</v>
      </c>
      <c r="F2335" s="4" t="s">
        <v>54</v>
      </c>
      <c r="G2335" s="4" t="s">
        <v>6033</v>
      </c>
      <c r="H2335" s="4" t="s">
        <v>49</v>
      </c>
      <c r="I2335" s="4" t="s">
        <v>6005</v>
      </c>
      <c r="J2335" s="4" t="s">
        <v>78</v>
      </c>
      <c r="K2335" s="4" t="s">
        <v>59</v>
      </c>
      <c r="L2335" s="4" t="s">
        <v>106</v>
      </c>
      <c r="M2335" s="4" t="s">
        <v>5965</v>
      </c>
      <c r="O2335" s="4" t="s">
        <v>63</v>
      </c>
      <c r="P2335" s="4" t="s">
        <v>64</v>
      </c>
    </row>
    <row r="2336">
      <c r="A2336" s="4" t="s">
        <v>5965</v>
      </c>
      <c r="B2336" s="4" t="s">
        <v>5965</v>
      </c>
      <c r="C2336" s="4">
        <v>725.0</v>
      </c>
      <c r="D2336" s="5" t="str">
        <f>HYPERLINK("https://www.linkedin.com/ad-library/detail/1494080446","Open Ad")</f>
        <v>Open Ad</v>
      </c>
      <c r="E2336" s="4" t="s">
        <v>78</v>
      </c>
      <c r="F2336" s="4" t="s">
        <v>54</v>
      </c>
      <c r="G2336" s="4" t="s">
        <v>6397</v>
      </c>
      <c r="H2336" s="4" t="s">
        <v>49</v>
      </c>
      <c r="I2336" s="4" t="s">
        <v>6005</v>
      </c>
      <c r="J2336" s="4" t="s">
        <v>78</v>
      </c>
      <c r="K2336" s="5" t="str">
        <f>HYPERLINK("https://media.licdn.com/dms/image/v2/D5622AQEyWmxDtBsI-A/feedshare-shrink_1280/B56Z84mCfvG4AM-/0/1783360925115?e=2147483647&amp;v=beta&amp;t=1c8ZwHdCiWcC3tPm0-oI1DcR9hvnGwRBtogB-swWYhQ","View Creative")</f>
        <v>View Creative</v>
      </c>
      <c r="L2336" s="4" t="s">
        <v>106</v>
      </c>
      <c r="M2336" s="4" t="s">
        <v>5965</v>
      </c>
      <c r="O2336" s="4" t="s">
        <v>63</v>
      </c>
      <c r="P2336" s="4" t="s">
        <v>64</v>
      </c>
    </row>
    <row r="2337">
      <c r="A2337" s="4" t="s">
        <v>5965</v>
      </c>
      <c r="B2337" s="4" t="s">
        <v>5965</v>
      </c>
      <c r="C2337" s="4">
        <v>726.0</v>
      </c>
      <c r="D2337" s="5" t="str">
        <f>HYPERLINK("https://www.linkedin.com/ad-library/detail/1493380176","Open Ad")</f>
        <v>Open Ad</v>
      </c>
      <c r="E2337" s="4" t="s">
        <v>78</v>
      </c>
      <c r="F2337" s="4" t="s">
        <v>54</v>
      </c>
      <c r="G2337" s="4" t="s">
        <v>6401</v>
      </c>
      <c r="H2337" s="4" t="s">
        <v>49</v>
      </c>
      <c r="I2337" s="4" t="s">
        <v>6005</v>
      </c>
      <c r="J2337" s="4" t="s">
        <v>78</v>
      </c>
      <c r="K2337" s="5" t="str">
        <f t="shared" ref="K2337:K2338" si="76">HYPERLINK("https://media.licdn.com/dms/image/v2/D5610AQG-W0vfYlacXw/image-shrink_1280/B56Z85F8wlGQAc-/0/1783369288973/A_BW-1png?e=2147483647&amp;v=beta&amp;t=C8e2mjB9GcYKOdzzPPOGSMDzF2XyvmVPQN4iBzoWq_0","View Creative")</f>
        <v>View Creative</v>
      </c>
      <c r="L2337" s="4" t="s">
        <v>106</v>
      </c>
      <c r="M2337" s="4" t="s">
        <v>5965</v>
      </c>
      <c r="O2337" s="4" t="s">
        <v>63</v>
      </c>
      <c r="P2337" s="4" t="s">
        <v>64</v>
      </c>
    </row>
    <row r="2338">
      <c r="A2338" s="4" t="s">
        <v>5965</v>
      </c>
      <c r="B2338" s="4" t="s">
        <v>5965</v>
      </c>
      <c r="C2338" s="4">
        <v>727.0</v>
      </c>
      <c r="D2338" s="5" t="str">
        <f>HYPERLINK("https://www.linkedin.com/ad-library/detail/1493185426","Open Ad")</f>
        <v>Open Ad</v>
      </c>
      <c r="E2338" s="4" t="s">
        <v>78</v>
      </c>
      <c r="F2338" s="4" t="s">
        <v>54</v>
      </c>
      <c r="G2338" s="4" t="s">
        <v>6401</v>
      </c>
      <c r="H2338" s="4" t="s">
        <v>49</v>
      </c>
      <c r="I2338" s="4" t="s">
        <v>6005</v>
      </c>
      <c r="J2338" s="4" t="s">
        <v>78</v>
      </c>
      <c r="K2338" s="5" t="str">
        <f t="shared" si="76"/>
        <v>View Creative</v>
      </c>
      <c r="L2338" s="4" t="s">
        <v>106</v>
      </c>
      <c r="M2338" s="4" t="s">
        <v>5965</v>
      </c>
      <c r="O2338" s="4" t="s">
        <v>63</v>
      </c>
      <c r="P2338" s="4" t="s">
        <v>64</v>
      </c>
    </row>
    <row r="2339">
      <c r="A2339" s="4" t="s">
        <v>5965</v>
      </c>
      <c r="B2339" s="4" t="s">
        <v>5965</v>
      </c>
      <c r="C2339" s="4">
        <v>728.0</v>
      </c>
      <c r="D2339" s="5" t="str">
        <f>HYPERLINK("https://www.linkedin.com/ad-library/detail/1489480296","Open Ad")</f>
        <v>Open Ad</v>
      </c>
      <c r="E2339" s="4" t="s">
        <v>121</v>
      </c>
      <c r="F2339" s="4" t="s">
        <v>54</v>
      </c>
      <c r="G2339" s="4" t="s">
        <v>6386</v>
      </c>
      <c r="H2339" s="4" t="s">
        <v>49</v>
      </c>
      <c r="I2339" s="4" t="s">
        <v>6005</v>
      </c>
      <c r="J2339" s="4" t="s">
        <v>121</v>
      </c>
      <c r="K2339" s="5" t="str">
        <f>HYPERLINK("https://dms.licdn.com/playlist/vid/v2/D5610AQGPpIHkVJhCaA/mp4-640p-30fp-crf28/B56Z83aF5UG4BI-/0/1783341024306?e=2147483647&amp;v=beta&amp;t=6aPscOhwfZC6LVqbrnkx1wzDAaGeDks-p4lXPr_L8Fs","View Creative")</f>
        <v>View Creative</v>
      </c>
      <c r="L2339" s="4" t="s">
        <v>106</v>
      </c>
      <c r="M2339" s="4" t="s">
        <v>5965</v>
      </c>
      <c r="O2339" s="4" t="s">
        <v>63</v>
      </c>
      <c r="P2339" s="4" t="s">
        <v>64</v>
      </c>
    </row>
    <row r="2340">
      <c r="A2340" s="4" t="s">
        <v>5965</v>
      </c>
      <c r="B2340" s="4" t="s">
        <v>5965</v>
      </c>
      <c r="C2340" s="4">
        <v>729.0</v>
      </c>
      <c r="D2340" s="5" t="str">
        <f>HYPERLINK("https://www.linkedin.com/ad-library/detail/1493331466","Open Ad")</f>
        <v>Open Ad</v>
      </c>
      <c r="E2340" s="4" t="s">
        <v>78</v>
      </c>
      <c r="F2340" s="4" t="s">
        <v>54</v>
      </c>
      <c r="G2340" s="4" t="s">
        <v>6403</v>
      </c>
      <c r="H2340" s="4" t="s">
        <v>49</v>
      </c>
      <c r="I2340" s="4" t="s">
        <v>6005</v>
      </c>
      <c r="J2340" s="4" t="s">
        <v>78</v>
      </c>
      <c r="K2340" s="5" t="str">
        <f>HYPERLINK("https://media.licdn.com/dms/image/v2/D5610AQG-W0vfYlacXw/image-shrink_1280/B56Z85F8wlGQAc-/0/1783369288973/A_BW-1png?e=2147483647&amp;v=beta&amp;t=C8e2mjB9GcYKOdzzPPOGSMDzF2XyvmVPQN4iBzoWq_0","View Creative")</f>
        <v>View Creative</v>
      </c>
      <c r="L2340" s="4" t="s">
        <v>106</v>
      </c>
      <c r="M2340" s="4" t="s">
        <v>5965</v>
      </c>
      <c r="O2340" s="4" t="s">
        <v>63</v>
      </c>
      <c r="P2340" s="4" t="s">
        <v>64</v>
      </c>
    </row>
    <row r="2341">
      <c r="A2341" s="4" t="s">
        <v>5965</v>
      </c>
      <c r="B2341" s="4" t="s">
        <v>5965</v>
      </c>
      <c r="C2341" s="4">
        <v>730.0</v>
      </c>
      <c r="D2341" s="5" t="str">
        <f>HYPERLINK("https://www.linkedin.com/ad-library/detail/1489324726","Open Ad")</f>
        <v>Open Ad</v>
      </c>
      <c r="E2341" s="4" t="s">
        <v>78</v>
      </c>
      <c r="F2341" s="4" t="s">
        <v>54</v>
      </c>
      <c r="G2341" s="4" t="s">
        <v>6242</v>
      </c>
      <c r="H2341" s="4" t="s">
        <v>49</v>
      </c>
      <c r="I2341" s="4" t="s">
        <v>6005</v>
      </c>
      <c r="J2341" s="4" t="s">
        <v>78</v>
      </c>
      <c r="K2341" s="4" t="s">
        <v>59</v>
      </c>
      <c r="L2341" s="4" t="s">
        <v>106</v>
      </c>
      <c r="M2341" s="4" t="s">
        <v>5965</v>
      </c>
      <c r="O2341" s="4" t="s">
        <v>63</v>
      </c>
      <c r="P2341" s="4" t="s">
        <v>64</v>
      </c>
    </row>
    <row r="2342">
      <c r="A2342" s="4" t="s">
        <v>5965</v>
      </c>
      <c r="B2342" s="4" t="s">
        <v>5965</v>
      </c>
      <c r="C2342" s="4">
        <v>731.0</v>
      </c>
      <c r="D2342" s="5" t="str">
        <f>HYPERLINK("https://www.linkedin.com/ad-library/detail/1493301816","Open Ad")</f>
        <v>Open Ad</v>
      </c>
      <c r="E2342" s="4" t="s">
        <v>78</v>
      </c>
      <c r="F2342" s="4" t="s">
        <v>54</v>
      </c>
      <c r="G2342" s="4" t="s">
        <v>6403</v>
      </c>
      <c r="H2342" s="4" t="s">
        <v>49</v>
      </c>
      <c r="I2342" s="4" t="s">
        <v>6005</v>
      </c>
      <c r="J2342" s="4" t="s">
        <v>78</v>
      </c>
      <c r="K2342" s="5" t="str">
        <f>HYPERLINK("https://media.licdn.com/dms/image/v2/D5610AQHCYdBxt7VRwA/image-shrink_1280/B56Z85GUc9IMAc-/0/1783369386053/B_colorpng?e=2147483647&amp;v=beta&amp;t=i9aat7HuIK6ApjhGLZw1eNfyrFSLgDXwpNird8uNkNE","View Creative")</f>
        <v>View Creative</v>
      </c>
      <c r="L2342" s="4" t="s">
        <v>106</v>
      </c>
      <c r="M2342" s="4" t="s">
        <v>5965</v>
      </c>
      <c r="O2342" s="4" t="s">
        <v>63</v>
      </c>
      <c r="P2342" s="4" t="s">
        <v>64</v>
      </c>
    </row>
    <row r="2343">
      <c r="A2343" s="4" t="s">
        <v>5965</v>
      </c>
      <c r="B2343" s="4" t="s">
        <v>5965</v>
      </c>
      <c r="C2343" s="4">
        <v>732.0</v>
      </c>
      <c r="D2343" s="5" t="str">
        <f>HYPERLINK("https://www.linkedin.com/ad-library/detail/1493935046","Open Ad")</f>
        <v>Open Ad</v>
      </c>
      <c r="E2343" s="4" t="s">
        <v>78</v>
      </c>
      <c r="F2343" s="4" t="s">
        <v>54</v>
      </c>
      <c r="G2343" s="4" t="s">
        <v>6404</v>
      </c>
      <c r="H2343" s="4" t="s">
        <v>49</v>
      </c>
      <c r="I2343" s="4" t="s">
        <v>6005</v>
      </c>
      <c r="J2343" s="4" t="s">
        <v>78</v>
      </c>
      <c r="K2343" s="5" t="str">
        <f>HYPERLINK("https://media.licdn.com/dms/image/v2/D5610AQEx-mE95uw1Hg/image-shrink_1280/B56Z8.U8B_G4Ac-/0/1783457104891?e=2147483647&amp;v=beta&amp;t=ecWGN5wupK7X85a0QZUrb0VvESlAxttNeRWRw_Vo2QQ","View Creative")</f>
        <v>View Creative</v>
      </c>
      <c r="L2343" s="4" t="s">
        <v>106</v>
      </c>
      <c r="M2343" s="4" t="s">
        <v>5965</v>
      </c>
      <c r="O2343" s="4" t="s">
        <v>63</v>
      </c>
      <c r="P2343" s="4" t="s">
        <v>64</v>
      </c>
    </row>
    <row r="2344">
      <c r="A2344" s="4" t="s">
        <v>5965</v>
      </c>
      <c r="B2344" s="4" t="s">
        <v>5965</v>
      </c>
      <c r="C2344" s="4">
        <v>733.0</v>
      </c>
      <c r="D2344" s="5" t="str">
        <f>HYPERLINK("https://www.linkedin.com/ad-library/detail/1493214406","Open Ad")</f>
        <v>Open Ad</v>
      </c>
      <c r="E2344" s="4" t="s">
        <v>78</v>
      </c>
      <c r="F2344" s="4" t="s">
        <v>54</v>
      </c>
      <c r="G2344" s="4" t="s">
        <v>6401</v>
      </c>
      <c r="H2344" s="4" t="s">
        <v>49</v>
      </c>
      <c r="I2344" s="4" t="s">
        <v>6005</v>
      </c>
      <c r="J2344" s="4" t="s">
        <v>78</v>
      </c>
      <c r="K2344" s="5" t="str">
        <f>HYPERLINK("https://media.licdn.com/dms/image/v2/D5610AQHCYdBxt7VRwA/image-shrink_1280/B56Z85GUc9IMAc-/0/1783369386053/B_colorpng?e=2147483647&amp;v=beta&amp;t=i9aat7HuIK6ApjhGLZw1eNfyrFSLgDXwpNird8uNkNE","View Creative")</f>
        <v>View Creative</v>
      </c>
      <c r="L2344" s="4" t="s">
        <v>106</v>
      </c>
      <c r="M2344" s="4" t="s">
        <v>5965</v>
      </c>
      <c r="O2344" s="4" t="s">
        <v>63</v>
      </c>
      <c r="P2344" s="4" t="s">
        <v>64</v>
      </c>
    </row>
    <row r="2345">
      <c r="A2345" s="4" t="s">
        <v>5965</v>
      </c>
      <c r="B2345" s="4" t="s">
        <v>5965</v>
      </c>
      <c r="C2345" s="4">
        <v>734.0</v>
      </c>
      <c r="D2345" s="5" t="str">
        <f>HYPERLINK("https://www.linkedin.com/ad-library/detail/1489215996","Open Ad")</f>
        <v>Open Ad</v>
      </c>
      <c r="E2345" s="4" t="s">
        <v>78</v>
      </c>
      <c r="F2345" s="4" t="s">
        <v>54</v>
      </c>
      <c r="G2345" s="4" t="s">
        <v>6037</v>
      </c>
      <c r="H2345" s="4" t="s">
        <v>49</v>
      </c>
      <c r="I2345" s="4" t="s">
        <v>6005</v>
      </c>
      <c r="J2345" s="4" t="s">
        <v>78</v>
      </c>
      <c r="K2345" s="4" t="s">
        <v>59</v>
      </c>
      <c r="L2345" s="4" t="s">
        <v>106</v>
      </c>
      <c r="M2345" s="4" t="s">
        <v>5965</v>
      </c>
      <c r="O2345" s="4" t="s">
        <v>63</v>
      </c>
      <c r="P2345" s="4" t="s">
        <v>64</v>
      </c>
    </row>
    <row r="2346">
      <c r="A2346" s="4" t="s">
        <v>5965</v>
      </c>
      <c r="B2346" s="4" t="s">
        <v>5965</v>
      </c>
      <c r="C2346" s="4">
        <v>735.0</v>
      </c>
      <c r="D2346" s="5" t="str">
        <f>HYPERLINK("https://www.linkedin.com/ad-library/detail/1491157726","Open Ad")</f>
        <v>Open Ad</v>
      </c>
      <c r="E2346" s="4" t="s">
        <v>78</v>
      </c>
      <c r="F2346" s="4" t="s">
        <v>54</v>
      </c>
      <c r="G2346" s="4" t="s">
        <v>6403</v>
      </c>
      <c r="H2346" s="4" t="s">
        <v>49</v>
      </c>
      <c r="I2346" s="4" t="s">
        <v>6005</v>
      </c>
      <c r="J2346" s="4" t="s">
        <v>78</v>
      </c>
      <c r="K2346" s="5" t="str">
        <f>HYPERLINK("https://media.licdn.com/dms/image/v2/D5610AQG-W0vfYlacXw/image-shrink_1280/B56Z85F8wlGQAc-/0/1783369288973/A_BW-1png?e=2147483647&amp;v=beta&amp;t=C8e2mjB9GcYKOdzzPPOGSMDzF2XyvmVPQN4iBzoWq_0","View Creative")</f>
        <v>View Creative</v>
      </c>
      <c r="L2346" s="4" t="s">
        <v>106</v>
      </c>
      <c r="M2346" s="4" t="s">
        <v>5965</v>
      </c>
      <c r="O2346" s="4" t="s">
        <v>63</v>
      </c>
      <c r="P2346" s="4" t="s">
        <v>64</v>
      </c>
    </row>
    <row r="2347">
      <c r="A2347" s="4" t="s">
        <v>5965</v>
      </c>
      <c r="B2347" s="4" t="s">
        <v>5965</v>
      </c>
      <c r="C2347" s="4">
        <v>736.0</v>
      </c>
      <c r="D2347" s="5" t="str">
        <f>HYPERLINK("https://www.linkedin.com/ad-library/detail/1489422446","Open Ad")</f>
        <v>Open Ad</v>
      </c>
      <c r="E2347" s="4" t="s">
        <v>121</v>
      </c>
      <c r="F2347" s="4" t="s">
        <v>54</v>
      </c>
      <c r="G2347" s="4" t="s">
        <v>6386</v>
      </c>
      <c r="H2347" s="4" t="s">
        <v>49</v>
      </c>
      <c r="I2347" s="4" t="s">
        <v>6005</v>
      </c>
      <c r="J2347" s="4" t="s">
        <v>121</v>
      </c>
      <c r="K2347" s="5" t="str">
        <f t="shared" ref="K2347:K2350" si="77">HYPERLINK("https://dms.licdn.com/playlist/vid/v2/D5610AQGPpIHkVJhCaA/mp4-640p-30fp-crf28/B56Z83aF5UG4BI-/0/1783341024306?e=2147483647&amp;v=beta&amp;t=6aPscOhwfZC6LVqbrnkx1wzDAaGeDks-p4lXPr_L8Fs","View Creative")</f>
        <v>View Creative</v>
      </c>
      <c r="L2347" s="4" t="s">
        <v>106</v>
      </c>
      <c r="M2347" s="4" t="s">
        <v>5965</v>
      </c>
      <c r="O2347" s="4" t="s">
        <v>63</v>
      </c>
      <c r="P2347" s="4" t="s">
        <v>64</v>
      </c>
    </row>
    <row r="2348">
      <c r="A2348" s="4" t="s">
        <v>5965</v>
      </c>
      <c r="B2348" s="4" t="s">
        <v>5965</v>
      </c>
      <c r="C2348" s="4">
        <v>737.0</v>
      </c>
      <c r="D2348" s="5" t="str">
        <f>HYPERLINK("https://www.linkedin.com/ad-library/detail/1489279676","Open Ad")</f>
        <v>Open Ad</v>
      </c>
      <c r="E2348" s="4" t="s">
        <v>121</v>
      </c>
      <c r="F2348" s="4" t="s">
        <v>54</v>
      </c>
      <c r="G2348" s="4" t="s">
        <v>6386</v>
      </c>
      <c r="H2348" s="4" t="s">
        <v>49</v>
      </c>
      <c r="I2348" s="4" t="s">
        <v>6005</v>
      </c>
      <c r="J2348" s="4" t="s">
        <v>121</v>
      </c>
      <c r="K2348" s="5" t="str">
        <f t="shared" si="77"/>
        <v>View Creative</v>
      </c>
      <c r="L2348" s="4" t="s">
        <v>106</v>
      </c>
      <c r="M2348" s="4" t="s">
        <v>5965</v>
      </c>
      <c r="O2348" s="4" t="s">
        <v>63</v>
      </c>
      <c r="P2348" s="4" t="s">
        <v>64</v>
      </c>
    </row>
    <row r="2349">
      <c r="A2349" s="4" t="s">
        <v>5965</v>
      </c>
      <c r="B2349" s="4" t="s">
        <v>5965</v>
      </c>
      <c r="C2349" s="4">
        <v>738.0</v>
      </c>
      <c r="D2349" s="5" t="str">
        <f>HYPERLINK("https://www.linkedin.com/ad-library/detail/1489376746","Open Ad")</f>
        <v>Open Ad</v>
      </c>
      <c r="E2349" s="4" t="s">
        <v>121</v>
      </c>
      <c r="F2349" s="4" t="s">
        <v>54</v>
      </c>
      <c r="G2349" s="4" t="s">
        <v>6386</v>
      </c>
      <c r="H2349" s="4" t="s">
        <v>49</v>
      </c>
      <c r="I2349" s="4" t="s">
        <v>6005</v>
      </c>
      <c r="J2349" s="4" t="s">
        <v>121</v>
      </c>
      <c r="K2349" s="5" t="str">
        <f t="shared" si="77"/>
        <v>View Creative</v>
      </c>
      <c r="L2349" s="4" t="s">
        <v>106</v>
      </c>
      <c r="M2349" s="4" t="s">
        <v>5965</v>
      </c>
      <c r="O2349" s="4" t="s">
        <v>63</v>
      </c>
      <c r="P2349" s="4" t="s">
        <v>64</v>
      </c>
    </row>
    <row r="2350">
      <c r="A2350" s="4" t="s">
        <v>5965</v>
      </c>
      <c r="B2350" s="4" t="s">
        <v>5965</v>
      </c>
      <c r="C2350" s="4">
        <v>739.0</v>
      </c>
      <c r="D2350" s="5" t="str">
        <f>HYPERLINK("https://www.linkedin.com/ad-library/detail/1489422426","Open Ad")</f>
        <v>Open Ad</v>
      </c>
      <c r="E2350" s="4" t="s">
        <v>121</v>
      </c>
      <c r="F2350" s="4" t="s">
        <v>54</v>
      </c>
      <c r="G2350" s="4" t="s">
        <v>6386</v>
      </c>
      <c r="H2350" s="4" t="s">
        <v>49</v>
      </c>
      <c r="I2350" s="4" t="s">
        <v>6005</v>
      </c>
      <c r="J2350" s="4" t="s">
        <v>121</v>
      </c>
      <c r="K2350" s="5" t="str">
        <f t="shared" si="77"/>
        <v>View Creative</v>
      </c>
      <c r="L2350" s="4" t="s">
        <v>106</v>
      </c>
      <c r="M2350" s="4" t="s">
        <v>5965</v>
      </c>
      <c r="O2350" s="4" t="s">
        <v>63</v>
      </c>
      <c r="P2350" s="4" t="s">
        <v>64</v>
      </c>
    </row>
    <row r="2351">
      <c r="A2351" s="4" t="s">
        <v>5965</v>
      </c>
      <c r="B2351" s="4" t="s">
        <v>5965</v>
      </c>
      <c r="C2351" s="4">
        <v>740.0</v>
      </c>
      <c r="D2351" s="5" t="str">
        <f>HYPERLINK("https://www.linkedin.com/ad-library/detail/1493185816","Open Ad")</f>
        <v>Open Ad</v>
      </c>
      <c r="E2351" s="4" t="s">
        <v>78</v>
      </c>
      <c r="F2351" s="4" t="s">
        <v>54</v>
      </c>
      <c r="G2351" s="4" t="s">
        <v>6403</v>
      </c>
      <c r="H2351" s="4" t="s">
        <v>49</v>
      </c>
      <c r="I2351" s="4" t="s">
        <v>6005</v>
      </c>
      <c r="J2351" s="4" t="s">
        <v>78</v>
      </c>
      <c r="K2351" s="5" t="str">
        <f>HYPERLINK("https://media.licdn.com/dms/image/v2/D5610AQG-W0vfYlacXw/image-shrink_1280/B56Z85F8wlGQAc-/0/1783369288973/A_BW-1png?e=2147483647&amp;v=beta&amp;t=C8e2mjB9GcYKOdzzPPOGSMDzF2XyvmVPQN4iBzoWq_0","View Creative")</f>
        <v>View Creative</v>
      </c>
      <c r="L2351" s="4" t="s">
        <v>106</v>
      </c>
      <c r="M2351" s="4" t="s">
        <v>5965</v>
      </c>
      <c r="O2351" s="4" t="s">
        <v>63</v>
      </c>
      <c r="P2351" s="4" t="s">
        <v>64</v>
      </c>
    </row>
    <row r="2352">
      <c r="A2352" s="4" t="s">
        <v>5965</v>
      </c>
      <c r="B2352" s="4" t="s">
        <v>5965</v>
      </c>
      <c r="C2352" s="4">
        <v>741.0</v>
      </c>
      <c r="D2352" s="5" t="str">
        <f>HYPERLINK("https://www.linkedin.com/ad-library/detail/1493321456","Open Ad")</f>
        <v>Open Ad</v>
      </c>
      <c r="E2352" s="4" t="s">
        <v>78</v>
      </c>
      <c r="F2352" s="4" t="s">
        <v>54</v>
      </c>
      <c r="G2352" s="4" t="s">
        <v>6401</v>
      </c>
      <c r="H2352" s="4" t="s">
        <v>49</v>
      </c>
      <c r="I2352" s="4" t="s">
        <v>6005</v>
      </c>
      <c r="J2352" s="4" t="s">
        <v>78</v>
      </c>
      <c r="K2352" s="5" t="str">
        <f>HYPERLINK("https://media.licdn.com/dms/image/v2/D5610AQHCYdBxt7VRwA/image-shrink_1280/B56Z85GUc9IMAc-/0/1783369386053/B_colorpng?e=2147483647&amp;v=beta&amp;t=i9aat7HuIK6ApjhGLZw1eNfyrFSLgDXwpNird8uNkNE","View Creative")</f>
        <v>View Creative</v>
      </c>
      <c r="L2352" s="4" t="s">
        <v>106</v>
      </c>
      <c r="M2352" s="4" t="s">
        <v>5965</v>
      </c>
      <c r="O2352" s="4" t="s">
        <v>63</v>
      </c>
      <c r="P2352" s="4" t="s">
        <v>64</v>
      </c>
    </row>
    <row r="2353">
      <c r="A2353" s="4" t="s">
        <v>5965</v>
      </c>
      <c r="B2353" s="4" t="s">
        <v>5965</v>
      </c>
      <c r="C2353" s="4">
        <v>742.0</v>
      </c>
      <c r="D2353" s="5" t="str">
        <f>HYPERLINK("https://www.linkedin.com/ad-library/detail/1489386056","Open Ad")</f>
        <v>Open Ad</v>
      </c>
      <c r="E2353" s="4" t="s">
        <v>121</v>
      </c>
      <c r="F2353" s="4" t="s">
        <v>54</v>
      </c>
      <c r="G2353" s="4" t="s">
        <v>6386</v>
      </c>
      <c r="H2353" s="4" t="s">
        <v>49</v>
      </c>
      <c r="I2353" s="4" t="s">
        <v>6005</v>
      </c>
      <c r="J2353" s="4" t="s">
        <v>121</v>
      </c>
      <c r="K2353" s="5" t="str">
        <f>HYPERLINK("https://dms.licdn.com/playlist/vid/v2/D5610AQGPpIHkVJhCaA/mp4-640p-30fp-crf28/B56Z83aF5UG4BI-/0/1783341024306?e=2147483647&amp;v=beta&amp;t=6aPscOhwfZC6LVqbrnkx1wzDAaGeDks-p4lXPr_L8Fs","View Creative")</f>
        <v>View Creative</v>
      </c>
      <c r="L2353" s="4" t="s">
        <v>106</v>
      </c>
      <c r="M2353" s="4" t="s">
        <v>5965</v>
      </c>
      <c r="O2353" s="4" t="s">
        <v>63</v>
      </c>
      <c r="P2353" s="4" t="s">
        <v>64</v>
      </c>
    </row>
    <row r="2354">
      <c r="A2354" s="4" t="s">
        <v>5965</v>
      </c>
      <c r="B2354" s="4" t="s">
        <v>5965</v>
      </c>
      <c r="C2354" s="4">
        <v>743.0</v>
      </c>
      <c r="D2354" s="5" t="str">
        <f>HYPERLINK("https://www.linkedin.com/ad-library/detail/1493214236","Open Ad")</f>
        <v>Open Ad</v>
      </c>
      <c r="E2354" s="4" t="s">
        <v>78</v>
      </c>
      <c r="F2354" s="4" t="s">
        <v>54</v>
      </c>
      <c r="G2354" s="4" t="s">
        <v>6401</v>
      </c>
      <c r="H2354" s="4" t="s">
        <v>49</v>
      </c>
      <c r="I2354" s="4" t="s">
        <v>6005</v>
      </c>
      <c r="J2354" s="4" t="s">
        <v>78</v>
      </c>
      <c r="K2354" s="5" t="str">
        <f t="shared" ref="K2354:K2355" si="78">HYPERLINK("https://media.licdn.com/dms/image/v2/D5610AQHCYdBxt7VRwA/image-shrink_1280/B56Z85GUc9IMAc-/0/1783369386053/B_colorpng?e=2147483647&amp;v=beta&amp;t=i9aat7HuIK6ApjhGLZw1eNfyrFSLgDXwpNird8uNkNE","View Creative")</f>
        <v>View Creative</v>
      </c>
      <c r="L2354" s="4" t="s">
        <v>106</v>
      </c>
      <c r="M2354" s="4" t="s">
        <v>5965</v>
      </c>
      <c r="O2354" s="4" t="s">
        <v>63</v>
      </c>
      <c r="P2354" s="4" t="s">
        <v>64</v>
      </c>
    </row>
    <row r="2355">
      <c r="A2355" s="4" t="s">
        <v>5965</v>
      </c>
      <c r="B2355" s="4" t="s">
        <v>5965</v>
      </c>
      <c r="C2355" s="4">
        <v>744.0</v>
      </c>
      <c r="D2355" s="5" t="str">
        <f>HYPERLINK("https://www.linkedin.com/ad-library/detail/1493214006","Open Ad")</f>
        <v>Open Ad</v>
      </c>
      <c r="E2355" s="4" t="s">
        <v>78</v>
      </c>
      <c r="F2355" s="4" t="s">
        <v>54</v>
      </c>
      <c r="G2355" s="4" t="s">
        <v>6403</v>
      </c>
      <c r="H2355" s="4" t="s">
        <v>49</v>
      </c>
      <c r="I2355" s="4" t="s">
        <v>6005</v>
      </c>
      <c r="J2355" s="4" t="s">
        <v>78</v>
      </c>
      <c r="K2355" s="5" t="str">
        <f t="shared" si="78"/>
        <v>View Creative</v>
      </c>
      <c r="L2355" s="4" t="s">
        <v>106</v>
      </c>
      <c r="M2355" s="4" t="s">
        <v>5965</v>
      </c>
      <c r="O2355" s="4" t="s">
        <v>63</v>
      </c>
      <c r="P2355" s="4" t="s">
        <v>64</v>
      </c>
    </row>
    <row r="2356">
      <c r="A2356" s="4" t="s">
        <v>5965</v>
      </c>
      <c r="B2356" s="4" t="s">
        <v>5965</v>
      </c>
      <c r="C2356" s="4">
        <v>745.0</v>
      </c>
      <c r="D2356" s="5" t="str">
        <f>HYPERLINK("https://www.linkedin.com/ad-library/detail/1484870416","Open Ad")</f>
        <v>Open Ad</v>
      </c>
      <c r="E2356" s="4" t="s">
        <v>5970</v>
      </c>
      <c r="F2356" s="4" t="s">
        <v>54</v>
      </c>
      <c r="G2356" s="4" t="s">
        <v>6015</v>
      </c>
      <c r="H2356" s="4" t="s">
        <v>49</v>
      </c>
      <c r="I2356" s="4" t="s">
        <v>6005</v>
      </c>
      <c r="J2356" s="4" t="s">
        <v>5973</v>
      </c>
      <c r="K2356" s="4" t="s">
        <v>59</v>
      </c>
      <c r="L2356" s="4" t="s">
        <v>106</v>
      </c>
      <c r="M2356" s="4" t="s">
        <v>5965</v>
      </c>
      <c r="O2356" s="4" t="s">
        <v>63</v>
      </c>
      <c r="P2356" s="4" t="s">
        <v>64</v>
      </c>
    </row>
    <row r="2357">
      <c r="A2357" s="4" t="s">
        <v>5965</v>
      </c>
      <c r="B2357" s="4" t="s">
        <v>5965</v>
      </c>
      <c r="C2357" s="4">
        <v>746.0</v>
      </c>
      <c r="D2357" s="5" t="str">
        <f>HYPERLINK("https://www.linkedin.com/ad-library/detail/1484763876","Open Ad")</f>
        <v>Open Ad</v>
      </c>
      <c r="E2357" s="4" t="s">
        <v>5970</v>
      </c>
      <c r="F2357" s="4" t="s">
        <v>54</v>
      </c>
      <c r="G2357" s="4" t="s">
        <v>6015</v>
      </c>
      <c r="H2357" s="4" t="s">
        <v>49</v>
      </c>
      <c r="I2357" s="4" t="s">
        <v>6005</v>
      </c>
      <c r="J2357" s="4" t="s">
        <v>5973</v>
      </c>
      <c r="K2357" s="4" t="s">
        <v>59</v>
      </c>
      <c r="L2357" s="4" t="s">
        <v>106</v>
      </c>
      <c r="M2357" s="4" t="s">
        <v>5965</v>
      </c>
      <c r="O2357" s="4" t="s">
        <v>63</v>
      </c>
      <c r="P2357" s="4" t="s">
        <v>64</v>
      </c>
    </row>
    <row r="2358">
      <c r="A2358" s="4" t="s">
        <v>5965</v>
      </c>
      <c r="B2358" s="4" t="s">
        <v>5965</v>
      </c>
      <c r="C2358" s="4">
        <v>747.0</v>
      </c>
      <c r="D2358" s="5" t="str">
        <f>HYPERLINK("https://www.linkedin.com/ad-library/detail/1484714886","Open Ad")</f>
        <v>Open Ad</v>
      </c>
      <c r="E2358" s="4" t="s">
        <v>5970</v>
      </c>
      <c r="F2358" s="4" t="s">
        <v>54</v>
      </c>
      <c r="G2358" s="4" t="s">
        <v>5980</v>
      </c>
      <c r="H2358" s="4" t="s">
        <v>49</v>
      </c>
      <c r="I2358" s="4" t="s">
        <v>6005</v>
      </c>
      <c r="J2358" s="4" t="s">
        <v>5973</v>
      </c>
      <c r="K2358" s="4" t="s">
        <v>59</v>
      </c>
      <c r="L2358" s="4" t="s">
        <v>106</v>
      </c>
      <c r="M2358" s="4" t="s">
        <v>5965</v>
      </c>
      <c r="O2358" s="4" t="s">
        <v>63</v>
      </c>
      <c r="P2358" s="4" t="s">
        <v>64</v>
      </c>
    </row>
    <row r="2359">
      <c r="A2359" s="4" t="s">
        <v>5965</v>
      </c>
      <c r="B2359" s="4" t="s">
        <v>5965</v>
      </c>
      <c r="C2359" s="4">
        <v>748.0</v>
      </c>
      <c r="D2359" s="5" t="str">
        <f>HYPERLINK("https://www.linkedin.com/ad-library/detail/1484734326","Open Ad")</f>
        <v>Open Ad</v>
      </c>
      <c r="E2359" s="4" t="s">
        <v>5970</v>
      </c>
      <c r="F2359" s="4" t="s">
        <v>54</v>
      </c>
      <c r="G2359" s="4" t="s">
        <v>5980</v>
      </c>
      <c r="H2359" s="4" t="s">
        <v>49</v>
      </c>
      <c r="I2359" s="4" t="s">
        <v>6005</v>
      </c>
      <c r="J2359" s="4" t="s">
        <v>5973</v>
      </c>
      <c r="K2359" s="4" t="s">
        <v>59</v>
      </c>
      <c r="L2359" s="4" t="s">
        <v>106</v>
      </c>
      <c r="M2359" s="4" t="s">
        <v>5965</v>
      </c>
      <c r="O2359" s="4" t="s">
        <v>63</v>
      </c>
      <c r="P2359" s="4" t="s">
        <v>64</v>
      </c>
    </row>
    <row r="2360">
      <c r="A2360" s="4" t="s">
        <v>5965</v>
      </c>
      <c r="B2360" s="4" t="s">
        <v>5965</v>
      </c>
      <c r="C2360" s="4">
        <v>749.0</v>
      </c>
      <c r="D2360" s="5" t="str">
        <f>HYPERLINK("https://www.linkedin.com/ad-library/detail/1487916536","Open Ad")</f>
        <v>Open Ad</v>
      </c>
      <c r="E2360" s="4" t="s">
        <v>121</v>
      </c>
      <c r="F2360" s="4" t="s">
        <v>54</v>
      </c>
      <c r="G2360" s="4" t="s">
        <v>6049</v>
      </c>
      <c r="H2360" s="4" t="s">
        <v>49</v>
      </c>
      <c r="I2360" s="4" t="s">
        <v>6005</v>
      </c>
      <c r="J2360" s="4" t="s">
        <v>121</v>
      </c>
      <c r="K2360" s="5" t="str">
        <f t="shared" ref="K2360:K2361" si="79">HYPERLINK("https://dms.licdn.com/playlist/vid/v2/D5610AQHCJpD_4X3r0w/mp4-360p-30fp-crf28/B56Z8jGxPuG0Bg-/0/1783000416146?e=2147483647&amp;v=beta&amp;t=buNqytXIKQbDSPmN-gF0MjkJ-TiOGUHb02s8kF2cYZo","View Creative")</f>
        <v>View Creative</v>
      </c>
      <c r="L2360" s="4" t="s">
        <v>106</v>
      </c>
      <c r="M2360" s="4" t="s">
        <v>5965</v>
      </c>
      <c r="O2360" s="4" t="s">
        <v>63</v>
      </c>
      <c r="P2360" s="4" t="s">
        <v>64</v>
      </c>
    </row>
    <row r="2361">
      <c r="A2361" s="4" t="s">
        <v>5965</v>
      </c>
      <c r="B2361" s="4" t="s">
        <v>5965</v>
      </c>
      <c r="C2361" s="4">
        <v>750.0</v>
      </c>
      <c r="D2361" s="5" t="str">
        <f>HYPERLINK("https://www.linkedin.com/ad-library/detail/1488063116","Open Ad")</f>
        <v>Open Ad</v>
      </c>
      <c r="E2361" s="4" t="s">
        <v>121</v>
      </c>
      <c r="F2361" s="4" t="s">
        <v>54</v>
      </c>
      <c r="G2361" s="4" t="s">
        <v>6049</v>
      </c>
      <c r="H2361" s="4" t="s">
        <v>49</v>
      </c>
      <c r="I2361" s="4" t="s">
        <v>6005</v>
      </c>
      <c r="J2361" s="4" t="s">
        <v>121</v>
      </c>
      <c r="K2361" s="5" t="str">
        <f t="shared" si="79"/>
        <v>View Creative</v>
      </c>
      <c r="L2361" s="4" t="s">
        <v>106</v>
      </c>
      <c r="M2361" s="4" t="s">
        <v>5965</v>
      </c>
      <c r="O2361" s="4" t="s">
        <v>63</v>
      </c>
      <c r="P2361" s="4" t="s">
        <v>64</v>
      </c>
    </row>
    <row r="2362">
      <c r="A2362" s="4" t="s">
        <v>5965</v>
      </c>
      <c r="B2362" s="4" t="s">
        <v>5965</v>
      </c>
      <c r="C2362" s="4">
        <v>751.0</v>
      </c>
      <c r="D2362" s="5" t="str">
        <f>HYPERLINK("https://www.linkedin.com/ad-library/detail/1489343826","Open Ad")</f>
        <v>Open Ad</v>
      </c>
      <c r="E2362" s="4" t="s">
        <v>78</v>
      </c>
      <c r="F2362" s="4" t="s">
        <v>54</v>
      </c>
      <c r="G2362" s="4" t="s">
        <v>6033</v>
      </c>
      <c r="H2362" s="4" t="s">
        <v>49</v>
      </c>
      <c r="I2362" s="4" t="s">
        <v>6005</v>
      </c>
      <c r="J2362" s="4" t="s">
        <v>78</v>
      </c>
      <c r="K2362" s="4" t="s">
        <v>59</v>
      </c>
      <c r="L2362" s="4" t="s">
        <v>106</v>
      </c>
      <c r="M2362" s="4" t="s">
        <v>5965</v>
      </c>
      <c r="O2362" s="4" t="s">
        <v>63</v>
      </c>
      <c r="P2362" s="4" t="s">
        <v>64</v>
      </c>
    </row>
    <row r="2363">
      <c r="A2363" s="4" t="s">
        <v>5965</v>
      </c>
      <c r="B2363" s="4" t="s">
        <v>5965</v>
      </c>
      <c r="C2363" s="4">
        <v>752.0</v>
      </c>
      <c r="D2363" s="5" t="str">
        <f>HYPERLINK("https://www.linkedin.com/ad-library/detail/1489235726","Open Ad")</f>
        <v>Open Ad</v>
      </c>
      <c r="E2363" s="4" t="s">
        <v>78</v>
      </c>
      <c r="F2363" s="4" t="s">
        <v>54</v>
      </c>
      <c r="G2363" s="4" t="s">
        <v>6242</v>
      </c>
      <c r="H2363" s="4" t="s">
        <v>49</v>
      </c>
      <c r="I2363" s="4" t="s">
        <v>6005</v>
      </c>
      <c r="J2363" s="4" t="s">
        <v>78</v>
      </c>
      <c r="K2363" s="4" t="s">
        <v>59</v>
      </c>
      <c r="L2363" s="4" t="s">
        <v>106</v>
      </c>
      <c r="M2363" s="4" t="s">
        <v>5965</v>
      </c>
      <c r="O2363" s="4" t="s">
        <v>63</v>
      </c>
      <c r="P2363" s="4" t="s">
        <v>64</v>
      </c>
    </row>
    <row r="2364">
      <c r="A2364" s="4" t="s">
        <v>5965</v>
      </c>
      <c r="B2364" s="4" t="s">
        <v>5965</v>
      </c>
      <c r="C2364" s="4">
        <v>753.0</v>
      </c>
      <c r="D2364" s="5" t="str">
        <f>HYPERLINK("https://www.linkedin.com/ad-library/detail/1489265356","Open Ad")</f>
        <v>Open Ad</v>
      </c>
      <c r="E2364" s="4" t="s">
        <v>78</v>
      </c>
      <c r="F2364" s="4" t="s">
        <v>54</v>
      </c>
      <c r="G2364" s="4" t="s">
        <v>6034</v>
      </c>
      <c r="H2364" s="4" t="s">
        <v>49</v>
      </c>
      <c r="I2364" s="4" t="s">
        <v>6005</v>
      </c>
      <c r="J2364" s="4" t="s">
        <v>78</v>
      </c>
      <c r="K2364" s="4" t="s">
        <v>59</v>
      </c>
      <c r="L2364" s="4" t="s">
        <v>106</v>
      </c>
      <c r="M2364" s="4" t="s">
        <v>5965</v>
      </c>
      <c r="O2364" s="4" t="s">
        <v>63</v>
      </c>
      <c r="P2364" s="4" t="s">
        <v>64</v>
      </c>
    </row>
    <row r="2365">
      <c r="A2365" s="4" t="s">
        <v>5965</v>
      </c>
      <c r="B2365" s="4" t="s">
        <v>5965</v>
      </c>
      <c r="C2365" s="4">
        <v>754.0</v>
      </c>
      <c r="D2365" s="5" t="str">
        <f>HYPERLINK("https://www.linkedin.com/ad-library/detail/1487964576","Open Ad")</f>
        <v>Open Ad</v>
      </c>
      <c r="E2365" s="4" t="s">
        <v>121</v>
      </c>
      <c r="F2365" s="4" t="s">
        <v>54</v>
      </c>
      <c r="G2365" s="4" t="s">
        <v>6049</v>
      </c>
      <c r="H2365" s="4" t="s">
        <v>49</v>
      </c>
      <c r="I2365" s="4" t="s">
        <v>6005</v>
      </c>
      <c r="J2365" s="4" t="s">
        <v>121</v>
      </c>
      <c r="K2365" s="5" t="str">
        <f t="shared" ref="K2365:K2366" si="80">HYPERLINK("https://dms.licdn.com/playlist/vid/v2/D5610AQHCJpD_4X3r0w/mp4-360p-30fp-crf28/B56Z8jGxPuG0Bg-/0/1783000416146?e=2147483647&amp;v=beta&amp;t=buNqytXIKQbDSPmN-gF0MjkJ-TiOGUHb02s8kF2cYZo","View Creative")</f>
        <v>View Creative</v>
      </c>
      <c r="L2365" s="4" t="s">
        <v>106</v>
      </c>
      <c r="M2365" s="4" t="s">
        <v>5965</v>
      </c>
      <c r="O2365" s="4" t="s">
        <v>63</v>
      </c>
      <c r="P2365" s="4" t="s">
        <v>64</v>
      </c>
    </row>
    <row r="2366">
      <c r="A2366" s="4" t="s">
        <v>5965</v>
      </c>
      <c r="B2366" s="4" t="s">
        <v>5965</v>
      </c>
      <c r="C2366" s="4">
        <v>755.0</v>
      </c>
      <c r="D2366" s="5" t="str">
        <f>HYPERLINK("https://www.linkedin.com/ad-library/detail/1487984006","Open Ad")</f>
        <v>Open Ad</v>
      </c>
      <c r="E2366" s="4" t="s">
        <v>121</v>
      </c>
      <c r="F2366" s="4" t="s">
        <v>54</v>
      </c>
      <c r="G2366" s="4" t="s">
        <v>6049</v>
      </c>
      <c r="H2366" s="4" t="s">
        <v>49</v>
      </c>
      <c r="I2366" s="4" t="s">
        <v>6005</v>
      </c>
      <c r="J2366" s="4" t="s">
        <v>121</v>
      </c>
      <c r="K2366" s="5" t="str">
        <f t="shared" si="80"/>
        <v>View Creative</v>
      </c>
      <c r="L2366" s="4" t="s">
        <v>106</v>
      </c>
      <c r="M2366" s="4" t="s">
        <v>5965</v>
      </c>
      <c r="O2366" s="4" t="s">
        <v>63</v>
      </c>
      <c r="P2366" s="4" t="s">
        <v>64</v>
      </c>
    </row>
    <row r="2367">
      <c r="A2367" s="4" t="s">
        <v>5965</v>
      </c>
      <c r="B2367" s="4" t="s">
        <v>5965</v>
      </c>
      <c r="C2367" s="4">
        <v>756.0</v>
      </c>
      <c r="D2367" s="5" t="str">
        <f>HYPERLINK("https://www.linkedin.com/ad-library/detail/1484675416","Open Ad")</f>
        <v>Open Ad</v>
      </c>
      <c r="E2367" s="4" t="s">
        <v>78</v>
      </c>
      <c r="F2367" s="4" t="s">
        <v>54</v>
      </c>
      <c r="G2367" s="4" t="s">
        <v>6330</v>
      </c>
      <c r="H2367" s="4" t="s">
        <v>49</v>
      </c>
      <c r="I2367" s="4" t="s">
        <v>6005</v>
      </c>
      <c r="J2367" s="4" t="s">
        <v>78</v>
      </c>
      <c r="K2367" s="5" t="str">
        <f>HYPERLINK("https://media.licdn.com/dms/image/v2/D5610AQHWN3cBgpsrZA/image-shrink_1280/B56Z8ThVnqLAAc-/0/1782738934569?e=2147483647&amp;v=beta&amp;t=A-Y9kI8t-vvKXU86I3eo4Ke7-nBQGOwNbp_-WJGBzdU","View Creative")</f>
        <v>View Creative</v>
      </c>
      <c r="L2367" s="4" t="s">
        <v>106</v>
      </c>
      <c r="M2367" s="4" t="s">
        <v>5965</v>
      </c>
      <c r="O2367" s="4" t="s">
        <v>63</v>
      </c>
      <c r="P2367" s="4" t="s">
        <v>64</v>
      </c>
    </row>
    <row r="2368">
      <c r="A2368" s="4" t="s">
        <v>5965</v>
      </c>
      <c r="B2368" s="4" t="s">
        <v>5965</v>
      </c>
      <c r="C2368" s="4">
        <v>757.0</v>
      </c>
      <c r="D2368" s="5" t="str">
        <f>HYPERLINK("https://www.linkedin.com/ad-library/detail/1487964596","Open Ad")</f>
        <v>Open Ad</v>
      </c>
      <c r="E2368" s="4" t="s">
        <v>121</v>
      </c>
      <c r="F2368" s="4" t="s">
        <v>54</v>
      </c>
      <c r="G2368" s="4" t="s">
        <v>6049</v>
      </c>
      <c r="H2368" s="4" t="s">
        <v>49</v>
      </c>
      <c r="I2368" s="4" t="s">
        <v>6005</v>
      </c>
      <c r="J2368" s="4" t="s">
        <v>121</v>
      </c>
      <c r="K2368" s="5" t="str">
        <f>HYPERLINK("https://dms.licdn.com/playlist/vid/v2/D5610AQHCJpD_4X3r0w/mp4-360p-30fp-crf28/B56Z8jGxPuG0Bg-/0/1783000416146?e=2147483647&amp;v=beta&amp;t=buNqytXIKQbDSPmN-gF0MjkJ-TiOGUHb02s8kF2cYZo","View Creative")</f>
        <v>View Creative</v>
      </c>
      <c r="L2368" s="4" t="s">
        <v>106</v>
      </c>
      <c r="M2368" s="4" t="s">
        <v>5965</v>
      </c>
      <c r="O2368" s="4" t="s">
        <v>63</v>
      </c>
      <c r="P2368" s="4" t="s">
        <v>64</v>
      </c>
    </row>
    <row r="2369">
      <c r="A2369" s="4" t="s">
        <v>5965</v>
      </c>
      <c r="B2369" s="4" t="s">
        <v>5965</v>
      </c>
      <c r="C2369" s="4">
        <v>758.0</v>
      </c>
      <c r="D2369" s="5" t="str">
        <f>HYPERLINK("https://www.linkedin.com/ad-library/detail/1484822856","Open Ad")</f>
        <v>Open Ad</v>
      </c>
      <c r="E2369" s="4" t="s">
        <v>78</v>
      </c>
      <c r="F2369" s="4" t="s">
        <v>54</v>
      </c>
      <c r="G2369" s="4" t="s">
        <v>6086</v>
      </c>
      <c r="H2369" s="4" t="s">
        <v>49</v>
      </c>
      <c r="I2369" s="4" t="s">
        <v>6005</v>
      </c>
      <c r="J2369" s="4" t="s">
        <v>78</v>
      </c>
      <c r="K2369" s="5" t="str">
        <f t="shared" ref="K2369:K2370" si="81">HYPERLINK("https://media.licdn.com/dms/image/v2/D5610AQF5ONUziLB90Q/image-shrink_1280/B56Z8YuROrGcAc-/0/1782826211326?e=2147483647&amp;v=beta&amp;t=P2Cz2Aul20qMidWME_WS_vAnPWT-iq7vaBsEHckvets","View Creative")</f>
        <v>View Creative</v>
      </c>
      <c r="L2369" s="4" t="s">
        <v>106</v>
      </c>
      <c r="M2369" s="4" t="s">
        <v>5965</v>
      </c>
      <c r="O2369" s="4" t="s">
        <v>63</v>
      </c>
      <c r="P2369" s="4" t="s">
        <v>64</v>
      </c>
    </row>
    <row r="2370">
      <c r="A2370" s="4" t="s">
        <v>5965</v>
      </c>
      <c r="B2370" s="4" t="s">
        <v>5965</v>
      </c>
      <c r="C2370" s="4">
        <v>759.0</v>
      </c>
      <c r="D2370" s="5" t="str">
        <f>HYPERLINK("https://www.linkedin.com/ad-library/detail/1484802886","Open Ad")</f>
        <v>Open Ad</v>
      </c>
      <c r="E2370" s="4" t="s">
        <v>78</v>
      </c>
      <c r="F2370" s="4" t="s">
        <v>54</v>
      </c>
      <c r="G2370" s="4" t="s">
        <v>6086</v>
      </c>
      <c r="H2370" s="4" t="s">
        <v>49</v>
      </c>
      <c r="I2370" s="4" t="s">
        <v>6005</v>
      </c>
      <c r="J2370" s="4" t="s">
        <v>78</v>
      </c>
      <c r="K2370" s="5" t="str">
        <f t="shared" si="81"/>
        <v>View Creative</v>
      </c>
      <c r="L2370" s="4" t="s">
        <v>106</v>
      </c>
      <c r="M2370" s="4" t="s">
        <v>5965</v>
      </c>
      <c r="O2370" s="4" t="s">
        <v>63</v>
      </c>
      <c r="P2370" s="4" t="s">
        <v>64</v>
      </c>
    </row>
    <row r="2371">
      <c r="A2371" s="4" t="s">
        <v>5965</v>
      </c>
      <c r="B2371" s="4" t="s">
        <v>5965</v>
      </c>
      <c r="C2371" s="4">
        <v>760.0</v>
      </c>
      <c r="D2371" s="5" t="str">
        <f>HYPERLINK("https://www.linkedin.com/ad-library/detail/1489215986","Open Ad")</f>
        <v>Open Ad</v>
      </c>
      <c r="E2371" s="4" t="s">
        <v>78</v>
      </c>
      <c r="F2371" s="4" t="s">
        <v>54</v>
      </c>
      <c r="G2371" s="4" t="s">
        <v>6034</v>
      </c>
      <c r="H2371" s="4" t="s">
        <v>49</v>
      </c>
      <c r="I2371" s="4" t="s">
        <v>6005</v>
      </c>
      <c r="J2371" s="4" t="s">
        <v>78</v>
      </c>
      <c r="K2371" s="4" t="s">
        <v>59</v>
      </c>
      <c r="L2371" s="4" t="s">
        <v>106</v>
      </c>
      <c r="M2371" s="4" t="s">
        <v>5965</v>
      </c>
      <c r="O2371" s="4" t="s">
        <v>63</v>
      </c>
      <c r="P2371" s="4" t="s">
        <v>64</v>
      </c>
    </row>
    <row r="2372">
      <c r="A2372" s="4" t="s">
        <v>5965</v>
      </c>
      <c r="B2372" s="4" t="s">
        <v>5965</v>
      </c>
      <c r="C2372" s="4">
        <v>761.0</v>
      </c>
      <c r="D2372" s="5" t="str">
        <f>HYPERLINK("https://www.linkedin.com/ad-library/detail/1484851076","Open Ad")</f>
        <v>Open Ad</v>
      </c>
      <c r="E2372" s="4" t="s">
        <v>78</v>
      </c>
      <c r="F2372" s="4" t="s">
        <v>54</v>
      </c>
      <c r="G2372" s="4" t="s">
        <v>6405</v>
      </c>
      <c r="H2372" s="4" t="s">
        <v>49</v>
      </c>
      <c r="I2372" s="4" t="s">
        <v>6005</v>
      </c>
      <c r="J2372" s="4" t="s">
        <v>78</v>
      </c>
      <c r="K2372" s="5" t="str">
        <f>HYPERLINK("https://media.licdn.com/dms/image/v2/D5610AQEK_ZXEUIwUDg/image-shrink_1280/B56Z8VV8Z8IQAc-/0/1782769502914?e=2147483647&amp;v=beta&amp;t=p7_TlJl_IkeRZL0ZP3H_p-YI8EqkklAJB-asRuKpJ_Q","View Creative")</f>
        <v>View Creative</v>
      </c>
      <c r="L2372" s="4" t="s">
        <v>106</v>
      </c>
      <c r="M2372" s="4" t="s">
        <v>5965</v>
      </c>
      <c r="O2372" s="4" t="s">
        <v>63</v>
      </c>
      <c r="P2372" s="4" t="s">
        <v>64</v>
      </c>
    </row>
    <row r="2373">
      <c r="A2373" s="4" t="s">
        <v>5965</v>
      </c>
      <c r="B2373" s="4" t="s">
        <v>5965</v>
      </c>
      <c r="C2373" s="4">
        <v>762.0</v>
      </c>
      <c r="D2373" s="5" t="str">
        <f>HYPERLINK("https://www.linkedin.com/ad-library/detail/1489215976","Open Ad")</f>
        <v>Open Ad</v>
      </c>
      <c r="E2373" s="4" t="s">
        <v>78</v>
      </c>
      <c r="F2373" s="4" t="s">
        <v>54</v>
      </c>
      <c r="G2373" s="4" t="s">
        <v>6242</v>
      </c>
      <c r="H2373" s="4" t="s">
        <v>49</v>
      </c>
      <c r="I2373" s="4" t="s">
        <v>6005</v>
      </c>
      <c r="J2373" s="4" t="s">
        <v>78</v>
      </c>
      <c r="K2373" s="4" t="s">
        <v>59</v>
      </c>
      <c r="L2373" s="4" t="s">
        <v>106</v>
      </c>
      <c r="M2373" s="4" t="s">
        <v>5965</v>
      </c>
      <c r="O2373" s="4" t="s">
        <v>63</v>
      </c>
      <c r="P2373" s="4" t="s">
        <v>64</v>
      </c>
    </row>
    <row r="2374">
      <c r="A2374" s="4" t="s">
        <v>5965</v>
      </c>
      <c r="B2374" s="4" t="s">
        <v>5965</v>
      </c>
      <c r="C2374" s="4">
        <v>763.0</v>
      </c>
      <c r="D2374" s="5" t="str">
        <f>HYPERLINK("https://www.linkedin.com/ad-library/detail/1489324716","Open Ad")</f>
        <v>Open Ad</v>
      </c>
      <c r="E2374" s="4" t="s">
        <v>78</v>
      </c>
      <c r="F2374" s="4" t="s">
        <v>54</v>
      </c>
      <c r="G2374" s="4" t="s">
        <v>6037</v>
      </c>
      <c r="H2374" s="4" t="s">
        <v>49</v>
      </c>
      <c r="I2374" s="4" t="s">
        <v>6005</v>
      </c>
      <c r="J2374" s="4" t="s">
        <v>78</v>
      </c>
      <c r="K2374" s="4" t="s">
        <v>59</v>
      </c>
      <c r="L2374" s="4" t="s">
        <v>106</v>
      </c>
      <c r="M2374" s="4" t="s">
        <v>5965</v>
      </c>
      <c r="O2374" s="4" t="s">
        <v>63</v>
      </c>
      <c r="P2374" s="4" t="s">
        <v>64</v>
      </c>
    </row>
    <row r="2375">
      <c r="A2375" s="4" t="s">
        <v>5965</v>
      </c>
      <c r="B2375" s="4" t="s">
        <v>5965</v>
      </c>
      <c r="C2375" s="4">
        <v>764.0</v>
      </c>
      <c r="D2375" s="5" t="str">
        <f>HYPERLINK("https://www.linkedin.com/ad-library/detail/1489294836","Open Ad")</f>
        <v>Open Ad</v>
      </c>
      <c r="E2375" s="4" t="s">
        <v>78</v>
      </c>
      <c r="F2375" s="4" t="s">
        <v>54</v>
      </c>
      <c r="G2375" s="4" t="s">
        <v>6037</v>
      </c>
      <c r="H2375" s="4" t="s">
        <v>49</v>
      </c>
      <c r="I2375" s="4" t="s">
        <v>6005</v>
      </c>
      <c r="J2375" s="4" t="s">
        <v>78</v>
      </c>
      <c r="K2375" s="4" t="s">
        <v>59</v>
      </c>
      <c r="L2375" s="4" t="s">
        <v>106</v>
      </c>
      <c r="M2375" s="4" t="s">
        <v>5965</v>
      </c>
      <c r="O2375" s="4" t="s">
        <v>63</v>
      </c>
      <c r="P2375" s="4" t="s">
        <v>64</v>
      </c>
    </row>
    <row r="2376">
      <c r="A2376" s="4" t="s">
        <v>5965</v>
      </c>
      <c r="B2376" s="4" t="s">
        <v>5965</v>
      </c>
      <c r="C2376" s="4">
        <v>765.0</v>
      </c>
      <c r="D2376" s="5" t="str">
        <f>HYPERLINK("https://www.linkedin.com/ad-library/detail/1489372026","Open Ad")</f>
        <v>Open Ad</v>
      </c>
      <c r="E2376" s="4" t="s">
        <v>78</v>
      </c>
      <c r="F2376" s="4" t="s">
        <v>54</v>
      </c>
      <c r="G2376" s="4" t="s">
        <v>6034</v>
      </c>
      <c r="H2376" s="4" t="s">
        <v>49</v>
      </c>
      <c r="I2376" s="4" t="s">
        <v>6005</v>
      </c>
      <c r="J2376" s="4" t="s">
        <v>78</v>
      </c>
      <c r="K2376" s="4" t="s">
        <v>59</v>
      </c>
      <c r="L2376" s="4" t="s">
        <v>106</v>
      </c>
      <c r="M2376" s="4" t="s">
        <v>5965</v>
      </c>
      <c r="O2376" s="4" t="s">
        <v>63</v>
      </c>
      <c r="P2376" s="4" t="s">
        <v>64</v>
      </c>
    </row>
    <row r="2377">
      <c r="A2377" s="4" t="s">
        <v>5965</v>
      </c>
      <c r="B2377" s="4" t="s">
        <v>5965</v>
      </c>
      <c r="C2377" s="4">
        <v>766.0</v>
      </c>
      <c r="D2377" s="5" t="str">
        <f>HYPERLINK("https://www.linkedin.com/ad-library/detail/1484704646","Open Ad")</f>
        <v>Open Ad</v>
      </c>
      <c r="E2377" s="4" t="s">
        <v>78</v>
      </c>
      <c r="F2377" s="4" t="s">
        <v>54</v>
      </c>
      <c r="G2377" s="4" t="s">
        <v>6330</v>
      </c>
      <c r="H2377" s="4" t="s">
        <v>49</v>
      </c>
      <c r="I2377" s="4" t="s">
        <v>6005</v>
      </c>
      <c r="J2377" s="4" t="s">
        <v>78</v>
      </c>
      <c r="K2377" s="5" t="str">
        <f>HYPERLINK("https://media.licdn.com/dms/image/v2/D5610AQHWN3cBgpsrZA/image-shrink_1280/B56Z8ThVnqLAAc-/0/1782738934569?e=2147483647&amp;v=beta&amp;t=A-Y9kI8t-vvKXU86I3eo4Ke7-nBQGOwNbp_-WJGBzdU","View Creative")</f>
        <v>View Creative</v>
      </c>
      <c r="L2377" s="4" t="s">
        <v>106</v>
      </c>
      <c r="M2377" s="4" t="s">
        <v>5965</v>
      </c>
      <c r="O2377" s="4" t="s">
        <v>63</v>
      </c>
      <c r="P2377" s="4" t="s">
        <v>64</v>
      </c>
    </row>
    <row r="2378">
      <c r="A2378" s="4" t="s">
        <v>5965</v>
      </c>
      <c r="B2378" s="4" t="s">
        <v>5965</v>
      </c>
      <c r="C2378" s="4">
        <v>767.0</v>
      </c>
      <c r="D2378" s="5" t="str">
        <f>HYPERLINK("https://www.linkedin.com/ad-library/detail/1489284816","Open Ad")</f>
        <v>Open Ad</v>
      </c>
      <c r="E2378" s="4" t="s">
        <v>78</v>
      </c>
      <c r="F2378" s="4" t="s">
        <v>54</v>
      </c>
      <c r="G2378" s="4" t="s">
        <v>6033</v>
      </c>
      <c r="H2378" s="4" t="s">
        <v>49</v>
      </c>
      <c r="I2378" s="4" t="s">
        <v>6005</v>
      </c>
      <c r="J2378" s="4" t="s">
        <v>78</v>
      </c>
      <c r="K2378" s="4" t="s">
        <v>59</v>
      </c>
      <c r="L2378" s="4" t="s">
        <v>106</v>
      </c>
      <c r="M2378" s="4" t="s">
        <v>5965</v>
      </c>
      <c r="O2378" s="4" t="s">
        <v>63</v>
      </c>
      <c r="P2378" s="4" t="s">
        <v>64</v>
      </c>
    </row>
    <row r="2379">
      <c r="A2379" s="4" t="s">
        <v>5965</v>
      </c>
      <c r="B2379" s="4" t="s">
        <v>5965</v>
      </c>
      <c r="C2379" s="4">
        <v>768.0</v>
      </c>
      <c r="D2379" s="5" t="str">
        <f>HYPERLINK("https://www.linkedin.com/ad-library/detail/1488013816","Open Ad")</f>
        <v>Open Ad</v>
      </c>
      <c r="E2379" s="4" t="s">
        <v>121</v>
      </c>
      <c r="F2379" s="4" t="s">
        <v>54</v>
      </c>
      <c r="G2379" s="4" t="s">
        <v>6049</v>
      </c>
      <c r="H2379" s="4" t="s">
        <v>49</v>
      </c>
      <c r="I2379" s="4" t="s">
        <v>6005</v>
      </c>
      <c r="J2379" s="4" t="s">
        <v>121</v>
      </c>
      <c r="K2379" s="5" t="str">
        <f>HYPERLINK("https://dms.licdn.com/playlist/vid/v2/D5610AQHCJpD_4X3r0w/mp4-360p-30fp-crf28/B56Z8jGxPuG0Bg-/0/1783000416146?e=2147483647&amp;v=beta&amp;t=buNqytXIKQbDSPmN-gF0MjkJ-TiOGUHb02s8kF2cYZo","View Creative")</f>
        <v>View Creative</v>
      </c>
      <c r="L2379" s="4" t="s">
        <v>106</v>
      </c>
      <c r="M2379" s="4" t="s">
        <v>5965</v>
      </c>
      <c r="O2379" s="4" t="s">
        <v>63</v>
      </c>
      <c r="P2379" s="4" t="s">
        <v>64</v>
      </c>
    </row>
    <row r="2380">
      <c r="A2380" s="4" t="s">
        <v>5965</v>
      </c>
      <c r="B2380" s="4" t="s">
        <v>5965</v>
      </c>
      <c r="C2380" s="4">
        <v>769.0</v>
      </c>
      <c r="D2380" s="5" t="str">
        <f>HYPERLINK("https://www.linkedin.com/ad-library/detail/1484714726","Open Ad")</f>
        <v>Open Ad</v>
      </c>
      <c r="E2380" s="4" t="s">
        <v>78</v>
      </c>
      <c r="F2380" s="4" t="s">
        <v>54</v>
      </c>
      <c r="G2380" s="4" t="s">
        <v>6330</v>
      </c>
      <c r="H2380" s="4" t="s">
        <v>49</v>
      </c>
      <c r="I2380" s="4" t="s">
        <v>6005</v>
      </c>
      <c r="J2380" s="4" t="s">
        <v>78</v>
      </c>
      <c r="K2380" s="5" t="str">
        <f>HYPERLINK("https://media.licdn.com/dms/image/v2/D5610AQHWN3cBgpsrZA/image-shrink_1280/B56Z8ThVnqLAAc-/0/1782738934569?e=2147483647&amp;v=beta&amp;t=A-Y9kI8t-vvKXU86I3eo4Ke7-nBQGOwNbp_-WJGBzdU","View Creative")</f>
        <v>View Creative</v>
      </c>
      <c r="L2380" s="4" t="s">
        <v>106</v>
      </c>
      <c r="M2380" s="4" t="s">
        <v>5965</v>
      </c>
      <c r="O2380" s="4" t="s">
        <v>63</v>
      </c>
      <c r="P2380" s="4" t="s">
        <v>64</v>
      </c>
    </row>
    <row r="2381">
      <c r="A2381" s="4" t="s">
        <v>5965</v>
      </c>
      <c r="B2381" s="4" t="s">
        <v>5965</v>
      </c>
      <c r="C2381" s="4">
        <v>770.0</v>
      </c>
      <c r="D2381" s="5" t="str">
        <f>HYPERLINK("https://www.linkedin.com/ad-library/detail/1480563956","Open Ad")</f>
        <v>Open Ad</v>
      </c>
      <c r="E2381" s="4" t="s">
        <v>121</v>
      </c>
      <c r="F2381" s="4" t="s">
        <v>54</v>
      </c>
      <c r="G2381" s="4" t="s">
        <v>6406</v>
      </c>
      <c r="H2381" s="4" t="s">
        <v>49</v>
      </c>
      <c r="I2381" s="4" t="s">
        <v>6005</v>
      </c>
      <c r="J2381" s="4" t="s">
        <v>121</v>
      </c>
      <c r="K2381" s="5" t="str">
        <f>HYPERLINK("https://dms.licdn.com/playlist/vid/v2/D5610AQFJBcQOyNjAcA/mp4-360p-30fp-crf28/B56Z8FlsDAIoCA-/0/1782505196254?e=2147483647&amp;v=beta&amp;t=4sUNWeKXfFsvVKFYJqbakR6_0PgqnP76JWX4KweWgHs","View Creative")</f>
        <v>View Creative</v>
      </c>
      <c r="L2381" s="4" t="s">
        <v>106</v>
      </c>
      <c r="M2381" s="4" t="s">
        <v>5965</v>
      </c>
      <c r="O2381" s="4" t="s">
        <v>63</v>
      </c>
      <c r="P2381" s="4" t="s">
        <v>64</v>
      </c>
    </row>
    <row r="2382">
      <c r="A2382" s="4" t="s">
        <v>5965</v>
      </c>
      <c r="B2382" s="4" t="s">
        <v>5965</v>
      </c>
      <c r="C2382" s="4">
        <v>771.0</v>
      </c>
      <c r="D2382" s="5" t="str">
        <f>HYPERLINK("https://www.linkedin.com/ad-library/detail/1484842686","Open Ad")</f>
        <v>Open Ad</v>
      </c>
      <c r="E2382" s="4" t="s">
        <v>78</v>
      </c>
      <c r="F2382" s="4" t="s">
        <v>54</v>
      </c>
      <c r="G2382" s="4" t="s">
        <v>6086</v>
      </c>
      <c r="H2382" s="4" t="s">
        <v>49</v>
      </c>
      <c r="I2382" s="4" t="s">
        <v>6005</v>
      </c>
      <c r="J2382" s="4" t="s">
        <v>78</v>
      </c>
      <c r="K2382" s="5" t="str">
        <f>HYPERLINK("https://media.licdn.com/dms/image/v2/D5610AQF5ONUziLB90Q/image-shrink_1280/B56Z8YuROrGcAc-/0/1782826211326?e=2147483647&amp;v=beta&amp;t=P2Cz2Aul20qMidWME_WS_vAnPWT-iq7vaBsEHckvets","View Creative")</f>
        <v>View Creative</v>
      </c>
      <c r="L2382" s="4" t="s">
        <v>106</v>
      </c>
      <c r="M2382" s="4" t="s">
        <v>5965</v>
      </c>
      <c r="O2382" s="4" t="s">
        <v>63</v>
      </c>
      <c r="P2382" s="4" t="s">
        <v>64</v>
      </c>
    </row>
    <row r="2383">
      <c r="A2383" s="4" t="s">
        <v>5965</v>
      </c>
      <c r="B2383" s="4" t="s">
        <v>5965</v>
      </c>
      <c r="C2383" s="4">
        <v>772.0</v>
      </c>
      <c r="D2383" s="5" t="str">
        <f>HYPERLINK("https://www.linkedin.com/ad-library/detail/1484704096","Open Ad")</f>
        <v>Open Ad</v>
      </c>
      <c r="E2383" s="4" t="s">
        <v>5970</v>
      </c>
      <c r="F2383" s="4" t="s">
        <v>54</v>
      </c>
      <c r="G2383" s="4" t="s">
        <v>5980</v>
      </c>
      <c r="H2383" s="4" t="s">
        <v>49</v>
      </c>
      <c r="I2383" s="4" t="s">
        <v>6005</v>
      </c>
      <c r="J2383" s="4" t="s">
        <v>5973</v>
      </c>
      <c r="K2383" s="4" t="s">
        <v>59</v>
      </c>
      <c r="L2383" s="4" t="s">
        <v>106</v>
      </c>
      <c r="M2383" s="4" t="s">
        <v>5965</v>
      </c>
      <c r="O2383" s="4" t="s">
        <v>63</v>
      </c>
      <c r="P2383" s="4" t="s">
        <v>64</v>
      </c>
    </row>
    <row r="2384">
      <c r="A2384" s="4" t="s">
        <v>5965</v>
      </c>
      <c r="B2384" s="4" t="s">
        <v>5965</v>
      </c>
      <c r="C2384" s="4">
        <v>773.0</v>
      </c>
      <c r="D2384" s="5" t="str">
        <f>HYPERLINK("https://www.linkedin.com/ad-library/detail/1484734266","Open Ad")</f>
        <v>Open Ad</v>
      </c>
      <c r="E2384" s="4" t="s">
        <v>78</v>
      </c>
      <c r="F2384" s="4" t="s">
        <v>54</v>
      </c>
      <c r="G2384" s="4" t="s">
        <v>6330</v>
      </c>
      <c r="H2384" s="4" t="s">
        <v>49</v>
      </c>
      <c r="I2384" s="4" t="s">
        <v>6005</v>
      </c>
      <c r="J2384" s="4" t="s">
        <v>78</v>
      </c>
      <c r="K2384" s="5" t="str">
        <f>HYPERLINK("https://media.licdn.com/dms/image/v2/D5610AQHWN3cBgpsrZA/image-shrink_1280/B56Z8ThVnqLAAc-/0/1782738934569?e=2147483647&amp;v=beta&amp;t=A-Y9kI8t-vvKXU86I3eo4Ke7-nBQGOwNbp_-WJGBzdU","View Creative")</f>
        <v>View Creative</v>
      </c>
      <c r="L2384" s="4" t="s">
        <v>106</v>
      </c>
      <c r="M2384" s="4" t="s">
        <v>5965</v>
      </c>
      <c r="O2384" s="4" t="s">
        <v>63</v>
      </c>
      <c r="P2384" s="4" t="s">
        <v>64</v>
      </c>
    </row>
    <row r="2385">
      <c r="A2385" s="4" t="s">
        <v>5965</v>
      </c>
      <c r="B2385" s="4" t="s">
        <v>5965</v>
      </c>
      <c r="C2385" s="4">
        <v>774.0</v>
      </c>
      <c r="D2385" s="5" t="str">
        <f>HYPERLINK("https://www.linkedin.com/ad-library/detail/1480621316","Open Ad")</f>
        <v>Open Ad</v>
      </c>
      <c r="E2385" s="4" t="s">
        <v>121</v>
      </c>
      <c r="F2385" s="4" t="s">
        <v>54</v>
      </c>
      <c r="G2385" s="4" t="s">
        <v>6406</v>
      </c>
      <c r="H2385" s="4" t="s">
        <v>49</v>
      </c>
      <c r="I2385" s="4" t="s">
        <v>6005</v>
      </c>
      <c r="J2385" s="4" t="s">
        <v>121</v>
      </c>
      <c r="K2385" s="5" t="str">
        <f>HYPERLINK("https://dms.licdn.com/playlist/vid/v2/D5610AQEJpEy13f0tkQ/mp4-360p-30fp-crf28/B56Z8FlUiVIgCA-/0/1782505099712?e=2147483647&amp;v=beta&amp;t=_pyNA0I-zblCih8X5iTZwrmnCnbfgtx5mPRPA47i1Go","View Creative")</f>
        <v>View Creative</v>
      </c>
      <c r="L2385" s="4" t="s">
        <v>106</v>
      </c>
      <c r="M2385" s="4" t="s">
        <v>5965</v>
      </c>
      <c r="O2385" s="4" t="s">
        <v>63</v>
      </c>
      <c r="P2385" s="4" t="s">
        <v>64</v>
      </c>
    </row>
    <row r="2386">
      <c r="A2386" s="4" t="s">
        <v>5965</v>
      </c>
      <c r="B2386" s="4" t="s">
        <v>5965</v>
      </c>
      <c r="C2386" s="4">
        <v>775.0</v>
      </c>
      <c r="D2386" s="5" t="str">
        <f>HYPERLINK("https://www.linkedin.com/ad-library/detail/1484675396","Open Ad")</f>
        <v>Open Ad</v>
      </c>
      <c r="E2386" s="4" t="s">
        <v>78</v>
      </c>
      <c r="F2386" s="4" t="s">
        <v>54</v>
      </c>
      <c r="G2386" s="4" t="s">
        <v>6086</v>
      </c>
      <c r="H2386" s="4" t="s">
        <v>49</v>
      </c>
      <c r="I2386" s="4" t="s">
        <v>6005</v>
      </c>
      <c r="J2386" s="4" t="s">
        <v>78</v>
      </c>
      <c r="K2386" s="5" t="str">
        <f>HYPERLINK("https://media.licdn.com/dms/image/v2/D5610AQF5ONUziLB90Q/image-shrink_1280/B56Z8YuROrGcAc-/0/1782826211326?e=2147483647&amp;v=beta&amp;t=P2Cz2Aul20qMidWME_WS_vAnPWT-iq7vaBsEHckvets","View Creative")</f>
        <v>View Creative</v>
      </c>
      <c r="L2386" s="4" t="s">
        <v>106</v>
      </c>
      <c r="M2386" s="4" t="s">
        <v>5965</v>
      </c>
      <c r="O2386" s="4" t="s">
        <v>63</v>
      </c>
      <c r="P2386" s="4" t="s">
        <v>64</v>
      </c>
    </row>
    <row r="2387">
      <c r="A2387" s="4" t="s">
        <v>5965</v>
      </c>
      <c r="B2387" s="4" t="s">
        <v>5965</v>
      </c>
      <c r="C2387" s="4">
        <v>776.0</v>
      </c>
      <c r="D2387" s="5" t="str">
        <f>HYPERLINK("https://www.linkedin.com/ad-library/detail/1461915024","Open Ad")</f>
        <v>Open Ad</v>
      </c>
      <c r="E2387" s="4" t="s">
        <v>78</v>
      </c>
      <c r="F2387" s="4" t="s">
        <v>54</v>
      </c>
      <c r="G2387" s="4" t="s">
        <v>6407</v>
      </c>
      <c r="H2387" s="4" t="s">
        <v>49</v>
      </c>
      <c r="I2387" s="4" t="s">
        <v>6005</v>
      </c>
      <c r="J2387" s="4" t="s">
        <v>78</v>
      </c>
      <c r="K2387" s="5" t="str">
        <f>HYPERLINK("https://media.licdn.com/dms/image/v2/D4E10AQG-J75au95BRw/image-shrink_1280/B4EZ8FmpsuHMAc-/0/1782505446493/AEOAudit?e=2147483647&amp;v=beta&amp;t=av6j8ofwnnFC2PY_385OBxlH8znye-YUEoC2BjjPT1U","View Creative")</f>
        <v>View Creative</v>
      </c>
      <c r="L2387" s="4" t="s">
        <v>106</v>
      </c>
      <c r="M2387" s="4" t="s">
        <v>5965</v>
      </c>
      <c r="O2387" s="4" t="s">
        <v>63</v>
      </c>
      <c r="P2387" s="4" t="s">
        <v>64</v>
      </c>
    </row>
    <row r="2388">
      <c r="A2388" s="4" t="s">
        <v>5965</v>
      </c>
      <c r="B2388" s="4" t="s">
        <v>5965</v>
      </c>
      <c r="C2388" s="4">
        <v>777.0</v>
      </c>
      <c r="D2388" s="5" t="str">
        <f>HYPERLINK("https://www.linkedin.com/ad-library/detail/1484658206","Open Ad")</f>
        <v>Open Ad</v>
      </c>
      <c r="E2388" s="4" t="s">
        <v>78</v>
      </c>
      <c r="F2388" s="4" t="s">
        <v>54</v>
      </c>
      <c r="G2388" s="4" t="s">
        <v>6330</v>
      </c>
      <c r="H2388" s="4" t="s">
        <v>49</v>
      </c>
      <c r="I2388" s="4" t="s">
        <v>6005</v>
      </c>
      <c r="J2388" s="4" t="s">
        <v>78</v>
      </c>
      <c r="K2388" s="5" t="str">
        <f>HYPERLINK("https://media.licdn.com/dms/image/v2/D5610AQHWN3cBgpsrZA/image-shrink_1280/B56Z8ThVnqLAAc-/0/1782738934569?e=2147483647&amp;v=beta&amp;t=A-Y9kI8t-vvKXU86I3eo4Ke7-nBQGOwNbp_-WJGBzdU","View Creative")</f>
        <v>View Creative</v>
      </c>
      <c r="L2388" s="4" t="s">
        <v>106</v>
      </c>
      <c r="M2388" s="4" t="s">
        <v>5965</v>
      </c>
      <c r="O2388" s="4" t="s">
        <v>63</v>
      </c>
      <c r="P2388" s="4" t="s">
        <v>64</v>
      </c>
    </row>
    <row r="2389">
      <c r="A2389" s="4" t="s">
        <v>5965</v>
      </c>
      <c r="B2389" s="4" t="s">
        <v>5965</v>
      </c>
      <c r="C2389" s="4">
        <v>778.0</v>
      </c>
      <c r="D2389" s="5" t="str">
        <f>HYPERLINK("https://www.linkedin.com/ad-library/detail/1484832196","Open Ad")</f>
        <v>Open Ad</v>
      </c>
      <c r="E2389" s="4" t="s">
        <v>78</v>
      </c>
      <c r="F2389" s="4" t="s">
        <v>54</v>
      </c>
      <c r="G2389" s="4" t="s">
        <v>6086</v>
      </c>
      <c r="H2389" s="4" t="s">
        <v>49</v>
      </c>
      <c r="I2389" s="4" t="s">
        <v>6005</v>
      </c>
      <c r="J2389" s="4" t="s">
        <v>78</v>
      </c>
      <c r="K2389" s="5" t="str">
        <f t="shared" ref="K2389:K2390" si="82">HYPERLINK("https://media.licdn.com/dms/image/v2/D5610AQF5ONUziLB90Q/image-shrink_1280/B56Z8YuROrGcAc-/0/1782826211326?e=2147483647&amp;v=beta&amp;t=P2Cz2Aul20qMidWME_WS_vAnPWT-iq7vaBsEHckvets","View Creative")</f>
        <v>View Creative</v>
      </c>
      <c r="L2389" s="4" t="s">
        <v>106</v>
      </c>
      <c r="M2389" s="4" t="s">
        <v>5965</v>
      </c>
      <c r="O2389" s="4" t="s">
        <v>63</v>
      </c>
      <c r="P2389" s="4" t="s">
        <v>64</v>
      </c>
    </row>
    <row r="2390">
      <c r="A2390" s="4" t="s">
        <v>5965</v>
      </c>
      <c r="B2390" s="4" t="s">
        <v>5965</v>
      </c>
      <c r="C2390" s="4">
        <v>779.0</v>
      </c>
      <c r="D2390" s="5" t="str">
        <f>HYPERLINK("https://www.linkedin.com/ad-library/detail/1484675406","Open Ad")</f>
        <v>Open Ad</v>
      </c>
      <c r="E2390" s="4" t="s">
        <v>78</v>
      </c>
      <c r="F2390" s="4" t="s">
        <v>54</v>
      </c>
      <c r="G2390" s="4" t="s">
        <v>6086</v>
      </c>
      <c r="H2390" s="4" t="s">
        <v>49</v>
      </c>
      <c r="I2390" s="4" t="s">
        <v>6005</v>
      </c>
      <c r="J2390" s="4" t="s">
        <v>78</v>
      </c>
      <c r="K2390" s="5" t="str">
        <f t="shared" si="82"/>
        <v>View Creative</v>
      </c>
      <c r="L2390" s="4" t="s">
        <v>106</v>
      </c>
      <c r="M2390" s="4" t="s">
        <v>5965</v>
      </c>
      <c r="O2390" s="4" t="s">
        <v>63</v>
      </c>
      <c r="P2390" s="4" t="s">
        <v>64</v>
      </c>
    </row>
    <row r="2391">
      <c r="A2391" s="4" t="s">
        <v>5965</v>
      </c>
      <c r="B2391" s="4" t="s">
        <v>5965</v>
      </c>
      <c r="C2391" s="4">
        <v>780.0</v>
      </c>
      <c r="D2391" s="5" t="str">
        <f>HYPERLINK("https://www.linkedin.com/ad-library/detail/1484744196","Open Ad")</f>
        <v>Open Ad</v>
      </c>
      <c r="E2391" s="4" t="s">
        <v>78</v>
      </c>
      <c r="F2391" s="4" t="s">
        <v>54</v>
      </c>
      <c r="G2391" s="4" t="s">
        <v>6330</v>
      </c>
      <c r="H2391" s="4" t="s">
        <v>49</v>
      </c>
      <c r="I2391" s="4" t="s">
        <v>6005</v>
      </c>
      <c r="J2391" s="4" t="s">
        <v>78</v>
      </c>
      <c r="K2391" s="5" t="str">
        <f>HYPERLINK("https://media.licdn.com/dms/image/v2/D5610AQHWN3cBgpsrZA/image-shrink_1280/B56Z8ThVnqLAAc-/0/1782738934569?e=2147483647&amp;v=beta&amp;t=A-Y9kI8t-vvKXU86I3eo4Ke7-nBQGOwNbp_-WJGBzdU","View Creative")</f>
        <v>View Creative</v>
      </c>
      <c r="L2391" s="4" t="s">
        <v>106</v>
      </c>
      <c r="M2391" s="4" t="s">
        <v>5965</v>
      </c>
      <c r="O2391" s="4" t="s">
        <v>63</v>
      </c>
      <c r="P2391" s="4" t="s">
        <v>64</v>
      </c>
    </row>
    <row r="2392">
      <c r="A2392" s="4" t="s">
        <v>5965</v>
      </c>
      <c r="B2392" s="4" t="s">
        <v>5965</v>
      </c>
      <c r="C2392" s="4">
        <v>781.0</v>
      </c>
      <c r="D2392" s="5" t="str">
        <f>HYPERLINK("https://www.linkedin.com/ad-library/detail/1480543796","Open Ad")</f>
        <v>Open Ad</v>
      </c>
      <c r="E2392" s="4" t="s">
        <v>121</v>
      </c>
      <c r="F2392" s="4" t="s">
        <v>54</v>
      </c>
      <c r="G2392" s="4" t="s">
        <v>6270</v>
      </c>
      <c r="H2392" s="4" t="s">
        <v>49</v>
      </c>
      <c r="I2392" s="4" t="s">
        <v>6005</v>
      </c>
      <c r="J2392" s="4" t="s">
        <v>121</v>
      </c>
      <c r="K2392" s="5" t="str">
        <f>HYPERLINK("https://dms.licdn.com/playlist/vid/v2/D5610AQFJBcQOyNjAcA/mp4-360p-30fp-crf28/B56Z8FlsDAIoCA-/0/1782505196254?e=2147483647&amp;v=beta&amp;t=4sUNWeKXfFsvVKFYJqbakR6_0PgqnP76JWX4KweWgHs","View Creative")</f>
        <v>View Creative</v>
      </c>
      <c r="L2392" s="4" t="s">
        <v>106</v>
      </c>
      <c r="M2392" s="4" t="s">
        <v>5965</v>
      </c>
      <c r="O2392" s="4" t="s">
        <v>63</v>
      </c>
      <c r="P2392" s="4" t="s">
        <v>64</v>
      </c>
    </row>
    <row r="2393">
      <c r="A2393" s="4" t="s">
        <v>5965</v>
      </c>
      <c r="B2393" s="4" t="s">
        <v>5965</v>
      </c>
      <c r="C2393" s="4">
        <v>782.0</v>
      </c>
      <c r="D2393" s="5" t="str">
        <f>HYPERLINK("https://www.linkedin.com/ad-library/detail/1484658226","Open Ad")</f>
        <v>Open Ad</v>
      </c>
      <c r="E2393" s="4" t="s">
        <v>78</v>
      </c>
      <c r="F2393" s="4" t="s">
        <v>54</v>
      </c>
      <c r="G2393" s="4" t="s">
        <v>6330</v>
      </c>
      <c r="H2393" s="4" t="s">
        <v>49</v>
      </c>
      <c r="I2393" s="4" t="s">
        <v>6005</v>
      </c>
      <c r="J2393" s="4" t="s">
        <v>78</v>
      </c>
      <c r="K2393" s="5" t="str">
        <f>HYPERLINK("https://media.licdn.com/dms/image/v2/D5610AQHWN3cBgpsrZA/image-shrink_1280/B56Z8ThVnqLAAc-/0/1782738934569?e=2147483647&amp;v=beta&amp;t=A-Y9kI8t-vvKXU86I3eo4Ke7-nBQGOwNbp_-WJGBzdU","View Creative")</f>
        <v>View Creative</v>
      </c>
      <c r="L2393" s="4" t="s">
        <v>106</v>
      </c>
      <c r="M2393" s="4" t="s">
        <v>5965</v>
      </c>
      <c r="O2393" s="4" t="s">
        <v>63</v>
      </c>
      <c r="P2393" s="4" t="s">
        <v>64</v>
      </c>
    </row>
    <row r="2394">
      <c r="A2394" s="4" t="s">
        <v>5965</v>
      </c>
      <c r="B2394" s="4" t="s">
        <v>5965</v>
      </c>
      <c r="C2394" s="4">
        <v>783.0</v>
      </c>
      <c r="D2394" s="5" t="str">
        <f>HYPERLINK("https://www.linkedin.com/ad-library/detail/1480465246","Open Ad")</f>
        <v>Open Ad</v>
      </c>
      <c r="E2394" s="4" t="s">
        <v>121</v>
      </c>
      <c r="F2394" s="4" t="s">
        <v>54</v>
      </c>
      <c r="G2394" s="4" t="s">
        <v>6406</v>
      </c>
      <c r="H2394" s="4" t="s">
        <v>49</v>
      </c>
      <c r="I2394" s="4" t="s">
        <v>6005</v>
      </c>
      <c r="J2394" s="4" t="s">
        <v>121</v>
      </c>
      <c r="K2394" s="5" t="str">
        <f>HYPERLINK("https://dms.licdn.com/playlist/vid/v2/D5610AQFJBcQOyNjAcA/mp4-360p-30fp-crf28/B56Z8FlsDAIoCA-/0/1782505196254?e=2147483647&amp;v=beta&amp;t=4sUNWeKXfFsvVKFYJqbakR6_0PgqnP76JWX4KweWgHs","View Creative")</f>
        <v>View Creative</v>
      </c>
      <c r="L2394" s="4" t="s">
        <v>106</v>
      </c>
      <c r="M2394" s="4" t="s">
        <v>5965</v>
      </c>
      <c r="O2394" s="4" t="s">
        <v>63</v>
      </c>
      <c r="P2394" s="4" t="s">
        <v>64</v>
      </c>
    </row>
    <row r="2395">
      <c r="A2395" s="4" t="s">
        <v>5965</v>
      </c>
      <c r="B2395" s="4" t="s">
        <v>5965</v>
      </c>
      <c r="C2395" s="4">
        <v>784.0</v>
      </c>
      <c r="D2395" s="5" t="str">
        <f>HYPERLINK("https://www.linkedin.com/ad-library/detail/1484724336","Open Ad")</f>
        <v>Open Ad</v>
      </c>
      <c r="E2395" s="4" t="s">
        <v>78</v>
      </c>
      <c r="F2395" s="4" t="s">
        <v>54</v>
      </c>
      <c r="G2395" s="4" t="s">
        <v>6086</v>
      </c>
      <c r="H2395" s="4" t="s">
        <v>49</v>
      </c>
      <c r="I2395" s="4" t="s">
        <v>6005</v>
      </c>
      <c r="J2395" s="4" t="s">
        <v>78</v>
      </c>
      <c r="K2395" s="5" t="str">
        <f>HYPERLINK("https://media.licdn.com/dms/image/v2/D5610AQF5ONUziLB90Q/image-shrink_1280/B56Z8YuROrGcAc-/0/1782826211326?e=2147483647&amp;v=beta&amp;t=P2Cz2Aul20qMidWME_WS_vAnPWT-iq7vaBsEHckvets","View Creative")</f>
        <v>View Creative</v>
      </c>
      <c r="L2395" s="4" t="s">
        <v>106</v>
      </c>
      <c r="M2395" s="4" t="s">
        <v>5965</v>
      </c>
      <c r="O2395" s="4" t="s">
        <v>63</v>
      </c>
      <c r="P2395" s="4" t="s">
        <v>64</v>
      </c>
    </row>
    <row r="2396">
      <c r="A2396" s="4" t="s">
        <v>5965</v>
      </c>
      <c r="B2396" s="4" t="s">
        <v>5965</v>
      </c>
      <c r="C2396" s="4">
        <v>785.0</v>
      </c>
      <c r="D2396" s="5" t="str">
        <f>HYPERLINK("https://www.linkedin.com/ad-library/detail/1483302756","Open Ad")</f>
        <v>Open Ad</v>
      </c>
      <c r="E2396" s="4" t="s">
        <v>5970</v>
      </c>
      <c r="F2396" s="4" t="s">
        <v>54</v>
      </c>
      <c r="G2396" s="4" t="s">
        <v>6408</v>
      </c>
      <c r="H2396" s="4" t="s">
        <v>49</v>
      </c>
      <c r="I2396" s="4" t="s">
        <v>6005</v>
      </c>
      <c r="J2396" s="4" t="s">
        <v>5973</v>
      </c>
      <c r="K2396" s="4" t="s">
        <v>59</v>
      </c>
      <c r="L2396" s="4" t="s">
        <v>106</v>
      </c>
      <c r="M2396" s="4" t="s">
        <v>5965</v>
      </c>
      <c r="O2396" s="4" t="s">
        <v>63</v>
      </c>
      <c r="P2396" s="4" t="s">
        <v>64</v>
      </c>
    </row>
    <row r="2397">
      <c r="A2397" s="4" t="s">
        <v>5965</v>
      </c>
      <c r="B2397" s="4" t="s">
        <v>5965</v>
      </c>
      <c r="C2397" s="4">
        <v>786.0</v>
      </c>
      <c r="D2397" s="5" t="str">
        <f>HYPERLINK("https://www.linkedin.com/ad-library/detail/1480484586","Open Ad")</f>
        <v>Open Ad</v>
      </c>
      <c r="E2397" s="4" t="s">
        <v>121</v>
      </c>
      <c r="F2397" s="4" t="s">
        <v>54</v>
      </c>
      <c r="G2397" s="4" t="s">
        <v>6270</v>
      </c>
      <c r="H2397" s="4" t="s">
        <v>49</v>
      </c>
      <c r="I2397" s="4" t="s">
        <v>6005</v>
      </c>
      <c r="J2397" s="4" t="s">
        <v>121</v>
      </c>
      <c r="K2397" s="5" t="str">
        <f>HYPERLINK("https://dms.licdn.com/playlist/vid/v2/D5610AQFJBcQOyNjAcA/mp4-360p-30fp-crf28/B56Z8FlsDAIoCA-/0/1782505196254?e=2147483647&amp;v=beta&amp;t=4sUNWeKXfFsvVKFYJqbakR6_0PgqnP76JWX4KweWgHs","View Creative")</f>
        <v>View Creative</v>
      </c>
      <c r="L2397" s="4" t="s">
        <v>106</v>
      </c>
      <c r="M2397" s="4" t="s">
        <v>5965</v>
      </c>
      <c r="O2397" s="4" t="s">
        <v>63</v>
      </c>
      <c r="P2397" s="4" t="s">
        <v>64</v>
      </c>
    </row>
    <row r="2398">
      <c r="A2398" s="4" t="s">
        <v>5965</v>
      </c>
      <c r="B2398" s="4" t="s">
        <v>5965</v>
      </c>
      <c r="C2398" s="4">
        <v>787.0</v>
      </c>
      <c r="D2398" s="5" t="str">
        <f>HYPERLINK("https://www.linkedin.com/ad-library/detail/1480612566","Open Ad")</f>
        <v>Open Ad</v>
      </c>
      <c r="E2398" s="4" t="s">
        <v>121</v>
      </c>
      <c r="F2398" s="4" t="s">
        <v>54</v>
      </c>
      <c r="G2398" s="4" t="s">
        <v>6406</v>
      </c>
      <c r="H2398" s="4" t="s">
        <v>49</v>
      </c>
      <c r="I2398" s="4" t="s">
        <v>6005</v>
      </c>
      <c r="J2398" s="4" t="s">
        <v>121</v>
      </c>
      <c r="K2398" s="5" t="str">
        <f>HYPERLINK("https://dms.licdn.com/playlist/vid/v2/D5610AQEJpEy13f0tkQ/mp4-360p-30fp-crf28/B56Z8FlUiVIgCA-/0/1782505099712?e=2147483647&amp;v=beta&amp;t=_pyNA0I-zblCih8X5iTZwrmnCnbfgtx5mPRPA47i1Go","View Creative")</f>
        <v>View Creative</v>
      </c>
      <c r="L2398" s="4" t="s">
        <v>106</v>
      </c>
      <c r="M2398" s="4" t="s">
        <v>5965</v>
      </c>
      <c r="O2398" s="4" t="s">
        <v>63</v>
      </c>
      <c r="P2398" s="4" t="s">
        <v>64</v>
      </c>
    </row>
    <row r="2399">
      <c r="A2399" s="4" t="s">
        <v>5965</v>
      </c>
      <c r="B2399" s="4" t="s">
        <v>5965</v>
      </c>
      <c r="C2399" s="4">
        <v>788.0</v>
      </c>
      <c r="D2399" s="5" t="str">
        <f>HYPERLINK("https://www.linkedin.com/ad-library/detail/1483361136","Open Ad")</f>
        <v>Open Ad</v>
      </c>
      <c r="E2399" s="4" t="s">
        <v>5970</v>
      </c>
      <c r="F2399" s="4" t="s">
        <v>54</v>
      </c>
      <c r="G2399" s="4" t="s">
        <v>6409</v>
      </c>
      <c r="H2399" s="4" t="s">
        <v>49</v>
      </c>
      <c r="I2399" s="4" t="s">
        <v>6005</v>
      </c>
      <c r="J2399" s="4" t="s">
        <v>5973</v>
      </c>
      <c r="K2399" s="4" t="s">
        <v>59</v>
      </c>
      <c r="L2399" s="4" t="s">
        <v>106</v>
      </c>
      <c r="M2399" s="4" t="s">
        <v>5965</v>
      </c>
      <c r="O2399" s="4" t="s">
        <v>63</v>
      </c>
      <c r="P2399" s="4" t="s">
        <v>64</v>
      </c>
    </row>
    <row r="2400">
      <c r="A2400" s="4" t="s">
        <v>5965</v>
      </c>
      <c r="B2400" s="4" t="s">
        <v>5965</v>
      </c>
      <c r="C2400" s="4">
        <v>789.0</v>
      </c>
      <c r="D2400" s="5" t="str">
        <f>HYPERLINK("https://www.linkedin.com/ad-library/detail/1484723726","Open Ad")</f>
        <v>Open Ad</v>
      </c>
      <c r="E2400" s="4" t="s">
        <v>5970</v>
      </c>
      <c r="F2400" s="4" t="s">
        <v>54</v>
      </c>
      <c r="G2400" s="4" t="s">
        <v>6015</v>
      </c>
      <c r="H2400" s="4" t="s">
        <v>49</v>
      </c>
      <c r="I2400" s="4" t="s">
        <v>6005</v>
      </c>
      <c r="J2400" s="4" t="s">
        <v>5973</v>
      </c>
      <c r="K2400" s="4" t="s">
        <v>59</v>
      </c>
      <c r="L2400" s="4" t="s">
        <v>106</v>
      </c>
      <c r="M2400" s="4" t="s">
        <v>5965</v>
      </c>
      <c r="O2400" s="4" t="s">
        <v>63</v>
      </c>
      <c r="P2400" s="4" t="s">
        <v>64</v>
      </c>
    </row>
    <row r="2401">
      <c r="A2401" s="4" t="s">
        <v>5965</v>
      </c>
      <c r="B2401" s="4" t="s">
        <v>5965</v>
      </c>
      <c r="C2401" s="4">
        <v>790.0</v>
      </c>
      <c r="D2401" s="5" t="str">
        <f>HYPERLINK("https://www.linkedin.com/ad-library/detail/1483252886","Open Ad")</f>
        <v>Open Ad</v>
      </c>
      <c r="E2401" s="4" t="s">
        <v>5970</v>
      </c>
      <c r="F2401" s="4" t="s">
        <v>54</v>
      </c>
      <c r="G2401" s="4" t="s">
        <v>6408</v>
      </c>
      <c r="H2401" s="4" t="s">
        <v>49</v>
      </c>
      <c r="I2401" s="4" t="s">
        <v>6005</v>
      </c>
      <c r="J2401" s="4" t="s">
        <v>5973</v>
      </c>
      <c r="K2401" s="4" t="s">
        <v>59</v>
      </c>
      <c r="L2401" s="4" t="s">
        <v>106</v>
      </c>
      <c r="M2401" s="4" t="s">
        <v>5965</v>
      </c>
      <c r="O2401" s="4" t="s">
        <v>63</v>
      </c>
      <c r="P2401" s="4" t="s">
        <v>64</v>
      </c>
    </row>
    <row r="2402">
      <c r="A2402" s="4" t="s">
        <v>5965</v>
      </c>
      <c r="B2402" s="4" t="s">
        <v>5965</v>
      </c>
      <c r="C2402" s="4">
        <v>791.0</v>
      </c>
      <c r="D2402" s="5" t="str">
        <f>HYPERLINK("https://www.linkedin.com/ad-library/detail/1480425646","Open Ad")</f>
        <v>Open Ad</v>
      </c>
      <c r="E2402" s="4" t="s">
        <v>121</v>
      </c>
      <c r="F2402" s="4" t="s">
        <v>54</v>
      </c>
      <c r="G2402" s="4" t="s">
        <v>6270</v>
      </c>
      <c r="H2402" s="4" t="s">
        <v>49</v>
      </c>
      <c r="I2402" s="4" t="s">
        <v>6005</v>
      </c>
      <c r="J2402" s="4" t="s">
        <v>121</v>
      </c>
      <c r="K2402" s="5" t="str">
        <f>HYPERLINK("https://dms.licdn.com/playlist/vid/v2/D5610AQEJpEy13f0tkQ/mp4-360p-30fp-crf28/B56Z8FlUiVIgCA-/0/1782505099712?e=2147483647&amp;v=beta&amp;t=_pyNA0I-zblCih8X5iTZwrmnCnbfgtx5mPRPA47i1Go","View Creative")</f>
        <v>View Creative</v>
      </c>
      <c r="L2402" s="4" t="s">
        <v>106</v>
      </c>
      <c r="M2402" s="4" t="s">
        <v>5965</v>
      </c>
      <c r="O2402" s="4" t="s">
        <v>63</v>
      </c>
      <c r="P2402" s="4" t="s">
        <v>64</v>
      </c>
    </row>
    <row r="2403">
      <c r="A2403" s="4" t="s">
        <v>5965</v>
      </c>
      <c r="B2403" s="4" t="s">
        <v>5965</v>
      </c>
      <c r="C2403" s="4">
        <v>792.0</v>
      </c>
      <c r="D2403" s="5" t="str">
        <f>HYPERLINK("https://www.linkedin.com/ad-library/detail/1484813306","Open Ad")</f>
        <v>Open Ad</v>
      </c>
      <c r="E2403" s="4" t="s">
        <v>78</v>
      </c>
      <c r="F2403" s="4" t="s">
        <v>54</v>
      </c>
      <c r="G2403" s="4" t="s">
        <v>6086</v>
      </c>
      <c r="H2403" s="4" t="s">
        <v>49</v>
      </c>
      <c r="I2403" s="4" t="s">
        <v>6005</v>
      </c>
      <c r="J2403" s="4" t="s">
        <v>78</v>
      </c>
      <c r="K2403" s="5" t="str">
        <f>HYPERLINK("https://media.licdn.com/dms/image/v2/D5610AQF5ONUziLB90Q/image-shrink_1280/B56Z8YuROrGcAc-/0/1782826211326?e=2147483647&amp;v=beta&amp;t=P2Cz2Aul20qMidWME_WS_vAnPWT-iq7vaBsEHckvets","View Creative")</f>
        <v>View Creative</v>
      </c>
      <c r="L2403" s="4" t="s">
        <v>106</v>
      </c>
      <c r="M2403" s="4" t="s">
        <v>5965</v>
      </c>
      <c r="O2403" s="4" t="s">
        <v>63</v>
      </c>
      <c r="P2403" s="4" t="s">
        <v>64</v>
      </c>
    </row>
    <row r="2404">
      <c r="A2404" s="4" t="s">
        <v>5965</v>
      </c>
      <c r="B2404" s="4" t="s">
        <v>5965</v>
      </c>
      <c r="C2404" s="4">
        <v>793.0</v>
      </c>
      <c r="D2404" s="5" t="str">
        <f>HYPERLINK("https://www.linkedin.com/ad-library/detail/1480242816","Open Ad")</f>
        <v>Open Ad</v>
      </c>
      <c r="E2404" s="4" t="s">
        <v>78</v>
      </c>
      <c r="F2404" s="4" t="s">
        <v>54</v>
      </c>
      <c r="G2404" s="4" t="s">
        <v>6410</v>
      </c>
      <c r="H2404" s="4" t="s">
        <v>49</v>
      </c>
      <c r="I2404" s="4" t="s">
        <v>6005</v>
      </c>
      <c r="J2404" s="4" t="s">
        <v>78</v>
      </c>
      <c r="K2404" s="5" t="str">
        <f>HYPERLINK("https://media.licdn.com/dms/image/v2/D5610AQFlNAbUyB29Vw/image-shrink_1280/B56Z7_go1EIoAc-/0/1782403206905?e=2147483647&amp;v=beta&amp;t=8wX-wxHnudfi8VLnNIh1PGkv0Y4avJHYaY8pB_57JGo","View Creative")</f>
        <v>View Creative</v>
      </c>
      <c r="L2404" s="4" t="s">
        <v>106</v>
      </c>
      <c r="M2404" s="4" t="s">
        <v>5965</v>
      </c>
      <c r="O2404" s="4" t="s">
        <v>63</v>
      </c>
      <c r="P2404" s="4" t="s">
        <v>64</v>
      </c>
    </row>
    <row r="2405">
      <c r="A2405" s="4" t="s">
        <v>5965</v>
      </c>
      <c r="B2405" s="4" t="s">
        <v>5965</v>
      </c>
      <c r="C2405" s="4">
        <v>794.0</v>
      </c>
      <c r="D2405" s="5" t="str">
        <f>HYPERLINK("https://www.linkedin.com/ad-library/detail/1480176126","Open Ad")</f>
        <v>Open Ad</v>
      </c>
      <c r="E2405" s="4" t="s">
        <v>78</v>
      </c>
      <c r="F2405" s="4" t="s">
        <v>54</v>
      </c>
      <c r="G2405" s="4" t="s">
        <v>6411</v>
      </c>
      <c r="H2405" s="4" t="s">
        <v>49</v>
      </c>
      <c r="I2405" s="4" t="s">
        <v>6005</v>
      </c>
      <c r="J2405" s="4" t="s">
        <v>78</v>
      </c>
      <c r="K2405" s="5" t="str">
        <f t="shared" ref="K2405:K2406" si="83">HYPERLINK("https://media.licdn.com/dms/image/v2/D4D10AQG2mHlEH5vbgg/image-shrink_1280/B4DZ74pK0_KsAc-/0/1782288002815?e=2147483647&amp;v=beta&amp;t=58CyUgPB_trZDG5BB-QLZvAdT4cqfgHNU1DuC6AK4X8","View Creative")</f>
        <v>View Creative</v>
      </c>
      <c r="L2405" s="4" t="s">
        <v>106</v>
      </c>
      <c r="M2405" s="4" t="s">
        <v>5965</v>
      </c>
      <c r="O2405" s="4" t="s">
        <v>63</v>
      </c>
      <c r="P2405" s="4" t="s">
        <v>64</v>
      </c>
    </row>
    <row r="2406">
      <c r="A2406" s="4" t="s">
        <v>5965</v>
      </c>
      <c r="B2406" s="4" t="s">
        <v>5965</v>
      </c>
      <c r="C2406" s="4">
        <v>795.0</v>
      </c>
      <c r="D2406" s="5" t="str">
        <f>HYPERLINK("https://www.linkedin.com/ad-library/detail/1480292926","Open Ad")</f>
        <v>Open Ad</v>
      </c>
      <c r="E2406" s="4" t="s">
        <v>78</v>
      </c>
      <c r="F2406" s="4" t="s">
        <v>54</v>
      </c>
      <c r="G2406" s="4" t="s">
        <v>6411</v>
      </c>
      <c r="H2406" s="4" t="s">
        <v>49</v>
      </c>
      <c r="I2406" s="4" t="s">
        <v>6005</v>
      </c>
      <c r="J2406" s="4" t="s">
        <v>78</v>
      </c>
      <c r="K2406" s="5" t="str">
        <f t="shared" si="83"/>
        <v>View Creative</v>
      </c>
      <c r="L2406" s="4" t="s">
        <v>106</v>
      </c>
      <c r="M2406" s="4" t="s">
        <v>5965</v>
      </c>
      <c r="O2406" s="4" t="s">
        <v>63</v>
      </c>
      <c r="P2406" s="4" t="s">
        <v>64</v>
      </c>
    </row>
    <row r="2407">
      <c r="A2407" s="4" t="s">
        <v>5965</v>
      </c>
      <c r="B2407" s="4" t="s">
        <v>5965</v>
      </c>
      <c r="C2407" s="4">
        <v>796.0</v>
      </c>
      <c r="D2407" s="5" t="str">
        <f>HYPERLINK("https://www.linkedin.com/ad-library/detail/1480583486","Open Ad")</f>
        <v>Open Ad</v>
      </c>
      <c r="E2407" s="4" t="s">
        <v>78</v>
      </c>
      <c r="F2407" s="4" t="s">
        <v>54</v>
      </c>
      <c r="G2407" s="4" t="s">
        <v>6270</v>
      </c>
      <c r="H2407" s="4" t="s">
        <v>49</v>
      </c>
      <c r="I2407" s="4" t="s">
        <v>6005</v>
      </c>
      <c r="J2407" s="4" t="s">
        <v>78</v>
      </c>
      <c r="K2407" s="5" t="str">
        <f>HYPERLINK("https://media.licdn.com/dms/image/v2/D5610AQEwpl_XyafGEQ/image-pad_1200_1200/B56Z8FRBQwKUAI-/0/1782499775725?e=1789477200&amp;v=beta&amp;t=nYQu2DybNhKjQyW3lcfMKlxBochPYjMuQ3YdlsDMx-8","View Creative")</f>
        <v>View Creative</v>
      </c>
      <c r="L2407" s="4" t="s">
        <v>106</v>
      </c>
      <c r="M2407" s="4" t="s">
        <v>5965</v>
      </c>
      <c r="O2407" s="4" t="s">
        <v>63</v>
      </c>
      <c r="P2407" s="4" t="s">
        <v>64</v>
      </c>
    </row>
    <row r="2408">
      <c r="A2408" s="4" t="s">
        <v>5965</v>
      </c>
      <c r="B2408" s="4" t="s">
        <v>5965</v>
      </c>
      <c r="C2408" s="4">
        <v>797.0</v>
      </c>
      <c r="D2408" s="5" t="str">
        <f>HYPERLINK("https://www.linkedin.com/ad-library/detail/1480361076","Open Ad")</f>
        <v>Open Ad</v>
      </c>
      <c r="E2408" s="4" t="s">
        <v>78</v>
      </c>
      <c r="F2408" s="4" t="s">
        <v>54</v>
      </c>
      <c r="G2408" s="4" t="s">
        <v>6412</v>
      </c>
      <c r="H2408" s="4" t="s">
        <v>49</v>
      </c>
      <c r="I2408" s="4" t="s">
        <v>6005</v>
      </c>
      <c r="J2408" s="4" t="s">
        <v>78</v>
      </c>
      <c r="K2408" s="5" t="str">
        <f t="shared" ref="K2408:K2409" si="84">HYPERLINK("https://media.licdn.com/dms/image/v2/D5610AQH7nCvwMGSRZQ/image-shrink_1280/B56Z7.b9d9IQAc-/0/1782385204611?e=2147483647&amp;v=beta&amp;t=YOiFiKeb5Epg1QDMx1_2h-utYeXG293Okir-tArj5ao","View Creative")</f>
        <v>View Creative</v>
      </c>
      <c r="L2408" s="4" t="s">
        <v>106</v>
      </c>
      <c r="M2408" s="4" t="s">
        <v>5965</v>
      </c>
      <c r="O2408" s="4" t="s">
        <v>63</v>
      </c>
      <c r="P2408" s="4" t="s">
        <v>64</v>
      </c>
    </row>
    <row r="2409">
      <c r="A2409" s="4" t="s">
        <v>5965</v>
      </c>
      <c r="B2409" s="4" t="s">
        <v>5965</v>
      </c>
      <c r="C2409" s="4">
        <v>798.0</v>
      </c>
      <c r="D2409" s="5" t="str">
        <f>HYPERLINK("https://www.linkedin.com/ad-library/detail/1480342286","Open Ad")</f>
        <v>Open Ad</v>
      </c>
      <c r="E2409" s="4" t="s">
        <v>78</v>
      </c>
      <c r="F2409" s="4" t="s">
        <v>54</v>
      </c>
      <c r="G2409" s="4" t="s">
        <v>6412</v>
      </c>
      <c r="H2409" s="4" t="s">
        <v>49</v>
      </c>
      <c r="I2409" s="4" t="s">
        <v>6005</v>
      </c>
      <c r="J2409" s="4" t="s">
        <v>78</v>
      </c>
      <c r="K2409" s="5" t="str">
        <f t="shared" si="84"/>
        <v>View Creative</v>
      </c>
      <c r="L2409" s="4" t="s">
        <v>106</v>
      </c>
      <c r="M2409" s="4" t="s">
        <v>5965</v>
      </c>
      <c r="O2409" s="4" t="s">
        <v>63</v>
      </c>
      <c r="P2409" s="4" t="s">
        <v>64</v>
      </c>
    </row>
    <row r="2410">
      <c r="A2410" s="4" t="s">
        <v>5965</v>
      </c>
      <c r="B2410" s="4" t="s">
        <v>5965</v>
      </c>
      <c r="C2410" s="4">
        <v>799.0</v>
      </c>
      <c r="D2410" s="5" t="str">
        <f>HYPERLINK("https://www.linkedin.com/ad-library/detail/1480262516","Open Ad")</f>
        <v>Open Ad</v>
      </c>
      <c r="E2410" s="4" t="s">
        <v>78</v>
      </c>
      <c r="F2410" s="4" t="s">
        <v>54</v>
      </c>
      <c r="G2410" s="4" t="s">
        <v>6411</v>
      </c>
      <c r="H2410" s="4" t="s">
        <v>49</v>
      </c>
      <c r="I2410" s="4" t="s">
        <v>6005</v>
      </c>
      <c r="J2410" s="4" t="s">
        <v>78</v>
      </c>
      <c r="K2410" s="5" t="str">
        <f>HYPERLINK("https://media.licdn.com/dms/image/v2/D4D10AQG2mHlEH5vbgg/image-shrink_1280/B4DZ74pK0_KsAc-/0/1782288002815?e=2147483647&amp;v=beta&amp;t=58CyUgPB_trZDG5BB-QLZvAdT4cqfgHNU1DuC6AK4X8","View Creative")</f>
        <v>View Creative</v>
      </c>
      <c r="L2410" s="4" t="s">
        <v>106</v>
      </c>
      <c r="M2410" s="4" t="s">
        <v>5965</v>
      </c>
      <c r="O2410" s="4" t="s">
        <v>63</v>
      </c>
      <c r="P2410" s="4" t="s">
        <v>64</v>
      </c>
    </row>
    <row r="2411">
      <c r="A2411" s="4" t="s">
        <v>5965</v>
      </c>
      <c r="B2411" s="4" t="s">
        <v>5965</v>
      </c>
      <c r="C2411" s="4">
        <v>800.0</v>
      </c>
      <c r="D2411" s="5" t="str">
        <f>HYPERLINK("https://www.linkedin.com/ad-library/detail/1480370126","Open Ad")</f>
        <v>Open Ad</v>
      </c>
      <c r="E2411" s="4" t="s">
        <v>78</v>
      </c>
      <c r="F2411" s="4" t="s">
        <v>54</v>
      </c>
      <c r="G2411" s="4" t="s">
        <v>6412</v>
      </c>
      <c r="H2411" s="4" t="s">
        <v>49</v>
      </c>
      <c r="I2411" s="4" t="s">
        <v>6005</v>
      </c>
      <c r="J2411" s="4" t="s">
        <v>78</v>
      </c>
      <c r="K2411" s="5" t="str">
        <f t="shared" ref="K2411:K2414" si="85">HYPERLINK("https://media.licdn.com/dms/image/v2/D5610AQH7nCvwMGSRZQ/image-shrink_1280/B56Z7.b9d9IQAc-/0/1782385204611?e=2147483647&amp;v=beta&amp;t=YOiFiKeb5Epg1QDMx1_2h-utYeXG293Okir-tArj5ao","View Creative")</f>
        <v>View Creative</v>
      </c>
      <c r="L2411" s="4" t="s">
        <v>106</v>
      </c>
      <c r="M2411" s="4" t="s">
        <v>5965</v>
      </c>
      <c r="O2411" s="4" t="s">
        <v>63</v>
      </c>
      <c r="P2411" s="4" t="s">
        <v>64</v>
      </c>
    </row>
    <row r="2412">
      <c r="A2412" s="4" t="s">
        <v>5965</v>
      </c>
      <c r="B2412" s="4" t="s">
        <v>5965</v>
      </c>
      <c r="C2412" s="4">
        <v>801.0</v>
      </c>
      <c r="D2412" s="5" t="str">
        <f>HYPERLINK("https://www.linkedin.com/ad-library/detail/1480213676","Open Ad")</f>
        <v>Open Ad</v>
      </c>
      <c r="E2412" s="4" t="s">
        <v>78</v>
      </c>
      <c r="F2412" s="4" t="s">
        <v>54</v>
      </c>
      <c r="G2412" s="4" t="s">
        <v>6412</v>
      </c>
      <c r="H2412" s="4" t="s">
        <v>49</v>
      </c>
      <c r="I2412" s="4" t="s">
        <v>6005</v>
      </c>
      <c r="J2412" s="4" t="s">
        <v>78</v>
      </c>
      <c r="K2412" s="5" t="str">
        <f t="shared" si="85"/>
        <v>View Creative</v>
      </c>
      <c r="L2412" s="4" t="s">
        <v>106</v>
      </c>
      <c r="M2412" s="4" t="s">
        <v>5965</v>
      </c>
      <c r="O2412" s="4" t="s">
        <v>63</v>
      </c>
      <c r="P2412" s="4" t="s">
        <v>64</v>
      </c>
    </row>
    <row r="2413">
      <c r="A2413" s="4" t="s">
        <v>5965</v>
      </c>
      <c r="B2413" s="4" t="s">
        <v>5965</v>
      </c>
      <c r="C2413" s="4">
        <v>802.0</v>
      </c>
      <c r="D2413" s="5" t="str">
        <f>HYPERLINK("https://www.linkedin.com/ad-library/detail/1480282426","Open Ad")</f>
        <v>Open Ad</v>
      </c>
      <c r="E2413" s="4" t="s">
        <v>78</v>
      </c>
      <c r="F2413" s="4" t="s">
        <v>54</v>
      </c>
      <c r="G2413" s="4" t="s">
        <v>6412</v>
      </c>
      <c r="H2413" s="4" t="s">
        <v>49</v>
      </c>
      <c r="I2413" s="4" t="s">
        <v>6005</v>
      </c>
      <c r="J2413" s="4" t="s">
        <v>78</v>
      </c>
      <c r="K2413" s="5" t="str">
        <f t="shared" si="85"/>
        <v>View Creative</v>
      </c>
      <c r="L2413" s="4" t="s">
        <v>106</v>
      </c>
      <c r="M2413" s="4" t="s">
        <v>5965</v>
      </c>
      <c r="O2413" s="4" t="s">
        <v>63</v>
      </c>
      <c r="P2413" s="4" t="s">
        <v>64</v>
      </c>
    </row>
    <row r="2414">
      <c r="A2414" s="4" t="s">
        <v>5965</v>
      </c>
      <c r="B2414" s="4" t="s">
        <v>5965</v>
      </c>
      <c r="C2414" s="4">
        <v>803.0</v>
      </c>
      <c r="D2414" s="5" t="str">
        <f>HYPERLINK("https://www.linkedin.com/ad-library/detail/1480213566","Open Ad")</f>
        <v>Open Ad</v>
      </c>
      <c r="E2414" s="4" t="s">
        <v>78</v>
      </c>
      <c r="F2414" s="4" t="s">
        <v>54</v>
      </c>
      <c r="G2414" s="4" t="s">
        <v>6412</v>
      </c>
      <c r="H2414" s="4" t="s">
        <v>49</v>
      </c>
      <c r="I2414" s="4" t="s">
        <v>6005</v>
      </c>
      <c r="J2414" s="4" t="s">
        <v>78</v>
      </c>
      <c r="K2414" s="5" t="str">
        <f t="shared" si="85"/>
        <v>View Creative</v>
      </c>
      <c r="L2414" s="4" t="s">
        <v>106</v>
      </c>
      <c r="M2414" s="4" t="s">
        <v>5965</v>
      </c>
      <c r="O2414" s="4" t="s">
        <v>63</v>
      </c>
      <c r="P2414" s="4" t="s">
        <v>64</v>
      </c>
    </row>
    <row r="2415">
      <c r="A2415" s="4" t="s">
        <v>5965</v>
      </c>
      <c r="B2415" s="4" t="s">
        <v>5965</v>
      </c>
      <c r="C2415" s="4">
        <v>804.0</v>
      </c>
      <c r="D2415" s="5" t="str">
        <f>HYPERLINK("https://www.linkedin.com/ad-library/detail/1480292736","Open Ad")</f>
        <v>Open Ad</v>
      </c>
      <c r="E2415" s="4" t="s">
        <v>78</v>
      </c>
      <c r="F2415" s="4" t="s">
        <v>54</v>
      </c>
      <c r="G2415" s="4" t="s">
        <v>6411</v>
      </c>
      <c r="H2415" s="4" t="s">
        <v>49</v>
      </c>
      <c r="I2415" s="4" t="s">
        <v>6005</v>
      </c>
      <c r="J2415" s="4" t="s">
        <v>78</v>
      </c>
      <c r="K2415" s="5" t="str">
        <f>HYPERLINK("https://media.licdn.com/dms/image/v2/D4D10AQG2mHlEH5vbgg/image-shrink_1280/B4DZ74pK0_KsAc-/0/1782288002815?e=2147483647&amp;v=beta&amp;t=58CyUgPB_trZDG5BB-QLZvAdT4cqfgHNU1DuC6AK4X8","View Creative")</f>
        <v>View Creative</v>
      </c>
      <c r="L2415" s="4" t="s">
        <v>106</v>
      </c>
      <c r="M2415" s="4" t="s">
        <v>5965</v>
      </c>
      <c r="O2415" s="4" t="s">
        <v>63</v>
      </c>
      <c r="P2415" s="4" t="s">
        <v>64</v>
      </c>
    </row>
    <row r="2416">
      <c r="A2416" s="4" t="s">
        <v>5965</v>
      </c>
      <c r="B2416" s="4" t="s">
        <v>5965</v>
      </c>
      <c r="C2416" s="4">
        <v>805.0</v>
      </c>
      <c r="D2416" s="5" t="str">
        <f>HYPERLINK("https://www.linkedin.com/ad-library/detail/1480361006","Open Ad")</f>
        <v>Open Ad</v>
      </c>
      <c r="E2416" s="4" t="s">
        <v>78</v>
      </c>
      <c r="F2416" s="4" t="s">
        <v>54</v>
      </c>
      <c r="G2416" s="4" t="s">
        <v>6412</v>
      </c>
      <c r="H2416" s="4" t="s">
        <v>49</v>
      </c>
      <c r="I2416" s="4" t="s">
        <v>6005</v>
      </c>
      <c r="J2416" s="4" t="s">
        <v>78</v>
      </c>
      <c r="K2416" s="5" t="str">
        <f>HYPERLINK("https://media.licdn.com/dms/image/v2/D5610AQH7nCvwMGSRZQ/image-shrink_1280/B56Z7.b9d9IQAc-/0/1782385204611?e=2147483647&amp;v=beta&amp;t=YOiFiKeb5Epg1QDMx1_2h-utYeXG293Okir-tArj5ao","View Creative")</f>
        <v>View Creative</v>
      </c>
      <c r="L2416" s="4" t="s">
        <v>106</v>
      </c>
      <c r="M2416" s="4" t="s">
        <v>5965</v>
      </c>
      <c r="O2416" s="4" t="s">
        <v>63</v>
      </c>
      <c r="P2416" s="4" t="s">
        <v>64</v>
      </c>
    </row>
    <row r="2417">
      <c r="A2417" s="4" t="s">
        <v>5965</v>
      </c>
      <c r="B2417" s="4" t="s">
        <v>5965</v>
      </c>
      <c r="C2417" s="4">
        <v>806.0</v>
      </c>
      <c r="D2417" s="5" t="str">
        <f>HYPERLINK("https://www.linkedin.com/ad-library/detail/1480193896","Open Ad")</f>
        <v>Open Ad</v>
      </c>
      <c r="E2417" s="4" t="s">
        <v>78</v>
      </c>
      <c r="F2417" s="4" t="s">
        <v>54</v>
      </c>
      <c r="G2417" s="4" t="s">
        <v>6411</v>
      </c>
      <c r="H2417" s="4" t="s">
        <v>49</v>
      </c>
      <c r="I2417" s="4" t="s">
        <v>6005</v>
      </c>
      <c r="J2417" s="4" t="s">
        <v>78</v>
      </c>
      <c r="K2417" s="5" t="str">
        <f t="shared" ref="K2417:K2418" si="86">HYPERLINK("https://media.licdn.com/dms/image/v2/D4D10AQG2mHlEH5vbgg/image-shrink_1280/B4DZ74pK0_KsAc-/0/1782288002815?e=2147483647&amp;v=beta&amp;t=58CyUgPB_trZDG5BB-QLZvAdT4cqfgHNU1DuC6AK4X8","View Creative")</f>
        <v>View Creative</v>
      </c>
      <c r="L2417" s="4" t="s">
        <v>106</v>
      </c>
      <c r="M2417" s="4" t="s">
        <v>5965</v>
      </c>
      <c r="O2417" s="4" t="s">
        <v>63</v>
      </c>
      <c r="P2417" s="4" t="s">
        <v>64</v>
      </c>
    </row>
    <row r="2418">
      <c r="A2418" s="4" t="s">
        <v>5965</v>
      </c>
      <c r="B2418" s="4" t="s">
        <v>5965</v>
      </c>
      <c r="C2418" s="4">
        <v>807.0</v>
      </c>
      <c r="D2418" s="5" t="str">
        <f>HYPERLINK("https://www.linkedin.com/ad-library/detail/1480175976","Open Ad")</f>
        <v>Open Ad</v>
      </c>
      <c r="E2418" s="4" t="s">
        <v>78</v>
      </c>
      <c r="F2418" s="4" t="s">
        <v>54</v>
      </c>
      <c r="G2418" s="4" t="s">
        <v>6411</v>
      </c>
      <c r="H2418" s="4" t="s">
        <v>49</v>
      </c>
      <c r="I2418" s="4" t="s">
        <v>6005</v>
      </c>
      <c r="J2418" s="4" t="s">
        <v>78</v>
      </c>
      <c r="K2418" s="5" t="str">
        <f t="shared" si="86"/>
        <v>View Creative</v>
      </c>
      <c r="L2418" s="4" t="s">
        <v>106</v>
      </c>
      <c r="M2418" s="4" t="s">
        <v>5965</v>
      </c>
      <c r="O2418" s="4" t="s">
        <v>63</v>
      </c>
      <c r="P2418" s="4" t="s">
        <v>64</v>
      </c>
    </row>
    <row r="2419">
      <c r="A2419" s="4" t="s">
        <v>5965</v>
      </c>
      <c r="B2419" s="4" t="s">
        <v>5965</v>
      </c>
      <c r="C2419" s="4">
        <v>808.0</v>
      </c>
      <c r="D2419" s="5" t="str">
        <f>HYPERLINK("https://www.linkedin.com/ad-library/detail/1480272886","Open Ad")</f>
        <v>Open Ad</v>
      </c>
      <c r="E2419" s="4" t="s">
        <v>78</v>
      </c>
      <c r="F2419" s="4" t="s">
        <v>54</v>
      </c>
      <c r="G2419" s="4" t="s">
        <v>6412</v>
      </c>
      <c r="H2419" s="4" t="s">
        <v>611</v>
      </c>
      <c r="I2419" s="4" t="s">
        <v>6413</v>
      </c>
      <c r="J2419" s="4" t="s">
        <v>78</v>
      </c>
      <c r="K2419" s="5" t="str">
        <f>HYPERLINK("https://media.licdn.com/dms/image/v2/D5610AQH7nCvwMGSRZQ/image-shrink_1280/B56Z7.b9d9IQAc-/0/1782385204611?e=2147483647&amp;v=beta&amp;t=YOiFiKeb5Epg1QDMx1_2h-utYeXG293Okir-tArj5ao","View Creative")</f>
        <v>View Creative</v>
      </c>
      <c r="L2419" s="4" t="s">
        <v>106</v>
      </c>
      <c r="M2419" s="4" t="s">
        <v>5965</v>
      </c>
      <c r="O2419" s="4" t="s">
        <v>74</v>
      </c>
      <c r="P2419" s="4" t="s">
        <v>6414</v>
      </c>
    </row>
    <row r="2420">
      <c r="A2420" s="4" t="s">
        <v>5965</v>
      </c>
      <c r="B2420" s="4" t="s">
        <v>5965</v>
      </c>
      <c r="C2420" s="4">
        <v>809.0</v>
      </c>
      <c r="D2420" s="5" t="str">
        <f>HYPERLINK("https://www.linkedin.com/ad-library/detail/1480252856","Open Ad")</f>
        <v>Open Ad</v>
      </c>
      <c r="E2420" s="4" t="s">
        <v>78</v>
      </c>
      <c r="F2420" s="4" t="s">
        <v>54</v>
      </c>
      <c r="G2420" s="4" t="s">
        <v>6410</v>
      </c>
      <c r="H2420" s="4" t="s">
        <v>49</v>
      </c>
      <c r="I2420" s="4" t="s">
        <v>6005</v>
      </c>
      <c r="J2420" s="4" t="s">
        <v>78</v>
      </c>
      <c r="K2420" s="5" t="str">
        <f>HYPERLINK("https://media.licdn.com/dms/image/v2/D5610AQFlNAbUyB29Vw/image-shrink_1280/B56Z7_go1EIoAc-/0/1782403206905?e=2147483647&amp;v=beta&amp;t=8wX-wxHnudfi8VLnNIh1PGkv0Y4avJHYaY8pB_57JGo","View Creative")</f>
        <v>View Creative</v>
      </c>
      <c r="L2420" s="4" t="s">
        <v>106</v>
      </c>
      <c r="M2420" s="4" t="s">
        <v>5965</v>
      </c>
      <c r="O2420" s="4" t="s">
        <v>63</v>
      </c>
      <c r="P2420" s="4" t="s">
        <v>64</v>
      </c>
    </row>
    <row r="2421">
      <c r="A2421" s="4" t="s">
        <v>5965</v>
      </c>
      <c r="B2421" s="4" t="s">
        <v>5965</v>
      </c>
      <c r="C2421" s="4">
        <v>810.0</v>
      </c>
      <c r="D2421" s="5" t="str">
        <f>HYPERLINK("https://www.linkedin.com/ad-library/detail/1480521576","Open Ad")</f>
        <v>Open Ad</v>
      </c>
      <c r="E2421" s="4" t="s">
        <v>78</v>
      </c>
      <c r="F2421" s="4" t="s">
        <v>54</v>
      </c>
      <c r="G2421" s="4" t="s">
        <v>6270</v>
      </c>
      <c r="H2421" s="4" t="s">
        <v>49</v>
      </c>
      <c r="I2421" s="4" t="s">
        <v>6005</v>
      </c>
      <c r="J2421" s="4" t="s">
        <v>78</v>
      </c>
      <c r="K2421" s="5" t="str">
        <f>HYPERLINK("https://media.licdn.com/dms/image/v2/D5610AQEwpl_XyafGEQ/image-pad_1200_1200/B56Z8FRBQwKUAI-/0/1782499775725?e=1789477200&amp;v=beta&amp;t=nYQu2DybNhKjQyW3lcfMKlxBochPYjMuQ3YdlsDMx-8","View Creative")</f>
        <v>View Creative</v>
      </c>
      <c r="L2421" s="4" t="s">
        <v>106</v>
      </c>
      <c r="M2421" s="4" t="s">
        <v>5965</v>
      </c>
      <c r="O2421" s="4" t="s">
        <v>63</v>
      </c>
      <c r="P2421" s="4" t="s">
        <v>64</v>
      </c>
    </row>
    <row r="2422">
      <c r="A2422" s="4" t="s">
        <v>5965</v>
      </c>
      <c r="B2422" s="4" t="s">
        <v>5965</v>
      </c>
      <c r="C2422" s="4">
        <v>811.0</v>
      </c>
      <c r="D2422" s="5" t="str">
        <f>HYPERLINK("https://www.linkedin.com/ad-library/detail/1480484486","Open Ad")</f>
        <v>Open Ad</v>
      </c>
      <c r="E2422" s="4" t="s">
        <v>121</v>
      </c>
      <c r="F2422" s="4" t="s">
        <v>54</v>
      </c>
      <c r="G2422" s="4" t="s">
        <v>6270</v>
      </c>
      <c r="H2422" s="4" t="s">
        <v>49</v>
      </c>
      <c r="I2422" s="4" t="s">
        <v>6005</v>
      </c>
      <c r="J2422" s="4" t="s">
        <v>121</v>
      </c>
      <c r="K2422" s="5" t="str">
        <f>HYPERLINK("https://dms.licdn.com/playlist/vid/v2/D5610AQEJpEy13f0tkQ/mp4-360p-30fp-crf28/B56Z8FlUiVIgCA-/0/1782505099712?e=2147483647&amp;v=beta&amp;t=_pyNA0I-zblCih8X5iTZwrmnCnbfgtx5mPRPA47i1Go","View Creative")</f>
        <v>View Creative</v>
      </c>
      <c r="L2422" s="4" t="s">
        <v>106</v>
      </c>
      <c r="M2422" s="4" t="s">
        <v>5965</v>
      </c>
      <c r="O2422" s="4" t="s">
        <v>63</v>
      </c>
      <c r="P2422" s="4" t="s">
        <v>64</v>
      </c>
    </row>
    <row r="2423">
      <c r="A2423" s="4" t="s">
        <v>5965</v>
      </c>
      <c r="B2423" s="4" t="s">
        <v>5965</v>
      </c>
      <c r="C2423" s="4">
        <v>812.0</v>
      </c>
      <c r="D2423" s="5" t="str">
        <f>HYPERLINK("https://www.linkedin.com/ad-library/detail/1480166926","Open Ad")</f>
        <v>Open Ad</v>
      </c>
      <c r="E2423" s="4" t="s">
        <v>78</v>
      </c>
      <c r="F2423" s="4" t="s">
        <v>54</v>
      </c>
      <c r="G2423" s="4" t="s">
        <v>6410</v>
      </c>
      <c r="H2423" s="4" t="s">
        <v>49</v>
      </c>
      <c r="I2423" s="4" t="s">
        <v>6005</v>
      </c>
      <c r="J2423" s="4" t="s">
        <v>78</v>
      </c>
      <c r="K2423" s="5" t="str">
        <f t="shared" ref="K2423:K2426" si="87">HYPERLINK("https://media.licdn.com/dms/image/v2/D5610AQFlNAbUyB29Vw/image-shrink_1280/B56Z7_go1EIoAc-/0/1782403206905?e=2147483647&amp;v=beta&amp;t=8wX-wxHnudfi8VLnNIh1PGkv0Y4avJHYaY8pB_57JGo","View Creative")</f>
        <v>View Creative</v>
      </c>
      <c r="L2423" s="4" t="s">
        <v>106</v>
      </c>
      <c r="M2423" s="4" t="s">
        <v>5965</v>
      </c>
      <c r="O2423" s="4" t="s">
        <v>63</v>
      </c>
      <c r="P2423" s="4" t="s">
        <v>64</v>
      </c>
    </row>
    <row r="2424">
      <c r="A2424" s="4" t="s">
        <v>5965</v>
      </c>
      <c r="B2424" s="4" t="s">
        <v>5965</v>
      </c>
      <c r="C2424" s="4">
        <v>813.0</v>
      </c>
      <c r="D2424" s="5" t="str">
        <f>HYPERLINK("https://www.linkedin.com/ad-library/detail/1419492246","Open Ad")</f>
        <v>Open Ad</v>
      </c>
      <c r="E2424" s="4" t="s">
        <v>78</v>
      </c>
      <c r="F2424" s="4" t="s">
        <v>54</v>
      </c>
      <c r="G2424" s="4" t="s">
        <v>6410</v>
      </c>
      <c r="H2424" s="4" t="s">
        <v>49</v>
      </c>
      <c r="I2424" s="4" t="s">
        <v>6005</v>
      </c>
      <c r="J2424" s="4" t="s">
        <v>78</v>
      </c>
      <c r="K2424" s="5" t="str">
        <f t="shared" si="87"/>
        <v>View Creative</v>
      </c>
      <c r="L2424" s="4" t="s">
        <v>106</v>
      </c>
      <c r="M2424" s="4" t="s">
        <v>5965</v>
      </c>
      <c r="O2424" s="4" t="s">
        <v>63</v>
      </c>
      <c r="P2424" s="4" t="s">
        <v>64</v>
      </c>
    </row>
    <row r="2425">
      <c r="A2425" s="4" t="s">
        <v>5965</v>
      </c>
      <c r="B2425" s="4" t="s">
        <v>5965</v>
      </c>
      <c r="C2425" s="4">
        <v>814.0</v>
      </c>
      <c r="D2425" s="5" t="str">
        <f>HYPERLINK("https://www.linkedin.com/ad-library/detail/1480312596","Open Ad")</f>
        <v>Open Ad</v>
      </c>
      <c r="E2425" s="4" t="s">
        <v>78</v>
      </c>
      <c r="F2425" s="4" t="s">
        <v>54</v>
      </c>
      <c r="G2425" s="4" t="s">
        <v>6410</v>
      </c>
      <c r="H2425" s="4" t="s">
        <v>49</v>
      </c>
      <c r="I2425" s="4" t="s">
        <v>6005</v>
      </c>
      <c r="J2425" s="4" t="s">
        <v>78</v>
      </c>
      <c r="K2425" s="5" t="str">
        <f t="shared" si="87"/>
        <v>View Creative</v>
      </c>
      <c r="L2425" s="4" t="s">
        <v>106</v>
      </c>
      <c r="M2425" s="4" t="s">
        <v>5965</v>
      </c>
      <c r="O2425" s="4" t="s">
        <v>63</v>
      </c>
      <c r="P2425" s="4" t="s">
        <v>64</v>
      </c>
    </row>
    <row r="2426">
      <c r="A2426" s="4" t="s">
        <v>5965</v>
      </c>
      <c r="B2426" s="4" t="s">
        <v>5965</v>
      </c>
      <c r="C2426" s="4">
        <v>815.0</v>
      </c>
      <c r="D2426" s="5" t="str">
        <f>HYPERLINK("https://www.linkedin.com/ad-library/detail/1480292776","Open Ad")</f>
        <v>Open Ad</v>
      </c>
      <c r="E2426" s="4" t="s">
        <v>78</v>
      </c>
      <c r="F2426" s="4" t="s">
        <v>54</v>
      </c>
      <c r="G2426" s="4" t="s">
        <v>6410</v>
      </c>
      <c r="H2426" s="4" t="s">
        <v>49</v>
      </c>
      <c r="I2426" s="4" t="s">
        <v>6005</v>
      </c>
      <c r="J2426" s="4" t="s">
        <v>78</v>
      </c>
      <c r="K2426" s="5" t="str">
        <f t="shared" si="87"/>
        <v>View Creative</v>
      </c>
      <c r="L2426" s="4" t="s">
        <v>106</v>
      </c>
      <c r="M2426" s="4" t="s">
        <v>5965</v>
      </c>
      <c r="O2426" s="4" t="s">
        <v>63</v>
      </c>
      <c r="P2426" s="4" t="s">
        <v>64</v>
      </c>
    </row>
    <row r="2427">
      <c r="A2427" s="4" t="s">
        <v>5965</v>
      </c>
      <c r="B2427" s="4" t="s">
        <v>5965</v>
      </c>
      <c r="C2427" s="4">
        <v>816.0</v>
      </c>
      <c r="D2427" s="5" t="str">
        <f>HYPERLINK("https://www.linkedin.com/ad-library/detail/1480183966","Open Ad")</f>
        <v>Open Ad</v>
      </c>
      <c r="E2427" s="4" t="s">
        <v>78</v>
      </c>
      <c r="F2427" s="4" t="s">
        <v>54</v>
      </c>
      <c r="G2427" s="4" t="s">
        <v>6411</v>
      </c>
      <c r="H2427" s="4" t="s">
        <v>49</v>
      </c>
      <c r="I2427" s="4" t="s">
        <v>6005</v>
      </c>
      <c r="J2427" s="4" t="s">
        <v>78</v>
      </c>
      <c r="K2427" s="5" t="str">
        <f>HYPERLINK("https://media.licdn.com/dms/image/v2/D4D10AQG2mHlEH5vbgg/image-shrink_1280/B4DZ74pK0_KsAc-/0/1782288002815?e=2147483647&amp;v=beta&amp;t=58CyUgPB_trZDG5BB-QLZvAdT4cqfgHNU1DuC6AK4X8","View Creative")</f>
        <v>View Creative</v>
      </c>
      <c r="L2427" s="4" t="s">
        <v>106</v>
      </c>
      <c r="M2427" s="4" t="s">
        <v>5965</v>
      </c>
      <c r="O2427" s="4" t="s">
        <v>63</v>
      </c>
      <c r="P2427" s="4" t="s">
        <v>64</v>
      </c>
    </row>
    <row r="2428">
      <c r="A2428" s="4" t="s">
        <v>5965</v>
      </c>
      <c r="B2428" s="4" t="s">
        <v>5965</v>
      </c>
      <c r="C2428" s="4">
        <v>817.0</v>
      </c>
      <c r="D2428" s="5" t="str">
        <f>HYPERLINK("https://www.linkedin.com/ad-library/detail/1480211246","Open Ad")</f>
        <v>Open Ad</v>
      </c>
      <c r="E2428" s="4" t="s">
        <v>78</v>
      </c>
      <c r="F2428" s="4" t="s">
        <v>54</v>
      </c>
      <c r="G2428" s="4" t="s">
        <v>6415</v>
      </c>
      <c r="H2428" s="4" t="s">
        <v>49</v>
      </c>
      <c r="I2428" s="4" t="s">
        <v>6005</v>
      </c>
      <c r="J2428" s="4" t="s">
        <v>78</v>
      </c>
      <c r="K2428" s="5" t="str">
        <f>HYPERLINK("https://media.licdn.com/dms/image/v2/D4E22AQEOWskfxVn3bA/feedshare-image-high-res/B4EZ7GvqbBJMAU-/0/1781450845198?e=2147483647&amp;v=beta&amp;t=gjGsuCWbr5acjhlgpJw0Ek8zxfCy732sv1xH319KGJQ","View Creative")</f>
        <v>View Creative</v>
      </c>
      <c r="L2428" s="4" t="s">
        <v>106</v>
      </c>
      <c r="M2428" s="4" t="s">
        <v>5965</v>
      </c>
      <c r="O2428" s="4" t="s">
        <v>63</v>
      </c>
      <c r="P2428" s="4" t="s">
        <v>64</v>
      </c>
    </row>
    <row r="2429">
      <c r="A2429" s="4" t="s">
        <v>5965</v>
      </c>
      <c r="B2429" s="4" t="s">
        <v>5965</v>
      </c>
      <c r="C2429" s="4">
        <v>818.0</v>
      </c>
      <c r="D2429" s="5" t="str">
        <f>HYPERLINK("https://www.linkedin.com/ad-library/detail/1480108716","Open Ad")</f>
        <v>Open Ad</v>
      </c>
      <c r="E2429" s="4" t="s">
        <v>78</v>
      </c>
      <c r="F2429" s="4" t="s">
        <v>54</v>
      </c>
      <c r="G2429" s="4" t="s">
        <v>6416</v>
      </c>
      <c r="H2429" s="4" t="s">
        <v>49</v>
      </c>
      <c r="I2429" s="4" t="s">
        <v>6005</v>
      </c>
      <c r="J2429" s="4" t="s">
        <v>78</v>
      </c>
      <c r="K2429" s="5" t="str">
        <f>HYPERLINK("https://media.licdn.com/dms/image/v2/D4E22AQFovDtIQyJ4mQ/feedshare-image-high-res/B4EZ7UVZhGKEAY-/0/1781678840176?e=2147483647&amp;v=beta&amp;t=I5_1kWXCI5eDrRMPB4nNhyWYX-XZCPvPklqpjJxEZ0A","View Creative")</f>
        <v>View Creative</v>
      </c>
      <c r="L2429" s="4" t="s">
        <v>106</v>
      </c>
      <c r="M2429" s="4" t="s">
        <v>5965</v>
      </c>
      <c r="O2429" s="4" t="s">
        <v>63</v>
      </c>
      <c r="P2429" s="4" t="s">
        <v>64</v>
      </c>
    </row>
    <row r="2430">
      <c r="A2430" s="4" t="s">
        <v>5965</v>
      </c>
      <c r="B2430" s="4" t="s">
        <v>5965</v>
      </c>
      <c r="C2430" s="4">
        <v>819.0</v>
      </c>
      <c r="D2430" s="5" t="str">
        <f>HYPERLINK("https://www.linkedin.com/ad-library/detail/1479193436","Open Ad")</f>
        <v>Open Ad</v>
      </c>
      <c r="E2430" s="4" t="s">
        <v>78</v>
      </c>
      <c r="F2430" s="4" t="s">
        <v>54</v>
      </c>
      <c r="G2430" s="4" t="s">
        <v>6417</v>
      </c>
      <c r="H2430" s="4" t="s">
        <v>49</v>
      </c>
      <c r="I2430" s="4" t="s">
        <v>6005</v>
      </c>
      <c r="J2430" s="4" t="s">
        <v>78</v>
      </c>
      <c r="K2430" s="5" t="str">
        <f>HYPERLINK("https://media.licdn.com/dms/image/v2/D5610AQHysvgheOaxnA/image-shrink_1280/B56Z7gHNArGcAc-/0/1781876446018?e=2147483647&amp;v=beta&amp;t=t-TRheTCXSd2pZn8E-EoCDLxg44cgxbezWW2xN5ZLC0","View Creative")</f>
        <v>View Creative</v>
      </c>
      <c r="L2430" s="4" t="s">
        <v>106</v>
      </c>
      <c r="M2430" s="4" t="s">
        <v>5965</v>
      </c>
      <c r="O2430" s="4" t="s">
        <v>63</v>
      </c>
      <c r="P2430" s="4" t="s">
        <v>64</v>
      </c>
    </row>
    <row r="2431">
      <c r="A2431" s="4" t="s">
        <v>5965</v>
      </c>
      <c r="B2431" s="4" t="s">
        <v>5965</v>
      </c>
      <c r="C2431" s="4">
        <v>820.0</v>
      </c>
      <c r="D2431" s="5" t="str">
        <f>HYPERLINK("https://www.linkedin.com/ad-library/detail/1480211006","Open Ad")</f>
        <v>Open Ad</v>
      </c>
      <c r="E2431" s="4" t="s">
        <v>78</v>
      </c>
      <c r="F2431" s="4" t="s">
        <v>54</v>
      </c>
      <c r="G2431" s="4" t="s">
        <v>6415</v>
      </c>
      <c r="H2431" s="4" t="s">
        <v>49</v>
      </c>
      <c r="I2431" s="4" t="s">
        <v>6005</v>
      </c>
      <c r="J2431" s="4" t="s">
        <v>78</v>
      </c>
      <c r="K2431" s="5" t="str">
        <f>HYPERLINK("https://media.licdn.com/dms/image/v2/D4E22AQEOWskfxVn3bA/feedshare-image-high-res/B4EZ7GvqbBJMAU-/0/1781450845198?e=2147483647&amp;v=beta&amp;t=gjGsuCWbr5acjhlgpJw0Ek8zxfCy732sv1xH319KGJQ","View Creative")</f>
        <v>View Creative</v>
      </c>
      <c r="L2431" s="4" t="s">
        <v>106</v>
      </c>
      <c r="M2431" s="4" t="s">
        <v>5965</v>
      </c>
      <c r="O2431" s="4" t="s">
        <v>63</v>
      </c>
      <c r="P2431" s="4" t="s">
        <v>64</v>
      </c>
    </row>
    <row r="2432">
      <c r="A2432" s="4" t="s">
        <v>5965</v>
      </c>
      <c r="B2432" s="4" t="s">
        <v>5965</v>
      </c>
      <c r="C2432" s="4">
        <v>821.0</v>
      </c>
      <c r="D2432" s="5" t="str">
        <f>HYPERLINK("https://www.linkedin.com/ad-library/detail/1480068666","Open Ad")</f>
        <v>Open Ad</v>
      </c>
      <c r="E2432" s="4" t="s">
        <v>78</v>
      </c>
      <c r="F2432" s="4" t="s">
        <v>54</v>
      </c>
      <c r="G2432" s="4" t="s">
        <v>6416</v>
      </c>
      <c r="H2432" s="4" t="s">
        <v>49</v>
      </c>
      <c r="I2432" s="4" t="s">
        <v>6005</v>
      </c>
      <c r="J2432" s="4" t="s">
        <v>78</v>
      </c>
      <c r="K2432" s="5" t="str">
        <f>HYPERLINK("https://media.licdn.com/dms/image/v2/D4E22AQFovDtIQyJ4mQ/feedshare-image-high-res/B4EZ7UVZhGKEAY-/0/1781678840176?e=2147483647&amp;v=beta&amp;t=I5_1kWXCI5eDrRMPB4nNhyWYX-XZCPvPklqpjJxEZ0A","View Creative")</f>
        <v>View Creative</v>
      </c>
      <c r="L2432" s="4" t="s">
        <v>106</v>
      </c>
      <c r="M2432" s="4" t="s">
        <v>5965</v>
      </c>
      <c r="O2432" s="4" t="s">
        <v>63</v>
      </c>
      <c r="P2432" s="4" t="s">
        <v>64</v>
      </c>
    </row>
    <row r="2433">
      <c r="A2433" s="4" t="s">
        <v>5965</v>
      </c>
      <c r="B2433" s="4" t="s">
        <v>5965</v>
      </c>
      <c r="C2433" s="4">
        <v>822.0</v>
      </c>
      <c r="D2433" s="5" t="str">
        <f>HYPERLINK("https://www.linkedin.com/ad-library/detail/1480262466","Open Ad")</f>
        <v>Open Ad</v>
      </c>
      <c r="E2433" s="4" t="s">
        <v>78</v>
      </c>
      <c r="F2433" s="4" t="s">
        <v>54</v>
      </c>
      <c r="G2433" s="4" t="s">
        <v>6418</v>
      </c>
      <c r="H2433" s="4" t="s">
        <v>49</v>
      </c>
      <c r="I2433" s="4" t="s">
        <v>6005</v>
      </c>
      <c r="J2433" s="4" t="s">
        <v>78</v>
      </c>
      <c r="K2433" s="5" t="str">
        <f>HYPERLINK("https://media.licdn.com/dms/image/v2/D5622AQEde1F15ukwAw/feedshare-shrink_1280/B56Z7VtkVgIgAM-/0/1781701953541?e=2147483647&amp;v=beta&amp;t=ndTxB8b7PRGc_pmMS59XqdDziGU3lDn_Pr9NK00tznY","View Creative")</f>
        <v>View Creative</v>
      </c>
      <c r="L2433" s="4" t="s">
        <v>106</v>
      </c>
      <c r="M2433" s="4" t="s">
        <v>5965</v>
      </c>
      <c r="O2433" s="4" t="s">
        <v>63</v>
      </c>
      <c r="P2433" s="4" t="s">
        <v>64</v>
      </c>
    </row>
    <row r="2434">
      <c r="A2434" s="4" t="s">
        <v>5965</v>
      </c>
      <c r="B2434" s="4" t="s">
        <v>5965</v>
      </c>
      <c r="C2434" s="4">
        <v>823.0</v>
      </c>
      <c r="D2434" s="5" t="str">
        <f>HYPERLINK("https://www.linkedin.com/ad-library/detail/1480153636","Open Ad")</f>
        <v>Open Ad</v>
      </c>
      <c r="E2434" s="4" t="s">
        <v>78</v>
      </c>
      <c r="F2434" s="4" t="s">
        <v>54</v>
      </c>
      <c r="G2434" s="4" t="s">
        <v>6416</v>
      </c>
      <c r="H2434" s="4" t="s">
        <v>49</v>
      </c>
      <c r="I2434" s="4" t="s">
        <v>6005</v>
      </c>
      <c r="J2434" s="4" t="s">
        <v>78</v>
      </c>
      <c r="K2434" s="5" t="str">
        <f>HYPERLINK("https://media.licdn.com/dms/image/v2/D4E22AQFovDtIQyJ4mQ/feedshare-image-high-res/B4EZ7UVZhGKEAY-/0/1781678840176?e=2147483647&amp;v=beta&amp;t=I5_1kWXCI5eDrRMPB4nNhyWYX-XZCPvPklqpjJxEZ0A","View Creative")</f>
        <v>View Creative</v>
      </c>
      <c r="L2434" s="4" t="s">
        <v>106</v>
      </c>
      <c r="M2434" s="4" t="s">
        <v>5965</v>
      </c>
      <c r="O2434" s="4" t="s">
        <v>63</v>
      </c>
      <c r="P2434" s="4" t="s">
        <v>64</v>
      </c>
    </row>
    <row r="2435">
      <c r="A2435" s="4" t="s">
        <v>5965</v>
      </c>
      <c r="B2435" s="4" t="s">
        <v>5965</v>
      </c>
      <c r="C2435" s="4">
        <v>824.0</v>
      </c>
      <c r="D2435" s="5" t="str">
        <f>HYPERLINK("https://www.linkedin.com/ad-library/detail/1480349996","Open Ad")</f>
        <v>Open Ad</v>
      </c>
      <c r="E2435" s="4" t="s">
        <v>78</v>
      </c>
      <c r="F2435" s="4" t="s">
        <v>54</v>
      </c>
      <c r="G2435" s="4" t="s">
        <v>6418</v>
      </c>
      <c r="H2435" s="4" t="s">
        <v>49</v>
      </c>
      <c r="I2435" s="4" t="s">
        <v>6005</v>
      </c>
      <c r="J2435" s="4" t="s">
        <v>78</v>
      </c>
      <c r="K2435" s="5" t="str">
        <f t="shared" ref="K2435:K2436" si="88">HYPERLINK("https://media.licdn.com/dms/image/v2/D5622AQEde1F15ukwAw/feedshare-shrink_1280/B56Z7VtkVgIgAM-/0/1781701953541?e=2147483647&amp;v=beta&amp;t=ndTxB8b7PRGc_pmMS59XqdDziGU3lDn_Pr9NK00tznY","View Creative")</f>
        <v>View Creative</v>
      </c>
      <c r="L2435" s="4" t="s">
        <v>106</v>
      </c>
      <c r="M2435" s="4" t="s">
        <v>5965</v>
      </c>
      <c r="O2435" s="4" t="s">
        <v>63</v>
      </c>
      <c r="P2435" s="4" t="s">
        <v>64</v>
      </c>
    </row>
    <row r="2436">
      <c r="A2436" s="4" t="s">
        <v>5965</v>
      </c>
      <c r="B2436" s="4" t="s">
        <v>5965</v>
      </c>
      <c r="C2436" s="4">
        <v>825.0</v>
      </c>
      <c r="D2436" s="5" t="str">
        <f>HYPERLINK("https://www.linkedin.com/ad-library/detail/1480270836","Open Ad")</f>
        <v>Open Ad</v>
      </c>
      <c r="E2436" s="4" t="s">
        <v>78</v>
      </c>
      <c r="F2436" s="4" t="s">
        <v>54</v>
      </c>
      <c r="G2436" s="4" t="s">
        <v>6418</v>
      </c>
      <c r="H2436" s="4" t="s">
        <v>49</v>
      </c>
      <c r="I2436" s="4" t="s">
        <v>6005</v>
      </c>
      <c r="J2436" s="4" t="s">
        <v>78</v>
      </c>
      <c r="K2436" s="5" t="str">
        <f t="shared" si="88"/>
        <v>View Creative</v>
      </c>
      <c r="L2436" s="4" t="s">
        <v>106</v>
      </c>
      <c r="M2436" s="4" t="s">
        <v>5965</v>
      </c>
      <c r="O2436" s="4" t="s">
        <v>63</v>
      </c>
      <c r="P2436" s="4" t="s">
        <v>64</v>
      </c>
    </row>
    <row r="2437">
      <c r="A2437" s="4" t="s">
        <v>5965</v>
      </c>
      <c r="B2437" s="4" t="s">
        <v>5965</v>
      </c>
      <c r="C2437" s="4">
        <v>826.0</v>
      </c>
      <c r="D2437" s="5" t="str">
        <f>HYPERLINK("https://www.linkedin.com/ad-library/detail/1479959446","Open Ad")</f>
        <v>Open Ad</v>
      </c>
      <c r="E2437" s="4" t="s">
        <v>78</v>
      </c>
      <c r="F2437" s="4" t="s">
        <v>54</v>
      </c>
      <c r="G2437" s="4" t="s">
        <v>6416</v>
      </c>
      <c r="H2437" s="4" t="s">
        <v>49</v>
      </c>
      <c r="I2437" s="4" t="s">
        <v>6005</v>
      </c>
      <c r="J2437" s="4" t="s">
        <v>78</v>
      </c>
      <c r="K2437" s="5" t="str">
        <f t="shared" ref="K2437:K2438" si="89">HYPERLINK("https://media.licdn.com/dms/image/v2/D4E22AQFovDtIQyJ4mQ/feedshare-image-high-res/B4EZ7UVZhGKEAY-/0/1781678840176?e=2147483647&amp;v=beta&amp;t=I5_1kWXCI5eDrRMPB4nNhyWYX-XZCPvPklqpjJxEZ0A","View Creative")</f>
        <v>View Creative</v>
      </c>
      <c r="L2437" s="4" t="s">
        <v>106</v>
      </c>
      <c r="M2437" s="4" t="s">
        <v>5965</v>
      </c>
      <c r="O2437" s="4" t="s">
        <v>63</v>
      </c>
      <c r="P2437" s="4" t="s">
        <v>64</v>
      </c>
    </row>
    <row r="2438">
      <c r="A2438" s="4" t="s">
        <v>5965</v>
      </c>
      <c r="B2438" s="4" t="s">
        <v>5965</v>
      </c>
      <c r="C2438" s="4">
        <v>827.0</v>
      </c>
      <c r="D2438" s="5" t="str">
        <f>HYPERLINK("https://www.linkedin.com/ad-library/detail/1479998616","Open Ad")</f>
        <v>Open Ad</v>
      </c>
      <c r="E2438" s="4" t="s">
        <v>78</v>
      </c>
      <c r="F2438" s="4" t="s">
        <v>54</v>
      </c>
      <c r="G2438" s="4" t="s">
        <v>6416</v>
      </c>
      <c r="H2438" s="4" t="s">
        <v>49</v>
      </c>
      <c r="I2438" s="4" t="s">
        <v>6005</v>
      </c>
      <c r="J2438" s="4" t="s">
        <v>78</v>
      </c>
      <c r="K2438" s="5" t="str">
        <f t="shared" si="89"/>
        <v>View Creative</v>
      </c>
      <c r="L2438" s="4" t="s">
        <v>106</v>
      </c>
      <c r="M2438" s="4" t="s">
        <v>5965</v>
      </c>
      <c r="O2438" s="4" t="s">
        <v>63</v>
      </c>
      <c r="P2438" s="4" t="s">
        <v>64</v>
      </c>
    </row>
    <row r="2439">
      <c r="A2439" s="4" t="s">
        <v>5965</v>
      </c>
      <c r="B2439" s="4" t="s">
        <v>5965</v>
      </c>
      <c r="C2439" s="4">
        <v>828.0</v>
      </c>
      <c r="D2439" s="5" t="str">
        <f>HYPERLINK("https://www.linkedin.com/ad-library/detail/1480119586","Open Ad")</f>
        <v>Open Ad</v>
      </c>
      <c r="E2439" s="4" t="s">
        <v>78</v>
      </c>
      <c r="F2439" s="4" t="s">
        <v>54</v>
      </c>
      <c r="G2439" s="4" t="s">
        <v>6415</v>
      </c>
      <c r="H2439" s="4" t="s">
        <v>49</v>
      </c>
      <c r="I2439" s="4" t="s">
        <v>6005</v>
      </c>
      <c r="J2439" s="4" t="s">
        <v>78</v>
      </c>
      <c r="K2439" s="5" t="str">
        <f>HYPERLINK("https://media.licdn.com/dms/image/v2/D4E22AQEOWskfxVn3bA/feedshare-image-high-res/B4EZ7GvqbBJMAU-/0/1781450845198?e=2147483647&amp;v=beta&amp;t=gjGsuCWbr5acjhlgpJw0Ek8zxfCy732sv1xH319KGJQ","View Creative")</f>
        <v>View Creative</v>
      </c>
      <c r="L2439" s="4" t="s">
        <v>106</v>
      </c>
      <c r="M2439" s="4" t="s">
        <v>5965</v>
      </c>
      <c r="O2439" s="4" t="s">
        <v>63</v>
      </c>
      <c r="P2439" s="4" t="s">
        <v>64</v>
      </c>
    </row>
    <row r="2440">
      <c r="A2440" s="4" t="s">
        <v>5965</v>
      </c>
      <c r="B2440" s="4" t="s">
        <v>5965</v>
      </c>
      <c r="C2440" s="4">
        <v>829.0</v>
      </c>
      <c r="D2440" s="5" t="str">
        <f>HYPERLINK("https://www.linkedin.com/ad-library/detail/1479292826","Open Ad")</f>
        <v>Open Ad</v>
      </c>
      <c r="E2440" s="4" t="s">
        <v>78</v>
      </c>
      <c r="F2440" s="4" t="s">
        <v>54</v>
      </c>
      <c r="G2440" s="4" t="s">
        <v>6417</v>
      </c>
      <c r="H2440" s="4" t="s">
        <v>49</v>
      </c>
      <c r="I2440" s="4" t="s">
        <v>6005</v>
      </c>
      <c r="J2440" s="4" t="s">
        <v>78</v>
      </c>
      <c r="K2440" s="5" t="str">
        <f>HYPERLINK("https://media.licdn.com/dms/image/v2/D5610AQHysvgheOaxnA/image-shrink_1280/B56Z7gHNArGcAc-/0/1781876446018?e=2147483647&amp;v=beta&amp;t=t-TRheTCXSd2pZn8E-EoCDLxg44cgxbezWW2xN5ZLC0","View Creative")</f>
        <v>View Creative</v>
      </c>
      <c r="L2440" s="4" t="s">
        <v>106</v>
      </c>
      <c r="M2440" s="4" t="s">
        <v>5965</v>
      </c>
      <c r="O2440" s="4" t="s">
        <v>63</v>
      </c>
      <c r="P2440" s="4" t="s">
        <v>64</v>
      </c>
    </row>
    <row r="2441">
      <c r="A2441" s="4" t="s">
        <v>5965</v>
      </c>
      <c r="B2441" s="4" t="s">
        <v>5965</v>
      </c>
      <c r="C2441" s="4">
        <v>830.0</v>
      </c>
      <c r="D2441" s="5" t="str">
        <f>HYPERLINK("https://www.linkedin.com/ad-library/detail/1480136496","Open Ad")</f>
        <v>Open Ad</v>
      </c>
      <c r="E2441" s="4" t="s">
        <v>78</v>
      </c>
      <c r="F2441" s="4" t="s">
        <v>54</v>
      </c>
      <c r="G2441" s="4" t="s">
        <v>6416</v>
      </c>
      <c r="H2441" s="4" t="s">
        <v>49</v>
      </c>
      <c r="I2441" s="4" t="s">
        <v>6005</v>
      </c>
      <c r="J2441" s="4" t="s">
        <v>78</v>
      </c>
      <c r="K2441" s="5" t="str">
        <f>HYPERLINK("https://media.licdn.com/dms/image/v2/D4E22AQFovDtIQyJ4mQ/feedshare-image-high-res/B4EZ7UVZhGKEAY-/0/1781678840176?e=2147483647&amp;v=beta&amp;t=I5_1kWXCI5eDrRMPB4nNhyWYX-XZCPvPklqpjJxEZ0A","View Creative")</f>
        <v>View Creative</v>
      </c>
      <c r="L2441" s="4" t="s">
        <v>106</v>
      </c>
      <c r="M2441" s="4" t="s">
        <v>5965</v>
      </c>
      <c r="O2441" s="4" t="s">
        <v>63</v>
      </c>
      <c r="P2441" s="4" t="s">
        <v>64</v>
      </c>
    </row>
    <row r="2442">
      <c r="A2442" s="4" t="s">
        <v>5965</v>
      </c>
      <c r="B2442" s="4" t="s">
        <v>5965</v>
      </c>
      <c r="C2442" s="4">
        <v>831.0</v>
      </c>
      <c r="D2442" s="5" t="str">
        <f>HYPERLINK("https://www.linkedin.com/ad-library/detail/1419492206","Open Ad")</f>
        <v>Open Ad</v>
      </c>
      <c r="E2442" s="4" t="s">
        <v>78</v>
      </c>
      <c r="F2442" s="4" t="s">
        <v>54</v>
      </c>
      <c r="G2442" s="4" t="s">
        <v>6418</v>
      </c>
      <c r="H2442" s="4" t="s">
        <v>49</v>
      </c>
      <c r="I2442" s="4" t="s">
        <v>6005</v>
      </c>
      <c r="J2442" s="4" t="s">
        <v>78</v>
      </c>
      <c r="K2442" s="5" t="str">
        <f>HYPERLINK("https://media.licdn.com/dms/image/v2/D5622AQEde1F15ukwAw/feedshare-shrink_1280/B56Z7VtkVgIgAM-/0/1781701953541?e=2147483647&amp;v=beta&amp;t=ndTxB8b7PRGc_pmMS59XqdDziGU3lDn_Pr9NK00tznY","View Creative")</f>
        <v>View Creative</v>
      </c>
      <c r="L2442" s="4" t="s">
        <v>106</v>
      </c>
      <c r="M2442" s="4" t="s">
        <v>5965</v>
      </c>
      <c r="O2442" s="4" t="s">
        <v>63</v>
      </c>
      <c r="P2442" s="4" t="s">
        <v>64</v>
      </c>
    </row>
    <row r="2443">
      <c r="A2443" s="4" t="s">
        <v>5965</v>
      </c>
      <c r="B2443" s="4" t="s">
        <v>5965</v>
      </c>
      <c r="C2443" s="4">
        <v>832.0</v>
      </c>
      <c r="D2443" s="5" t="str">
        <f>HYPERLINK("https://www.linkedin.com/ad-library/detail/1419492216","Open Ad")</f>
        <v>Open Ad</v>
      </c>
      <c r="E2443" s="4" t="s">
        <v>78</v>
      </c>
      <c r="F2443" s="4" t="s">
        <v>54</v>
      </c>
      <c r="G2443" s="4" t="s">
        <v>6410</v>
      </c>
      <c r="H2443" s="4" t="s">
        <v>49</v>
      </c>
      <c r="I2443" s="4" t="s">
        <v>6005</v>
      </c>
      <c r="J2443" s="4" t="s">
        <v>78</v>
      </c>
      <c r="K2443" s="5" t="str">
        <f>HYPERLINK("https://media.licdn.com/dms/image/v2/D5610AQFlNAbUyB29Vw/image-shrink_1280/B56Z7_go1EIoAc-/0/1782403206905?e=2147483647&amp;v=beta&amp;t=8wX-wxHnudfi8VLnNIh1PGkv0Y4avJHYaY8pB_57JGo","View Creative")</f>
        <v>View Creative</v>
      </c>
      <c r="L2443" s="4" t="s">
        <v>106</v>
      </c>
      <c r="M2443" s="4" t="s">
        <v>5965</v>
      </c>
      <c r="O2443" s="4" t="s">
        <v>63</v>
      </c>
      <c r="P2443" s="4" t="s">
        <v>64</v>
      </c>
    </row>
    <row r="2444">
      <c r="A2444" s="4" t="s">
        <v>5965</v>
      </c>
      <c r="B2444" s="4" t="s">
        <v>5965</v>
      </c>
      <c r="C2444" s="4">
        <v>833.0</v>
      </c>
      <c r="D2444" s="5" t="str">
        <f>HYPERLINK("https://www.linkedin.com/ad-library/detail/1479313086","Open Ad")</f>
        <v>Open Ad</v>
      </c>
      <c r="E2444" s="4" t="s">
        <v>78</v>
      </c>
      <c r="F2444" s="4" t="s">
        <v>54</v>
      </c>
      <c r="G2444" s="4" t="s">
        <v>6417</v>
      </c>
      <c r="H2444" s="4" t="s">
        <v>49</v>
      </c>
      <c r="I2444" s="4" t="s">
        <v>6005</v>
      </c>
      <c r="J2444" s="4" t="s">
        <v>78</v>
      </c>
      <c r="K2444" s="5" t="str">
        <f>HYPERLINK("https://media.licdn.com/dms/image/v2/D5610AQHysvgheOaxnA/image-shrink_1280/B56Z7gHNArGcAc-/0/1781876446018?e=2147483647&amp;v=beta&amp;t=t-TRheTCXSd2pZn8E-EoCDLxg44cgxbezWW2xN5ZLC0","View Creative")</f>
        <v>View Creative</v>
      </c>
      <c r="L2444" s="4" t="s">
        <v>106</v>
      </c>
      <c r="M2444" s="4" t="s">
        <v>5965</v>
      </c>
      <c r="O2444" s="4" t="s">
        <v>63</v>
      </c>
      <c r="P2444" s="4" t="s">
        <v>64</v>
      </c>
    </row>
    <row r="2445">
      <c r="A2445" s="4" t="s">
        <v>5965</v>
      </c>
      <c r="B2445" s="4" t="s">
        <v>5965</v>
      </c>
      <c r="C2445" s="4">
        <v>834.0</v>
      </c>
      <c r="D2445" s="5" t="str">
        <f>HYPERLINK("https://www.linkedin.com/ad-library/detail/1480272656","Open Ad")</f>
        <v>Open Ad</v>
      </c>
      <c r="E2445" s="4" t="s">
        <v>78</v>
      </c>
      <c r="F2445" s="4" t="s">
        <v>54</v>
      </c>
      <c r="G2445" s="4" t="s">
        <v>6415</v>
      </c>
      <c r="H2445" s="4" t="s">
        <v>49</v>
      </c>
      <c r="I2445" s="4" t="s">
        <v>6005</v>
      </c>
      <c r="J2445" s="4" t="s">
        <v>78</v>
      </c>
      <c r="K2445" s="5" t="str">
        <f>HYPERLINK("https://media.licdn.com/dms/image/v2/D4E22AQEOWskfxVn3bA/feedshare-image-high-res/B4EZ7GvqbBJMAU-/0/1781450845198?e=2147483647&amp;v=beta&amp;t=gjGsuCWbr5acjhlgpJw0Ek8zxfCy732sv1xH319KGJQ","View Creative")</f>
        <v>View Creative</v>
      </c>
      <c r="L2445" s="4" t="s">
        <v>106</v>
      </c>
      <c r="M2445" s="4" t="s">
        <v>5965</v>
      </c>
      <c r="O2445" s="4" t="s">
        <v>63</v>
      </c>
      <c r="P2445" s="4" t="s">
        <v>64</v>
      </c>
    </row>
    <row r="2446">
      <c r="A2446" s="4" t="s">
        <v>5965</v>
      </c>
      <c r="B2446" s="4" t="s">
        <v>5965</v>
      </c>
      <c r="C2446" s="4">
        <v>835.0</v>
      </c>
      <c r="D2446" s="5" t="str">
        <f>HYPERLINK("https://www.linkedin.com/ad-library/detail/1480175926","Open Ad")</f>
        <v>Open Ad</v>
      </c>
      <c r="E2446" s="4" t="s">
        <v>78</v>
      </c>
      <c r="F2446" s="4" t="s">
        <v>54</v>
      </c>
      <c r="G2446" s="4" t="s">
        <v>6418</v>
      </c>
      <c r="H2446" s="4" t="s">
        <v>49</v>
      </c>
      <c r="I2446" s="4" t="s">
        <v>6005</v>
      </c>
      <c r="J2446" s="4" t="s">
        <v>78</v>
      </c>
      <c r="K2446" s="5" t="str">
        <f t="shared" ref="K2446:K2447" si="90">HYPERLINK("https://media.licdn.com/dms/image/v2/D5622AQEde1F15ukwAw/feedshare-shrink_1280/B56Z7VtkVgIgAM-/0/1781701953541?e=2147483647&amp;v=beta&amp;t=ndTxB8b7PRGc_pmMS59XqdDziGU3lDn_Pr9NK00tznY","View Creative")</f>
        <v>View Creative</v>
      </c>
      <c r="L2446" s="4" t="s">
        <v>106</v>
      </c>
      <c r="M2446" s="4" t="s">
        <v>5965</v>
      </c>
      <c r="O2446" s="4" t="s">
        <v>63</v>
      </c>
      <c r="P2446" s="4" t="s">
        <v>64</v>
      </c>
    </row>
    <row r="2447">
      <c r="A2447" s="4" t="s">
        <v>5965</v>
      </c>
      <c r="B2447" s="4" t="s">
        <v>5965</v>
      </c>
      <c r="C2447" s="4">
        <v>836.0</v>
      </c>
      <c r="D2447" s="5" t="str">
        <f>HYPERLINK("https://www.linkedin.com/ad-library/detail/1480220036","Open Ad")</f>
        <v>Open Ad</v>
      </c>
      <c r="E2447" s="4" t="s">
        <v>78</v>
      </c>
      <c r="F2447" s="4" t="s">
        <v>54</v>
      </c>
      <c r="G2447" s="4" t="s">
        <v>6418</v>
      </c>
      <c r="H2447" s="4" t="s">
        <v>49</v>
      </c>
      <c r="I2447" s="4" t="s">
        <v>6005</v>
      </c>
      <c r="J2447" s="4" t="s">
        <v>78</v>
      </c>
      <c r="K2447" s="5" t="str">
        <f t="shared" si="90"/>
        <v>View Creative</v>
      </c>
      <c r="L2447" s="4" t="s">
        <v>106</v>
      </c>
      <c r="M2447" s="4" t="s">
        <v>5965</v>
      </c>
      <c r="O2447" s="4" t="s">
        <v>63</v>
      </c>
      <c r="P2447" s="4" t="s">
        <v>64</v>
      </c>
    </row>
    <row r="2448">
      <c r="A2448" s="4" t="s">
        <v>5965</v>
      </c>
      <c r="B2448" s="4" t="s">
        <v>5965</v>
      </c>
      <c r="C2448" s="4">
        <v>837.0</v>
      </c>
      <c r="D2448" s="5" t="str">
        <f>HYPERLINK("https://www.linkedin.com/ad-library/detail/1480312476","Open Ad")</f>
        <v>Open Ad</v>
      </c>
      <c r="E2448" s="4" t="s">
        <v>78</v>
      </c>
      <c r="F2448" s="4" t="s">
        <v>54</v>
      </c>
      <c r="G2448" s="4" t="s">
        <v>6415</v>
      </c>
      <c r="H2448" s="4" t="s">
        <v>49</v>
      </c>
      <c r="I2448" s="4" t="s">
        <v>6005</v>
      </c>
      <c r="J2448" s="4" t="s">
        <v>78</v>
      </c>
      <c r="K2448" s="5" t="str">
        <f>HYPERLINK("https://media.licdn.com/dms/image/v2/D4E22AQEOWskfxVn3bA/feedshare-image-high-res/B4EZ7GvqbBJMAU-/0/1781450845198?e=2147483647&amp;v=beta&amp;t=gjGsuCWbr5acjhlgpJw0Ek8zxfCy732sv1xH319KGJQ","View Creative")</f>
        <v>View Creative</v>
      </c>
      <c r="L2448" s="4" t="s">
        <v>106</v>
      </c>
      <c r="M2448" s="4" t="s">
        <v>5965</v>
      </c>
      <c r="O2448" s="4" t="s">
        <v>63</v>
      </c>
      <c r="P2448" s="4" t="s">
        <v>64</v>
      </c>
    </row>
    <row r="2449">
      <c r="A2449" s="4" t="s">
        <v>5965</v>
      </c>
      <c r="B2449" s="4" t="s">
        <v>5965</v>
      </c>
      <c r="C2449" s="4">
        <v>838.0</v>
      </c>
      <c r="D2449" s="5" t="str">
        <f>HYPERLINK("https://www.linkedin.com/ad-library/detail/1480312426","Open Ad")</f>
        <v>Open Ad</v>
      </c>
      <c r="E2449" s="4" t="s">
        <v>78</v>
      </c>
      <c r="F2449" s="4" t="s">
        <v>54</v>
      </c>
      <c r="G2449" s="4" t="s">
        <v>6418</v>
      </c>
      <c r="H2449" s="4" t="s">
        <v>49</v>
      </c>
      <c r="I2449" s="4" t="s">
        <v>6005</v>
      </c>
      <c r="J2449" s="4" t="s">
        <v>78</v>
      </c>
      <c r="K2449" s="5" t="str">
        <f>HYPERLINK("https://media.licdn.com/dms/image/v2/D5622AQEde1F15ukwAw/feedshare-shrink_1280/B56Z7VtkVgIgAM-/0/1781701953541?e=2147483647&amp;v=beta&amp;t=ndTxB8b7PRGc_pmMS59XqdDziGU3lDn_Pr9NK00tznY","View Creative")</f>
        <v>View Creative</v>
      </c>
      <c r="L2449" s="4" t="s">
        <v>106</v>
      </c>
      <c r="M2449" s="4" t="s">
        <v>5965</v>
      </c>
      <c r="O2449" s="4" t="s">
        <v>63</v>
      </c>
      <c r="P2449" s="4" t="s">
        <v>64</v>
      </c>
    </row>
    <row r="2450">
      <c r="A2450" s="4" t="s">
        <v>5965</v>
      </c>
      <c r="B2450" s="4" t="s">
        <v>5965</v>
      </c>
      <c r="C2450" s="4">
        <v>839.0</v>
      </c>
      <c r="D2450" s="5" t="str">
        <f>HYPERLINK("https://www.linkedin.com/ad-library/detail/1480200536","Open Ad")</f>
        <v>Open Ad</v>
      </c>
      <c r="E2450" s="4" t="s">
        <v>78</v>
      </c>
      <c r="F2450" s="4" t="s">
        <v>54</v>
      </c>
      <c r="G2450" s="4" t="s">
        <v>6415</v>
      </c>
      <c r="H2450" s="4" t="s">
        <v>49</v>
      </c>
      <c r="I2450" s="4" t="s">
        <v>6005</v>
      </c>
      <c r="J2450" s="4" t="s">
        <v>78</v>
      </c>
      <c r="K2450" s="5" t="str">
        <f t="shared" ref="K2450:K2451" si="91">HYPERLINK("https://media.licdn.com/dms/image/v2/D4E22AQEOWskfxVn3bA/feedshare-image-high-res/B4EZ7GvqbBJMAU-/0/1781450845198?e=2147483647&amp;v=beta&amp;t=gjGsuCWbr5acjhlgpJw0Ek8zxfCy732sv1xH319KGJQ","View Creative")</f>
        <v>View Creative</v>
      </c>
      <c r="L2450" s="4" t="s">
        <v>106</v>
      </c>
      <c r="M2450" s="4" t="s">
        <v>5965</v>
      </c>
      <c r="O2450" s="4" t="s">
        <v>63</v>
      </c>
      <c r="P2450" s="4" t="s">
        <v>64</v>
      </c>
    </row>
    <row r="2451">
      <c r="A2451" s="4" t="s">
        <v>5965</v>
      </c>
      <c r="B2451" s="4" t="s">
        <v>5965</v>
      </c>
      <c r="C2451" s="4">
        <v>840.0</v>
      </c>
      <c r="D2451" s="5" t="str">
        <f>HYPERLINK("https://www.linkedin.com/ad-library/detail/1480200526","Open Ad")</f>
        <v>Open Ad</v>
      </c>
      <c r="E2451" s="4" t="s">
        <v>78</v>
      </c>
      <c r="F2451" s="4" t="s">
        <v>54</v>
      </c>
      <c r="G2451" s="4" t="s">
        <v>6415</v>
      </c>
      <c r="H2451" s="4" t="s">
        <v>49</v>
      </c>
      <c r="I2451" s="4" t="s">
        <v>6005</v>
      </c>
      <c r="J2451" s="4" t="s">
        <v>78</v>
      </c>
      <c r="K2451" s="5" t="str">
        <f t="shared" si="91"/>
        <v>View Creative</v>
      </c>
      <c r="L2451" s="4" t="s">
        <v>106</v>
      </c>
      <c r="M2451" s="4" t="s">
        <v>5965</v>
      </c>
      <c r="O2451" s="4" t="s">
        <v>63</v>
      </c>
      <c r="P2451" s="4" t="s">
        <v>64</v>
      </c>
    </row>
    <row r="2452">
      <c r="A2452" s="4" t="s">
        <v>5965</v>
      </c>
      <c r="B2452" s="4" t="s">
        <v>5965</v>
      </c>
      <c r="C2452" s="4">
        <v>841.0</v>
      </c>
      <c r="D2452" s="5" t="str">
        <f>HYPERLINK("https://www.linkedin.com/ad-library/detail/1479273146","Open Ad")</f>
        <v>Open Ad</v>
      </c>
      <c r="E2452" s="4" t="s">
        <v>78</v>
      </c>
      <c r="F2452" s="4" t="s">
        <v>54</v>
      </c>
      <c r="G2452" s="4" t="s">
        <v>6419</v>
      </c>
      <c r="H2452" s="4" t="s">
        <v>49</v>
      </c>
      <c r="I2452" s="4" t="s">
        <v>6005</v>
      </c>
      <c r="J2452" s="4" t="s">
        <v>78</v>
      </c>
      <c r="K2452" s="5" t="str">
        <f>HYPERLINK("https://media.licdn.com/dms/image/v2/D5610AQHYHfmgiwItlQ/image-shrink_1280/B56Z7dxtw.JQAc-/0/1781837258640?e=2147483647&amp;v=beta&amp;t=OGirDyoGsZUn_9KTxtuHtc6l84QsL8nC_gfjTtzz3js","View Creative")</f>
        <v>View Creative</v>
      </c>
      <c r="L2452" s="4" t="s">
        <v>106</v>
      </c>
      <c r="M2452" s="4" t="s">
        <v>5965</v>
      </c>
      <c r="O2452" s="4" t="s">
        <v>63</v>
      </c>
      <c r="P2452" s="4" t="s">
        <v>64</v>
      </c>
    </row>
    <row r="2453">
      <c r="A2453" s="4" t="s">
        <v>5965</v>
      </c>
      <c r="B2453" s="4" t="s">
        <v>5965</v>
      </c>
      <c r="C2453" s="4">
        <v>842.0</v>
      </c>
      <c r="D2453" s="5" t="str">
        <f>HYPERLINK("https://www.linkedin.com/ad-library/detail/1472015736","Open Ad")</f>
        <v>Open Ad</v>
      </c>
      <c r="E2453" s="4" t="s">
        <v>78</v>
      </c>
      <c r="F2453" s="4" t="s">
        <v>54</v>
      </c>
      <c r="G2453" s="4" t="s">
        <v>6420</v>
      </c>
      <c r="H2453" s="4" t="s">
        <v>49</v>
      </c>
      <c r="I2453" s="4" t="s">
        <v>6005</v>
      </c>
      <c r="J2453" s="4" t="s">
        <v>78</v>
      </c>
      <c r="K2453" s="5" t="str">
        <f>HYPERLINK("https://media.licdn.com/dms/image/v2/D4E10AQHTE0Dpjq0JHQ/image-shrink_1280/B4EZ7gBpL9HkAc-/0/1781874988430?e=2147483647&amp;v=beta&amp;t=KPePg3koppiQoFRMdrU_e2WDkYcZQFZxFW6rDQo2GkQ","View Creative")</f>
        <v>View Creative</v>
      </c>
      <c r="L2453" s="4" t="s">
        <v>106</v>
      </c>
      <c r="M2453" s="4" t="s">
        <v>5965</v>
      </c>
      <c r="O2453" s="4" t="s">
        <v>63</v>
      </c>
      <c r="P2453" s="4" t="s">
        <v>64</v>
      </c>
    </row>
    <row r="2454">
      <c r="A2454" s="4" t="s">
        <v>5965</v>
      </c>
      <c r="B2454" s="4" t="s">
        <v>5965</v>
      </c>
      <c r="C2454" s="4">
        <v>843.0</v>
      </c>
      <c r="D2454" s="5" t="str">
        <f>HYPERLINK("https://www.linkedin.com/ad-library/detail/1478123496","Open Ad")</f>
        <v>Open Ad</v>
      </c>
      <c r="E2454" s="4" t="s">
        <v>78</v>
      </c>
      <c r="F2454" s="4" t="s">
        <v>54</v>
      </c>
      <c r="G2454" s="4" t="s">
        <v>6419</v>
      </c>
      <c r="H2454" s="4" t="s">
        <v>49</v>
      </c>
      <c r="I2454" s="4" t="s">
        <v>6005</v>
      </c>
      <c r="J2454" s="4" t="s">
        <v>78</v>
      </c>
      <c r="K2454" s="5" t="str">
        <f>HYPERLINK("https://media.licdn.com/dms/image/v2/D5610AQHYHfmgiwItlQ/image-shrink_1280/B56Z7dxtw.JQAc-/0/1781837258640?e=2147483647&amp;v=beta&amp;t=OGirDyoGsZUn_9KTxtuHtc6l84QsL8nC_gfjTtzz3js","View Creative")</f>
        <v>View Creative</v>
      </c>
      <c r="L2454" s="4" t="s">
        <v>106</v>
      </c>
      <c r="M2454" s="4" t="s">
        <v>5965</v>
      </c>
      <c r="O2454" s="4" t="s">
        <v>63</v>
      </c>
      <c r="P2454" s="4" t="s">
        <v>64</v>
      </c>
    </row>
    <row r="2455">
      <c r="A2455" s="4" t="s">
        <v>5965</v>
      </c>
      <c r="B2455" s="4" t="s">
        <v>5965</v>
      </c>
      <c r="C2455" s="4">
        <v>844.0</v>
      </c>
      <c r="D2455" s="5" t="str">
        <f>HYPERLINK("https://www.linkedin.com/ad-library/detail/1472790106","Open Ad")</f>
        <v>Open Ad</v>
      </c>
      <c r="E2455" s="4" t="s">
        <v>5970</v>
      </c>
      <c r="F2455" s="4" t="s">
        <v>54</v>
      </c>
      <c r="G2455" s="4" t="s">
        <v>6409</v>
      </c>
      <c r="H2455" s="4" t="s">
        <v>49</v>
      </c>
      <c r="I2455" s="4" t="s">
        <v>6005</v>
      </c>
      <c r="J2455" s="4" t="s">
        <v>5973</v>
      </c>
      <c r="K2455" s="4" t="s">
        <v>59</v>
      </c>
      <c r="L2455" s="4" t="s">
        <v>106</v>
      </c>
      <c r="M2455" s="4" t="s">
        <v>5965</v>
      </c>
      <c r="O2455" s="4" t="s">
        <v>63</v>
      </c>
      <c r="P2455" s="4" t="s">
        <v>64</v>
      </c>
    </row>
    <row r="2456">
      <c r="A2456" s="4" t="s">
        <v>5965</v>
      </c>
      <c r="B2456" s="4" t="s">
        <v>5965</v>
      </c>
      <c r="C2456" s="4">
        <v>845.0</v>
      </c>
      <c r="D2456" s="5" t="str">
        <f>HYPERLINK("https://www.linkedin.com/ad-library/detail/1479283206","Open Ad")</f>
        <v>Open Ad</v>
      </c>
      <c r="E2456" s="4" t="s">
        <v>78</v>
      </c>
      <c r="F2456" s="4" t="s">
        <v>54</v>
      </c>
      <c r="G2456" s="4" t="s">
        <v>6419</v>
      </c>
      <c r="H2456" s="4" t="s">
        <v>49</v>
      </c>
      <c r="I2456" s="4" t="s">
        <v>6005</v>
      </c>
      <c r="J2456" s="4" t="s">
        <v>78</v>
      </c>
      <c r="K2456" s="5" t="str">
        <f>HYPERLINK("https://media.licdn.com/dms/image/v2/D5610AQHYHfmgiwItlQ/image-shrink_1280/B56Z7dxtw.JQAc-/0/1781837258640?e=2147483647&amp;v=beta&amp;t=OGirDyoGsZUn_9KTxtuHtc6l84QsL8nC_gfjTtzz3js","View Creative")</f>
        <v>View Creative</v>
      </c>
      <c r="L2456" s="4" t="s">
        <v>106</v>
      </c>
      <c r="M2456" s="4" t="s">
        <v>5965</v>
      </c>
      <c r="O2456" s="4" t="s">
        <v>63</v>
      </c>
      <c r="P2456" s="4" t="s">
        <v>64</v>
      </c>
    </row>
    <row r="2457">
      <c r="A2457" s="4" t="s">
        <v>5965</v>
      </c>
      <c r="B2457" s="4" t="s">
        <v>5965</v>
      </c>
      <c r="C2457" s="4">
        <v>846.0</v>
      </c>
      <c r="D2457" s="5" t="str">
        <f>HYPERLINK("https://www.linkedin.com/ad-library/detail/1472730096","Open Ad")</f>
        <v>Open Ad</v>
      </c>
      <c r="E2457" s="4" t="s">
        <v>78</v>
      </c>
      <c r="F2457" s="4" t="s">
        <v>54</v>
      </c>
      <c r="G2457" s="4" t="s">
        <v>6406</v>
      </c>
      <c r="H2457" s="4" t="s">
        <v>49</v>
      </c>
      <c r="I2457" s="4" t="s">
        <v>6005</v>
      </c>
      <c r="J2457" s="4" t="s">
        <v>78</v>
      </c>
      <c r="K2457" s="5" t="str">
        <f t="shared" ref="K2457:K2458" si="92">HYPERLINK("https://media.licdn.com/dms/image/v2/D5610AQFE8RFLyEFCqg/image-shrink_1280/B56Z7H9PLGGUAc-/0/1781471179686/Ad18png?e=2147483647&amp;v=beta&amp;t=Fymkr8CjC9Gg42hxw4kfTAZAiaJ0OVnoXoElrsTGgoU","View Creative")</f>
        <v>View Creative</v>
      </c>
      <c r="L2457" s="4" t="s">
        <v>106</v>
      </c>
      <c r="M2457" s="4" t="s">
        <v>5965</v>
      </c>
      <c r="O2457" s="4" t="s">
        <v>63</v>
      </c>
      <c r="P2457" s="4" t="s">
        <v>64</v>
      </c>
    </row>
    <row r="2458">
      <c r="A2458" s="4" t="s">
        <v>5965</v>
      </c>
      <c r="B2458" s="4" t="s">
        <v>5965</v>
      </c>
      <c r="C2458" s="4">
        <v>847.0</v>
      </c>
      <c r="D2458" s="5" t="str">
        <f>HYPERLINK("https://www.linkedin.com/ad-library/detail/1472819996","Open Ad")</f>
        <v>Open Ad</v>
      </c>
      <c r="E2458" s="4" t="s">
        <v>78</v>
      </c>
      <c r="F2458" s="4" t="s">
        <v>54</v>
      </c>
      <c r="G2458" s="4" t="s">
        <v>6270</v>
      </c>
      <c r="H2458" s="4" t="s">
        <v>49</v>
      </c>
      <c r="I2458" s="4" t="s">
        <v>6005</v>
      </c>
      <c r="J2458" s="4" t="s">
        <v>78</v>
      </c>
      <c r="K2458" s="5" t="str">
        <f t="shared" si="92"/>
        <v>View Creative</v>
      </c>
      <c r="L2458" s="4" t="s">
        <v>106</v>
      </c>
      <c r="M2458" s="4" t="s">
        <v>5965</v>
      </c>
      <c r="O2458" s="4" t="s">
        <v>63</v>
      </c>
      <c r="P2458" s="4" t="s">
        <v>64</v>
      </c>
    </row>
    <row r="2459">
      <c r="A2459" s="4" t="s">
        <v>5965</v>
      </c>
      <c r="B2459" s="4" t="s">
        <v>5965</v>
      </c>
      <c r="C2459" s="4">
        <v>848.0</v>
      </c>
      <c r="D2459" s="5" t="str">
        <f>HYPERLINK("https://www.linkedin.com/ad-library/detail/1472105886","Open Ad")</f>
        <v>Open Ad</v>
      </c>
      <c r="E2459" s="4" t="s">
        <v>78</v>
      </c>
      <c r="F2459" s="4" t="s">
        <v>54</v>
      </c>
      <c r="G2459" s="4" t="s">
        <v>6420</v>
      </c>
      <c r="H2459" s="4" t="s">
        <v>49</v>
      </c>
      <c r="I2459" s="4" t="s">
        <v>6005</v>
      </c>
      <c r="J2459" s="4" t="s">
        <v>78</v>
      </c>
      <c r="K2459" s="5" t="str">
        <f>HYPERLINK("https://media.licdn.com/dms/image/v2/D4E10AQHTE0Dpjq0JHQ/image-shrink_1280/B4EZ7gBpL9HkAc-/0/1781874988430?e=2147483647&amp;v=beta&amp;t=KPePg3koppiQoFRMdrU_e2WDkYcZQFZxFW6rDQo2GkQ","View Creative")</f>
        <v>View Creative</v>
      </c>
      <c r="L2459" s="4" t="s">
        <v>106</v>
      </c>
      <c r="M2459" s="4" t="s">
        <v>5965</v>
      </c>
      <c r="O2459" s="4" t="s">
        <v>63</v>
      </c>
      <c r="P2459" s="4" t="s">
        <v>64</v>
      </c>
    </row>
    <row r="2460">
      <c r="A2460" s="4" t="s">
        <v>5965</v>
      </c>
      <c r="B2460" s="4" t="s">
        <v>5965</v>
      </c>
      <c r="C2460" s="4">
        <v>849.0</v>
      </c>
      <c r="D2460" s="5" t="str">
        <f>HYPERLINK("https://www.linkedin.com/ad-library/detail/1472870116","Open Ad")</f>
        <v>Open Ad</v>
      </c>
      <c r="E2460" s="4" t="s">
        <v>78</v>
      </c>
      <c r="F2460" s="4" t="s">
        <v>54</v>
      </c>
      <c r="G2460" s="4" t="s">
        <v>6421</v>
      </c>
      <c r="H2460" s="4" t="s">
        <v>49</v>
      </c>
      <c r="I2460" s="4" t="s">
        <v>6005</v>
      </c>
      <c r="J2460" s="4" t="s">
        <v>78</v>
      </c>
      <c r="K2460" s="4" t="s">
        <v>59</v>
      </c>
      <c r="L2460" s="4" t="s">
        <v>106</v>
      </c>
      <c r="M2460" s="4" t="s">
        <v>5965</v>
      </c>
      <c r="O2460" s="4" t="s">
        <v>63</v>
      </c>
      <c r="P2460" s="4" t="s">
        <v>64</v>
      </c>
    </row>
    <row r="2461">
      <c r="A2461" s="4" t="s">
        <v>5965</v>
      </c>
      <c r="B2461" s="4" t="s">
        <v>5965</v>
      </c>
      <c r="C2461" s="4">
        <v>850.0</v>
      </c>
      <c r="D2461" s="5" t="str">
        <f>HYPERLINK("https://www.linkedin.com/ad-library/detail/1471956286","Open Ad")</f>
        <v>Open Ad</v>
      </c>
      <c r="E2461" s="4" t="s">
        <v>78</v>
      </c>
      <c r="F2461" s="4" t="s">
        <v>54</v>
      </c>
      <c r="G2461" s="4" t="s">
        <v>6420</v>
      </c>
      <c r="H2461" s="4" t="s">
        <v>49</v>
      </c>
      <c r="I2461" s="4" t="s">
        <v>6005</v>
      </c>
      <c r="J2461" s="4" t="s">
        <v>78</v>
      </c>
      <c r="K2461" s="5" t="str">
        <f t="shared" ref="K2461:K2462" si="93">HYPERLINK("https://media.licdn.com/dms/image/v2/D4E10AQHTE0Dpjq0JHQ/image-shrink_1280/B4EZ7gBpL9HkAc-/0/1781874988430?e=2147483647&amp;v=beta&amp;t=KPePg3koppiQoFRMdrU_e2WDkYcZQFZxFW6rDQo2GkQ","View Creative")</f>
        <v>View Creative</v>
      </c>
      <c r="L2461" s="4" t="s">
        <v>106</v>
      </c>
      <c r="M2461" s="4" t="s">
        <v>5965</v>
      </c>
      <c r="O2461" s="4" t="s">
        <v>63</v>
      </c>
      <c r="P2461" s="4" t="s">
        <v>64</v>
      </c>
    </row>
    <row r="2462">
      <c r="A2462" s="4" t="s">
        <v>5965</v>
      </c>
      <c r="B2462" s="4" t="s">
        <v>5965</v>
      </c>
      <c r="C2462" s="4">
        <v>851.0</v>
      </c>
      <c r="D2462" s="5" t="str">
        <f>HYPERLINK("https://www.linkedin.com/ad-library/detail/1472125666","Open Ad")</f>
        <v>Open Ad</v>
      </c>
      <c r="E2462" s="4" t="s">
        <v>78</v>
      </c>
      <c r="F2462" s="4" t="s">
        <v>54</v>
      </c>
      <c r="G2462" s="4" t="s">
        <v>6420</v>
      </c>
      <c r="H2462" s="4" t="s">
        <v>49</v>
      </c>
      <c r="I2462" s="4" t="s">
        <v>6005</v>
      </c>
      <c r="J2462" s="4" t="s">
        <v>78</v>
      </c>
      <c r="K2462" s="5" t="str">
        <f t="shared" si="93"/>
        <v>View Creative</v>
      </c>
      <c r="L2462" s="4" t="s">
        <v>106</v>
      </c>
      <c r="M2462" s="4" t="s">
        <v>5965</v>
      </c>
      <c r="O2462" s="4" t="s">
        <v>63</v>
      </c>
      <c r="P2462" s="4" t="s">
        <v>64</v>
      </c>
    </row>
    <row r="2463">
      <c r="A2463" s="4" t="s">
        <v>5965</v>
      </c>
      <c r="B2463" s="4" t="s">
        <v>5965</v>
      </c>
      <c r="C2463" s="4">
        <v>852.0</v>
      </c>
      <c r="D2463" s="5" t="str">
        <f>HYPERLINK("https://www.linkedin.com/ad-library/detail/1472810036","Open Ad")</f>
        <v>Open Ad</v>
      </c>
      <c r="E2463" s="4" t="s">
        <v>5970</v>
      </c>
      <c r="F2463" s="4" t="s">
        <v>54</v>
      </c>
      <c r="G2463" s="4" t="s">
        <v>6267</v>
      </c>
      <c r="H2463" s="4" t="s">
        <v>49</v>
      </c>
      <c r="I2463" s="4" t="s">
        <v>6005</v>
      </c>
      <c r="J2463" s="4" t="s">
        <v>5973</v>
      </c>
      <c r="K2463" s="4" t="s">
        <v>59</v>
      </c>
      <c r="L2463" s="4" t="s">
        <v>106</v>
      </c>
      <c r="M2463" s="4" t="s">
        <v>5965</v>
      </c>
      <c r="O2463" s="4" t="s">
        <v>63</v>
      </c>
      <c r="P2463" s="4" t="s">
        <v>64</v>
      </c>
    </row>
    <row r="2464">
      <c r="A2464" s="4" t="s">
        <v>5965</v>
      </c>
      <c r="B2464" s="4" t="s">
        <v>5965</v>
      </c>
      <c r="C2464" s="4">
        <v>853.0</v>
      </c>
      <c r="D2464" s="5" t="str">
        <f>HYPERLINK("https://www.linkedin.com/ad-library/detail/1479283186","Open Ad")</f>
        <v>Open Ad</v>
      </c>
      <c r="E2464" s="4" t="s">
        <v>78</v>
      </c>
      <c r="F2464" s="4" t="s">
        <v>54</v>
      </c>
      <c r="G2464" s="4" t="s">
        <v>6419</v>
      </c>
      <c r="H2464" s="4" t="s">
        <v>49</v>
      </c>
      <c r="I2464" s="4" t="s">
        <v>6005</v>
      </c>
      <c r="J2464" s="4" t="s">
        <v>78</v>
      </c>
      <c r="K2464" s="5" t="str">
        <f>HYPERLINK("https://media.licdn.com/dms/image/v2/D5610AQHYHfmgiwItlQ/image-shrink_1280/B56Z7dxtw.JQAc-/0/1781837258640?e=2147483647&amp;v=beta&amp;t=OGirDyoGsZUn_9KTxtuHtc6l84QsL8nC_gfjTtzz3js","View Creative")</f>
        <v>View Creative</v>
      </c>
      <c r="L2464" s="4" t="s">
        <v>106</v>
      </c>
      <c r="M2464" s="4" t="s">
        <v>5965</v>
      </c>
      <c r="O2464" s="4" t="s">
        <v>63</v>
      </c>
      <c r="P2464" s="4" t="s">
        <v>64</v>
      </c>
    </row>
    <row r="2465">
      <c r="A2465" s="4" t="s">
        <v>5965</v>
      </c>
      <c r="B2465" s="4" t="s">
        <v>5965</v>
      </c>
      <c r="C2465" s="4">
        <v>854.0</v>
      </c>
      <c r="D2465" s="5" t="str">
        <f>HYPERLINK("https://www.linkedin.com/ad-library/detail/1479213886","Open Ad")</f>
        <v>Open Ad</v>
      </c>
      <c r="E2465" s="4" t="s">
        <v>78</v>
      </c>
      <c r="F2465" s="4" t="s">
        <v>54</v>
      </c>
      <c r="G2465" s="4" t="s">
        <v>6417</v>
      </c>
      <c r="H2465" s="4" t="s">
        <v>49</v>
      </c>
      <c r="I2465" s="4" t="s">
        <v>6005</v>
      </c>
      <c r="J2465" s="4" t="s">
        <v>78</v>
      </c>
      <c r="K2465" s="5" t="str">
        <f>HYPERLINK("https://media.licdn.com/dms/image/v2/D5610AQHysvgheOaxnA/image-shrink_1280/B56Z7gHNArGcAc-/0/1781876446018?e=2147483647&amp;v=beta&amp;t=t-TRheTCXSd2pZn8E-EoCDLxg44cgxbezWW2xN5ZLC0","View Creative")</f>
        <v>View Creative</v>
      </c>
      <c r="L2465" s="4" t="s">
        <v>106</v>
      </c>
      <c r="M2465" s="4" t="s">
        <v>5965</v>
      </c>
      <c r="O2465" s="4" t="s">
        <v>63</v>
      </c>
      <c r="P2465" s="4" t="s">
        <v>64</v>
      </c>
    </row>
    <row r="2466">
      <c r="A2466" s="4" t="s">
        <v>5965</v>
      </c>
      <c r="B2466" s="4" t="s">
        <v>5965</v>
      </c>
      <c r="C2466" s="4">
        <v>855.0</v>
      </c>
      <c r="D2466" s="5" t="str">
        <f>HYPERLINK("https://www.linkedin.com/ad-library/detail/1472840026","Open Ad")</f>
        <v>Open Ad</v>
      </c>
      <c r="E2466" s="4" t="s">
        <v>78</v>
      </c>
      <c r="F2466" s="4" t="s">
        <v>54</v>
      </c>
      <c r="G2466" s="4" t="s">
        <v>6422</v>
      </c>
      <c r="H2466" s="4" t="s">
        <v>49</v>
      </c>
      <c r="I2466" s="4" t="s">
        <v>6005</v>
      </c>
      <c r="J2466" s="4" t="s">
        <v>78</v>
      </c>
      <c r="K2466" s="4" t="s">
        <v>59</v>
      </c>
      <c r="L2466" s="4" t="s">
        <v>106</v>
      </c>
      <c r="M2466" s="4" t="s">
        <v>5965</v>
      </c>
      <c r="O2466" s="4" t="s">
        <v>63</v>
      </c>
      <c r="P2466" s="4" t="s">
        <v>64</v>
      </c>
    </row>
    <row r="2467">
      <c r="A2467" s="4" t="s">
        <v>5965</v>
      </c>
      <c r="B2467" s="4" t="s">
        <v>5965</v>
      </c>
      <c r="C2467" s="4">
        <v>856.0</v>
      </c>
      <c r="D2467" s="5" t="str">
        <f>HYPERLINK("https://www.linkedin.com/ad-library/detail/1472134546","Open Ad")</f>
        <v>Open Ad</v>
      </c>
      <c r="E2467" s="4" t="s">
        <v>78</v>
      </c>
      <c r="F2467" s="4" t="s">
        <v>54</v>
      </c>
      <c r="G2467" s="4" t="s">
        <v>6420</v>
      </c>
      <c r="H2467" s="4" t="s">
        <v>49</v>
      </c>
      <c r="I2467" s="4" t="s">
        <v>6005</v>
      </c>
      <c r="J2467" s="4" t="s">
        <v>78</v>
      </c>
      <c r="K2467" s="5" t="str">
        <f>HYPERLINK("https://media.licdn.com/dms/image/v2/D4E10AQHTE0Dpjq0JHQ/image-shrink_1280/B4EZ7gBpL9HkAc-/0/1781874988430?e=2147483647&amp;v=beta&amp;t=KPePg3koppiQoFRMdrU_e2WDkYcZQFZxFW6rDQo2GkQ","View Creative")</f>
        <v>View Creative</v>
      </c>
      <c r="L2467" s="4" t="s">
        <v>106</v>
      </c>
      <c r="M2467" s="4" t="s">
        <v>5965</v>
      </c>
      <c r="O2467" s="4" t="s">
        <v>63</v>
      </c>
      <c r="P2467" s="4" t="s">
        <v>64</v>
      </c>
    </row>
    <row r="2468">
      <c r="A2468" s="4" t="s">
        <v>5965</v>
      </c>
      <c r="B2468" s="4" t="s">
        <v>5965</v>
      </c>
      <c r="C2468" s="4">
        <v>857.0</v>
      </c>
      <c r="D2468" s="5" t="str">
        <f>HYPERLINK("https://www.linkedin.com/ad-library/detail/1472730066","Open Ad")</f>
        <v>Open Ad</v>
      </c>
      <c r="E2468" s="4" t="s">
        <v>78</v>
      </c>
      <c r="F2468" s="4" t="s">
        <v>54</v>
      </c>
      <c r="G2468" s="4" t="s">
        <v>6406</v>
      </c>
      <c r="H2468" s="4" t="s">
        <v>49</v>
      </c>
      <c r="I2468" s="4" t="s">
        <v>6005</v>
      </c>
      <c r="J2468" s="4" t="s">
        <v>78</v>
      </c>
      <c r="K2468" s="5" t="str">
        <f>HYPERLINK("https://media.licdn.com/dms/image/v2/D5610AQEC6uKodaP14A/image-shrink_1280/B56Z6AaqPKHwAg-/0/1780270933257/Ad201png?e=2147483647&amp;v=beta&amp;t=1A661kGu5AkvtoRboYevKI4nXl-sd3eUIKlZq0ouF78","View Creative")</f>
        <v>View Creative</v>
      </c>
      <c r="L2468" s="4" t="s">
        <v>106</v>
      </c>
      <c r="M2468" s="4" t="s">
        <v>5965</v>
      </c>
      <c r="O2468" s="4" t="s">
        <v>63</v>
      </c>
      <c r="P2468" s="4" t="s">
        <v>64</v>
      </c>
    </row>
    <row r="2469">
      <c r="A2469" s="4" t="s">
        <v>5965</v>
      </c>
      <c r="B2469" s="4" t="s">
        <v>5965</v>
      </c>
      <c r="C2469" s="4">
        <v>858.0</v>
      </c>
      <c r="D2469" s="5" t="str">
        <f>HYPERLINK("https://www.linkedin.com/ad-library/detail/1472115536","Open Ad")</f>
        <v>Open Ad</v>
      </c>
      <c r="E2469" s="4" t="s">
        <v>78</v>
      </c>
      <c r="F2469" s="4" t="s">
        <v>54</v>
      </c>
      <c r="G2469" s="4" t="s">
        <v>6420</v>
      </c>
      <c r="H2469" s="4" t="s">
        <v>49</v>
      </c>
      <c r="I2469" s="4" t="s">
        <v>6005</v>
      </c>
      <c r="J2469" s="4" t="s">
        <v>78</v>
      </c>
      <c r="K2469" s="5" t="str">
        <f>HYPERLINK("https://media.licdn.com/dms/image/v2/D4E10AQHTE0Dpjq0JHQ/image-shrink_1280/B4EZ7gBpL9HkAc-/0/1781874988430?e=2147483647&amp;v=beta&amp;t=KPePg3koppiQoFRMdrU_e2WDkYcZQFZxFW6rDQo2GkQ","View Creative")</f>
        <v>View Creative</v>
      </c>
      <c r="L2469" s="4" t="s">
        <v>106</v>
      </c>
      <c r="M2469" s="4" t="s">
        <v>5965</v>
      </c>
      <c r="O2469" s="4" t="s">
        <v>63</v>
      </c>
      <c r="P2469" s="4" t="s">
        <v>64</v>
      </c>
    </row>
    <row r="2470">
      <c r="A2470" s="4" t="s">
        <v>5965</v>
      </c>
      <c r="B2470" s="4" t="s">
        <v>5965</v>
      </c>
      <c r="C2470" s="4">
        <v>859.0</v>
      </c>
      <c r="D2470" s="5" t="str">
        <f>HYPERLINK("https://www.linkedin.com/ad-library/detail/1478173396","Open Ad")</f>
        <v>Open Ad</v>
      </c>
      <c r="E2470" s="4" t="s">
        <v>78</v>
      </c>
      <c r="F2470" s="4" t="s">
        <v>54</v>
      </c>
      <c r="G2470" s="4" t="s">
        <v>6419</v>
      </c>
      <c r="H2470" s="4" t="s">
        <v>49</v>
      </c>
      <c r="I2470" s="4" t="s">
        <v>6005</v>
      </c>
      <c r="J2470" s="4" t="s">
        <v>78</v>
      </c>
      <c r="K2470" s="5" t="str">
        <f>HYPERLINK("https://media.licdn.com/dms/image/v2/D5610AQHYHfmgiwItlQ/image-shrink_1280/B56Z7dxtw.JQAc-/0/1781837258640?e=2147483647&amp;v=beta&amp;t=OGirDyoGsZUn_9KTxtuHtc6l84QsL8nC_gfjTtzz3js","View Creative")</f>
        <v>View Creative</v>
      </c>
      <c r="L2470" s="4" t="s">
        <v>106</v>
      </c>
      <c r="M2470" s="4" t="s">
        <v>5965</v>
      </c>
      <c r="O2470" s="4" t="s">
        <v>63</v>
      </c>
      <c r="P2470" s="4" t="s">
        <v>64</v>
      </c>
    </row>
    <row r="2471">
      <c r="A2471" s="4" t="s">
        <v>5965</v>
      </c>
      <c r="B2471" s="4" t="s">
        <v>5965</v>
      </c>
      <c r="C2471" s="4">
        <v>860.0</v>
      </c>
      <c r="D2471" s="5" t="str">
        <f>HYPERLINK("https://www.linkedin.com/ad-library/detail/1472006166","Open Ad")</f>
        <v>Open Ad</v>
      </c>
      <c r="E2471" s="4" t="s">
        <v>78</v>
      </c>
      <c r="F2471" s="4" t="s">
        <v>54</v>
      </c>
      <c r="G2471" s="4" t="s">
        <v>6420</v>
      </c>
      <c r="H2471" s="4" t="s">
        <v>49</v>
      </c>
      <c r="I2471" s="4" t="s">
        <v>6005</v>
      </c>
      <c r="J2471" s="4" t="s">
        <v>78</v>
      </c>
      <c r="K2471" s="5" t="str">
        <f>HYPERLINK("https://media.licdn.com/dms/image/v2/D4E10AQHTE0Dpjq0JHQ/image-shrink_1280/B4EZ7gBpL9HkAc-/0/1781874988430?e=2147483647&amp;v=beta&amp;t=KPePg3koppiQoFRMdrU_e2WDkYcZQFZxFW6rDQo2GkQ","View Creative")</f>
        <v>View Creative</v>
      </c>
      <c r="L2471" s="4" t="s">
        <v>106</v>
      </c>
      <c r="M2471" s="4" t="s">
        <v>5965</v>
      </c>
      <c r="O2471" s="4" t="s">
        <v>63</v>
      </c>
      <c r="P2471" s="4" t="s">
        <v>64</v>
      </c>
    </row>
    <row r="2472">
      <c r="A2472" s="4" t="s">
        <v>5965</v>
      </c>
      <c r="B2472" s="4" t="s">
        <v>5965</v>
      </c>
      <c r="C2472" s="4">
        <v>861.0</v>
      </c>
      <c r="D2472" s="5" t="str">
        <f>HYPERLINK("https://www.linkedin.com/ad-library/detail/1478163556","Open Ad")</f>
        <v>Open Ad</v>
      </c>
      <c r="E2472" s="4" t="s">
        <v>78</v>
      </c>
      <c r="F2472" s="4" t="s">
        <v>54</v>
      </c>
      <c r="G2472" s="4" t="s">
        <v>6417</v>
      </c>
      <c r="H2472" s="4" t="s">
        <v>49</v>
      </c>
      <c r="I2472" s="4" t="s">
        <v>6005</v>
      </c>
      <c r="J2472" s="4" t="s">
        <v>78</v>
      </c>
      <c r="K2472" s="5" t="str">
        <f>HYPERLINK("https://media.licdn.com/dms/image/v2/D5610AQHysvgheOaxnA/image-shrink_1280/B56Z7gHNArGcAc-/0/1781876446018?e=2147483647&amp;v=beta&amp;t=t-TRheTCXSd2pZn8E-EoCDLxg44cgxbezWW2xN5ZLC0","View Creative")</f>
        <v>View Creative</v>
      </c>
      <c r="L2472" s="4" t="s">
        <v>106</v>
      </c>
      <c r="M2472" s="4" t="s">
        <v>5965</v>
      </c>
      <c r="O2472" s="4" t="s">
        <v>63</v>
      </c>
      <c r="P2472" s="4" t="s">
        <v>64</v>
      </c>
    </row>
    <row r="2473">
      <c r="A2473" s="4" t="s">
        <v>5965</v>
      </c>
      <c r="B2473" s="4" t="s">
        <v>5965</v>
      </c>
      <c r="C2473" s="4">
        <v>862.0</v>
      </c>
      <c r="D2473" s="5" t="str">
        <f>HYPERLINK("https://www.linkedin.com/ad-library/detail/1478123506","Open Ad")</f>
        <v>Open Ad</v>
      </c>
      <c r="E2473" s="4" t="s">
        <v>78</v>
      </c>
      <c r="F2473" s="4" t="s">
        <v>54</v>
      </c>
      <c r="G2473" s="4" t="s">
        <v>6419</v>
      </c>
      <c r="H2473" s="4" t="s">
        <v>49</v>
      </c>
      <c r="I2473" s="4" t="s">
        <v>6005</v>
      </c>
      <c r="J2473" s="4" t="s">
        <v>78</v>
      </c>
      <c r="K2473" s="5" t="str">
        <f t="shared" ref="K2473:K2474" si="94">HYPERLINK("https://media.licdn.com/dms/image/v2/D5610AQHYHfmgiwItlQ/image-shrink_1280/B56Z7dxtw.JQAc-/0/1781837258640?e=2147483647&amp;v=beta&amp;t=OGirDyoGsZUn_9KTxtuHtc6l84QsL8nC_gfjTtzz3js","View Creative")</f>
        <v>View Creative</v>
      </c>
      <c r="L2473" s="4" t="s">
        <v>106</v>
      </c>
      <c r="M2473" s="4" t="s">
        <v>5965</v>
      </c>
      <c r="O2473" s="4" t="s">
        <v>63</v>
      </c>
      <c r="P2473" s="4" t="s">
        <v>64</v>
      </c>
    </row>
    <row r="2474">
      <c r="A2474" s="4" t="s">
        <v>5965</v>
      </c>
      <c r="B2474" s="4" t="s">
        <v>5965</v>
      </c>
      <c r="C2474" s="4">
        <v>863.0</v>
      </c>
      <c r="D2474" s="5" t="str">
        <f>HYPERLINK("https://www.linkedin.com/ad-library/detail/1478123516","Open Ad")</f>
        <v>Open Ad</v>
      </c>
      <c r="E2474" s="4" t="s">
        <v>78</v>
      </c>
      <c r="F2474" s="4" t="s">
        <v>54</v>
      </c>
      <c r="G2474" s="4" t="s">
        <v>6419</v>
      </c>
      <c r="H2474" s="4" t="s">
        <v>49</v>
      </c>
      <c r="I2474" s="4" t="s">
        <v>6005</v>
      </c>
      <c r="J2474" s="4" t="s">
        <v>78</v>
      </c>
      <c r="K2474" s="5" t="str">
        <f t="shared" si="94"/>
        <v>View Creative</v>
      </c>
      <c r="L2474" s="4" t="s">
        <v>106</v>
      </c>
      <c r="M2474" s="4" t="s">
        <v>5965</v>
      </c>
      <c r="O2474" s="4" t="s">
        <v>63</v>
      </c>
      <c r="P2474" s="4" t="s">
        <v>64</v>
      </c>
    </row>
    <row r="2475">
      <c r="A2475" s="4" t="s">
        <v>5965</v>
      </c>
      <c r="B2475" s="4" t="s">
        <v>5965</v>
      </c>
      <c r="C2475" s="4">
        <v>864.0</v>
      </c>
      <c r="D2475" s="5" t="str">
        <f>HYPERLINK("https://www.linkedin.com/ad-library/detail/1479273176","Open Ad")</f>
        <v>Open Ad</v>
      </c>
      <c r="E2475" s="4" t="s">
        <v>78</v>
      </c>
      <c r="F2475" s="4" t="s">
        <v>54</v>
      </c>
      <c r="G2475" s="4" t="s">
        <v>6417</v>
      </c>
      <c r="H2475" s="4" t="s">
        <v>49</v>
      </c>
      <c r="I2475" s="4" t="s">
        <v>6005</v>
      </c>
      <c r="J2475" s="4" t="s">
        <v>78</v>
      </c>
      <c r="K2475" s="5" t="str">
        <f>HYPERLINK("https://media.licdn.com/dms/image/v2/D5610AQHysvgheOaxnA/image-shrink_1280/B56Z7gHNArGcAc-/0/1781876446018?e=2147483647&amp;v=beta&amp;t=t-TRheTCXSd2pZn8E-EoCDLxg44cgxbezWW2xN5ZLC0","View Creative")</f>
        <v>View Creative</v>
      </c>
      <c r="L2475" s="4" t="s">
        <v>106</v>
      </c>
      <c r="M2475" s="4" t="s">
        <v>5965</v>
      </c>
      <c r="O2475" s="4" t="s">
        <v>63</v>
      </c>
      <c r="P2475" s="4" t="s">
        <v>64</v>
      </c>
    </row>
    <row r="2476">
      <c r="A2476" s="4" t="s">
        <v>5965</v>
      </c>
      <c r="B2476" s="4" t="s">
        <v>5965</v>
      </c>
      <c r="C2476" s="4">
        <v>865.0</v>
      </c>
      <c r="D2476" s="5" t="str">
        <f>HYPERLINK("https://www.linkedin.com/ad-library/detail/1471620406","Open Ad")</f>
        <v>Open Ad</v>
      </c>
      <c r="E2476" s="4" t="s">
        <v>78</v>
      </c>
      <c r="F2476" s="4" t="s">
        <v>54</v>
      </c>
      <c r="G2476" s="4" t="s">
        <v>6423</v>
      </c>
      <c r="H2476" s="4" t="s">
        <v>49</v>
      </c>
      <c r="I2476" s="4" t="s">
        <v>6005</v>
      </c>
      <c r="J2476" s="4" t="s">
        <v>78</v>
      </c>
      <c r="K2476" s="5" t="str">
        <f>HYPERLINK("https://media.licdn.com/dms/image/v2/D5610AQEqUzS03sk4mw/image-shrink_1280/B56Z7XFzB7HUAc-/0/1781725082939?e=2147483647&amp;v=beta&amp;t=RWnhH8rH_RegAruOKy_yk9VEjSzTX1Ja-hZ9s9BXxyI","View Creative")</f>
        <v>View Creative</v>
      </c>
      <c r="L2476" s="4" t="s">
        <v>106</v>
      </c>
      <c r="M2476" s="4" t="s">
        <v>5965</v>
      </c>
      <c r="O2476" s="4" t="s">
        <v>63</v>
      </c>
      <c r="P2476" s="4" t="s">
        <v>64</v>
      </c>
    </row>
    <row r="2477">
      <c r="A2477" s="4" t="s">
        <v>5965</v>
      </c>
      <c r="B2477" s="4" t="s">
        <v>5965</v>
      </c>
      <c r="C2477" s="4">
        <v>866.0</v>
      </c>
      <c r="D2477" s="5" t="str">
        <f>HYPERLINK("https://www.linkedin.com/ad-library/detail/1471640246","Open Ad")</f>
        <v>Open Ad</v>
      </c>
      <c r="E2477" s="4" t="s">
        <v>78</v>
      </c>
      <c r="F2477" s="4" t="s">
        <v>54</v>
      </c>
      <c r="G2477" s="4" t="s">
        <v>6424</v>
      </c>
      <c r="H2477" s="4" t="s">
        <v>49</v>
      </c>
      <c r="I2477" s="4" t="s">
        <v>6005</v>
      </c>
      <c r="J2477" s="4" t="s">
        <v>78</v>
      </c>
      <c r="K2477" s="5" t="str">
        <f>HYPERLINK("https://media.licdn.com/dms/image/v2/D5610AQEI_3ycJiXhsw/image-shrink_1280/B56Z7Xc9vhHYAc-/0/1781731155543?e=2147483647&amp;v=beta&amp;t=tR8CMkYIKEW1GlXgakk_rAcnPEHtTrNxWHXyu5towOg","View Creative")</f>
        <v>View Creative</v>
      </c>
      <c r="L2477" s="4" t="s">
        <v>106</v>
      </c>
      <c r="M2477" s="4" t="s">
        <v>5965</v>
      </c>
      <c r="O2477" s="4" t="s">
        <v>63</v>
      </c>
      <c r="P2477" s="4" t="s">
        <v>64</v>
      </c>
    </row>
    <row r="2478">
      <c r="A2478" s="4" t="s">
        <v>5965</v>
      </c>
      <c r="B2478" s="4" t="s">
        <v>5965</v>
      </c>
      <c r="C2478" s="4">
        <v>867.0</v>
      </c>
      <c r="D2478" s="5" t="str">
        <f>HYPERLINK("https://www.linkedin.com/ad-library/detail/1469422736","Open Ad")</f>
        <v>Open Ad</v>
      </c>
      <c r="E2478" s="4" t="s">
        <v>78</v>
      </c>
      <c r="F2478" s="4" t="s">
        <v>54</v>
      </c>
      <c r="G2478" s="4" t="s">
        <v>6425</v>
      </c>
      <c r="H2478" s="4" t="s">
        <v>49</v>
      </c>
      <c r="I2478" s="4" t="s">
        <v>6005</v>
      </c>
      <c r="J2478" s="4" t="s">
        <v>78</v>
      </c>
      <c r="K2478" s="5" t="str">
        <f t="shared" ref="K2478:K2479" si="95">HYPERLINK("https://media.licdn.com/dms/image/v2/D4E22AQFIP7XTlqRuMw/feedshare-shrink_1280/B4EZ7MG6NiJkAQ-/0/1781540829321?e=2147483647&amp;v=beta&amp;t=aeQ4DT7xjpzCozXyF1MApT6j82hz5pR5bOqNE1iDVr8","View Creative")</f>
        <v>View Creative</v>
      </c>
      <c r="L2478" s="4" t="s">
        <v>106</v>
      </c>
      <c r="M2478" s="4" t="s">
        <v>5965</v>
      </c>
      <c r="O2478" s="4" t="s">
        <v>63</v>
      </c>
      <c r="P2478" s="4" t="s">
        <v>64</v>
      </c>
    </row>
    <row r="2479">
      <c r="A2479" s="4" t="s">
        <v>5965</v>
      </c>
      <c r="B2479" s="4" t="s">
        <v>5965</v>
      </c>
      <c r="C2479" s="4">
        <v>868.0</v>
      </c>
      <c r="D2479" s="5" t="str">
        <f>HYPERLINK("https://www.linkedin.com/ad-library/detail/1469492356","Open Ad")</f>
        <v>Open Ad</v>
      </c>
      <c r="E2479" s="4" t="s">
        <v>78</v>
      </c>
      <c r="F2479" s="4" t="s">
        <v>54</v>
      </c>
      <c r="G2479" s="4" t="s">
        <v>6425</v>
      </c>
      <c r="H2479" s="4" t="s">
        <v>49</v>
      </c>
      <c r="I2479" s="4" t="s">
        <v>6005</v>
      </c>
      <c r="J2479" s="4" t="s">
        <v>78</v>
      </c>
      <c r="K2479" s="5" t="str">
        <f t="shared" si="95"/>
        <v>View Creative</v>
      </c>
      <c r="L2479" s="4" t="s">
        <v>106</v>
      </c>
      <c r="M2479" s="4" t="s">
        <v>5965</v>
      </c>
      <c r="O2479" s="4" t="s">
        <v>63</v>
      </c>
      <c r="P2479" s="4" t="s">
        <v>64</v>
      </c>
    </row>
    <row r="2480">
      <c r="A2480" s="4" t="s">
        <v>5965</v>
      </c>
      <c r="B2480" s="4" t="s">
        <v>5965</v>
      </c>
      <c r="C2480" s="4">
        <v>869.0</v>
      </c>
      <c r="D2480" s="5" t="str">
        <f>HYPERLINK("https://www.linkedin.com/ad-library/detail/1471620416","Open Ad")</f>
        <v>Open Ad</v>
      </c>
      <c r="E2480" s="4" t="s">
        <v>78</v>
      </c>
      <c r="F2480" s="4" t="s">
        <v>54</v>
      </c>
      <c r="G2480" s="4" t="s">
        <v>6423</v>
      </c>
      <c r="H2480" s="4" t="s">
        <v>49</v>
      </c>
      <c r="I2480" s="4" t="s">
        <v>6005</v>
      </c>
      <c r="J2480" s="4" t="s">
        <v>78</v>
      </c>
      <c r="K2480" s="5" t="str">
        <f t="shared" ref="K2480:K2481" si="96">HYPERLINK("https://media.licdn.com/dms/image/v2/D5610AQEqUzS03sk4mw/image-shrink_1280/B56Z7XFzB7HUAc-/0/1781725082939?e=2147483647&amp;v=beta&amp;t=RWnhH8rH_RegAruOKy_yk9VEjSzTX1Ja-hZ9s9BXxyI","View Creative")</f>
        <v>View Creative</v>
      </c>
      <c r="L2480" s="4" t="s">
        <v>106</v>
      </c>
      <c r="M2480" s="4" t="s">
        <v>5965</v>
      </c>
      <c r="O2480" s="4" t="s">
        <v>63</v>
      </c>
      <c r="P2480" s="4" t="s">
        <v>64</v>
      </c>
    </row>
    <row r="2481">
      <c r="A2481" s="4" t="s">
        <v>5965</v>
      </c>
      <c r="B2481" s="4" t="s">
        <v>5965</v>
      </c>
      <c r="C2481" s="4">
        <v>870.0</v>
      </c>
      <c r="D2481" s="5" t="str">
        <f>HYPERLINK("https://www.linkedin.com/ad-library/detail/1471499626","Open Ad")</f>
        <v>Open Ad</v>
      </c>
      <c r="E2481" s="4" t="s">
        <v>78</v>
      </c>
      <c r="F2481" s="4" t="s">
        <v>54</v>
      </c>
      <c r="G2481" s="4" t="s">
        <v>6423</v>
      </c>
      <c r="H2481" s="4" t="s">
        <v>49</v>
      </c>
      <c r="I2481" s="4" t="s">
        <v>6005</v>
      </c>
      <c r="J2481" s="4" t="s">
        <v>78</v>
      </c>
      <c r="K2481" s="5" t="str">
        <f t="shared" si="96"/>
        <v>View Creative</v>
      </c>
      <c r="L2481" s="4" t="s">
        <v>106</v>
      </c>
      <c r="M2481" s="4" t="s">
        <v>5965</v>
      </c>
      <c r="O2481" s="4" t="s">
        <v>63</v>
      </c>
      <c r="P2481" s="4" t="s">
        <v>64</v>
      </c>
    </row>
    <row r="2482">
      <c r="A2482" s="4" t="s">
        <v>5965</v>
      </c>
      <c r="B2482" s="4" t="s">
        <v>5965</v>
      </c>
      <c r="C2482" s="4">
        <v>871.0</v>
      </c>
      <c r="D2482" s="5" t="str">
        <f>HYPERLINK("https://www.linkedin.com/ad-library/detail/1471509356","Open Ad")</f>
        <v>Open Ad</v>
      </c>
      <c r="E2482" s="4" t="s">
        <v>78</v>
      </c>
      <c r="F2482" s="4" t="s">
        <v>54</v>
      </c>
      <c r="G2482" s="4" t="s">
        <v>6424</v>
      </c>
      <c r="H2482" s="4" t="s">
        <v>49</v>
      </c>
      <c r="I2482" s="4" t="s">
        <v>6005</v>
      </c>
      <c r="J2482" s="4" t="s">
        <v>78</v>
      </c>
      <c r="K2482" s="5" t="str">
        <f>HYPERLINK("https://media.licdn.com/dms/image/v2/D5610AQEI_3ycJiXhsw/image-shrink_1280/B56Z7Xc9vhHYAc-/0/1781731155543?e=2147483647&amp;v=beta&amp;t=tR8CMkYIKEW1GlXgakk_rAcnPEHtTrNxWHXyu5towOg","View Creative")</f>
        <v>View Creative</v>
      </c>
      <c r="L2482" s="4" t="s">
        <v>106</v>
      </c>
      <c r="M2482" s="4" t="s">
        <v>5965</v>
      </c>
      <c r="O2482" s="4" t="s">
        <v>63</v>
      </c>
      <c r="P2482" s="4" t="s">
        <v>64</v>
      </c>
    </row>
    <row r="2483">
      <c r="A2483" s="4" t="s">
        <v>5965</v>
      </c>
      <c r="B2483" s="4" t="s">
        <v>5965</v>
      </c>
      <c r="C2483" s="4">
        <v>872.0</v>
      </c>
      <c r="D2483" s="5" t="str">
        <f>HYPERLINK("https://www.linkedin.com/ad-library/detail/1469492386","Open Ad")</f>
        <v>Open Ad</v>
      </c>
      <c r="E2483" s="4" t="s">
        <v>78</v>
      </c>
      <c r="F2483" s="4" t="s">
        <v>54</v>
      </c>
      <c r="G2483" s="4" t="s">
        <v>6426</v>
      </c>
      <c r="H2483" s="4" t="s">
        <v>49</v>
      </c>
      <c r="I2483" s="4" t="s">
        <v>6005</v>
      </c>
      <c r="J2483" s="4" t="s">
        <v>78</v>
      </c>
      <c r="K2483" s="5" t="str">
        <f>HYPERLINK("https://media.licdn.com/dms/image/v2/D4E22AQGrviNufln9hw/feedshare-image-high-res/B4EZ7C9FJyKoAU-/0/1781387261323?e=2147483647&amp;v=beta&amp;t=eu7dyePrLaaoaSZU1vqYgD1Xu_FTSjdBlgFFkk4Qywo","View Creative")</f>
        <v>View Creative</v>
      </c>
      <c r="L2483" s="4" t="s">
        <v>106</v>
      </c>
      <c r="M2483" s="4" t="s">
        <v>5965</v>
      </c>
      <c r="O2483" s="4" t="s">
        <v>63</v>
      </c>
      <c r="P2483" s="4" t="s">
        <v>64</v>
      </c>
    </row>
    <row r="2484">
      <c r="A2484" s="4" t="s">
        <v>5965</v>
      </c>
      <c r="B2484" s="4" t="s">
        <v>5965</v>
      </c>
      <c r="C2484" s="4">
        <v>873.0</v>
      </c>
      <c r="D2484" s="5" t="str">
        <f>HYPERLINK("https://www.linkedin.com/ad-library/detail/1471528996","Open Ad")</f>
        <v>Open Ad</v>
      </c>
      <c r="E2484" s="4" t="s">
        <v>78</v>
      </c>
      <c r="F2484" s="4" t="s">
        <v>54</v>
      </c>
      <c r="G2484" s="4" t="s">
        <v>6423</v>
      </c>
      <c r="H2484" s="4" t="s">
        <v>49</v>
      </c>
      <c r="I2484" s="4" t="s">
        <v>6005</v>
      </c>
      <c r="J2484" s="4" t="s">
        <v>78</v>
      </c>
      <c r="K2484" s="5" t="str">
        <f>HYPERLINK("https://media.licdn.com/dms/image/v2/D5610AQEqUzS03sk4mw/image-shrink_1280/B56Z7XFzB7HUAc-/0/1781725082939?e=2147483647&amp;v=beta&amp;t=RWnhH8rH_RegAruOKy_yk9VEjSzTX1Ja-hZ9s9BXxyI","View Creative")</f>
        <v>View Creative</v>
      </c>
      <c r="L2484" s="4" t="s">
        <v>106</v>
      </c>
      <c r="M2484" s="4" t="s">
        <v>5965</v>
      </c>
      <c r="O2484" s="4" t="s">
        <v>63</v>
      </c>
      <c r="P2484" s="4" t="s">
        <v>64</v>
      </c>
    </row>
    <row r="2485">
      <c r="A2485" s="4" t="s">
        <v>5965</v>
      </c>
      <c r="B2485" s="4" t="s">
        <v>5965</v>
      </c>
      <c r="C2485" s="4">
        <v>874.0</v>
      </c>
      <c r="D2485" s="5" t="str">
        <f>HYPERLINK("https://www.linkedin.com/ad-library/detail/1469422726","Open Ad")</f>
        <v>Open Ad</v>
      </c>
      <c r="E2485" s="4" t="s">
        <v>78</v>
      </c>
      <c r="F2485" s="4" t="s">
        <v>54</v>
      </c>
      <c r="G2485" s="4" t="s">
        <v>6425</v>
      </c>
      <c r="H2485" s="4" t="s">
        <v>49</v>
      </c>
      <c r="I2485" s="4" t="s">
        <v>6005</v>
      </c>
      <c r="J2485" s="4" t="s">
        <v>78</v>
      </c>
      <c r="K2485" s="5" t="str">
        <f t="shared" ref="K2485:K2486" si="97">HYPERLINK("https://media.licdn.com/dms/image/v2/D4E22AQFIP7XTlqRuMw/feedshare-shrink_1280/B4EZ7MG6NiJkAQ-/0/1781540829321?e=2147483647&amp;v=beta&amp;t=aeQ4DT7xjpzCozXyF1MApT6j82hz5pR5bOqNE1iDVr8","View Creative")</f>
        <v>View Creative</v>
      </c>
      <c r="L2485" s="4" t="s">
        <v>106</v>
      </c>
      <c r="M2485" s="4" t="s">
        <v>5965</v>
      </c>
      <c r="O2485" s="4" t="s">
        <v>63</v>
      </c>
      <c r="P2485" s="4" t="s">
        <v>64</v>
      </c>
    </row>
    <row r="2486">
      <c r="A2486" s="4" t="s">
        <v>5965</v>
      </c>
      <c r="B2486" s="4" t="s">
        <v>5965</v>
      </c>
      <c r="C2486" s="4">
        <v>875.0</v>
      </c>
      <c r="D2486" s="5" t="str">
        <f>HYPERLINK("https://www.linkedin.com/ad-library/detail/1469641436","Open Ad")</f>
        <v>Open Ad</v>
      </c>
      <c r="E2486" s="4" t="s">
        <v>78</v>
      </c>
      <c r="F2486" s="4" t="s">
        <v>54</v>
      </c>
      <c r="G2486" s="4" t="s">
        <v>6425</v>
      </c>
      <c r="H2486" s="4" t="s">
        <v>49</v>
      </c>
      <c r="I2486" s="4" t="s">
        <v>6005</v>
      </c>
      <c r="J2486" s="4" t="s">
        <v>78</v>
      </c>
      <c r="K2486" s="5" t="str">
        <f t="shared" si="97"/>
        <v>View Creative</v>
      </c>
      <c r="L2486" s="4" t="s">
        <v>106</v>
      </c>
      <c r="M2486" s="4" t="s">
        <v>5965</v>
      </c>
      <c r="O2486" s="4" t="s">
        <v>63</v>
      </c>
      <c r="P2486" s="4" t="s">
        <v>64</v>
      </c>
    </row>
    <row r="2487">
      <c r="A2487" s="4" t="s">
        <v>5965</v>
      </c>
      <c r="B2487" s="4" t="s">
        <v>5965</v>
      </c>
      <c r="C2487" s="4">
        <v>876.0</v>
      </c>
      <c r="D2487" s="5" t="str">
        <f>HYPERLINK("https://www.linkedin.com/ad-library/detail/1471369446","Open Ad")</f>
        <v>Open Ad</v>
      </c>
      <c r="E2487" s="4" t="s">
        <v>78</v>
      </c>
      <c r="F2487" s="4" t="s">
        <v>54</v>
      </c>
      <c r="G2487" s="4" t="s">
        <v>6423</v>
      </c>
      <c r="H2487" s="4" t="s">
        <v>49</v>
      </c>
      <c r="I2487" s="4" t="s">
        <v>6005</v>
      </c>
      <c r="J2487" s="4" t="s">
        <v>78</v>
      </c>
      <c r="K2487" s="5" t="str">
        <f>HYPERLINK("https://media.licdn.com/dms/image/v2/D5610AQEqUzS03sk4mw/image-shrink_1280/B56Z7XFzB7HUAc-/0/1781725082939?e=2147483647&amp;v=beta&amp;t=RWnhH8rH_RegAruOKy_yk9VEjSzTX1Ja-hZ9s9BXxyI","View Creative")</f>
        <v>View Creative</v>
      </c>
      <c r="L2487" s="4" t="s">
        <v>106</v>
      </c>
      <c r="M2487" s="4" t="s">
        <v>5965</v>
      </c>
      <c r="O2487" s="4" t="s">
        <v>63</v>
      </c>
      <c r="P2487" s="4" t="s">
        <v>64</v>
      </c>
    </row>
    <row r="2488">
      <c r="A2488" s="4" t="s">
        <v>5965</v>
      </c>
      <c r="B2488" s="4" t="s">
        <v>5965</v>
      </c>
      <c r="C2488" s="4">
        <v>877.0</v>
      </c>
      <c r="D2488" s="5" t="str">
        <f>HYPERLINK("https://www.linkedin.com/ad-library/detail/1471519306","Open Ad")</f>
        <v>Open Ad</v>
      </c>
      <c r="E2488" s="4" t="s">
        <v>78</v>
      </c>
      <c r="F2488" s="4" t="s">
        <v>54</v>
      </c>
      <c r="G2488" s="4" t="s">
        <v>6424</v>
      </c>
      <c r="H2488" s="4" t="s">
        <v>49</v>
      </c>
      <c r="I2488" s="4" t="s">
        <v>6005</v>
      </c>
      <c r="J2488" s="4" t="s">
        <v>78</v>
      </c>
      <c r="K2488" s="5" t="str">
        <f>HYPERLINK("https://media.licdn.com/dms/image/v2/D5610AQEI_3ycJiXhsw/image-shrink_1280/B56Z7Xc9vhHYAc-/0/1781731155543?e=2147483647&amp;v=beta&amp;t=tR8CMkYIKEW1GlXgakk_rAcnPEHtTrNxWHXyu5towOg","View Creative")</f>
        <v>View Creative</v>
      </c>
      <c r="L2488" s="4" t="s">
        <v>106</v>
      </c>
      <c r="M2488" s="4" t="s">
        <v>5965</v>
      </c>
      <c r="O2488" s="4" t="s">
        <v>63</v>
      </c>
      <c r="P2488" s="4" t="s">
        <v>64</v>
      </c>
    </row>
    <row r="2489">
      <c r="A2489" s="4" t="s">
        <v>5965</v>
      </c>
      <c r="B2489" s="4" t="s">
        <v>5965</v>
      </c>
      <c r="C2489" s="4">
        <v>878.0</v>
      </c>
      <c r="D2489" s="5" t="str">
        <f>HYPERLINK("https://www.linkedin.com/ad-library/detail/1471956276","Open Ad")</f>
        <v>Open Ad</v>
      </c>
      <c r="E2489" s="4" t="s">
        <v>78</v>
      </c>
      <c r="F2489" s="4" t="s">
        <v>54</v>
      </c>
      <c r="G2489" s="4" t="s">
        <v>6420</v>
      </c>
      <c r="H2489" s="4" t="s">
        <v>49</v>
      </c>
      <c r="I2489" s="4" t="s">
        <v>6005</v>
      </c>
      <c r="J2489" s="4" t="s">
        <v>78</v>
      </c>
      <c r="K2489" s="5" t="str">
        <f>HYPERLINK("https://media.licdn.com/dms/image/v2/D4E10AQHTE0Dpjq0JHQ/image-shrink_1280/B4EZ7gBpL9HkAc-/0/1781874988430?e=2147483647&amp;v=beta&amp;t=KPePg3koppiQoFRMdrU_e2WDkYcZQFZxFW6rDQo2GkQ","View Creative")</f>
        <v>View Creative</v>
      </c>
      <c r="L2489" s="4" t="s">
        <v>106</v>
      </c>
      <c r="M2489" s="4" t="s">
        <v>5965</v>
      </c>
      <c r="O2489" s="4" t="s">
        <v>63</v>
      </c>
      <c r="P2489" s="4" t="s">
        <v>64</v>
      </c>
    </row>
    <row r="2490">
      <c r="A2490" s="4" t="s">
        <v>5965</v>
      </c>
      <c r="B2490" s="4" t="s">
        <v>5965</v>
      </c>
      <c r="C2490" s="4">
        <v>879.0</v>
      </c>
      <c r="D2490" s="5" t="str">
        <f>HYPERLINK("https://www.linkedin.com/ad-library/detail/1471369436","Open Ad")</f>
        <v>Open Ad</v>
      </c>
      <c r="E2490" s="4" t="s">
        <v>78</v>
      </c>
      <c r="F2490" s="4" t="s">
        <v>54</v>
      </c>
      <c r="G2490" s="4" t="s">
        <v>6423</v>
      </c>
      <c r="H2490" s="4" t="s">
        <v>49</v>
      </c>
      <c r="I2490" s="4" t="s">
        <v>6005</v>
      </c>
      <c r="J2490" s="4" t="s">
        <v>78</v>
      </c>
      <c r="K2490" s="5" t="str">
        <f>HYPERLINK("https://media.licdn.com/dms/image/v2/D5610AQEqUzS03sk4mw/image-shrink_1280/B56Z7XFzB7HUAc-/0/1781725082939?e=2147483647&amp;v=beta&amp;t=RWnhH8rH_RegAruOKy_yk9VEjSzTX1Ja-hZ9s9BXxyI","View Creative")</f>
        <v>View Creative</v>
      </c>
      <c r="L2490" s="4" t="s">
        <v>106</v>
      </c>
      <c r="M2490" s="4" t="s">
        <v>5965</v>
      </c>
      <c r="O2490" s="4" t="s">
        <v>63</v>
      </c>
      <c r="P2490" s="4" t="s">
        <v>64</v>
      </c>
    </row>
    <row r="2491">
      <c r="A2491" s="4" t="s">
        <v>5965</v>
      </c>
      <c r="B2491" s="4" t="s">
        <v>5965</v>
      </c>
      <c r="C2491" s="4">
        <v>880.0</v>
      </c>
      <c r="D2491" s="5" t="str">
        <f>HYPERLINK("https://www.linkedin.com/ad-library/detail/1471369426","Open Ad")</f>
        <v>Open Ad</v>
      </c>
      <c r="E2491" s="4" t="s">
        <v>78</v>
      </c>
      <c r="F2491" s="4" t="s">
        <v>54</v>
      </c>
      <c r="G2491" s="4" t="s">
        <v>6424</v>
      </c>
      <c r="H2491" s="4" t="s">
        <v>49</v>
      </c>
      <c r="I2491" s="4" t="s">
        <v>6005</v>
      </c>
      <c r="J2491" s="4" t="s">
        <v>78</v>
      </c>
      <c r="K2491" s="5" t="str">
        <f t="shared" ref="K2491:K2492" si="98">HYPERLINK("https://media.licdn.com/dms/image/v2/D5610AQEI_3ycJiXhsw/image-shrink_1280/B56Z7Xc9vhHYAc-/0/1781731155543?e=2147483647&amp;v=beta&amp;t=tR8CMkYIKEW1GlXgakk_rAcnPEHtTrNxWHXyu5towOg","View Creative")</f>
        <v>View Creative</v>
      </c>
      <c r="L2491" s="4" t="s">
        <v>106</v>
      </c>
      <c r="M2491" s="4" t="s">
        <v>5965</v>
      </c>
      <c r="O2491" s="4" t="s">
        <v>63</v>
      </c>
      <c r="P2491" s="4" t="s">
        <v>64</v>
      </c>
    </row>
    <row r="2492">
      <c r="A2492" s="4" t="s">
        <v>5965</v>
      </c>
      <c r="B2492" s="4" t="s">
        <v>5965</v>
      </c>
      <c r="C2492" s="4">
        <v>881.0</v>
      </c>
      <c r="D2492" s="5" t="str">
        <f>HYPERLINK("https://www.linkedin.com/ad-library/detail/1471489686","Open Ad")</f>
        <v>Open Ad</v>
      </c>
      <c r="E2492" s="4" t="s">
        <v>78</v>
      </c>
      <c r="F2492" s="4" t="s">
        <v>54</v>
      </c>
      <c r="G2492" s="4" t="s">
        <v>6424</v>
      </c>
      <c r="H2492" s="4" t="s">
        <v>49</v>
      </c>
      <c r="I2492" s="4" t="s">
        <v>6427</v>
      </c>
      <c r="J2492" s="4" t="s">
        <v>78</v>
      </c>
      <c r="K2492" s="5" t="str">
        <f t="shared" si="98"/>
        <v>View Creative</v>
      </c>
      <c r="L2492" s="4" t="s">
        <v>106</v>
      </c>
      <c r="M2492" s="4" t="s">
        <v>5965</v>
      </c>
      <c r="O2492" s="4" t="s">
        <v>74</v>
      </c>
      <c r="P2492" s="4" t="s">
        <v>6428</v>
      </c>
    </row>
    <row r="2493">
      <c r="A2493" s="4" t="s">
        <v>5965</v>
      </c>
      <c r="B2493" s="4" t="s">
        <v>5965</v>
      </c>
      <c r="C2493" s="4">
        <v>882.0</v>
      </c>
      <c r="D2493" s="5" t="str">
        <f>HYPERLINK("https://www.linkedin.com/ad-library/detail/1471449376","Open Ad")</f>
        <v>Open Ad</v>
      </c>
      <c r="E2493" s="4" t="s">
        <v>78</v>
      </c>
      <c r="F2493" s="4" t="s">
        <v>54</v>
      </c>
      <c r="G2493" s="4" t="s">
        <v>6423</v>
      </c>
      <c r="H2493" s="4" t="s">
        <v>49</v>
      </c>
      <c r="I2493" s="4" t="s">
        <v>6427</v>
      </c>
      <c r="J2493" s="4" t="s">
        <v>78</v>
      </c>
      <c r="K2493" s="5" t="str">
        <f>HYPERLINK("https://media.licdn.com/dms/image/v2/D5610AQEqUzS03sk4mw/image-shrink_1280/B56Z7XFzB7HUAc-/0/1781725082939?e=2147483647&amp;v=beta&amp;t=RWnhH8rH_RegAruOKy_yk9VEjSzTX1Ja-hZ9s9BXxyI","View Creative")</f>
        <v>View Creative</v>
      </c>
      <c r="L2493" s="4" t="s">
        <v>106</v>
      </c>
      <c r="M2493" s="4" t="s">
        <v>5965</v>
      </c>
      <c r="O2493" s="4" t="s">
        <v>74</v>
      </c>
      <c r="P2493" s="4" t="s">
        <v>6429</v>
      </c>
    </row>
    <row r="2494">
      <c r="A2494" s="4" t="s">
        <v>5965</v>
      </c>
      <c r="B2494" s="4" t="s">
        <v>6430</v>
      </c>
      <c r="C2494" s="4">
        <v>883.0</v>
      </c>
      <c r="D2494" s="5" t="str">
        <f>HYPERLINK("https://www.linkedin.com/ad-library/detail/1471390316","Open Ad")</f>
        <v>Open Ad</v>
      </c>
      <c r="E2494" s="4" t="s">
        <v>78</v>
      </c>
      <c r="F2494" s="4" t="s">
        <v>54</v>
      </c>
      <c r="G2494" s="4" t="s">
        <v>6431</v>
      </c>
      <c r="H2494" s="4" t="s">
        <v>6432</v>
      </c>
      <c r="I2494" s="4" t="s">
        <v>6433</v>
      </c>
      <c r="J2494" s="4" t="s">
        <v>78</v>
      </c>
      <c r="K2494" s="5" t="str">
        <f>HYPERLINK("https://media.licdn.com/dms/image/v2/D5612AQEQy0c7L78nFg/article-cover_image-shrink_720_1280/B56Z6UMC5gJsAQ-/0/1780602650769?e=2147483647&amp;v=beta&amp;t=x7FZjTTxxJAL--lv3eH70LfMd1FDz9qxVoYIYfq1rU4","View Creative")</f>
        <v>View Creative</v>
      </c>
      <c r="L2494" s="4" t="s">
        <v>106</v>
      </c>
      <c r="M2494" s="4" t="s">
        <v>6434</v>
      </c>
      <c r="O2494" s="4" t="s">
        <v>74</v>
      </c>
      <c r="P2494" s="4" t="s">
        <v>6435</v>
      </c>
    </row>
    <row r="2495">
      <c r="A2495" s="4" t="s">
        <v>5965</v>
      </c>
      <c r="B2495" s="4" t="s">
        <v>5965</v>
      </c>
      <c r="C2495" s="4">
        <v>884.0</v>
      </c>
      <c r="D2495" s="5" t="str">
        <f>HYPERLINK("https://www.linkedin.com/ad-library/detail/1471679936","Open Ad")</f>
        <v>Open Ad</v>
      </c>
      <c r="E2495" s="4" t="s">
        <v>78</v>
      </c>
      <c r="F2495" s="4" t="s">
        <v>54</v>
      </c>
      <c r="G2495" s="4" t="s">
        <v>6423</v>
      </c>
      <c r="H2495" s="4" t="s">
        <v>49</v>
      </c>
      <c r="I2495" s="4" t="s">
        <v>6427</v>
      </c>
      <c r="J2495" s="4" t="s">
        <v>78</v>
      </c>
      <c r="K2495" s="5" t="str">
        <f t="shared" ref="K2495:K2496" si="99">HYPERLINK("https://media.licdn.com/dms/image/v2/D5610AQEqUzS03sk4mw/image-shrink_1280/B56Z7XFzB7HUAc-/0/1781725082939?e=2147483647&amp;v=beta&amp;t=RWnhH8rH_RegAruOKy_yk9VEjSzTX1Ja-hZ9s9BXxyI","View Creative")</f>
        <v>View Creative</v>
      </c>
      <c r="L2495" s="4" t="s">
        <v>106</v>
      </c>
      <c r="M2495" s="4" t="s">
        <v>5965</v>
      </c>
      <c r="O2495" s="4" t="s">
        <v>74</v>
      </c>
      <c r="P2495" s="4" t="s">
        <v>6436</v>
      </c>
    </row>
    <row r="2496">
      <c r="A2496" s="4" t="s">
        <v>5965</v>
      </c>
      <c r="B2496" s="4" t="s">
        <v>5965</v>
      </c>
      <c r="C2496" s="4">
        <v>885.0</v>
      </c>
      <c r="D2496" s="5" t="str">
        <f>HYPERLINK("https://www.linkedin.com/ad-library/detail/1471449386","Open Ad")</f>
        <v>Open Ad</v>
      </c>
      <c r="E2496" s="4" t="s">
        <v>78</v>
      </c>
      <c r="F2496" s="4" t="s">
        <v>54</v>
      </c>
      <c r="G2496" s="4" t="s">
        <v>6423</v>
      </c>
      <c r="H2496" s="4" t="s">
        <v>49</v>
      </c>
      <c r="I2496" s="4" t="s">
        <v>6427</v>
      </c>
      <c r="J2496" s="4" t="s">
        <v>78</v>
      </c>
      <c r="K2496" s="5" t="str">
        <f t="shared" si="99"/>
        <v>View Creative</v>
      </c>
      <c r="L2496" s="4" t="s">
        <v>106</v>
      </c>
      <c r="M2496" s="4" t="s">
        <v>5965</v>
      </c>
      <c r="O2496" s="4" t="s">
        <v>74</v>
      </c>
      <c r="P2496" s="4" t="s">
        <v>6437</v>
      </c>
    </row>
    <row r="2497">
      <c r="A2497" s="4" t="s">
        <v>5965</v>
      </c>
      <c r="B2497" s="4" t="s">
        <v>5965</v>
      </c>
      <c r="C2497" s="4">
        <v>886.0</v>
      </c>
      <c r="D2497" s="5" t="str">
        <f>HYPERLINK("https://www.linkedin.com/ad-library/detail/1471630226","Open Ad")</f>
        <v>Open Ad</v>
      </c>
      <c r="E2497" s="4" t="s">
        <v>78</v>
      </c>
      <c r="F2497" s="4" t="s">
        <v>54</v>
      </c>
      <c r="G2497" s="4" t="s">
        <v>6424</v>
      </c>
      <c r="H2497" s="4" t="s">
        <v>49</v>
      </c>
      <c r="I2497" s="4" t="s">
        <v>6427</v>
      </c>
      <c r="J2497" s="4" t="s">
        <v>78</v>
      </c>
      <c r="K2497" s="5" t="str">
        <f t="shared" ref="K2497:K2499" si="100">HYPERLINK("https://media.licdn.com/dms/image/v2/D5610AQEI_3ycJiXhsw/image-shrink_1280/B56Z7Xc9vhHYAc-/0/1781731155543?e=2147483647&amp;v=beta&amp;t=tR8CMkYIKEW1GlXgakk_rAcnPEHtTrNxWHXyu5towOg","View Creative")</f>
        <v>View Creative</v>
      </c>
      <c r="L2497" s="4" t="s">
        <v>106</v>
      </c>
      <c r="M2497" s="4" t="s">
        <v>5965</v>
      </c>
      <c r="O2497" s="4" t="s">
        <v>74</v>
      </c>
      <c r="P2497" s="4" t="s">
        <v>6438</v>
      </c>
    </row>
    <row r="2498">
      <c r="A2498" s="4" t="s">
        <v>5965</v>
      </c>
      <c r="B2498" s="4" t="s">
        <v>5965</v>
      </c>
      <c r="C2498" s="4">
        <v>887.0</v>
      </c>
      <c r="D2498" s="5" t="str">
        <f>HYPERLINK("https://www.linkedin.com/ad-library/detail/1471449366","Open Ad")</f>
        <v>Open Ad</v>
      </c>
      <c r="E2498" s="4" t="s">
        <v>78</v>
      </c>
      <c r="F2498" s="4" t="s">
        <v>54</v>
      </c>
      <c r="G2498" s="4" t="s">
        <v>6424</v>
      </c>
      <c r="H2498" s="4" t="s">
        <v>49</v>
      </c>
      <c r="I2498" s="4" t="s">
        <v>6427</v>
      </c>
      <c r="J2498" s="4" t="s">
        <v>78</v>
      </c>
      <c r="K2498" s="5" t="str">
        <f t="shared" si="100"/>
        <v>View Creative</v>
      </c>
      <c r="L2498" s="4" t="s">
        <v>60</v>
      </c>
      <c r="M2498" s="4" t="s">
        <v>5965</v>
      </c>
      <c r="N2498" s="4" t="s">
        <v>6439</v>
      </c>
      <c r="O2498" s="4" t="s">
        <v>74</v>
      </c>
      <c r="P2498" s="4" t="s">
        <v>6440</v>
      </c>
    </row>
    <row r="2499">
      <c r="A2499" s="4" t="s">
        <v>5965</v>
      </c>
      <c r="B2499" s="4" t="s">
        <v>5965</v>
      </c>
      <c r="C2499" s="4">
        <v>888.0</v>
      </c>
      <c r="D2499" s="5" t="str">
        <f>HYPERLINK("https://www.linkedin.com/ad-library/detail/1471489666","Open Ad")</f>
        <v>Open Ad</v>
      </c>
      <c r="E2499" s="4" t="s">
        <v>78</v>
      </c>
      <c r="F2499" s="4" t="s">
        <v>54</v>
      </c>
      <c r="G2499" s="4" t="s">
        <v>6424</v>
      </c>
      <c r="H2499" s="4" t="s">
        <v>49</v>
      </c>
      <c r="I2499" s="4" t="s">
        <v>6427</v>
      </c>
      <c r="J2499" s="4" t="s">
        <v>78</v>
      </c>
      <c r="K2499" s="5" t="str">
        <f t="shared" si="100"/>
        <v>View Creative</v>
      </c>
      <c r="L2499" s="4" t="s">
        <v>60</v>
      </c>
      <c r="M2499" s="4" t="s">
        <v>5965</v>
      </c>
      <c r="N2499" s="4" t="s">
        <v>6441</v>
      </c>
      <c r="O2499" s="4" t="s">
        <v>74</v>
      </c>
      <c r="P2499" s="4" t="s">
        <v>6442</v>
      </c>
    </row>
    <row r="2500">
      <c r="A2500" s="4" t="s">
        <v>5965</v>
      </c>
      <c r="B2500" s="4" t="s">
        <v>5965</v>
      </c>
      <c r="C2500" s="4">
        <v>889.0</v>
      </c>
      <c r="D2500" s="5" t="str">
        <f>HYPERLINK("https://www.linkedin.com/ad-library/detail/1454192546","Open Ad")</f>
        <v>Open Ad</v>
      </c>
      <c r="E2500" s="4" t="s">
        <v>78</v>
      </c>
      <c r="F2500" s="4" t="s">
        <v>6443</v>
      </c>
      <c r="G2500" s="4" t="s">
        <v>6406</v>
      </c>
      <c r="H2500" s="4" t="s">
        <v>49</v>
      </c>
      <c r="I2500" s="4" t="s">
        <v>6398</v>
      </c>
      <c r="J2500" s="4" t="s">
        <v>78</v>
      </c>
      <c r="K2500" s="5" t="str">
        <f>HYPERLINK("https://media.licdn.com/dms/image/v2/D5610AQFE8RFLyEFCqg/image-shrink_1280/B56Z7H9PLGGUAc-/0/1781471179686/Ad18png?e=2147483647&amp;v=beta&amp;t=Fymkr8CjC9Gg42hxw4kfTAZAiaJ0OVnoXoElrsTGgoU","View Creative")</f>
        <v>View Creative</v>
      </c>
      <c r="L2500" s="4" t="s">
        <v>60</v>
      </c>
      <c r="M2500" s="4" t="s">
        <v>5965</v>
      </c>
      <c r="O2500" s="4" t="s">
        <v>74</v>
      </c>
      <c r="P2500" s="4" t="s">
        <v>6444</v>
      </c>
    </row>
    <row r="2501">
      <c r="A2501" s="4" t="s">
        <v>5965</v>
      </c>
      <c r="B2501" s="4" t="s">
        <v>5965</v>
      </c>
      <c r="C2501" s="4">
        <v>890.0</v>
      </c>
      <c r="D2501" s="5" t="str">
        <f>HYPERLINK("https://www.linkedin.com/ad-library/detail/1454415126","Open Ad")</f>
        <v>Open Ad</v>
      </c>
      <c r="E2501" s="4" t="s">
        <v>52</v>
      </c>
      <c r="F2501" s="4" t="s">
        <v>54</v>
      </c>
      <c r="G2501" s="4" t="s">
        <v>6037</v>
      </c>
      <c r="H2501" s="4" t="s">
        <v>49</v>
      </c>
      <c r="I2501" s="4" t="s">
        <v>6427</v>
      </c>
      <c r="J2501" s="4" t="s">
        <v>52</v>
      </c>
      <c r="K2501" s="4" t="s">
        <v>59</v>
      </c>
      <c r="L2501" s="4" t="s">
        <v>106</v>
      </c>
      <c r="M2501" s="4" t="s">
        <v>5965</v>
      </c>
      <c r="O2501" s="4" t="s">
        <v>63</v>
      </c>
      <c r="P2501" s="4" t="s">
        <v>64</v>
      </c>
    </row>
    <row r="2502">
      <c r="A2502" s="4" t="s">
        <v>5965</v>
      </c>
      <c r="B2502" s="4" t="s">
        <v>5965</v>
      </c>
      <c r="C2502" s="4">
        <v>891.0</v>
      </c>
      <c r="D2502" s="5" t="str">
        <f>HYPERLINK("https://www.linkedin.com/ad-library/detail/1454220696","Open Ad")</f>
        <v>Open Ad</v>
      </c>
      <c r="E2502" s="4" t="s">
        <v>78</v>
      </c>
      <c r="F2502" s="4" t="s">
        <v>6443</v>
      </c>
      <c r="G2502" s="4" t="s">
        <v>6406</v>
      </c>
      <c r="H2502" s="4" t="s">
        <v>49</v>
      </c>
      <c r="I2502" s="4" t="s">
        <v>6398</v>
      </c>
      <c r="J2502" s="4" t="s">
        <v>78</v>
      </c>
      <c r="K2502" s="5" t="str">
        <f>HYPERLINK("https://media.licdn.com/dms/image/v2/D5610AQFE8RFLyEFCqg/image-shrink_1280/B56Z7H9PLGGUAc-/0/1781471179686/Ad18png?e=2147483647&amp;v=beta&amp;t=Fymkr8CjC9Gg42hxw4kfTAZAiaJ0OVnoXoElrsTGgoU","View Creative")</f>
        <v>View Creative</v>
      </c>
      <c r="L2502" s="4" t="s">
        <v>60</v>
      </c>
      <c r="M2502" s="4" t="s">
        <v>5965</v>
      </c>
      <c r="O2502" s="4" t="s">
        <v>74</v>
      </c>
      <c r="P2502" s="4" t="s">
        <v>6445</v>
      </c>
    </row>
    <row r="2503">
      <c r="A2503" s="4" t="s">
        <v>5965</v>
      </c>
      <c r="B2503" s="4" t="s">
        <v>5965</v>
      </c>
      <c r="C2503" s="4">
        <v>892.0</v>
      </c>
      <c r="D2503" s="5" t="str">
        <f>HYPERLINK("https://www.linkedin.com/ad-library/detail/1454220686","Open Ad")</f>
        <v>Open Ad</v>
      </c>
      <c r="E2503" s="4" t="s">
        <v>78</v>
      </c>
      <c r="F2503" s="4" t="s">
        <v>6446</v>
      </c>
      <c r="G2503" s="4" t="s">
        <v>6270</v>
      </c>
      <c r="H2503" s="4" t="s">
        <v>49</v>
      </c>
      <c r="I2503" s="4" t="s">
        <v>6447</v>
      </c>
      <c r="J2503" s="4" t="s">
        <v>78</v>
      </c>
      <c r="K2503" s="5" t="str">
        <f t="shared" ref="K2503:K2504" si="101">HYPERLINK("https://media.licdn.com/dms/image/v2/D5610AQEdrFTo8NJKYg/image-shrink_1280/B56Z7H9n25GoAc-/0/1781471280818/Ad2png?e=2147483647&amp;v=beta&amp;t=WMcvkIw_2RjAP0KmPA-eRfgVKJER4JjhNZVwG6KvtJY","View Creative")</f>
        <v>View Creative</v>
      </c>
      <c r="L2503" s="4" t="s">
        <v>60</v>
      </c>
      <c r="M2503" s="4" t="s">
        <v>5965</v>
      </c>
      <c r="O2503" s="4" t="s">
        <v>74</v>
      </c>
      <c r="P2503" s="4" t="s">
        <v>6448</v>
      </c>
    </row>
    <row r="2504">
      <c r="A2504" s="4" t="s">
        <v>5965</v>
      </c>
      <c r="B2504" s="4" t="s">
        <v>5965</v>
      </c>
      <c r="C2504" s="4">
        <v>893.0</v>
      </c>
      <c r="D2504" s="5" t="str">
        <f>HYPERLINK("https://www.linkedin.com/ad-library/detail/1453979086","Open Ad")</f>
        <v>Open Ad</v>
      </c>
      <c r="E2504" s="4" t="s">
        <v>78</v>
      </c>
      <c r="F2504" s="4" t="s">
        <v>6446</v>
      </c>
      <c r="G2504" s="4" t="s">
        <v>6270</v>
      </c>
      <c r="H2504" s="4" t="s">
        <v>49</v>
      </c>
      <c r="I2504" s="4" t="s">
        <v>6447</v>
      </c>
      <c r="J2504" s="4" t="s">
        <v>78</v>
      </c>
      <c r="K2504" s="5" t="str">
        <f t="shared" si="101"/>
        <v>View Creative</v>
      </c>
      <c r="L2504" s="4" t="s">
        <v>60</v>
      </c>
      <c r="M2504" s="4" t="s">
        <v>5965</v>
      </c>
      <c r="O2504" s="4" t="s">
        <v>74</v>
      </c>
      <c r="P2504" s="4" t="s">
        <v>6449</v>
      </c>
    </row>
    <row r="2505">
      <c r="A2505" s="4" t="s">
        <v>5965</v>
      </c>
      <c r="B2505" s="4" t="s">
        <v>5965</v>
      </c>
      <c r="C2505" s="4">
        <v>894.0</v>
      </c>
      <c r="D2505" s="5" t="str">
        <f>HYPERLINK("https://www.linkedin.com/ad-library/detail/1454220676","Open Ad")</f>
        <v>Open Ad</v>
      </c>
      <c r="E2505" s="4" t="s">
        <v>78</v>
      </c>
      <c r="F2505" s="4" t="s">
        <v>54</v>
      </c>
      <c r="G2505" s="4" t="s">
        <v>6270</v>
      </c>
      <c r="H2505" s="4" t="s">
        <v>49</v>
      </c>
      <c r="I2505" s="4" t="s">
        <v>6005</v>
      </c>
      <c r="J2505" s="4" t="s">
        <v>78</v>
      </c>
      <c r="K2505" s="5" t="str">
        <f t="shared" ref="K2505:K2507" si="102">HYPERLINK("https://media.licdn.com/dms/image/v2/D5610AQFE8RFLyEFCqg/image-shrink_1280/B56Z7H9PLGGUAc-/0/1781471179686/Ad18png?e=2147483647&amp;v=beta&amp;t=Fymkr8CjC9Gg42hxw4kfTAZAiaJ0OVnoXoElrsTGgoU","View Creative")</f>
        <v>View Creative</v>
      </c>
      <c r="L2505" s="4" t="s">
        <v>106</v>
      </c>
      <c r="M2505" s="4" t="s">
        <v>5965</v>
      </c>
      <c r="O2505" s="4" t="s">
        <v>63</v>
      </c>
      <c r="P2505" s="4" t="s">
        <v>64</v>
      </c>
    </row>
    <row r="2506">
      <c r="A2506" s="4" t="s">
        <v>5965</v>
      </c>
      <c r="B2506" s="4" t="s">
        <v>5965</v>
      </c>
      <c r="C2506" s="4">
        <v>895.0</v>
      </c>
      <c r="D2506" s="5" t="str">
        <f>HYPERLINK("https://www.linkedin.com/ad-library/detail/1454137196","Open Ad")</f>
        <v>Open Ad</v>
      </c>
      <c r="E2506" s="4" t="s">
        <v>78</v>
      </c>
      <c r="F2506" s="4" t="s">
        <v>54</v>
      </c>
      <c r="G2506" s="4" t="s">
        <v>6270</v>
      </c>
      <c r="H2506" s="4" t="s">
        <v>49</v>
      </c>
      <c r="I2506" s="4" t="s">
        <v>6005</v>
      </c>
      <c r="J2506" s="4" t="s">
        <v>78</v>
      </c>
      <c r="K2506" s="5" t="str">
        <f t="shared" si="102"/>
        <v>View Creative</v>
      </c>
      <c r="L2506" s="4" t="s">
        <v>106</v>
      </c>
      <c r="M2506" s="4" t="s">
        <v>5965</v>
      </c>
      <c r="O2506" s="4" t="s">
        <v>63</v>
      </c>
      <c r="P2506" s="4" t="s">
        <v>64</v>
      </c>
    </row>
    <row r="2507">
      <c r="A2507" s="4" t="s">
        <v>5965</v>
      </c>
      <c r="B2507" s="4" t="s">
        <v>5965</v>
      </c>
      <c r="C2507" s="4">
        <v>896.0</v>
      </c>
      <c r="D2507" s="5" t="str">
        <f>HYPERLINK("https://www.linkedin.com/ad-library/detail/1454066956","Open Ad")</f>
        <v>Open Ad</v>
      </c>
      <c r="E2507" s="4" t="s">
        <v>78</v>
      </c>
      <c r="F2507" s="4" t="s">
        <v>54</v>
      </c>
      <c r="G2507" s="4" t="s">
        <v>6406</v>
      </c>
      <c r="H2507" s="4" t="s">
        <v>49</v>
      </c>
      <c r="I2507" s="4" t="s">
        <v>6005</v>
      </c>
      <c r="J2507" s="4" t="s">
        <v>78</v>
      </c>
      <c r="K2507" s="5" t="str">
        <f t="shared" si="102"/>
        <v>View Creative</v>
      </c>
      <c r="L2507" s="4" t="s">
        <v>106</v>
      </c>
      <c r="M2507" s="4" t="s">
        <v>5965</v>
      </c>
      <c r="O2507" s="4" t="s">
        <v>63</v>
      </c>
      <c r="P2507" s="4" t="s">
        <v>64</v>
      </c>
    </row>
    <row r="2508">
      <c r="A2508" s="4" t="s">
        <v>5965</v>
      </c>
      <c r="B2508" s="4" t="s">
        <v>5965</v>
      </c>
      <c r="C2508" s="4">
        <v>897.0</v>
      </c>
      <c r="D2508" s="5" t="str">
        <f>HYPERLINK("https://www.linkedin.com/ad-library/detail/1469522056","Open Ad")</f>
        <v>Open Ad</v>
      </c>
      <c r="E2508" s="4" t="s">
        <v>78</v>
      </c>
      <c r="F2508" s="4" t="s">
        <v>54</v>
      </c>
      <c r="G2508" s="4" t="s">
        <v>6425</v>
      </c>
      <c r="H2508" s="4" t="s">
        <v>49</v>
      </c>
      <c r="I2508" s="4" t="s">
        <v>6005</v>
      </c>
      <c r="J2508" s="4" t="s">
        <v>78</v>
      </c>
      <c r="K2508" s="5" t="str">
        <f>HYPERLINK("https://media.licdn.com/dms/image/v2/D4E22AQFIP7XTlqRuMw/feedshare-shrink_1280/B4EZ7MG6NiJkAQ-/0/1781540829321?e=2147483647&amp;v=beta&amp;t=aeQ4DT7xjpzCozXyF1MApT6j82hz5pR5bOqNE1iDVr8","View Creative")</f>
        <v>View Creative</v>
      </c>
      <c r="L2508" s="4" t="s">
        <v>106</v>
      </c>
      <c r="M2508" s="4" t="s">
        <v>5965</v>
      </c>
      <c r="O2508" s="4" t="s">
        <v>63</v>
      </c>
      <c r="P2508" s="4" t="s">
        <v>64</v>
      </c>
    </row>
    <row r="2509">
      <c r="A2509" s="4" t="s">
        <v>5965</v>
      </c>
      <c r="B2509" s="4" t="s">
        <v>5965</v>
      </c>
      <c r="C2509" s="4">
        <v>898.0</v>
      </c>
      <c r="D2509" s="5" t="str">
        <f>HYPERLINK("https://www.linkedin.com/ad-library/detail/1454077286","Open Ad")</f>
        <v>Open Ad</v>
      </c>
      <c r="E2509" s="4" t="s">
        <v>78</v>
      </c>
      <c r="F2509" s="4" t="s">
        <v>54</v>
      </c>
      <c r="G2509" s="4" t="s">
        <v>6037</v>
      </c>
      <c r="H2509" s="4" t="s">
        <v>49</v>
      </c>
      <c r="I2509" s="4" t="s">
        <v>6005</v>
      </c>
      <c r="J2509" s="4" t="s">
        <v>78</v>
      </c>
      <c r="K2509" s="4" t="s">
        <v>59</v>
      </c>
      <c r="L2509" s="4" t="s">
        <v>106</v>
      </c>
      <c r="M2509" s="4" t="s">
        <v>5965</v>
      </c>
      <c r="O2509" s="4" t="s">
        <v>63</v>
      </c>
      <c r="P2509" s="4" t="s">
        <v>64</v>
      </c>
    </row>
    <row r="2510">
      <c r="A2510" s="4" t="s">
        <v>5965</v>
      </c>
      <c r="B2510" s="4" t="s">
        <v>5965</v>
      </c>
      <c r="C2510" s="4">
        <v>899.0</v>
      </c>
      <c r="D2510" s="5" t="str">
        <f>HYPERLINK("https://www.linkedin.com/ad-library/detail/1454192526","Open Ad")</f>
        <v>Open Ad</v>
      </c>
      <c r="E2510" s="4" t="s">
        <v>78</v>
      </c>
      <c r="F2510" s="4" t="s">
        <v>54</v>
      </c>
      <c r="G2510" s="4" t="s">
        <v>6270</v>
      </c>
      <c r="H2510" s="4" t="s">
        <v>49</v>
      </c>
      <c r="I2510" s="4" t="s">
        <v>6005</v>
      </c>
      <c r="J2510" s="4" t="s">
        <v>78</v>
      </c>
      <c r="K2510" s="5" t="str">
        <f t="shared" ref="K2510:K2511" si="103">HYPERLINK("https://media.licdn.com/dms/image/v2/D5610AQFE8RFLyEFCqg/image-shrink_1280/B56Z7H9PLGGUAc-/0/1781471179686/Ad18png?e=2147483647&amp;v=beta&amp;t=Fymkr8CjC9Gg42hxw4kfTAZAiaJ0OVnoXoElrsTGgoU","View Creative")</f>
        <v>View Creative</v>
      </c>
      <c r="L2510" s="4" t="s">
        <v>106</v>
      </c>
      <c r="M2510" s="4" t="s">
        <v>5965</v>
      </c>
      <c r="O2510" s="4" t="s">
        <v>63</v>
      </c>
      <c r="P2510" s="4" t="s">
        <v>64</v>
      </c>
    </row>
    <row r="2511">
      <c r="A2511" s="4" t="s">
        <v>5965</v>
      </c>
      <c r="B2511" s="4" t="s">
        <v>5965</v>
      </c>
      <c r="C2511" s="4">
        <v>900.0</v>
      </c>
      <c r="D2511" s="5" t="str">
        <f>HYPERLINK("https://www.linkedin.com/ad-library/detail/1454560466","Open Ad")</f>
        <v>Open Ad</v>
      </c>
      <c r="E2511" s="4" t="s">
        <v>78</v>
      </c>
      <c r="F2511" s="4" t="s">
        <v>54</v>
      </c>
      <c r="G2511" s="4" t="s">
        <v>6406</v>
      </c>
      <c r="H2511" s="4" t="s">
        <v>49</v>
      </c>
      <c r="I2511" s="4" t="s">
        <v>6005</v>
      </c>
      <c r="J2511" s="4" t="s">
        <v>78</v>
      </c>
      <c r="K2511" s="5" t="str">
        <f t="shared" si="103"/>
        <v>View Creative</v>
      </c>
      <c r="L2511" s="4" t="s">
        <v>106</v>
      </c>
      <c r="M2511" s="4" t="s">
        <v>5965</v>
      </c>
      <c r="O2511" s="4" t="s">
        <v>63</v>
      </c>
      <c r="P2511" s="4" t="s">
        <v>64</v>
      </c>
    </row>
    <row r="2512">
      <c r="A2512" s="4" t="s">
        <v>5965</v>
      </c>
      <c r="B2512" s="4" t="s">
        <v>5965</v>
      </c>
      <c r="C2512" s="4">
        <v>901.0</v>
      </c>
      <c r="D2512" s="5" t="str">
        <f>HYPERLINK("https://www.linkedin.com/ad-library/detail/1454047986","Open Ad")</f>
        <v>Open Ad</v>
      </c>
      <c r="E2512" s="4" t="s">
        <v>78</v>
      </c>
      <c r="F2512" s="4" t="s">
        <v>54</v>
      </c>
      <c r="G2512" s="4" t="s">
        <v>6034</v>
      </c>
      <c r="H2512" s="4" t="s">
        <v>49</v>
      </c>
      <c r="I2512" s="4" t="s">
        <v>6005</v>
      </c>
      <c r="J2512" s="4" t="s">
        <v>78</v>
      </c>
      <c r="K2512" s="4" t="s">
        <v>59</v>
      </c>
      <c r="L2512" s="4" t="s">
        <v>106</v>
      </c>
      <c r="M2512" s="4" t="s">
        <v>5965</v>
      </c>
      <c r="O2512" s="4" t="s">
        <v>63</v>
      </c>
      <c r="P2512" s="4" t="s">
        <v>64</v>
      </c>
    </row>
    <row r="2513">
      <c r="A2513" s="4" t="s">
        <v>5965</v>
      </c>
      <c r="B2513" s="4" t="s">
        <v>5965</v>
      </c>
      <c r="C2513" s="4">
        <v>902.0</v>
      </c>
      <c r="D2513" s="5" t="str">
        <f>HYPERLINK("https://www.linkedin.com/ad-library/detail/1454395886","Open Ad")</f>
        <v>Open Ad</v>
      </c>
      <c r="E2513" s="4" t="s">
        <v>78</v>
      </c>
      <c r="F2513" s="4" t="s">
        <v>54</v>
      </c>
      <c r="G2513" s="4" t="s">
        <v>6242</v>
      </c>
      <c r="H2513" s="4" t="s">
        <v>49</v>
      </c>
      <c r="I2513" s="4" t="s">
        <v>6005</v>
      </c>
      <c r="J2513" s="4" t="s">
        <v>78</v>
      </c>
      <c r="K2513" s="4" t="s">
        <v>59</v>
      </c>
      <c r="L2513" s="4" t="s">
        <v>106</v>
      </c>
      <c r="M2513" s="4" t="s">
        <v>5965</v>
      </c>
      <c r="O2513" s="4" t="s">
        <v>63</v>
      </c>
      <c r="P2513" s="4" t="s">
        <v>64</v>
      </c>
    </row>
    <row r="2514">
      <c r="A2514" s="4" t="s">
        <v>5965</v>
      </c>
      <c r="B2514" s="4" t="s">
        <v>5965</v>
      </c>
      <c r="C2514" s="4">
        <v>903.0</v>
      </c>
      <c r="D2514" s="5" t="str">
        <f>HYPERLINK("https://www.linkedin.com/ad-library/detail/1453997766","Open Ad")</f>
        <v>Open Ad</v>
      </c>
      <c r="E2514" s="4" t="s">
        <v>78</v>
      </c>
      <c r="F2514" s="4" t="s">
        <v>54</v>
      </c>
      <c r="G2514" s="4" t="s">
        <v>6242</v>
      </c>
      <c r="H2514" s="4" t="s">
        <v>49</v>
      </c>
      <c r="I2514" s="4" t="s">
        <v>6005</v>
      </c>
      <c r="J2514" s="4" t="s">
        <v>78</v>
      </c>
      <c r="K2514" s="4" t="s">
        <v>59</v>
      </c>
      <c r="L2514" s="4" t="s">
        <v>106</v>
      </c>
      <c r="M2514" s="4" t="s">
        <v>5965</v>
      </c>
      <c r="O2514" s="4" t="s">
        <v>63</v>
      </c>
      <c r="P2514" s="4" t="s">
        <v>64</v>
      </c>
    </row>
    <row r="2515">
      <c r="A2515" s="4" t="s">
        <v>5965</v>
      </c>
      <c r="B2515" s="4" t="s">
        <v>5965</v>
      </c>
      <c r="C2515" s="4">
        <v>904.0</v>
      </c>
      <c r="D2515" s="5" t="str">
        <f>HYPERLINK("https://www.linkedin.com/ad-library/detail/1454560476","Open Ad")</f>
        <v>Open Ad</v>
      </c>
      <c r="E2515" s="4" t="s">
        <v>78</v>
      </c>
      <c r="F2515" s="4" t="s">
        <v>6446</v>
      </c>
      <c r="G2515" s="4" t="s">
        <v>6270</v>
      </c>
      <c r="H2515" s="4" t="s">
        <v>49</v>
      </c>
      <c r="I2515" s="4" t="s">
        <v>6447</v>
      </c>
      <c r="J2515" s="4" t="s">
        <v>78</v>
      </c>
      <c r="K2515" s="5" t="str">
        <f t="shared" ref="K2515:K2516" si="104">HYPERLINK("https://media.licdn.com/dms/image/v2/D5610AQEdrFTo8NJKYg/image-shrink_1280/B56Z7H9n25GoAc-/0/1781471280818/Ad2png?e=2147483647&amp;v=beta&amp;t=WMcvkIw_2RjAP0KmPA-eRfgVKJER4JjhNZVwG6KvtJY","View Creative")</f>
        <v>View Creative</v>
      </c>
      <c r="L2515" s="4" t="s">
        <v>60</v>
      </c>
      <c r="M2515" s="4" t="s">
        <v>5965</v>
      </c>
      <c r="N2515" s="4" t="s">
        <v>6450</v>
      </c>
      <c r="O2515" s="4" t="s">
        <v>74</v>
      </c>
      <c r="P2515" s="4" t="s">
        <v>6451</v>
      </c>
    </row>
    <row r="2516">
      <c r="A2516" s="4" t="s">
        <v>5965</v>
      </c>
      <c r="B2516" s="4" t="s">
        <v>5965</v>
      </c>
      <c r="C2516" s="4">
        <v>905.0</v>
      </c>
      <c r="D2516" s="5" t="str">
        <f>HYPERLINK("https://www.linkedin.com/ad-library/detail/1454176226","Open Ad")</f>
        <v>Open Ad</v>
      </c>
      <c r="E2516" s="4" t="s">
        <v>78</v>
      </c>
      <c r="F2516" s="4" t="s">
        <v>54</v>
      </c>
      <c r="G2516" s="4" t="s">
        <v>6270</v>
      </c>
      <c r="H2516" s="4" t="s">
        <v>49</v>
      </c>
      <c r="I2516" s="4" t="s">
        <v>6005</v>
      </c>
      <c r="J2516" s="4" t="s">
        <v>78</v>
      </c>
      <c r="K2516" s="5" t="str">
        <f t="shared" si="104"/>
        <v>View Creative</v>
      </c>
      <c r="L2516" s="4" t="s">
        <v>106</v>
      </c>
      <c r="M2516" s="4" t="s">
        <v>5965</v>
      </c>
      <c r="O2516" s="4" t="s">
        <v>63</v>
      </c>
      <c r="P2516" s="4" t="s">
        <v>64</v>
      </c>
    </row>
    <row r="2517">
      <c r="A2517" s="4" t="s">
        <v>5965</v>
      </c>
      <c r="B2517" s="4" t="s">
        <v>5965</v>
      </c>
      <c r="C2517" s="4">
        <v>906.0</v>
      </c>
      <c r="D2517" s="5" t="str">
        <f>HYPERLINK("https://www.linkedin.com/ad-library/detail/1454472376","Open Ad")</f>
        <v>Open Ad</v>
      </c>
      <c r="E2517" s="4" t="s">
        <v>78</v>
      </c>
      <c r="F2517" s="4" t="s">
        <v>54</v>
      </c>
      <c r="G2517" s="4" t="s">
        <v>6270</v>
      </c>
      <c r="H2517" s="4" t="s">
        <v>49</v>
      </c>
      <c r="I2517" s="4" t="s">
        <v>6005</v>
      </c>
      <c r="J2517" s="4" t="s">
        <v>78</v>
      </c>
      <c r="K2517" s="5" t="str">
        <f t="shared" ref="K2517:K2518" si="105">HYPERLINK("https://media.licdn.com/dms/image/v2/D5610AQFE8RFLyEFCqg/image-shrink_1280/B56Z7H9PLGGUAc-/0/1781471179686/Ad18png?e=2147483647&amp;v=beta&amp;t=Fymkr8CjC9Gg42hxw4kfTAZAiaJ0OVnoXoElrsTGgoU","View Creative")</f>
        <v>View Creative</v>
      </c>
      <c r="L2517" s="4" t="s">
        <v>106</v>
      </c>
      <c r="M2517" s="4" t="s">
        <v>5965</v>
      </c>
      <c r="O2517" s="4" t="s">
        <v>63</v>
      </c>
      <c r="P2517" s="4" t="s">
        <v>64</v>
      </c>
    </row>
    <row r="2518">
      <c r="A2518" s="4" t="s">
        <v>5965</v>
      </c>
      <c r="B2518" s="4" t="s">
        <v>5965</v>
      </c>
      <c r="C2518" s="4">
        <v>907.0</v>
      </c>
      <c r="D2518" s="5" t="str">
        <f>HYPERLINK("https://www.linkedin.com/ad-library/detail/1454007916","Open Ad")</f>
        <v>Open Ad</v>
      </c>
      <c r="E2518" s="4" t="s">
        <v>78</v>
      </c>
      <c r="F2518" s="4" t="s">
        <v>54</v>
      </c>
      <c r="G2518" s="4" t="s">
        <v>6406</v>
      </c>
      <c r="H2518" s="4" t="s">
        <v>49</v>
      </c>
      <c r="I2518" s="4" t="s">
        <v>6005</v>
      </c>
      <c r="J2518" s="4" t="s">
        <v>78</v>
      </c>
      <c r="K2518" s="5" t="str">
        <f t="shared" si="105"/>
        <v>View Creative</v>
      </c>
      <c r="L2518" s="4" t="s">
        <v>106</v>
      </c>
      <c r="M2518" s="4" t="s">
        <v>5965</v>
      </c>
      <c r="O2518" s="4" t="s">
        <v>63</v>
      </c>
      <c r="P2518" s="4" t="s">
        <v>64</v>
      </c>
    </row>
    <row r="2519">
      <c r="A2519" s="4" t="s">
        <v>5965</v>
      </c>
      <c r="B2519" s="4" t="s">
        <v>5965</v>
      </c>
      <c r="C2519" s="4">
        <v>908.0</v>
      </c>
      <c r="D2519" s="5" t="str">
        <f>HYPERLINK("https://www.linkedin.com/ad-library/detail/1454425636","Open Ad")</f>
        <v>Open Ad</v>
      </c>
      <c r="E2519" s="4" t="s">
        <v>78</v>
      </c>
      <c r="F2519" s="4" t="s">
        <v>54</v>
      </c>
      <c r="G2519" s="4" t="s">
        <v>6034</v>
      </c>
      <c r="H2519" s="4" t="s">
        <v>49</v>
      </c>
      <c r="I2519" s="4" t="s">
        <v>6005</v>
      </c>
      <c r="J2519" s="4" t="s">
        <v>78</v>
      </c>
      <c r="K2519" s="4" t="s">
        <v>59</v>
      </c>
      <c r="L2519" s="4" t="s">
        <v>106</v>
      </c>
      <c r="M2519" s="4" t="s">
        <v>5965</v>
      </c>
      <c r="O2519" s="4" t="s">
        <v>63</v>
      </c>
      <c r="P2519" s="4" t="s">
        <v>64</v>
      </c>
    </row>
    <row r="2520">
      <c r="A2520" s="4" t="s">
        <v>5965</v>
      </c>
      <c r="B2520" s="4" t="s">
        <v>5965</v>
      </c>
      <c r="C2520" s="4">
        <v>909.0</v>
      </c>
      <c r="D2520" s="5" t="str">
        <f>HYPERLINK("https://www.linkedin.com/ad-library/detail/1454220656","Open Ad")</f>
        <v>Open Ad</v>
      </c>
      <c r="E2520" s="4" t="s">
        <v>78</v>
      </c>
      <c r="F2520" s="4" t="s">
        <v>54</v>
      </c>
      <c r="G2520" s="4" t="s">
        <v>6270</v>
      </c>
      <c r="H2520" s="4" t="s">
        <v>49</v>
      </c>
      <c r="I2520" s="4" t="s">
        <v>6005</v>
      </c>
      <c r="J2520" s="4" t="s">
        <v>78</v>
      </c>
      <c r="K2520" s="5" t="str">
        <f>HYPERLINK("https://media.licdn.com/dms/image/v2/D5610AQEdrFTo8NJKYg/image-shrink_1280/B56Z7H9n25GoAc-/0/1781471280818/Ad2png?e=2147483647&amp;v=beta&amp;t=WMcvkIw_2RjAP0KmPA-eRfgVKJER4JjhNZVwG6KvtJY","View Creative")</f>
        <v>View Creative</v>
      </c>
      <c r="L2520" s="4" t="s">
        <v>106</v>
      </c>
      <c r="M2520" s="4" t="s">
        <v>5965</v>
      </c>
      <c r="O2520" s="4" t="s">
        <v>63</v>
      </c>
      <c r="P2520" s="4" t="s">
        <v>64</v>
      </c>
    </row>
    <row r="2521">
      <c r="A2521" s="4" t="s">
        <v>5965</v>
      </c>
      <c r="B2521" s="4" t="s">
        <v>5965</v>
      </c>
      <c r="C2521" s="4">
        <v>910.0</v>
      </c>
      <c r="D2521" s="5" t="str">
        <f>HYPERLINK("https://www.linkedin.com/ad-library/detail/1454219126","Open Ad")</f>
        <v>Open Ad</v>
      </c>
      <c r="E2521" s="4" t="s">
        <v>78</v>
      </c>
      <c r="F2521" s="4" t="s">
        <v>54</v>
      </c>
      <c r="G2521" s="4" t="s">
        <v>6034</v>
      </c>
      <c r="H2521" s="4" t="s">
        <v>49</v>
      </c>
      <c r="I2521" s="4" t="s">
        <v>6005</v>
      </c>
      <c r="J2521" s="4" t="s">
        <v>78</v>
      </c>
      <c r="K2521" s="4" t="s">
        <v>59</v>
      </c>
      <c r="L2521" s="4" t="s">
        <v>106</v>
      </c>
      <c r="M2521" s="4" t="s">
        <v>5965</v>
      </c>
      <c r="O2521" s="4" t="s">
        <v>63</v>
      </c>
      <c r="P2521" s="4" t="s">
        <v>64</v>
      </c>
    </row>
    <row r="2522">
      <c r="A2522" s="4" t="s">
        <v>5965</v>
      </c>
      <c r="B2522" s="4" t="s">
        <v>5965</v>
      </c>
      <c r="C2522" s="4">
        <v>911.0</v>
      </c>
      <c r="D2522" s="5" t="str">
        <f>HYPERLINK("https://www.linkedin.com/ad-library/detail/1454385496","Open Ad")</f>
        <v>Open Ad</v>
      </c>
      <c r="E2522" s="4" t="s">
        <v>78</v>
      </c>
      <c r="F2522" s="4" t="s">
        <v>54</v>
      </c>
      <c r="G2522" s="4" t="s">
        <v>6037</v>
      </c>
      <c r="H2522" s="4" t="s">
        <v>49</v>
      </c>
      <c r="I2522" s="4" t="s">
        <v>6005</v>
      </c>
      <c r="J2522" s="4" t="s">
        <v>78</v>
      </c>
      <c r="K2522" s="4" t="s">
        <v>59</v>
      </c>
      <c r="L2522" s="4" t="s">
        <v>106</v>
      </c>
      <c r="M2522" s="4" t="s">
        <v>5965</v>
      </c>
      <c r="O2522" s="4" t="s">
        <v>63</v>
      </c>
      <c r="P2522" s="4" t="s">
        <v>64</v>
      </c>
    </row>
    <row r="2523">
      <c r="A2523" s="4" t="s">
        <v>5965</v>
      </c>
      <c r="B2523" s="4" t="s">
        <v>5965</v>
      </c>
      <c r="C2523" s="4">
        <v>912.0</v>
      </c>
      <c r="D2523" s="5" t="str">
        <f>HYPERLINK("https://www.linkedin.com/ad-library/detail/1454346496","Open Ad")</f>
        <v>Open Ad</v>
      </c>
      <c r="E2523" s="4" t="s">
        <v>78</v>
      </c>
      <c r="F2523" s="4" t="s">
        <v>54</v>
      </c>
      <c r="G2523" s="4" t="s">
        <v>6242</v>
      </c>
      <c r="H2523" s="4" t="s">
        <v>49</v>
      </c>
      <c r="I2523" s="4" t="s">
        <v>6005</v>
      </c>
      <c r="J2523" s="4" t="s">
        <v>78</v>
      </c>
      <c r="K2523" s="4" t="s">
        <v>59</v>
      </c>
      <c r="L2523" s="4" t="s">
        <v>106</v>
      </c>
      <c r="M2523" s="4" t="s">
        <v>5965</v>
      </c>
      <c r="O2523" s="4" t="s">
        <v>63</v>
      </c>
      <c r="P2523" s="4" t="s">
        <v>64</v>
      </c>
    </row>
    <row r="2524">
      <c r="A2524" s="4" t="s">
        <v>5965</v>
      </c>
      <c r="B2524" s="4" t="s">
        <v>5965</v>
      </c>
      <c r="C2524" s="4">
        <v>913.0</v>
      </c>
      <c r="D2524" s="5" t="str">
        <f>HYPERLINK("https://www.linkedin.com/ad-library/detail/1438180556","Open Ad")</f>
        <v>Open Ad</v>
      </c>
      <c r="E2524" s="4" t="s">
        <v>78</v>
      </c>
      <c r="F2524" s="4" t="s">
        <v>54</v>
      </c>
      <c r="G2524" s="4" t="s">
        <v>6452</v>
      </c>
      <c r="H2524" s="4" t="s">
        <v>49</v>
      </c>
      <c r="I2524" s="4" t="s">
        <v>6005</v>
      </c>
      <c r="J2524" s="4" t="s">
        <v>78</v>
      </c>
      <c r="K2524" s="5" t="str">
        <f>HYPERLINK("https://media.licdn.com/dms/image/v2/D4E10AQGkYBLaXhnL-A/image-shrink_1280/B4EZ6TLwAZHkAc-/0/1780585792816?e=2147483647&amp;v=beta&amp;t=TQ0aeJEpUOG49vXTJVSm5BWrMcWBLNJb45NuxLkA9C4","View Creative")</f>
        <v>View Creative</v>
      </c>
      <c r="L2524" s="4" t="s">
        <v>106</v>
      </c>
      <c r="M2524" s="4" t="s">
        <v>5965</v>
      </c>
      <c r="O2524" s="4" t="s">
        <v>63</v>
      </c>
      <c r="P2524" s="4" t="s">
        <v>64</v>
      </c>
    </row>
    <row r="2525">
      <c r="A2525" s="4" t="s">
        <v>5965</v>
      </c>
      <c r="B2525" s="4" t="s">
        <v>5965</v>
      </c>
      <c r="C2525" s="4">
        <v>914.0</v>
      </c>
      <c r="D2525" s="5" t="str">
        <f>HYPERLINK("https://www.linkedin.com/ad-library/detail/1439387796","Open Ad")</f>
        <v>Open Ad</v>
      </c>
      <c r="E2525" s="4" t="s">
        <v>78</v>
      </c>
      <c r="F2525" s="4" t="s">
        <v>54</v>
      </c>
      <c r="G2525" s="4" t="s">
        <v>6453</v>
      </c>
      <c r="H2525" s="4" t="s">
        <v>49</v>
      </c>
      <c r="I2525" s="4" t="s">
        <v>6005</v>
      </c>
      <c r="J2525" s="4" t="s">
        <v>78</v>
      </c>
      <c r="K2525" s="5" t="str">
        <f>HYPERLINK("https://media.licdn.com/dms/image/v2/D4E22AQEbAoX2KRknuA/feedshare-shrink_1280/B4EZ6uK8KjJUAM-/0/1781038564506?e=2147483647&amp;v=beta&amp;t=6hUGj1oFdHEd7aeD_hrh3Ay3bVYwKQvqbHrOZ0yUBFQ","View Creative")</f>
        <v>View Creative</v>
      </c>
      <c r="L2525" s="4" t="s">
        <v>106</v>
      </c>
      <c r="M2525" s="4" t="s">
        <v>5965</v>
      </c>
      <c r="O2525" s="4" t="s">
        <v>63</v>
      </c>
      <c r="P2525" s="4" t="s">
        <v>64</v>
      </c>
    </row>
    <row r="2526">
      <c r="A2526" s="4" t="s">
        <v>5965</v>
      </c>
      <c r="B2526" s="4" t="s">
        <v>5965</v>
      </c>
      <c r="C2526" s="4">
        <v>915.0</v>
      </c>
      <c r="D2526" s="5" t="str">
        <f>HYPERLINK("https://www.linkedin.com/ad-library/detail/1439259006","Open Ad")</f>
        <v>Open Ad</v>
      </c>
      <c r="E2526" s="4" t="s">
        <v>78</v>
      </c>
      <c r="F2526" s="4" t="s">
        <v>54</v>
      </c>
      <c r="G2526" s="4" t="s">
        <v>6454</v>
      </c>
      <c r="H2526" s="4" t="s">
        <v>49</v>
      </c>
      <c r="I2526" s="4" t="s">
        <v>6005</v>
      </c>
      <c r="J2526" s="4" t="s">
        <v>78</v>
      </c>
      <c r="K2526" s="5" t="str">
        <f t="shared" ref="K2526:K2528" si="106">HYPERLINK("https://media.licdn.com/dms/image/v2/D4E10AQHxCSrWH4ITrg/image-shrink_1280/B4EZ6ZzfFMKAAc-/0/1780696872116?e=2147483647&amp;v=beta&amp;t=SnZmZr4kWgTLuS0NJpCDMrolqcqn8MAukoVrjpZVTfg","View Creative")</f>
        <v>View Creative</v>
      </c>
      <c r="L2526" s="4" t="s">
        <v>106</v>
      </c>
      <c r="M2526" s="4" t="s">
        <v>5965</v>
      </c>
      <c r="O2526" s="4" t="s">
        <v>63</v>
      </c>
      <c r="P2526" s="4" t="s">
        <v>64</v>
      </c>
    </row>
    <row r="2527">
      <c r="A2527" s="4" t="s">
        <v>5965</v>
      </c>
      <c r="B2527" s="4" t="s">
        <v>5965</v>
      </c>
      <c r="C2527" s="4">
        <v>916.0</v>
      </c>
      <c r="D2527" s="5" t="str">
        <f>HYPERLINK("https://www.linkedin.com/ad-library/detail/1439338656","Open Ad")</f>
        <v>Open Ad</v>
      </c>
      <c r="E2527" s="4" t="s">
        <v>78</v>
      </c>
      <c r="F2527" s="4" t="s">
        <v>54</v>
      </c>
      <c r="G2527" s="4" t="s">
        <v>6454</v>
      </c>
      <c r="H2527" s="4" t="s">
        <v>49</v>
      </c>
      <c r="I2527" s="4" t="s">
        <v>6005</v>
      </c>
      <c r="J2527" s="4" t="s">
        <v>78</v>
      </c>
      <c r="K2527" s="5" t="str">
        <f t="shared" si="106"/>
        <v>View Creative</v>
      </c>
      <c r="L2527" s="4" t="s">
        <v>106</v>
      </c>
      <c r="M2527" s="4" t="s">
        <v>5965</v>
      </c>
      <c r="O2527" s="4" t="s">
        <v>63</v>
      </c>
      <c r="P2527" s="4" t="s">
        <v>64</v>
      </c>
    </row>
    <row r="2528">
      <c r="A2528" s="4" t="s">
        <v>5965</v>
      </c>
      <c r="B2528" s="4" t="s">
        <v>5965</v>
      </c>
      <c r="C2528" s="4">
        <v>917.0</v>
      </c>
      <c r="D2528" s="5" t="str">
        <f>HYPERLINK("https://www.linkedin.com/ad-library/detail/1439397746","Open Ad")</f>
        <v>Open Ad</v>
      </c>
      <c r="E2528" s="4" t="s">
        <v>78</v>
      </c>
      <c r="F2528" s="4" t="s">
        <v>54</v>
      </c>
      <c r="G2528" s="4" t="s">
        <v>6454</v>
      </c>
      <c r="H2528" s="4" t="s">
        <v>49</v>
      </c>
      <c r="I2528" s="4" t="s">
        <v>6005</v>
      </c>
      <c r="J2528" s="4" t="s">
        <v>78</v>
      </c>
      <c r="K2528" s="5" t="str">
        <f t="shared" si="106"/>
        <v>View Creative</v>
      </c>
      <c r="L2528" s="4" t="s">
        <v>106</v>
      </c>
      <c r="M2528" s="4" t="s">
        <v>5965</v>
      </c>
      <c r="O2528" s="4" t="s">
        <v>63</v>
      </c>
      <c r="P2528" s="4" t="s">
        <v>64</v>
      </c>
    </row>
    <row r="2529">
      <c r="A2529" s="4" t="s">
        <v>5965</v>
      </c>
      <c r="B2529" s="4" t="s">
        <v>5965</v>
      </c>
      <c r="C2529" s="4">
        <v>918.0</v>
      </c>
      <c r="D2529" s="5" t="str">
        <f>HYPERLINK("https://www.linkedin.com/ad-library/detail/1439397766","Open Ad")</f>
        <v>Open Ad</v>
      </c>
      <c r="E2529" s="4" t="s">
        <v>121</v>
      </c>
      <c r="F2529" s="4" t="s">
        <v>54</v>
      </c>
      <c r="G2529" s="4" t="s">
        <v>6455</v>
      </c>
      <c r="H2529" s="4" t="s">
        <v>49</v>
      </c>
      <c r="I2529" s="4" t="s">
        <v>6005</v>
      </c>
      <c r="J2529" s="4" t="s">
        <v>121</v>
      </c>
      <c r="K2529" s="5" t="str">
        <f>HYPERLINK("https://dms.licdn.com/playlist/vid/v2/D4E10AQFn3UN8urlGNQ/mp4-360p-30fp-crf28/B4EZ6tf89LJkBg-/0/1781027303599?e=2147483647&amp;v=beta&amp;t=5sK55KyVYIrcQ1J65nEKwxwyj-MRHGWeoOxWZOtI2B0","View Creative")</f>
        <v>View Creative</v>
      </c>
      <c r="L2529" s="4" t="s">
        <v>106</v>
      </c>
      <c r="M2529" s="4" t="s">
        <v>5965</v>
      </c>
      <c r="O2529" s="4" t="s">
        <v>63</v>
      </c>
      <c r="P2529" s="4" t="s">
        <v>64</v>
      </c>
    </row>
    <row r="2530">
      <c r="A2530" s="4" t="s">
        <v>5965</v>
      </c>
      <c r="B2530" s="4" t="s">
        <v>5965</v>
      </c>
      <c r="C2530" s="4">
        <v>919.0</v>
      </c>
      <c r="D2530" s="5" t="str">
        <f>HYPERLINK("https://www.linkedin.com/ad-library/detail/1438021716","Open Ad")</f>
        <v>Open Ad</v>
      </c>
      <c r="E2530" s="4" t="s">
        <v>78</v>
      </c>
      <c r="F2530" s="4" t="s">
        <v>54</v>
      </c>
      <c r="G2530" s="4" t="s">
        <v>6454</v>
      </c>
      <c r="H2530" s="4" t="s">
        <v>49</v>
      </c>
      <c r="I2530" s="4" t="s">
        <v>6005</v>
      </c>
      <c r="J2530" s="4" t="s">
        <v>78</v>
      </c>
      <c r="K2530" s="5" t="str">
        <f>HYPERLINK("https://media.licdn.com/dms/image/v2/D4E10AQHxCSrWH4ITrg/image-shrink_1280/B4EZ6ZzfFMKAAc-/0/1780696872116?e=2147483647&amp;v=beta&amp;t=SnZmZr4kWgTLuS0NJpCDMrolqcqn8MAukoVrjpZVTfg","View Creative")</f>
        <v>View Creative</v>
      </c>
      <c r="L2530" s="4" t="s">
        <v>106</v>
      </c>
      <c r="M2530" s="4" t="s">
        <v>5965</v>
      </c>
      <c r="O2530" s="4" t="s">
        <v>63</v>
      </c>
      <c r="P2530" s="4" t="s">
        <v>64</v>
      </c>
    </row>
    <row r="2531">
      <c r="A2531" s="4" t="s">
        <v>5965</v>
      </c>
      <c r="B2531" s="4" t="s">
        <v>5965</v>
      </c>
      <c r="C2531" s="4">
        <v>920.0</v>
      </c>
      <c r="D2531" s="5" t="str">
        <f>HYPERLINK("https://www.linkedin.com/ad-library/detail/1445478224","Open Ad")</f>
        <v>Open Ad</v>
      </c>
      <c r="E2531" s="4" t="s">
        <v>78</v>
      </c>
      <c r="F2531" s="4" t="s">
        <v>54</v>
      </c>
      <c r="G2531" s="4" t="s">
        <v>6456</v>
      </c>
      <c r="H2531" s="4" t="s">
        <v>49</v>
      </c>
      <c r="I2531" s="4" t="s">
        <v>6005</v>
      </c>
      <c r="J2531" s="4" t="s">
        <v>78</v>
      </c>
      <c r="K2531" s="5" t="str">
        <f>HYPERLINK("https://media.licdn.com/dms/image/v2/D4E10AQEcSUFXsoAgQQ/image-shrink_1280/B4EZw03JayIIAc-/0/1770413398027/LinkedAdFeb2026V2jpg?e=2147483647&amp;v=beta&amp;t=-qcEkfKa_Zed6E7-xsaw9v1L6Xoxqy_6nWbWlmeo8zs","View Creative")</f>
        <v>View Creative</v>
      </c>
      <c r="L2531" s="4" t="s">
        <v>106</v>
      </c>
      <c r="M2531" s="4" t="s">
        <v>5965</v>
      </c>
      <c r="O2531" s="4" t="s">
        <v>63</v>
      </c>
      <c r="P2531" s="4" t="s">
        <v>64</v>
      </c>
    </row>
    <row r="2532">
      <c r="A2532" s="4" t="s">
        <v>5965</v>
      </c>
      <c r="B2532" s="4" t="s">
        <v>5965</v>
      </c>
      <c r="C2532" s="4">
        <v>921.0</v>
      </c>
      <c r="D2532" s="5" t="str">
        <f>HYPERLINK("https://www.linkedin.com/ad-library/detail/1437981976","Open Ad")</f>
        <v>Open Ad</v>
      </c>
      <c r="E2532" s="4" t="s">
        <v>78</v>
      </c>
      <c r="F2532" s="4" t="s">
        <v>54</v>
      </c>
      <c r="G2532" s="4" t="s">
        <v>6457</v>
      </c>
      <c r="H2532" s="4" t="s">
        <v>49</v>
      </c>
      <c r="I2532" s="4" t="s">
        <v>6005</v>
      </c>
      <c r="J2532" s="4" t="s">
        <v>78</v>
      </c>
      <c r="K2532" s="5" t="str">
        <f>HYPERLINK("https://media.licdn.com/dms/image/v2/D5610AQEK4TATx-B99A/image-shrink_1280/B56Z6EYCniKwAg-/0/1780337357502?e=2147483647&amp;v=beta&amp;t=OgwqZJb3gRErqrVDoqBCse57giXjEoiOJxi_5ly0GbU","View Creative")</f>
        <v>View Creative</v>
      </c>
      <c r="L2532" s="4" t="s">
        <v>106</v>
      </c>
      <c r="M2532" s="4" t="s">
        <v>5965</v>
      </c>
      <c r="O2532" s="4" t="s">
        <v>63</v>
      </c>
      <c r="P2532" s="4" t="s">
        <v>64</v>
      </c>
    </row>
    <row r="2533">
      <c r="A2533" s="4" t="s">
        <v>5965</v>
      </c>
      <c r="B2533" s="4" t="s">
        <v>5965</v>
      </c>
      <c r="C2533" s="4">
        <v>922.0</v>
      </c>
      <c r="D2533" s="5" t="str">
        <f>HYPERLINK("https://www.linkedin.com/ad-library/detail/1439288696","Open Ad")</f>
        <v>Open Ad</v>
      </c>
      <c r="E2533" s="4" t="s">
        <v>78</v>
      </c>
      <c r="F2533" s="4" t="s">
        <v>54</v>
      </c>
      <c r="G2533" s="4" t="s">
        <v>6453</v>
      </c>
      <c r="H2533" s="4" t="s">
        <v>49</v>
      </c>
      <c r="I2533" s="4" t="s">
        <v>6005</v>
      </c>
      <c r="J2533" s="4" t="s">
        <v>78</v>
      </c>
      <c r="K2533" s="5" t="str">
        <f t="shared" ref="K2533:K2534" si="107">HYPERLINK("https://media.licdn.com/dms/image/v2/D4E22AQEbAoX2KRknuA/feedshare-shrink_1280/B4EZ6uK8KjJUAM-/0/1781038564506?e=2147483647&amp;v=beta&amp;t=6hUGj1oFdHEd7aeD_hrh3Ay3bVYwKQvqbHrOZ0yUBFQ","View Creative")</f>
        <v>View Creative</v>
      </c>
      <c r="L2533" s="4" t="s">
        <v>106</v>
      </c>
      <c r="M2533" s="4" t="s">
        <v>5965</v>
      </c>
      <c r="O2533" s="4" t="s">
        <v>63</v>
      </c>
      <c r="P2533" s="4" t="s">
        <v>64</v>
      </c>
    </row>
    <row r="2534">
      <c r="A2534" s="4" t="s">
        <v>5965</v>
      </c>
      <c r="B2534" s="4" t="s">
        <v>5965</v>
      </c>
      <c r="C2534" s="4">
        <v>923.0</v>
      </c>
      <c r="D2534" s="5" t="str">
        <f>HYPERLINK("https://www.linkedin.com/ad-library/detail/1439417636","Open Ad")</f>
        <v>Open Ad</v>
      </c>
      <c r="E2534" s="4" t="s">
        <v>78</v>
      </c>
      <c r="F2534" s="4" t="s">
        <v>54</v>
      </c>
      <c r="G2534" s="4" t="s">
        <v>6453</v>
      </c>
      <c r="H2534" s="4" t="s">
        <v>49</v>
      </c>
      <c r="I2534" s="4" t="s">
        <v>6005</v>
      </c>
      <c r="J2534" s="4" t="s">
        <v>78</v>
      </c>
      <c r="K2534" s="5" t="str">
        <f t="shared" si="107"/>
        <v>View Creative</v>
      </c>
      <c r="L2534" s="4" t="s">
        <v>106</v>
      </c>
      <c r="M2534" s="4" t="s">
        <v>5965</v>
      </c>
      <c r="O2534" s="4" t="s">
        <v>63</v>
      </c>
      <c r="P2534" s="4" t="s">
        <v>64</v>
      </c>
    </row>
    <row r="2535">
      <c r="A2535" s="4" t="s">
        <v>5965</v>
      </c>
      <c r="B2535" s="4" t="s">
        <v>5965</v>
      </c>
      <c r="C2535" s="4">
        <v>924.0</v>
      </c>
      <c r="D2535" s="5" t="str">
        <f>HYPERLINK("https://www.linkedin.com/ad-library/detail/1445549974","Open Ad")</f>
        <v>Open Ad</v>
      </c>
      <c r="E2535" s="4" t="s">
        <v>78</v>
      </c>
      <c r="F2535" s="4" t="s">
        <v>54</v>
      </c>
      <c r="G2535" s="4" t="s">
        <v>6458</v>
      </c>
      <c r="H2535" s="4" t="s">
        <v>49</v>
      </c>
      <c r="I2535" s="4" t="s">
        <v>6005</v>
      </c>
      <c r="J2535" s="4" t="s">
        <v>78</v>
      </c>
      <c r="K2535" s="5" t="str">
        <f>HYPERLINK("https://media.licdn.com/dms/image/v2/D4E10AQGFNQod3_uzbw/image_627_1200/B4DZwmN._pIAAg-/0/1770167726234/LinkedInAdFeb2026jpg?e=2147483647&amp;v=beta&amp;t=43kHJ9rU3AQbInWsIIeEMoUoZKR1eKKl1nAWIAbmCVo","View Creative")</f>
        <v>View Creative</v>
      </c>
      <c r="L2535" s="4" t="s">
        <v>106</v>
      </c>
      <c r="M2535" s="4" t="s">
        <v>5965</v>
      </c>
      <c r="O2535" s="4" t="s">
        <v>63</v>
      </c>
      <c r="P2535" s="4" t="s">
        <v>64</v>
      </c>
    </row>
    <row r="2536">
      <c r="A2536" s="4" t="s">
        <v>5965</v>
      </c>
      <c r="B2536" s="4" t="s">
        <v>5965</v>
      </c>
      <c r="C2536" s="4">
        <v>925.0</v>
      </c>
      <c r="D2536" s="5" t="str">
        <f>HYPERLINK("https://www.linkedin.com/ad-library/detail/1439387806","Open Ad")</f>
        <v>Open Ad</v>
      </c>
      <c r="E2536" s="4" t="s">
        <v>78</v>
      </c>
      <c r="F2536" s="4" t="s">
        <v>54</v>
      </c>
      <c r="G2536" s="4" t="s">
        <v>6453</v>
      </c>
      <c r="H2536" s="4" t="s">
        <v>49</v>
      </c>
      <c r="I2536" s="4" t="s">
        <v>6005</v>
      </c>
      <c r="J2536" s="4" t="s">
        <v>78</v>
      </c>
      <c r="K2536" s="5" t="str">
        <f t="shared" ref="K2536:K2538" si="108">HYPERLINK("https://media.licdn.com/dms/image/v2/D4E22AQEbAoX2KRknuA/feedshare-shrink_1280/B4EZ6uK8KjJUAM-/0/1781038564506?e=2147483647&amp;v=beta&amp;t=6hUGj1oFdHEd7aeD_hrh3Ay3bVYwKQvqbHrOZ0yUBFQ","View Creative")</f>
        <v>View Creative</v>
      </c>
      <c r="L2536" s="4" t="s">
        <v>106</v>
      </c>
      <c r="M2536" s="4" t="s">
        <v>5965</v>
      </c>
      <c r="O2536" s="4" t="s">
        <v>63</v>
      </c>
      <c r="P2536" s="4" t="s">
        <v>64</v>
      </c>
    </row>
    <row r="2537">
      <c r="A2537" s="4" t="s">
        <v>5965</v>
      </c>
      <c r="B2537" s="4" t="s">
        <v>5965</v>
      </c>
      <c r="C2537" s="4">
        <v>926.0</v>
      </c>
      <c r="D2537" s="5" t="str">
        <f>HYPERLINK("https://www.linkedin.com/ad-library/detail/1439490656","Open Ad")</f>
        <v>Open Ad</v>
      </c>
      <c r="E2537" s="4" t="s">
        <v>78</v>
      </c>
      <c r="F2537" s="4" t="s">
        <v>54</v>
      </c>
      <c r="G2537" s="4" t="s">
        <v>6453</v>
      </c>
      <c r="H2537" s="4" t="s">
        <v>49</v>
      </c>
      <c r="I2537" s="4" t="s">
        <v>6005</v>
      </c>
      <c r="J2537" s="4" t="s">
        <v>78</v>
      </c>
      <c r="K2537" s="5" t="str">
        <f t="shared" si="108"/>
        <v>View Creative</v>
      </c>
      <c r="L2537" s="4" t="s">
        <v>106</v>
      </c>
      <c r="M2537" s="4" t="s">
        <v>5965</v>
      </c>
      <c r="O2537" s="4" t="s">
        <v>63</v>
      </c>
      <c r="P2537" s="4" t="s">
        <v>64</v>
      </c>
    </row>
    <row r="2538">
      <c r="A2538" s="4" t="s">
        <v>5965</v>
      </c>
      <c r="B2538" s="4" t="s">
        <v>5965</v>
      </c>
      <c r="C2538" s="4">
        <v>927.0</v>
      </c>
      <c r="D2538" s="5" t="str">
        <f>HYPERLINK("https://www.linkedin.com/ad-library/detail/1439358186","Open Ad")</f>
        <v>Open Ad</v>
      </c>
      <c r="E2538" s="4" t="s">
        <v>78</v>
      </c>
      <c r="F2538" s="4" t="s">
        <v>54</v>
      </c>
      <c r="G2538" s="4" t="s">
        <v>6453</v>
      </c>
      <c r="H2538" s="4" t="s">
        <v>49</v>
      </c>
      <c r="I2538" s="4" t="s">
        <v>6005</v>
      </c>
      <c r="J2538" s="4" t="s">
        <v>78</v>
      </c>
      <c r="K2538" s="5" t="str">
        <f t="shared" si="108"/>
        <v>View Creative</v>
      </c>
      <c r="L2538" s="4" t="s">
        <v>106</v>
      </c>
      <c r="M2538" s="4" t="s">
        <v>5965</v>
      </c>
      <c r="O2538" s="4" t="s">
        <v>63</v>
      </c>
      <c r="P2538" s="4" t="s">
        <v>64</v>
      </c>
    </row>
    <row r="2539">
      <c r="A2539" s="4" t="s">
        <v>5965</v>
      </c>
      <c r="B2539" s="4" t="s">
        <v>5965</v>
      </c>
      <c r="C2539" s="4">
        <v>928.0</v>
      </c>
      <c r="D2539" s="5" t="str">
        <f>HYPERLINK("https://www.linkedin.com/ad-library/detail/1439288676","Open Ad")</f>
        <v>Open Ad</v>
      </c>
      <c r="E2539" s="4" t="s">
        <v>78</v>
      </c>
      <c r="F2539" s="4" t="s">
        <v>54</v>
      </c>
      <c r="G2539" s="4" t="s">
        <v>6459</v>
      </c>
      <c r="H2539" s="4" t="s">
        <v>49</v>
      </c>
      <c r="I2539" s="4" t="s">
        <v>6005</v>
      </c>
      <c r="J2539" s="4" t="s">
        <v>78</v>
      </c>
      <c r="K2539" s="5" t="str">
        <f>HYPERLINK("https://media.licdn.com/dms/image/v2/D4E22AQEGgchNJmgx-g/feedshare-image-high-res/B4EZ6uaI2lIkAU-/0/1781042557971?e=2147483647&amp;v=beta&amp;t=4BBDv5D-iEA9iXyOO5c2CxJdBilWdOSjbOnbWbgXO-Q","View Creative")</f>
        <v>View Creative</v>
      </c>
      <c r="L2539" s="4" t="s">
        <v>106</v>
      </c>
      <c r="M2539" s="4" t="s">
        <v>5965</v>
      </c>
      <c r="O2539" s="4" t="s">
        <v>63</v>
      </c>
      <c r="P2539" s="4" t="s">
        <v>64</v>
      </c>
    </row>
    <row r="2540">
      <c r="A2540" s="4" t="s">
        <v>5965</v>
      </c>
      <c r="B2540" s="4" t="s">
        <v>5965</v>
      </c>
      <c r="C2540" s="4">
        <v>929.0</v>
      </c>
      <c r="D2540" s="5" t="str">
        <f>HYPERLINK("https://www.linkedin.com/ad-library/detail/1445501194","Open Ad")</f>
        <v>Open Ad</v>
      </c>
      <c r="E2540" s="4" t="s">
        <v>78</v>
      </c>
      <c r="F2540" s="4" t="s">
        <v>54</v>
      </c>
      <c r="G2540" s="4" t="s">
        <v>6460</v>
      </c>
      <c r="H2540" s="4" t="s">
        <v>49</v>
      </c>
      <c r="I2540" s="4" t="s">
        <v>6005</v>
      </c>
      <c r="J2540" s="4" t="s">
        <v>78</v>
      </c>
      <c r="K2540" s="5" t="str">
        <f>HYPERLINK("https://media.licdn.com/dms/image/v2/D4E10AQEcSUFXsoAgQQ/image-shrink_1280/B4EZw03JayIIAc-/0/1770413398027/LinkedAdFeb2026V2jpg?e=2147483647&amp;v=beta&amp;t=-qcEkfKa_Zed6E7-xsaw9v1L6Xoxqy_6nWbWlmeo8zs","View Creative")</f>
        <v>View Creative</v>
      </c>
      <c r="L2540" s="4" t="s">
        <v>106</v>
      </c>
      <c r="M2540" s="4" t="s">
        <v>5965</v>
      </c>
      <c r="O2540" s="4" t="s">
        <v>63</v>
      </c>
      <c r="P2540" s="4" t="s">
        <v>64</v>
      </c>
    </row>
    <row r="2541">
      <c r="A2541" s="4" t="s">
        <v>5965</v>
      </c>
      <c r="B2541" s="4" t="s">
        <v>5965</v>
      </c>
      <c r="C2541" s="4">
        <v>930.0</v>
      </c>
      <c r="D2541" s="5" t="str">
        <f>HYPERLINK("https://www.linkedin.com/ad-library/detail/1439490606","Open Ad")</f>
        <v>Open Ad</v>
      </c>
      <c r="E2541" s="4" t="s">
        <v>78</v>
      </c>
      <c r="F2541" s="4" t="s">
        <v>54</v>
      </c>
      <c r="G2541" s="4" t="s">
        <v>6454</v>
      </c>
      <c r="H2541" s="4" t="s">
        <v>49</v>
      </c>
      <c r="I2541" s="4" t="s">
        <v>6005</v>
      </c>
      <c r="J2541" s="4" t="s">
        <v>78</v>
      </c>
      <c r="K2541" s="5" t="str">
        <f>HYPERLINK("https://media.licdn.com/dms/image/v2/D4E10AQHxCSrWH4ITrg/image-shrink_1280/B4EZ6ZzfFMKAAc-/0/1780696872116?e=2147483647&amp;v=beta&amp;t=SnZmZr4kWgTLuS0NJpCDMrolqcqn8MAukoVrjpZVTfg","View Creative")</f>
        <v>View Creative</v>
      </c>
      <c r="L2541" s="4" t="s">
        <v>106</v>
      </c>
      <c r="M2541" s="4" t="s">
        <v>5965</v>
      </c>
      <c r="O2541" s="4" t="s">
        <v>63</v>
      </c>
      <c r="P2541" s="4" t="s">
        <v>64</v>
      </c>
    </row>
    <row r="2542">
      <c r="A2542" s="4" t="s">
        <v>5965</v>
      </c>
      <c r="B2542" s="4" t="s">
        <v>5965</v>
      </c>
      <c r="C2542" s="4">
        <v>931.0</v>
      </c>
      <c r="D2542" s="5" t="str">
        <f>HYPERLINK("https://www.linkedin.com/ad-library/detail/1445530154","Open Ad")</f>
        <v>Open Ad</v>
      </c>
      <c r="E2542" s="4" t="s">
        <v>78</v>
      </c>
      <c r="F2542" s="4" t="s">
        <v>54</v>
      </c>
      <c r="G2542" s="4" t="s">
        <v>6461</v>
      </c>
      <c r="H2542" s="4" t="s">
        <v>49</v>
      </c>
      <c r="I2542" s="4" t="s">
        <v>6005</v>
      </c>
      <c r="J2542" s="4" t="s">
        <v>78</v>
      </c>
      <c r="K2542" s="5" t="str">
        <f>HYPERLINK("https://media.licdn.com/dms/image/v2/D4E10AQFQTUKHZ_HQwg/image_627_1200/B56ZpweHV7I8Ac-/0/1762823534050/YourImpactProject-LIad112025jpg?e=2147483647&amp;v=beta&amp;t=JKo_nVyRsiwFMtjuKuMdT7b7dHZrBFAiG65iHpfiTGg","View Creative")</f>
        <v>View Creative</v>
      </c>
      <c r="L2542" s="4" t="s">
        <v>106</v>
      </c>
      <c r="M2542" s="4" t="s">
        <v>5965</v>
      </c>
      <c r="O2542" s="4" t="s">
        <v>63</v>
      </c>
      <c r="P2542" s="4" t="s">
        <v>64</v>
      </c>
    </row>
    <row r="2543">
      <c r="A2543" s="4" t="s">
        <v>5965</v>
      </c>
      <c r="B2543" s="4" t="s">
        <v>5965</v>
      </c>
      <c r="C2543" s="4">
        <v>932.0</v>
      </c>
      <c r="D2543" s="5" t="str">
        <f>HYPERLINK("https://www.linkedin.com/ad-library/detail/1445339454","Open Ad")</f>
        <v>Open Ad</v>
      </c>
      <c r="E2543" s="4" t="s">
        <v>78</v>
      </c>
      <c r="F2543" s="4" t="s">
        <v>54</v>
      </c>
      <c r="G2543" s="4" t="s">
        <v>6462</v>
      </c>
      <c r="H2543" s="4" t="s">
        <v>49</v>
      </c>
      <c r="I2543" s="4" t="s">
        <v>6005</v>
      </c>
      <c r="J2543" s="4" t="s">
        <v>78</v>
      </c>
      <c r="K2543" s="5" t="str">
        <f>HYPERLINK("https://media.licdn.com/dms/image/v2/D4E10AQGFNQod3_uzbw/image_627_1200/B4DZwmN._pIAAg-/0/1770167726234/LinkedInAdFeb2026jpg?e=2147483647&amp;v=beta&amp;t=43kHJ9rU3AQbInWsIIeEMoUoZKR1eKKl1nAWIAbmCVo","View Creative")</f>
        <v>View Creative</v>
      </c>
      <c r="L2543" s="4" t="s">
        <v>106</v>
      </c>
      <c r="M2543" s="4" t="s">
        <v>5965</v>
      </c>
      <c r="O2543" s="4" t="s">
        <v>63</v>
      </c>
      <c r="P2543" s="4" t="s">
        <v>64</v>
      </c>
    </row>
    <row r="2544">
      <c r="A2544" s="4" t="s">
        <v>5965</v>
      </c>
      <c r="B2544" s="4" t="s">
        <v>5965</v>
      </c>
      <c r="C2544" s="4">
        <v>933.0</v>
      </c>
      <c r="D2544" s="5" t="str">
        <f>HYPERLINK("https://www.linkedin.com/ad-library/detail/1439259016","Open Ad")</f>
        <v>Open Ad</v>
      </c>
      <c r="E2544" s="4" t="s">
        <v>78</v>
      </c>
      <c r="F2544" s="4" t="s">
        <v>54</v>
      </c>
      <c r="G2544" s="4" t="s">
        <v>6454</v>
      </c>
      <c r="H2544" s="4" t="s">
        <v>49</v>
      </c>
      <c r="I2544" s="4" t="s">
        <v>5998</v>
      </c>
      <c r="J2544" s="4" t="s">
        <v>78</v>
      </c>
      <c r="K2544" s="5" t="str">
        <f>HYPERLINK("https://media.licdn.com/dms/image/v2/D4E10AQHxCSrWH4ITrg/image-shrink_1280/B4EZ6ZzfFMKAAc-/0/1780696872116?e=2147483647&amp;v=beta&amp;t=SnZmZr4kWgTLuS0NJpCDMrolqcqn8MAukoVrjpZVTfg","View Creative")</f>
        <v>View Creative</v>
      </c>
      <c r="L2544" s="4" t="s">
        <v>106</v>
      </c>
      <c r="M2544" s="4" t="s">
        <v>5965</v>
      </c>
      <c r="O2544" s="4" t="s">
        <v>74</v>
      </c>
      <c r="P2544" s="4" t="s">
        <v>6463</v>
      </c>
    </row>
    <row r="2545">
      <c r="A2545" s="4" t="s">
        <v>5965</v>
      </c>
      <c r="B2545" s="4" t="s">
        <v>5965</v>
      </c>
      <c r="C2545" s="4">
        <v>934.0</v>
      </c>
      <c r="D2545" s="5" t="str">
        <f>HYPERLINK("https://www.linkedin.com/ad-library/detail/1439480866","Open Ad")</f>
        <v>Open Ad</v>
      </c>
      <c r="E2545" s="4" t="s">
        <v>78</v>
      </c>
      <c r="F2545" s="4" t="s">
        <v>54</v>
      </c>
      <c r="G2545" s="4" t="s">
        <v>6453</v>
      </c>
      <c r="H2545" s="4" t="s">
        <v>49</v>
      </c>
      <c r="I2545" s="4" t="s">
        <v>6005</v>
      </c>
      <c r="J2545" s="4" t="s">
        <v>78</v>
      </c>
      <c r="K2545" s="5" t="str">
        <f>HYPERLINK("https://media.licdn.com/dms/image/v2/D4E22AQEbAoX2KRknuA/feedshare-shrink_1280/B4EZ6uK8KjJUAM-/0/1781038564506?e=2147483647&amp;v=beta&amp;t=6hUGj1oFdHEd7aeD_hrh3Ay3bVYwKQvqbHrOZ0yUBFQ","View Creative")</f>
        <v>View Creative</v>
      </c>
      <c r="L2545" s="4" t="s">
        <v>106</v>
      </c>
      <c r="M2545" s="4" t="s">
        <v>5965</v>
      </c>
      <c r="O2545" s="4" t="s">
        <v>63</v>
      </c>
      <c r="P2545" s="4" t="s">
        <v>64</v>
      </c>
    </row>
    <row r="2546">
      <c r="A2546" s="4" t="s">
        <v>5965</v>
      </c>
      <c r="B2546" s="4" t="s">
        <v>5965</v>
      </c>
      <c r="C2546" s="4">
        <v>935.0</v>
      </c>
      <c r="D2546" s="5" t="str">
        <f>HYPERLINK("https://www.linkedin.com/ad-library/detail/1438210166","Open Ad")</f>
        <v>Open Ad</v>
      </c>
      <c r="E2546" s="4" t="s">
        <v>78</v>
      </c>
      <c r="F2546" s="4" t="s">
        <v>54</v>
      </c>
      <c r="G2546" s="4" t="s">
        <v>6464</v>
      </c>
      <c r="H2546" s="4" t="s">
        <v>49</v>
      </c>
      <c r="I2546" s="4" t="s">
        <v>6005</v>
      </c>
      <c r="J2546" s="4" t="s">
        <v>78</v>
      </c>
      <c r="K2546" s="5" t="str">
        <f>HYPERLINK("https://media.licdn.com/dms/image/v2/D4E22AQH6gcTJwfWlKA/feedshare-image-high-res/B4EZ6QcWD5HkAU-/0/1780539813884?e=2147483647&amp;v=beta&amp;t=zzCjoyXUSA0k289LQFvZeJXQarmL5GghDH871a-b6aM","View Creative")</f>
        <v>View Creative</v>
      </c>
      <c r="L2546" s="4" t="s">
        <v>106</v>
      </c>
      <c r="M2546" s="4" t="s">
        <v>5965</v>
      </c>
      <c r="O2546" s="4" t="s">
        <v>63</v>
      </c>
      <c r="P2546" s="4" t="s">
        <v>64</v>
      </c>
    </row>
    <row r="2547">
      <c r="A2547" s="4" t="s">
        <v>5965</v>
      </c>
      <c r="B2547" s="4" t="s">
        <v>5965</v>
      </c>
      <c r="C2547" s="4">
        <v>936.0</v>
      </c>
      <c r="D2547" s="5" t="str">
        <f>HYPERLINK("https://www.linkedin.com/ad-library/detail/1438121006","Open Ad")</f>
        <v>Open Ad</v>
      </c>
      <c r="E2547" s="4" t="s">
        <v>78</v>
      </c>
      <c r="F2547" s="4" t="s">
        <v>54</v>
      </c>
      <c r="G2547" s="4" t="s">
        <v>6465</v>
      </c>
      <c r="H2547" s="4" t="s">
        <v>49</v>
      </c>
      <c r="I2547" s="4" t="s">
        <v>6005</v>
      </c>
      <c r="J2547" s="4" t="s">
        <v>78</v>
      </c>
      <c r="K2547" s="5" t="str">
        <f>HYPERLINK("https://media.licdn.com/dms/image/v2/D4E10AQEVo0TlWmRQbA/image-shrink_1280/B4EZ6UT9sfIwAc-/0/1780604722481?e=2147483647&amp;v=beta&amp;t=eXQMbgCWI-PArDhIcoPtu-Coj31U-YFyQsdEtDf4UMI","View Creative")</f>
        <v>View Creative</v>
      </c>
      <c r="L2547" s="4" t="s">
        <v>106</v>
      </c>
      <c r="M2547" s="4" t="s">
        <v>5965</v>
      </c>
      <c r="O2547" s="4" t="s">
        <v>63</v>
      </c>
      <c r="P2547" s="4" t="s">
        <v>64</v>
      </c>
    </row>
    <row r="2548">
      <c r="A2548" s="4" t="s">
        <v>5965</v>
      </c>
      <c r="B2548" s="4" t="s">
        <v>5965</v>
      </c>
      <c r="C2548" s="4">
        <v>937.0</v>
      </c>
      <c r="D2548" s="5" t="str">
        <f>HYPERLINK("https://www.linkedin.com/ad-library/detail/1434040306","Open Ad")</f>
        <v>Open Ad</v>
      </c>
      <c r="E2548" s="4" t="s">
        <v>78</v>
      </c>
      <c r="F2548" s="4" t="s">
        <v>54</v>
      </c>
      <c r="G2548" s="4" t="s">
        <v>6270</v>
      </c>
      <c r="H2548" s="4" t="s">
        <v>49</v>
      </c>
      <c r="I2548" s="4" t="s">
        <v>6005</v>
      </c>
      <c r="J2548" s="4" t="s">
        <v>78</v>
      </c>
      <c r="K2548" s="5" t="str">
        <f>HYPERLINK("https://media.licdn.com/dms/image/v2/D5610AQERUevwH6cWPA/image-shrink_1280/B56Z6AaLIUKkAc-/0/1780270805756/Ad211png?e=2147483647&amp;v=beta&amp;t=EU-zb0V4Qt9I9Pmof6TxqYfN8i31tA-XtbaSSkHtjdY","View Creative")</f>
        <v>View Creative</v>
      </c>
      <c r="L2548" s="4" t="s">
        <v>106</v>
      </c>
      <c r="M2548" s="4" t="s">
        <v>5965</v>
      </c>
      <c r="O2548" s="4" t="s">
        <v>63</v>
      </c>
      <c r="P2548" s="4" t="s">
        <v>64</v>
      </c>
    </row>
    <row r="2549">
      <c r="A2549" s="4" t="s">
        <v>5965</v>
      </c>
      <c r="B2549" s="4" t="s">
        <v>5965</v>
      </c>
      <c r="C2549" s="4">
        <v>938.0</v>
      </c>
      <c r="D2549" s="5" t="str">
        <f>HYPERLINK("https://www.linkedin.com/ad-library/detail/1434040406","Open Ad")</f>
        <v>Open Ad</v>
      </c>
      <c r="E2549" s="4" t="s">
        <v>78</v>
      </c>
      <c r="F2549" s="4" t="s">
        <v>54</v>
      </c>
      <c r="G2549" s="4" t="s">
        <v>6466</v>
      </c>
      <c r="H2549" s="4" t="s">
        <v>49</v>
      </c>
      <c r="I2549" s="4" t="s">
        <v>6005</v>
      </c>
      <c r="J2549" s="4" t="s">
        <v>78</v>
      </c>
      <c r="K2549" s="4" t="s">
        <v>59</v>
      </c>
      <c r="L2549" s="4" t="s">
        <v>106</v>
      </c>
      <c r="M2549" s="4" t="s">
        <v>5965</v>
      </c>
      <c r="O2549" s="4" t="s">
        <v>63</v>
      </c>
      <c r="P2549" s="4" t="s">
        <v>64</v>
      </c>
    </row>
    <row r="2550">
      <c r="A2550" s="4" t="s">
        <v>5965</v>
      </c>
      <c r="B2550" s="4" t="s">
        <v>5965</v>
      </c>
      <c r="C2550" s="4">
        <v>939.0</v>
      </c>
      <c r="D2550" s="5" t="str">
        <f>HYPERLINK("https://www.linkedin.com/ad-library/detail/1433528136","Open Ad")</f>
        <v>Open Ad</v>
      </c>
      <c r="E2550" s="4" t="s">
        <v>121</v>
      </c>
      <c r="F2550" s="4" t="s">
        <v>54</v>
      </c>
      <c r="G2550" s="4" t="s">
        <v>6467</v>
      </c>
      <c r="H2550" s="4" t="s">
        <v>49</v>
      </c>
      <c r="I2550" s="4" t="s">
        <v>6005</v>
      </c>
      <c r="J2550" s="4" t="s">
        <v>121</v>
      </c>
      <c r="K2550" s="5" t="str">
        <f>HYPERLINK("https://dms.licdn.com/playlist/vid/v2/D4E05AQFrJVO0dJCegw/mp4-640p-30fp-crf28/B4EZ6eLpi5GQBk-/0/1780770375121?e=2147483647&amp;v=beta&amp;t=v25VJ1lDTsu3nuMI3dqC-0tN1ADOFVK0BlWSXoq1Af0","View Creative")</f>
        <v>View Creative</v>
      </c>
      <c r="L2550" s="4" t="s">
        <v>106</v>
      </c>
      <c r="M2550" s="4" t="s">
        <v>5965</v>
      </c>
      <c r="O2550" s="4" t="s">
        <v>63</v>
      </c>
      <c r="P2550" s="4" t="s">
        <v>64</v>
      </c>
    </row>
    <row r="2551">
      <c r="A2551" s="4" t="s">
        <v>5965</v>
      </c>
      <c r="B2551" s="4" t="s">
        <v>5965</v>
      </c>
      <c r="C2551" s="4">
        <v>940.0</v>
      </c>
      <c r="D2551" s="5" t="str">
        <f>HYPERLINK("https://www.linkedin.com/ad-library/detail/1433102016","Open Ad")</f>
        <v>Open Ad</v>
      </c>
      <c r="E2551" s="4" t="s">
        <v>78</v>
      </c>
      <c r="F2551" s="4" t="s">
        <v>54</v>
      </c>
      <c r="G2551" s="4" t="s">
        <v>6468</v>
      </c>
      <c r="H2551" s="4" t="s">
        <v>49</v>
      </c>
      <c r="I2551" s="4" t="s">
        <v>6005</v>
      </c>
      <c r="J2551" s="4" t="s">
        <v>78</v>
      </c>
      <c r="K2551" s="5" t="str">
        <f>HYPERLINK("https://media.licdn.com/dms/image/v2/D4E10AQGQJhTM8ldS8g/image-shrink_1280/B4EZ6TLAXHJgAk-/0/1780585598684?e=2147483647&amp;v=beta&amp;t=hPqnRahPUGGQ3ldstYX0_09eunPptlv1sL408R-xyNM","View Creative")</f>
        <v>View Creative</v>
      </c>
      <c r="L2551" s="4" t="s">
        <v>106</v>
      </c>
      <c r="M2551" s="4" t="s">
        <v>5965</v>
      </c>
      <c r="O2551" s="4" t="s">
        <v>63</v>
      </c>
      <c r="P2551" s="4" t="s">
        <v>64</v>
      </c>
    </row>
    <row r="2552">
      <c r="A2552" s="4" t="s">
        <v>5965</v>
      </c>
      <c r="B2552" s="4" t="s">
        <v>5965</v>
      </c>
      <c r="C2552" s="4">
        <v>941.0</v>
      </c>
      <c r="D2552" s="5" t="str">
        <f>HYPERLINK("https://www.linkedin.com/ad-library/detail/1434170156","Open Ad")</f>
        <v>Open Ad</v>
      </c>
      <c r="E2552" s="4" t="s">
        <v>78</v>
      </c>
      <c r="F2552" s="4" t="s">
        <v>54</v>
      </c>
      <c r="G2552" s="4" t="s">
        <v>6270</v>
      </c>
      <c r="H2552" s="4" t="s">
        <v>49</v>
      </c>
      <c r="I2552" s="4" t="s">
        <v>6005</v>
      </c>
      <c r="J2552" s="4" t="s">
        <v>78</v>
      </c>
      <c r="K2552" s="5" t="str">
        <f>HYPERLINK("https://media.licdn.com/dms/image/v2/D5610AQEC6uKodaP14A/image-shrink_1280/B56Z6AaqPKHwAg-/0/1780270933257/Ad201png?e=2147483647&amp;v=beta&amp;t=1A661kGu5AkvtoRboYevKI4nXl-sd3eUIKlZq0ouF78","View Creative")</f>
        <v>View Creative</v>
      </c>
      <c r="L2552" s="4" t="s">
        <v>106</v>
      </c>
      <c r="M2552" s="4" t="s">
        <v>5965</v>
      </c>
      <c r="O2552" s="4" t="s">
        <v>63</v>
      </c>
      <c r="P2552" s="4" t="s">
        <v>64</v>
      </c>
    </row>
    <row r="2553">
      <c r="A2553" s="4" t="s">
        <v>5965</v>
      </c>
      <c r="B2553" s="4" t="s">
        <v>5965</v>
      </c>
      <c r="C2553" s="4">
        <v>942.0</v>
      </c>
      <c r="D2553" s="5" t="str">
        <f>HYPERLINK("https://www.linkedin.com/ad-library/detail/1438140806","Open Ad")</f>
        <v>Open Ad</v>
      </c>
      <c r="E2553" s="4" t="s">
        <v>78</v>
      </c>
      <c r="F2553" s="4" t="s">
        <v>54</v>
      </c>
      <c r="G2553" s="4" t="s">
        <v>6465</v>
      </c>
      <c r="H2553" s="4" t="s">
        <v>49</v>
      </c>
      <c r="I2553" s="4" t="s">
        <v>6005</v>
      </c>
      <c r="J2553" s="4" t="s">
        <v>78</v>
      </c>
      <c r="K2553" s="5" t="str">
        <f>HYPERLINK("https://media.licdn.com/dms/image/v2/D4E10AQEVo0TlWmRQbA/image-shrink_1280/B4EZ6UT9sfIwAc-/0/1780604722481?e=2147483647&amp;v=beta&amp;t=eXQMbgCWI-PArDhIcoPtu-Coj31U-YFyQsdEtDf4UMI","View Creative")</f>
        <v>View Creative</v>
      </c>
      <c r="L2553" s="4" t="s">
        <v>106</v>
      </c>
      <c r="M2553" s="4" t="s">
        <v>5965</v>
      </c>
      <c r="O2553" s="4" t="s">
        <v>63</v>
      </c>
      <c r="P2553" s="4" t="s">
        <v>64</v>
      </c>
    </row>
    <row r="2554">
      <c r="A2554" s="4" t="s">
        <v>5965</v>
      </c>
      <c r="B2554" s="4" t="s">
        <v>5965</v>
      </c>
      <c r="C2554" s="4">
        <v>943.0</v>
      </c>
      <c r="D2554" s="5" t="str">
        <f>HYPERLINK("https://www.linkedin.com/ad-library/detail/1438180486","Open Ad")</f>
        <v>Open Ad</v>
      </c>
      <c r="E2554" s="4" t="s">
        <v>78</v>
      </c>
      <c r="F2554" s="4" t="s">
        <v>54</v>
      </c>
      <c r="G2554" s="4" t="s">
        <v>6454</v>
      </c>
      <c r="H2554" s="4" t="s">
        <v>49</v>
      </c>
      <c r="I2554" s="4" t="s">
        <v>6005</v>
      </c>
      <c r="J2554" s="4" t="s">
        <v>78</v>
      </c>
      <c r="K2554" s="5" t="str">
        <f>HYPERLINK("https://media.licdn.com/dms/image/v2/D4E10AQHxCSrWH4ITrg/image-shrink_1280/B4EZ6ZzfFMKAAc-/0/1780696872116?e=2147483647&amp;v=beta&amp;t=SnZmZr4kWgTLuS0NJpCDMrolqcqn8MAukoVrjpZVTfg","View Creative")</f>
        <v>View Creative</v>
      </c>
      <c r="L2554" s="4" t="s">
        <v>106</v>
      </c>
      <c r="M2554" s="4" t="s">
        <v>5965</v>
      </c>
      <c r="O2554" s="4" t="s">
        <v>63</v>
      </c>
      <c r="P2554" s="4" t="s">
        <v>64</v>
      </c>
    </row>
    <row r="2555">
      <c r="A2555" s="4" t="s">
        <v>5965</v>
      </c>
      <c r="B2555" s="4" t="s">
        <v>5965</v>
      </c>
      <c r="C2555" s="4">
        <v>944.0</v>
      </c>
      <c r="D2555" s="5" t="str">
        <f>HYPERLINK("https://www.linkedin.com/ad-library/detail/1434060496","Open Ad")</f>
        <v>Open Ad</v>
      </c>
      <c r="E2555" s="4" t="s">
        <v>78</v>
      </c>
      <c r="F2555" s="4" t="s">
        <v>54</v>
      </c>
      <c r="G2555" s="4" t="s">
        <v>6469</v>
      </c>
      <c r="H2555" s="4" t="s">
        <v>49</v>
      </c>
      <c r="I2555" s="4" t="s">
        <v>6005</v>
      </c>
      <c r="J2555" s="4" t="s">
        <v>78</v>
      </c>
      <c r="K2555" s="4" t="s">
        <v>59</v>
      </c>
      <c r="L2555" s="4" t="s">
        <v>106</v>
      </c>
      <c r="M2555" s="4" t="s">
        <v>5965</v>
      </c>
      <c r="O2555" s="4" t="s">
        <v>63</v>
      </c>
      <c r="P2555" s="4" t="s">
        <v>64</v>
      </c>
    </row>
    <row r="2556">
      <c r="A2556" s="4" t="s">
        <v>5965</v>
      </c>
      <c r="B2556" s="4" t="s">
        <v>5965</v>
      </c>
      <c r="C2556" s="4">
        <v>945.0</v>
      </c>
      <c r="D2556" s="5" t="str">
        <f>HYPERLINK("https://www.linkedin.com/ad-library/detail/1434090026","Open Ad")</f>
        <v>Open Ad</v>
      </c>
      <c r="E2556" s="4" t="s">
        <v>78</v>
      </c>
      <c r="F2556" s="4" t="s">
        <v>54</v>
      </c>
      <c r="G2556" s="4" t="s">
        <v>6115</v>
      </c>
      <c r="H2556" s="4" t="s">
        <v>49</v>
      </c>
      <c r="I2556" s="4" t="s">
        <v>6005</v>
      </c>
      <c r="J2556" s="4" t="s">
        <v>78</v>
      </c>
      <c r="K2556" s="5" t="str">
        <f>HYPERLINK("https://media.licdn.com/dms/image/v2/D5610AQGMVMBywOZTRA/image-shrink_1280/B56Z3WD4I4GsAc-/0/1777412834072/Ad11png?e=2147483647&amp;v=beta&amp;t=wEwvt57CmhCwh8mjwxDAOwifwJjctZBli8J_4VPqXQ0","View Creative")</f>
        <v>View Creative</v>
      </c>
      <c r="L2556" s="4" t="s">
        <v>106</v>
      </c>
      <c r="M2556" s="4" t="s">
        <v>5965</v>
      </c>
      <c r="O2556" s="4" t="s">
        <v>63</v>
      </c>
      <c r="P2556" s="4" t="s">
        <v>64</v>
      </c>
    </row>
    <row r="2557">
      <c r="A2557" s="4" t="s">
        <v>5965</v>
      </c>
      <c r="B2557" s="4" t="s">
        <v>5965</v>
      </c>
      <c r="C2557" s="4">
        <v>946.0</v>
      </c>
      <c r="D2557" s="5" t="str">
        <f>HYPERLINK("https://www.linkedin.com/ad-library/detail/1433557856","Open Ad")</f>
        <v>Open Ad</v>
      </c>
      <c r="E2557" s="4" t="s">
        <v>121</v>
      </c>
      <c r="F2557" s="4" t="s">
        <v>54</v>
      </c>
      <c r="G2557" s="4" t="s">
        <v>6470</v>
      </c>
      <c r="H2557" s="4" t="s">
        <v>49</v>
      </c>
      <c r="I2557" s="4" t="s">
        <v>6005</v>
      </c>
      <c r="J2557" s="4" t="s">
        <v>121</v>
      </c>
      <c r="K2557" s="5" t="str">
        <f>HYPERLINK("https://dms.licdn.com/playlist/vid/v2/D4E05AQGQE2ul9M2SWQ/mp4-640p-30fp-crf28/B4EZ6dfBTRHABk-/0/1780758621521?e=2147483647&amp;v=beta&amp;t=fG8UULiK8qWue9Sx6GvOPbhx29G9ePRezvL-3DiCEhk","View Creative")</f>
        <v>View Creative</v>
      </c>
      <c r="L2557" s="4" t="s">
        <v>106</v>
      </c>
      <c r="M2557" s="4" t="s">
        <v>5965</v>
      </c>
      <c r="O2557" s="4" t="s">
        <v>63</v>
      </c>
      <c r="P2557" s="4" t="s">
        <v>64</v>
      </c>
    </row>
    <row r="2558">
      <c r="A2558" s="4" t="s">
        <v>5965</v>
      </c>
      <c r="B2558" s="4" t="s">
        <v>5965</v>
      </c>
      <c r="C2558" s="4">
        <v>947.0</v>
      </c>
      <c r="D2558" s="5" t="str">
        <f>HYPERLINK("https://www.linkedin.com/ad-library/detail/1438071086","Open Ad")</f>
        <v>Open Ad</v>
      </c>
      <c r="E2558" s="4" t="s">
        <v>78</v>
      </c>
      <c r="F2558" s="4" t="s">
        <v>54</v>
      </c>
      <c r="G2558" s="4" t="s">
        <v>6468</v>
      </c>
      <c r="H2558" s="4" t="s">
        <v>49</v>
      </c>
      <c r="I2558" s="4" t="s">
        <v>6005</v>
      </c>
      <c r="J2558" s="4" t="s">
        <v>78</v>
      </c>
      <c r="K2558" s="5" t="str">
        <f>HYPERLINK("https://media.licdn.com/dms/image/v2/D4E10AQGQJhTM8ldS8g/image-shrink_1280/B4EZ6TLAXHJgAk-/0/1780585598684?e=2147483647&amp;v=beta&amp;t=hPqnRahPUGGQ3ldstYX0_09eunPptlv1sL408R-xyNM","View Creative")</f>
        <v>View Creative</v>
      </c>
      <c r="L2558" s="4" t="s">
        <v>106</v>
      </c>
      <c r="M2558" s="4" t="s">
        <v>5965</v>
      </c>
      <c r="O2558" s="4" t="s">
        <v>63</v>
      </c>
      <c r="P2558" s="4" t="s">
        <v>64</v>
      </c>
    </row>
    <row r="2559">
      <c r="A2559" s="4" t="s">
        <v>5965</v>
      </c>
      <c r="B2559" s="4" t="s">
        <v>5965</v>
      </c>
      <c r="C2559" s="4">
        <v>948.0</v>
      </c>
      <c r="D2559" s="5" t="str">
        <f>HYPERLINK("https://www.linkedin.com/ad-library/detail/1434020016","Open Ad")</f>
        <v>Open Ad</v>
      </c>
      <c r="E2559" s="4" t="s">
        <v>78</v>
      </c>
      <c r="F2559" s="4" t="s">
        <v>54</v>
      </c>
      <c r="G2559" s="4" t="s">
        <v>6115</v>
      </c>
      <c r="H2559" s="4" t="s">
        <v>49</v>
      </c>
      <c r="I2559" s="4" t="s">
        <v>6005</v>
      </c>
      <c r="J2559" s="4" t="s">
        <v>78</v>
      </c>
      <c r="K2559" s="5" t="str">
        <f>HYPERLINK("https://media.licdn.com/dms/image/v2/D5610AQHboNfHfdoMGg/image-shrink_1280/B56Z39lJVLH4Ag-/0/1778075866691/Ad13png?e=2147483647&amp;v=beta&amp;t=w47eH2aNcVt5nGxpOUSqt9WGlOcn-OqTBTg2vMGSkLA","View Creative")</f>
        <v>View Creative</v>
      </c>
      <c r="L2559" s="4" t="s">
        <v>106</v>
      </c>
      <c r="M2559" s="4" t="s">
        <v>5965</v>
      </c>
      <c r="O2559" s="4" t="s">
        <v>63</v>
      </c>
      <c r="P2559" s="4" t="s">
        <v>64</v>
      </c>
    </row>
    <row r="2560">
      <c r="A2560" s="4" t="s">
        <v>5965</v>
      </c>
      <c r="B2560" s="4" t="s">
        <v>5965</v>
      </c>
      <c r="C2560" s="4">
        <v>949.0</v>
      </c>
      <c r="D2560" s="5" t="str">
        <f>HYPERLINK("https://www.linkedin.com/ad-library/detail/1433947096","Open Ad")</f>
        <v>Open Ad</v>
      </c>
      <c r="E2560" s="4" t="s">
        <v>121</v>
      </c>
      <c r="F2560" s="4" t="s">
        <v>54</v>
      </c>
      <c r="G2560" s="4" t="s">
        <v>6471</v>
      </c>
      <c r="H2560" s="4" t="s">
        <v>49</v>
      </c>
      <c r="I2560" s="4" t="s">
        <v>6005</v>
      </c>
      <c r="J2560" s="4" t="s">
        <v>121</v>
      </c>
      <c r="K2560" s="5" t="str">
        <f>HYPERLINK("https://dms.licdn.com/playlist/vid/v2/D5610AQExSClRgrt9LA/mp4-720p-30fp-crf28/B56Z6nv1.BLACE-/0/1780930800305?e=2147483647&amp;v=beta&amp;t=JTLlfrK4bsbkCpK-eMHpt6ncgmdYOilaq-w2EaBLtdA","View Creative")</f>
        <v>View Creative</v>
      </c>
      <c r="L2560" s="4" t="s">
        <v>106</v>
      </c>
      <c r="M2560" s="4" t="s">
        <v>5965</v>
      </c>
      <c r="O2560" s="4" t="s">
        <v>63</v>
      </c>
      <c r="P2560" s="4" t="s">
        <v>64</v>
      </c>
    </row>
    <row r="2561">
      <c r="A2561" s="4" t="s">
        <v>5965</v>
      </c>
      <c r="B2561" s="4" t="s">
        <v>5965</v>
      </c>
      <c r="C2561" s="4">
        <v>950.0</v>
      </c>
      <c r="D2561" s="5" t="str">
        <f>HYPERLINK("https://www.linkedin.com/ad-library/detail/1433112206","Open Ad")</f>
        <v>Open Ad</v>
      </c>
      <c r="E2561" s="4" t="s">
        <v>78</v>
      </c>
      <c r="F2561" s="4" t="s">
        <v>54</v>
      </c>
      <c r="G2561" s="4" t="s">
        <v>6468</v>
      </c>
      <c r="H2561" s="4" t="s">
        <v>49</v>
      </c>
      <c r="I2561" s="4" t="s">
        <v>6005</v>
      </c>
      <c r="J2561" s="4" t="s">
        <v>78</v>
      </c>
      <c r="K2561" s="5" t="str">
        <f>HYPERLINK("https://media.licdn.com/dms/image/v2/D4E10AQGQJhTM8ldS8g/image-shrink_1280/B4EZ6TLAXHJgAk-/0/1780585598684?e=2147483647&amp;v=beta&amp;t=hPqnRahPUGGQ3ldstYX0_09eunPptlv1sL408R-xyNM","View Creative")</f>
        <v>View Creative</v>
      </c>
      <c r="L2561" s="4" t="s">
        <v>106</v>
      </c>
      <c r="M2561" s="4" t="s">
        <v>5965</v>
      </c>
      <c r="O2561" s="4" t="s">
        <v>63</v>
      </c>
      <c r="P2561" s="4" t="s">
        <v>64</v>
      </c>
    </row>
    <row r="2562">
      <c r="A2562" s="4" t="s">
        <v>5965</v>
      </c>
      <c r="B2562" s="4" t="s">
        <v>5965</v>
      </c>
      <c r="C2562" s="4">
        <v>951.0</v>
      </c>
      <c r="D2562" s="5" t="str">
        <f>HYPERLINK("https://www.linkedin.com/ad-library/detail/1438120966","Open Ad")</f>
        <v>Open Ad</v>
      </c>
      <c r="E2562" s="4" t="s">
        <v>78</v>
      </c>
      <c r="F2562" s="4" t="s">
        <v>54</v>
      </c>
      <c r="G2562" s="4" t="s">
        <v>6464</v>
      </c>
      <c r="H2562" s="4" t="s">
        <v>49</v>
      </c>
      <c r="I2562" s="4" t="s">
        <v>6005</v>
      </c>
      <c r="J2562" s="4" t="s">
        <v>78</v>
      </c>
      <c r="K2562" s="5" t="str">
        <f>HYPERLINK("https://media.licdn.com/dms/image/v2/D4E22AQH6gcTJwfWlKA/feedshare-image-high-res/B4EZ6QcWD5HkAU-/0/1780539813884?e=2147483647&amp;v=beta&amp;t=zzCjoyXUSA0k289LQFvZeJXQarmL5GghDH871a-b6aM","View Creative")</f>
        <v>View Creative</v>
      </c>
      <c r="L2562" s="4" t="s">
        <v>106</v>
      </c>
      <c r="M2562" s="4" t="s">
        <v>5965</v>
      </c>
      <c r="O2562" s="4" t="s">
        <v>63</v>
      </c>
      <c r="P2562" s="4" t="s">
        <v>64</v>
      </c>
    </row>
    <row r="2563">
      <c r="A2563" s="4" t="s">
        <v>5965</v>
      </c>
      <c r="B2563" s="4" t="s">
        <v>5965</v>
      </c>
      <c r="C2563" s="4">
        <v>952.0</v>
      </c>
      <c r="D2563" s="5" t="str">
        <f>HYPERLINK("https://www.linkedin.com/ad-library/detail/1434050436","Open Ad")</f>
        <v>Open Ad</v>
      </c>
      <c r="E2563" s="4" t="s">
        <v>78</v>
      </c>
      <c r="F2563" s="4" t="s">
        <v>54</v>
      </c>
      <c r="G2563" s="4" t="s">
        <v>6472</v>
      </c>
      <c r="H2563" s="4" t="s">
        <v>49</v>
      </c>
      <c r="I2563" s="4" t="s">
        <v>6005</v>
      </c>
      <c r="J2563" s="4" t="s">
        <v>78</v>
      </c>
      <c r="K2563" s="4" t="s">
        <v>59</v>
      </c>
      <c r="L2563" s="4" t="s">
        <v>106</v>
      </c>
      <c r="M2563" s="4" t="s">
        <v>5965</v>
      </c>
      <c r="O2563" s="4" t="s">
        <v>63</v>
      </c>
      <c r="P2563" s="4" t="s">
        <v>64</v>
      </c>
    </row>
    <row r="2564">
      <c r="A2564" s="4" t="s">
        <v>5965</v>
      </c>
      <c r="B2564" s="4" t="s">
        <v>5965</v>
      </c>
      <c r="C2564" s="4">
        <v>953.0</v>
      </c>
      <c r="D2564" s="5" t="str">
        <f>HYPERLINK("https://www.linkedin.com/ad-library/detail/1433950466","Open Ad")</f>
        <v>Open Ad</v>
      </c>
      <c r="E2564" s="4" t="s">
        <v>78</v>
      </c>
      <c r="F2564" s="4" t="s">
        <v>54</v>
      </c>
      <c r="G2564" s="4" t="s">
        <v>6473</v>
      </c>
      <c r="H2564" s="4" t="s">
        <v>49</v>
      </c>
      <c r="I2564" s="4" t="s">
        <v>6005</v>
      </c>
      <c r="J2564" s="4" t="s">
        <v>78</v>
      </c>
      <c r="K2564" s="4" t="s">
        <v>59</v>
      </c>
      <c r="L2564" s="4" t="s">
        <v>106</v>
      </c>
      <c r="M2564" s="4" t="s">
        <v>5965</v>
      </c>
      <c r="O2564" s="4" t="s">
        <v>63</v>
      </c>
      <c r="P2564" s="4" t="s">
        <v>64</v>
      </c>
    </row>
    <row r="2565">
      <c r="A2565" s="4" t="s">
        <v>5965</v>
      </c>
      <c r="B2565" s="4" t="s">
        <v>5965</v>
      </c>
      <c r="C2565" s="4">
        <v>954.0</v>
      </c>
      <c r="D2565" s="5" t="str">
        <f>HYPERLINK("https://www.linkedin.com/ad-library/detail/1433607806","Open Ad")</f>
        <v>Open Ad</v>
      </c>
      <c r="E2565" s="4" t="s">
        <v>121</v>
      </c>
      <c r="F2565" s="4" t="s">
        <v>54</v>
      </c>
      <c r="G2565" s="4" t="s">
        <v>6467</v>
      </c>
      <c r="H2565" s="4" t="s">
        <v>49</v>
      </c>
      <c r="I2565" s="4" t="s">
        <v>6005</v>
      </c>
      <c r="J2565" s="4" t="s">
        <v>121</v>
      </c>
      <c r="K2565" s="5" t="str">
        <f>HYPERLINK("https://dms.licdn.com/playlist/vid/v2/D4E05AQFrJVO0dJCegw/mp4-640p-30fp-crf28/B4EZ6eLpi5GQBk-/0/1780770375121?e=2147483647&amp;v=beta&amp;t=v25VJ1lDTsu3nuMI3dqC-0tN1ADOFVK0BlWSXoq1Af0","View Creative")</f>
        <v>View Creative</v>
      </c>
      <c r="L2565" s="4" t="s">
        <v>106</v>
      </c>
      <c r="M2565" s="4" t="s">
        <v>5965</v>
      </c>
      <c r="O2565" s="4" t="s">
        <v>63</v>
      </c>
      <c r="P2565" s="4" t="s">
        <v>64</v>
      </c>
    </row>
    <row r="2566">
      <c r="A2566" s="4" t="s">
        <v>5965</v>
      </c>
      <c r="B2566" s="4" t="s">
        <v>5965</v>
      </c>
      <c r="C2566" s="4">
        <v>955.0</v>
      </c>
      <c r="D2566" s="5" t="str">
        <f>HYPERLINK("https://www.linkedin.com/ad-library/detail/1433930986","Open Ad")</f>
        <v>Open Ad</v>
      </c>
      <c r="E2566" s="4" t="s">
        <v>78</v>
      </c>
      <c r="F2566" s="4" t="s">
        <v>54</v>
      </c>
      <c r="G2566" s="4" t="s">
        <v>6474</v>
      </c>
      <c r="H2566" s="4" t="s">
        <v>49</v>
      </c>
      <c r="I2566" s="4" t="s">
        <v>6005</v>
      </c>
      <c r="J2566" s="4" t="s">
        <v>78</v>
      </c>
      <c r="K2566" s="4" t="s">
        <v>59</v>
      </c>
      <c r="L2566" s="4" t="s">
        <v>106</v>
      </c>
      <c r="M2566" s="4" t="s">
        <v>5965</v>
      </c>
      <c r="O2566" s="4" t="s">
        <v>63</v>
      </c>
      <c r="P2566" s="4" t="s">
        <v>64</v>
      </c>
    </row>
    <row r="2567">
      <c r="A2567" s="4" t="s">
        <v>5965</v>
      </c>
      <c r="B2567" s="4" t="s">
        <v>5965</v>
      </c>
      <c r="C2567" s="4">
        <v>956.0</v>
      </c>
      <c r="D2567" s="5" t="str">
        <f>HYPERLINK("https://www.linkedin.com/ad-library/detail/1434020276","Open Ad")</f>
        <v>Open Ad</v>
      </c>
      <c r="E2567" s="4" t="s">
        <v>78</v>
      </c>
      <c r="F2567" s="4" t="s">
        <v>54</v>
      </c>
      <c r="G2567" s="4" t="s">
        <v>6115</v>
      </c>
      <c r="H2567" s="4" t="s">
        <v>49</v>
      </c>
      <c r="I2567" s="4" t="s">
        <v>6005</v>
      </c>
      <c r="J2567" s="4" t="s">
        <v>78</v>
      </c>
      <c r="K2567" s="5" t="str">
        <f>HYPERLINK("https://media.licdn.com/dms/image/v2/D5610AQH-q8Kfz-YVbQ/image-shrink_1280/B56Z3WDoOFKgAc-/0/1777412768916/Adpng?e=2147483647&amp;v=beta&amp;t=Lvt6Go03KIs4rRA12hIMu8l80ejL9dzwHdp0rAwmuTM","View Creative")</f>
        <v>View Creative</v>
      </c>
      <c r="L2567" s="4" t="s">
        <v>106</v>
      </c>
      <c r="M2567" s="4" t="s">
        <v>5965</v>
      </c>
      <c r="O2567" s="4" t="s">
        <v>63</v>
      </c>
      <c r="P2567" s="4" t="s">
        <v>64</v>
      </c>
    </row>
    <row r="2568">
      <c r="A2568" s="4" t="s">
        <v>5965</v>
      </c>
      <c r="B2568" s="4" t="s">
        <v>5965</v>
      </c>
      <c r="C2568" s="4">
        <v>957.0</v>
      </c>
      <c r="D2568" s="5" t="str">
        <f>HYPERLINK("https://www.linkedin.com/ad-library/detail/1433161766","Open Ad")</f>
        <v>Open Ad</v>
      </c>
      <c r="E2568" s="4" t="s">
        <v>78</v>
      </c>
      <c r="F2568" s="4" t="s">
        <v>54</v>
      </c>
      <c r="G2568" s="4" t="s">
        <v>6452</v>
      </c>
      <c r="H2568" s="4" t="s">
        <v>49</v>
      </c>
      <c r="I2568" s="4" t="s">
        <v>6005</v>
      </c>
      <c r="J2568" s="4" t="s">
        <v>78</v>
      </c>
      <c r="K2568" s="5" t="str">
        <f>HYPERLINK("https://media.licdn.com/dms/image/v2/D4E10AQGkYBLaXhnL-A/image-shrink_1280/B4EZ6TLwAZHkAc-/0/1780585792816?e=2147483647&amp;v=beta&amp;t=TQ0aeJEpUOG49vXTJVSm5BWrMcWBLNJb45NuxLkA9C4","View Creative")</f>
        <v>View Creative</v>
      </c>
      <c r="L2568" s="4" t="s">
        <v>106</v>
      </c>
      <c r="M2568" s="4" t="s">
        <v>5965</v>
      </c>
      <c r="O2568" s="4" t="s">
        <v>63</v>
      </c>
      <c r="P2568" s="4" t="s">
        <v>64</v>
      </c>
    </row>
    <row r="2569">
      <c r="A2569" s="4" t="s">
        <v>5965</v>
      </c>
      <c r="B2569" s="4" t="s">
        <v>5965</v>
      </c>
      <c r="C2569" s="4">
        <v>958.0</v>
      </c>
      <c r="D2569" s="5" t="str">
        <f>HYPERLINK("https://www.linkedin.com/ad-library/detail/1433647426","Open Ad")</f>
        <v>Open Ad</v>
      </c>
      <c r="E2569" s="4" t="s">
        <v>121</v>
      </c>
      <c r="F2569" s="4" t="s">
        <v>54</v>
      </c>
      <c r="G2569" s="4" t="s">
        <v>6467</v>
      </c>
      <c r="H2569" s="4" t="s">
        <v>49</v>
      </c>
      <c r="I2569" s="4" t="s">
        <v>6005</v>
      </c>
      <c r="J2569" s="4" t="s">
        <v>121</v>
      </c>
      <c r="K2569" s="5" t="str">
        <f>HYPERLINK("https://dms.licdn.com/playlist/vid/v2/D4E05AQFrJVO0dJCegw/mp4-640p-30fp-crf28/B4EZ6eLpi5GQBk-/0/1780770375121?e=2147483647&amp;v=beta&amp;t=v25VJ1lDTsu3nuMI3dqC-0tN1ADOFVK0BlWSXoq1Af0","View Creative")</f>
        <v>View Creative</v>
      </c>
      <c r="L2569" s="4" t="s">
        <v>106</v>
      </c>
      <c r="M2569" s="4" t="s">
        <v>5965</v>
      </c>
      <c r="O2569" s="4" t="s">
        <v>63</v>
      </c>
      <c r="P2569" s="4" t="s">
        <v>64</v>
      </c>
    </row>
    <row r="2570">
      <c r="A2570" s="4" t="s">
        <v>5965</v>
      </c>
      <c r="B2570" s="4" t="s">
        <v>5965</v>
      </c>
      <c r="C2570" s="4">
        <v>959.0</v>
      </c>
      <c r="D2570" s="5" t="str">
        <f>HYPERLINK("https://www.linkedin.com/ad-library/detail/1434050426","Open Ad")</f>
        <v>Open Ad</v>
      </c>
      <c r="E2570" s="4" t="s">
        <v>78</v>
      </c>
      <c r="F2570" s="4" t="s">
        <v>54</v>
      </c>
      <c r="G2570" s="4" t="s">
        <v>6260</v>
      </c>
      <c r="H2570" s="4" t="s">
        <v>49</v>
      </c>
      <c r="I2570" s="4" t="s">
        <v>6005</v>
      </c>
      <c r="J2570" s="4" t="s">
        <v>78</v>
      </c>
      <c r="K2570" s="4" t="s">
        <v>59</v>
      </c>
      <c r="L2570" s="4" t="s">
        <v>106</v>
      </c>
      <c r="M2570" s="4" t="s">
        <v>5965</v>
      </c>
      <c r="O2570" s="4" t="s">
        <v>63</v>
      </c>
      <c r="P2570" s="4" t="s">
        <v>64</v>
      </c>
    </row>
    <row r="2571">
      <c r="A2571" s="4" t="s">
        <v>5965</v>
      </c>
      <c r="B2571" s="4" t="s">
        <v>5965</v>
      </c>
      <c r="C2571" s="4">
        <v>960.0</v>
      </c>
      <c r="D2571" s="5" t="str">
        <f>HYPERLINK("https://www.linkedin.com/ad-library/detail/1437973136","Open Ad")</f>
        <v>Open Ad</v>
      </c>
      <c r="E2571" s="4" t="s">
        <v>78</v>
      </c>
      <c r="F2571" s="4" t="s">
        <v>54</v>
      </c>
      <c r="G2571" s="4" t="s">
        <v>6457</v>
      </c>
      <c r="H2571" s="4" t="s">
        <v>49</v>
      </c>
      <c r="I2571" s="4" t="s">
        <v>6005</v>
      </c>
      <c r="J2571" s="4" t="s">
        <v>78</v>
      </c>
      <c r="K2571" s="5" t="str">
        <f>HYPERLINK("https://media.licdn.com/dms/image/v2/D5610AQEK4TATx-B99A/image-shrink_1280/B56Z6EYCniKwAg-/0/1780337357502?e=2147483647&amp;v=beta&amp;t=OgwqZJb3gRErqrVDoqBCse57giXjEoiOJxi_5ly0GbU","View Creative")</f>
        <v>View Creative</v>
      </c>
      <c r="L2571" s="4" t="s">
        <v>106</v>
      </c>
      <c r="M2571" s="4" t="s">
        <v>5965</v>
      </c>
      <c r="O2571" s="4" t="s">
        <v>63</v>
      </c>
      <c r="P2571" s="4" t="s">
        <v>64</v>
      </c>
    </row>
    <row r="2572">
      <c r="A2572" s="4" t="s">
        <v>5965</v>
      </c>
      <c r="B2572" s="4" t="s">
        <v>5965</v>
      </c>
      <c r="C2572" s="4">
        <v>961.0</v>
      </c>
      <c r="D2572" s="5" t="str">
        <f>HYPERLINK("https://www.linkedin.com/ad-library/detail/1431411516","Open Ad")</f>
        <v>Open Ad</v>
      </c>
      <c r="E2572" s="4" t="s">
        <v>121</v>
      </c>
      <c r="F2572" s="4" t="s">
        <v>54</v>
      </c>
      <c r="G2572" s="4" t="s">
        <v>6047</v>
      </c>
      <c r="H2572" s="4" t="s">
        <v>49</v>
      </c>
      <c r="I2572" s="4" t="s">
        <v>6005</v>
      </c>
      <c r="J2572" s="4" t="s">
        <v>121</v>
      </c>
      <c r="K2572" s="5" t="str">
        <f>HYPERLINK("https://dms.licdn.com/playlist/vid/v2/D4E10AQFbU42CgG1Z7g/mp4-720p-30fp-crf28/B4EZ6E1cjuIkBk-/0/1780345071320?e=2147483647&amp;v=beta&amp;t=lm4Raasi9Hn2k_Jca5TAGdFZZmL4wlksoW4hHU6e3XU","View Creative")</f>
        <v>View Creative</v>
      </c>
      <c r="L2572" s="4" t="s">
        <v>106</v>
      </c>
      <c r="M2572" s="4" t="s">
        <v>5965</v>
      </c>
      <c r="O2572" s="4" t="s">
        <v>63</v>
      </c>
      <c r="P2572" s="4" t="s">
        <v>64</v>
      </c>
    </row>
    <row r="2573">
      <c r="A2573" s="4" t="s">
        <v>5965</v>
      </c>
      <c r="B2573" s="4" t="s">
        <v>5965</v>
      </c>
      <c r="C2573" s="4">
        <v>962.0</v>
      </c>
      <c r="D2573" s="5" t="str">
        <f>HYPERLINK("https://www.linkedin.com/ad-library/detail/1433042566","Open Ad")</f>
        <v>Open Ad</v>
      </c>
      <c r="E2573" s="4" t="s">
        <v>78</v>
      </c>
      <c r="F2573" s="4" t="s">
        <v>54</v>
      </c>
      <c r="G2573" s="4" t="s">
        <v>6475</v>
      </c>
      <c r="H2573" s="4" t="s">
        <v>49</v>
      </c>
      <c r="I2573" s="4" t="s">
        <v>6005</v>
      </c>
      <c r="J2573" s="4" t="s">
        <v>78</v>
      </c>
      <c r="K2573" s="5" t="str">
        <f>HYPERLINK("https://media.licdn.com/dms/image/v2/D4E10AQFTSYvqK-P9Hw/image-shrink_1280/B4EZ6UU9pHIUAc-/0/1780604984584?e=2147483647&amp;v=beta&amp;t=asALE0FuY_22ywbCEcWrixVL5PJXMLy4zsMErBBIgMk","View Creative")</f>
        <v>View Creative</v>
      </c>
      <c r="L2573" s="4" t="s">
        <v>106</v>
      </c>
      <c r="M2573" s="4" t="s">
        <v>5965</v>
      </c>
      <c r="O2573" s="4" t="s">
        <v>63</v>
      </c>
      <c r="P2573" s="4" t="s">
        <v>64</v>
      </c>
    </row>
    <row r="2574">
      <c r="A2574" s="4" t="s">
        <v>5965</v>
      </c>
      <c r="B2574" s="4" t="s">
        <v>5965</v>
      </c>
      <c r="C2574" s="4">
        <v>963.0</v>
      </c>
      <c r="D2574" s="5" t="str">
        <f>HYPERLINK("https://www.linkedin.com/ad-library/detail/1431326316","Open Ad")</f>
        <v>Open Ad</v>
      </c>
      <c r="E2574" s="4" t="s">
        <v>121</v>
      </c>
      <c r="F2574" s="4" t="s">
        <v>54</v>
      </c>
      <c r="G2574" s="4" t="s">
        <v>6047</v>
      </c>
      <c r="H2574" s="4" t="s">
        <v>49</v>
      </c>
      <c r="I2574" s="4" t="s">
        <v>6005</v>
      </c>
      <c r="J2574" s="4" t="s">
        <v>121</v>
      </c>
      <c r="K2574" s="5" t="str">
        <f>HYPERLINK("https://dms.licdn.com/playlist/vid/v2/D4E10AQFbU42CgG1Z7g/mp4-720p-30fp-crf28/B4EZ6E1cjuIkBk-/0/1780345071320?e=2147483647&amp;v=beta&amp;t=lm4Raasi9Hn2k_Jca5TAGdFZZmL4wlksoW4hHU6e3XU","View Creative")</f>
        <v>View Creative</v>
      </c>
      <c r="L2574" s="4" t="s">
        <v>106</v>
      </c>
      <c r="M2574" s="4" t="s">
        <v>5965</v>
      </c>
      <c r="O2574" s="4" t="s">
        <v>63</v>
      </c>
      <c r="P2574" s="4" t="s">
        <v>64</v>
      </c>
    </row>
    <row r="2575">
      <c r="A2575" s="4" t="s">
        <v>5965</v>
      </c>
      <c r="B2575" s="4" t="s">
        <v>5965</v>
      </c>
      <c r="C2575" s="4">
        <v>964.0</v>
      </c>
      <c r="D2575" s="5" t="str">
        <f>HYPERLINK("https://www.linkedin.com/ad-library/detail/1431490826","Open Ad")</f>
        <v>Open Ad</v>
      </c>
      <c r="E2575" s="4" t="s">
        <v>78</v>
      </c>
      <c r="F2575" s="4" t="s">
        <v>54</v>
      </c>
      <c r="G2575" s="4" t="s">
        <v>6476</v>
      </c>
      <c r="H2575" s="4" t="s">
        <v>49</v>
      </c>
      <c r="I2575" s="4" t="s">
        <v>6005</v>
      </c>
      <c r="J2575" s="4" t="s">
        <v>78</v>
      </c>
      <c r="K2575" s="5" t="str">
        <f>HYPERLINK("https://media.licdn.com/dms/image/v2/D4E22AQEiKuf6y_4noA/feedshare-shrink_1280/B4EZ6IhDsPGwAQ-/0/1780406828244?e=2147483647&amp;v=beta&amp;t=Z6zoH2fzRtxMaNxoRpqRJ9ZTwNBSrs0x-S4_VOnTKaM","View Creative")</f>
        <v>View Creative</v>
      </c>
      <c r="L2575" s="4" t="s">
        <v>106</v>
      </c>
      <c r="M2575" s="4" t="s">
        <v>5965</v>
      </c>
      <c r="O2575" s="4" t="s">
        <v>63</v>
      </c>
      <c r="P2575" s="4" t="s">
        <v>64</v>
      </c>
    </row>
    <row r="2576">
      <c r="A2576" s="4" t="s">
        <v>5965</v>
      </c>
      <c r="B2576" s="4" t="s">
        <v>5965</v>
      </c>
      <c r="C2576" s="4">
        <v>965.0</v>
      </c>
      <c r="D2576" s="5" t="str">
        <f>HYPERLINK("https://www.linkedin.com/ad-library/detail/1431401466","Open Ad")</f>
        <v>Open Ad</v>
      </c>
      <c r="E2576" s="4" t="s">
        <v>121</v>
      </c>
      <c r="F2576" s="4" t="s">
        <v>54</v>
      </c>
      <c r="G2576" s="4" t="s">
        <v>6047</v>
      </c>
      <c r="H2576" s="4" t="s">
        <v>49</v>
      </c>
      <c r="I2576" s="4" t="s">
        <v>6005</v>
      </c>
      <c r="J2576" s="4" t="s">
        <v>121</v>
      </c>
      <c r="K2576" s="5" t="str">
        <f>HYPERLINK("https://dms.licdn.com/playlist/vid/v2/D4E10AQFbU42CgG1Z7g/mp4-720p-30fp-crf28/B4EZ6E1cjuIkBk-/0/1780345071320?e=2147483647&amp;v=beta&amp;t=lm4Raasi9Hn2k_Jca5TAGdFZZmL4wlksoW4hHU6e3XU","View Creative")</f>
        <v>View Creative</v>
      </c>
      <c r="L2576" s="4" t="s">
        <v>106</v>
      </c>
      <c r="M2576" s="4" t="s">
        <v>5965</v>
      </c>
      <c r="O2576" s="4" t="s">
        <v>63</v>
      </c>
      <c r="P2576" s="4" t="s">
        <v>64</v>
      </c>
    </row>
    <row r="2577">
      <c r="A2577" s="4" t="s">
        <v>5965</v>
      </c>
      <c r="B2577" s="4" t="s">
        <v>5965</v>
      </c>
      <c r="C2577" s="4">
        <v>966.0</v>
      </c>
      <c r="D2577" s="5" t="str">
        <f>HYPERLINK("https://www.linkedin.com/ad-library/detail/1431343416","Open Ad")</f>
        <v>Open Ad</v>
      </c>
      <c r="E2577" s="4" t="s">
        <v>78</v>
      </c>
      <c r="F2577" s="4" t="s">
        <v>54</v>
      </c>
      <c r="G2577" s="4" t="s">
        <v>6476</v>
      </c>
      <c r="H2577" s="4" t="s">
        <v>49</v>
      </c>
      <c r="I2577" s="4" t="s">
        <v>6005</v>
      </c>
      <c r="J2577" s="4" t="s">
        <v>78</v>
      </c>
      <c r="K2577" s="5" t="str">
        <f>HYPERLINK("https://media.licdn.com/dms/image/v2/D4E22AQEiKuf6y_4noA/feedshare-shrink_1280/B4EZ6IhDsPGwAQ-/0/1780406828244?e=2147483647&amp;v=beta&amp;t=Z6zoH2fzRtxMaNxoRpqRJ9ZTwNBSrs0x-S4_VOnTKaM","View Creative")</f>
        <v>View Creative</v>
      </c>
      <c r="L2577" s="4" t="s">
        <v>106</v>
      </c>
      <c r="M2577" s="4" t="s">
        <v>5965</v>
      </c>
      <c r="O2577" s="4" t="s">
        <v>63</v>
      </c>
      <c r="P2577" s="4" t="s">
        <v>64</v>
      </c>
    </row>
    <row r="2578">
      <c r="A2578" s="4" t="s">
        <v>5965</v>
      </c>
      <c r="B2578" s="4" t="s">
        <v>5965</v>
      </c>
      <c r="C2578" s="4">
        <v>967.0</v>
      </c>
      <c r="D2578" s="5" t="str">
        <f>HYPERLINK("https://www.linkedin.com/ad-library/detail/1426311326","Open Ad")</f>
        <v>Open Ad</v>
      </c>
      <c r="E2578" s="4" t="s">
        <v>78</v>
      </c>
      <c r="F2578" s="4" t="s">
        <v>54</v>
      </c>
      <c r="G2578" s="4" t="s">
        <v>6270</v>
      </c>
      <c r="H2578" s="4" t="s">
        <v>49</v>
      </c>
      <c r="I2578" s="4" t="s">
        <v>6005</v>
      </c>
      <c r="J2578" s="4" t="s">
        <v>78</v>
      </c>
      <c r="K2578" s="5" t="str">
        <f>HYPERLINK("https://media.licdn.com/dms/image/v2/D5610AQERUevwH6cWPA/image-shrink_1280/B56Z6AaLIUKkAc-/0/1780270805756/Ad211png?e=2147483647&amp;v=beta&amp;t=EU-zb0V4Qt9I9Pmof6TxqYfN8i31tA-XtbaSSkHtjdY","View Creative")</f>
        <v>View Creative</v>
      </c>
      <c r="L2578" s="4" t="s">
        <v>106</v>
      </c>
      <c r="M2578" s="4" t="s">
        <v>5965</v>
      </c>
      <c r="O2578" s="4" t="s">
        <v>63</v>
      </c>
      <c r="P2578" s="4" t="s">
        <v>64</v>
      </c>
    </row>
    <row r="2579">
      <c r="A2579" s="4" t="s">
        <v>5965</v>
      </c>
      <c r="B2579" s="4" t="s">
        <v>5965</v>
      </c>
      <c r="C2579" s="4">
        <v>968.0</v>
      </c>
      <c r="D2579" s="5" t="str">
        <f>HYPERLINK("https://www.linkedin.com/ad-library/detail/1426421226","Open Ad")</f>
        <v>Open Ad</v>
      </c>
      <c r="E2579" s="4" t="s">
        <v>78</v>
      </c>
      <c r="F2579" s="4" t="s">
        <v>54</v>
      </c>
      <c r="G2579" s="4" t="s">
        <v>6406</v>
      </c>
      <c r="H2579" s="4" t="s">
        <v>49</v>
      </c>
      <c r="I2579" s="4" t="s">
        <v>6005</v>
      </c>
      <c r="J2579" s="4" t="s">
        <v>78</v>
      </c>
      <c r="K2579" s="5" t="str">
        <f>HYPERLINK("https://media.licdn.com/dms/image/v2/D5610AQEC6uKodaP14A/image-shrink_1280/B56Z6AaqPKHwAg-/0/1780270933257/Ad201png?e=2147483647&amp;v=beta&amp;t=1A661kGu5AkvtoRboYevKI4nXl-sd3eUIKlZq0ouF78","View Creative")</f>
        <v>View Creative</v>
      </c>
      <c r="L2579" s="4" t="s">
        <v>106</v>
      </c>
      <c r="M2579" s="4" t="s">
        <v>5965</v>
      </c>
      <c r="O2579" s="4" t="s">
        <v>63</v>
      </c>
      <c r="P2579" s="4" t="s">
        <v>64</v>
      </c>
    </row>
    <row r="2580">
      <c r="A2580" s="4" t="s">
        <v>5965</v>
      </c>
      <c r="B2580" s="4" t="s">
        <v>5965</v>
      </c>
      <c r="C2580" s="4">
        <v>969.0</v>
      </c>
      <c r="D2580" s="5" t="str">
        <f>HYPERLINK("https://www.linkedin.com/ad-library/detail/1432929856","Open Ad")</f>
        <v>Open Ad</v>
      </c>
      <c r="E2580" s="4" t="s">
        <v>78</v>
      </c>
      <c r="F2580" s="4" t="s">
        <v>54</v>
      </c>
      <c r="G2580" s="4" t="s">
        <v>6475</v>
      </c>
      <c r="H2580" s="4" t="s">
        <v>49</v>
      </c>
      <c r="I2580" s="4" t="s">
        <v>6005</v>
      </c>
      <c r="J2580" s="4" t="s">
        <v>78</v>
      </c>
      <c r="K2580" s="5" t="str">
        <f>HYPERLINK("https://media.licdn.com/dms/image/v2/D4E10AQFTSYvqK-P9Hw/image-shrink_1280/B4EZ6UU9pHIUAc-/0/1780604984584?e=2147483647&amp;v=beta&amp;t=asALE0FuY_22ywbCEcWrixVL5PJXMLy4zsMErBBIgMk","View Creative")</f>
        <v>View Creative</v>
      </c>
      <c r="L2580" s="4" t="s">
        <v>106</v>
      </c>
      <c r="M2580" s="4" t="s">
        <v>5965</v>
      </c>
      <c r="O2580" s="4" t="s">
        <v>63</v>
      </c>
      <c r="P2580" s="4" t="s">
        <v>64</v>
      </c>
    </row>
    <row r="2581">
      <c r="A2581" s="4" t="s">
        <v>5965</v>
      </c>
      <c r="B2581" s="4" t="s">
        <v>5965</v>
      </c>
      <c r="C2581" s="4">
        <v>970.0</v>
      </c>
      <c r="D2581" s="5" t="str">
        <f>HYPERLINK("https://www.linkedin.com/ad-library/detail/1431352196","Open Ad")</f>
        <v>Open Ad</v>
      </c>
      <c r="E2581" s="4" t="s">
        <v>78</v>
      </c>
      <c r="F2581" s="4" t="s">
        <v>54</v>
      </c>
      <c r="G2581" s="4" t="s">
        <v>6476</v>
      </c>
      <c r="H2581" s="4" t="s">
        <v>49</v>
      </c>
      <c r="I2581" s="4" t="s">
        <v>6005</v>
      </c>
      <c r="J2581" s="4" t="s">
        <v>78</v>
      </c>
      <c r="K2581" s="5" t="str">
        <f>HYPERLINK("https://media.licdn.com/dms/image/v2/D4E22AQEiKuf6y_4noA/feedshare-shrink_1280/B4EZ6IhDsPGwAQ-/0/1780406828244?e=2147483647&amp;v=beta&amp;t=Z6zoH2fzRtxMaNxoRpqRJ9ZTwNBSrs0x-S4_VOnTKaM","View Creative")</f>
        <v>View Creative</v>
      </c>
      <c r="L2581" s="4" t="s">
        <v>106</v>
      </c>
      <c r="M2581" s="4" t="s">
        <v>5965</v>
      </c>
      <c r="O2581" s="4" t="s">
        <v>63</v>
      </c>
      <c r="P2581" s="4" t="s">
        <v>64</v>
      </c>
    </row>
    <row r="2582">
      <c r="A2582" s="4" t="s">
        <v>5965</v>
      </c>
      <c r="B2582" s="4" t="s">
        <v>5965</v>
      </c>
      <c r="C2582" s="4">
        <v>971.0</v>
      </c>
      <c r="D2582" s="5" t="str">
        <f>HYPERLINK("https://www.linkedin.com/ad-library/detail/1433141996","Open Ad")</f>
        <v>Open Ad</v>
      </c>
      <c r="E2582" s="4" t="s">
        <v>78</v>
      </c>
      <c r="F2582" s="4" t="s">
        <v>54</v>
      </c>
      <c r="G2582" s="4" t="s">
        <v>6475</v>
      </c>
      <c r="H2582" s="4" t="s">
        <v>49</v>
      </c>
      <c r="I2582" s="4" t="s">
        <v>6005</v>
      </c>
      <c r="J2582" s="4" t="s">
        <v>78</v>
      </c>
      <c r="K2582" s="5" t="str">
        <f t="shared" ref="K2582:K2583" si="109">HYPERLINK("https://media.licdn.com/dms/image/v2/D4E10AQFTSYvqK-P9Hw/image-shrink_1280/B4EZ6UU9pHIUAc-/0/1780604984584?e=2147483647&amp;v=beta&amp;t=asALE0FuY_22ywbCEcWrixVL5PJXMLy4zsMErBBIgMk","View Creative")</f>
        <v>View Creative</v>
      </c>
      <c r="L2582" s="4" t="s">
        <v>106</v>
      </c>
      <c r="M2582" s="4" t="s">
        <v>5965</v>
      </c>
      <c r="O2582" s="4" t="s">
        <v>63</v>
      </c>
      <c r="P2582" s="4" t="s">
        <v>64</v>
      </c>
    </row>
    <row r="2583">
      <c r="A2583" s="4" t="s">
        <v>5965</v>
      </c>
      <c r="B2583" s="4" t="s">
        <v>5965</v>
      </c>
      <c r="C2583" s="4">
        <v>972.0</v>
      </c>
      <c r="D2583" s="5" t="str">
        <f>HYPERLINK("https://www.linkedin.com/ad-library/detail/1433062606","Open Ad")</f>
        <v>Open Ad</v>
      </c>
      <c r="E2583" s="4" t="s">
        <v>78</v>
      </c>
      <c r="F2583" s="4" t="s">
        <v>54</v>
      </c>
      <c r="G2583" s="4" t="s">
        <v>6475</v>
      </c>
      <c r="H2583" s="4" t="s">
        <v>49</v>
      </c>
      <c r="I2583" s="4" t="s">
        <v>6005</v>
      </c>
      <c r="J2583" s="4" t="s">
        <v>78</v>
      </c>
      <c r="K2583" s="5" t="str">
        <f t="shared" si="109"/>
        <v>View Creative</v>
      </c>
      <c r="L2583" s="4" t="s">
        <v>106</v>
      </c>
      <c r="M2583" s="4" t="s">
        <v>5965</v>
      </c>
      <c r="O2583" s="4" t="s">
        <v>63</v>
      </c>
      <c r="P2583" s="4" t="s">
        <v>64</v>
      </c>
    </row>
    <row r="2584">
      <c r="A2584" s="4" t="s">
        <v>5965</v>
      </c>
      <c r="B2584" s="4" t="s">
        <v>5965</v>
      </c>
      <c r="C2584" s="4">
        <v>973.0</v>
      </c>
      <c r="D2584" s="5" t="str">
        <f>HYPERLINK("https://www.linkedin.com/ad-library/detail/1431334506","Open Ad")</f>
        <v>Open Ad</v>
      </c>
      <c r="E2584" s="4" t="s">
        <v>121</v>
      </c>
      <c r="F2584" s="4" t="s">
        <v>54</v>
      </c>
      <c r="G2584" s="4" t="s">
        <v>6047</v>
      </c>
      <c r="H2584" s="4" t="s">
        <v>49</v>
      </c>
      <c r="I2584" s="4" t="s">
        <v>6005</v>
      </c>
      <c r="J2584" s="4" t="s">
        <v>121</v>
      </c>
      <c r="K2584" s="5" t="str">
        <f>HYPERLINK("https://dms.licdn.com/playlist/vid/v2/D4E10AQFbU42CgG1Z7g/mp4-720p-30fp-crf28/B4EZ6E1cjuIkBk-/0/1780345071320?e=2147483647&amp;v=beta&amp;t=lm4Raasi9Hn2k_Jca5TAGdFZZmL4wlksoW4hHU6e3XU","View Creative")</f>
        <v>View Creative</v>
      </c>
      <c r="L2584" s="4" t="s">
        <v>106</v>
      </c>
      <c r="M2584" s="4" t="s">
        <v>5965</v>
      </c>
      <c r="O2584" s="4" t="s">
        <v>63</v>
      </c>
      <c r="P2584" s="4" t="s">
        <v>64</v>
      </c>
    </row>
    <row r="2585">
      <c r="A2585" s="4" t="s">
        <v>5965</v>
      </c>
      <c r="B2585" s="4" t="s">
        <v>5965</v>
      </c>
      <c r="C2585" s="4">
        <v>974.0</v>
      </c>
      <c r="D2585" s="5" t="str">
        <f>HYPERLINK("https://www.linkedin.com/ad-library/detail/1431371726","Open Ad")</f>
        <v>Open Ad</v>
      </c>
      <c r="E2585" s="4" t="s">
        <v>78</v>
      </c>
      <c r="F2585" s="4" t="s">
        <v>54</v>
      </c>
      <c r="G2585" s="4" t="s">
        <v>6476</v>
      </c>
      <c r="H2585" s="4" t="s">
        <v>49</v>
      </c>
      <c r="I2585" s="4" t="s">
        <v>6005</v>
      </c>
      <c r="J2585" s="4" t="s">
        <v>78</v>
      </c>
      <c r="K2585" s="5" t="str">
        <f>HYPERLINK("https://media.licdn.com/dms/image/v2/D4E22AQEiKuf6y_4noA/feedshare-shrink_1280/B4EZ6IhDsPGwAQ-/0/1780406828244?e=2147483647&amp;v=beta&amp;t=Z6zoH2fzRtxMaNxoRpqRJ9ZTwNBSrs0x-S4_VOnTKaM","View Creative")</f>
        <v>View Creative</v>
      </c>
      <c r="L2585" s="4" t="s">
        <v>106</v>
      </c>
      <c r="M2585" s="4" t="s">
        <v>5965</v>
      </c>
      <c r="O2585" s="4" t="s">
        <v>63</v>
      </c>
      <c r="P2585" s="4" t="s">
        <v>64</v>
      </c>
    </row>
    <row r="2586">
      <c r="A2586" s="4" t="s">
        <v>5965</v>
      </c>
      <c r="B2586" s="4" t="s">
        <v>5965</v>
      </c>
      <c r="C2586" s="4">
        <v>975.0</v>
      </c>
      <c r="D2586" s="5" t="str">
        <f>HYPERLINK("https://www.linkedin.com/ad-library/detail/1433152286","Open Ad")</f>
        <v>Open Ad</v>
      </c>
      <c r="E2586" s="4" t="s">
        <v>78</v>
      </c>
      <c r="F2586" s="4" t="s">
        <v>54</v>
      </c>
      <c r="G2586" s="4" t="s">
        <v>6475</v>
      </c>
      <c r="H2586" s="4" t="s">
        <v>49</v>
      </c>
      <c r="I2586" s="4" t="s">
        <v>6005</v>
      </c>
      <c r="J2586" s="4" t="s">
        <v>78</v>
      </c>
      <c r="K2586" s="5" t="str">
        <f>HYPERLINK("https://media.licdn.com/dms/image/v2/D4E10AQFTSYvqK-P9Hw/image-shrink_1280/B4EZ6UU9pHIUAc-/0/1780604984584?e=2147483647&amp;v=beta&amp;t=asALE0FuY_22ywbCEcWrixVL5PJXMLy4zsMErBBIgMk","View Creative")</f>
        <v>View Creative</v>
      </c>
      <c r="L2586" s="4" t="s">
        <v>106</v>
      </c>
      <c r="M2586" s="4" t="s">
        <v>5965</v>
      </c>
      <c r="O2586" s="4" t="s">
        <v>63</v>
      </c>
      <c r="P2586" s="4" t="s">
        <v>64</v>
      </c>
    </row>
    <row r="2587">
      <c r="A2587" s="4" t="s">
        <v>5965</v>
      </c>
      <c r="B2587" s="4" t="s">
        <v>5965</v>
      </c>
      <c r="C2587" s="4">
        <v>976.0</v>
      </c>
      <c r="D2587" s="5" t="str">
        <f>HYPERLINK("https://www.linkedin.com/ad-library/detail/1431289606","Open Ad")</f>
        <v>Open Ad</v>
      </c>
      <c r="E2587" s="4" t="s">
        <v>78</v>
      </c>
      <c r="F2587" s="4" t="s">
        <v>54</v>
      </c>
      <c r="G2587" s="4" t="s">
        <v>6476</v>
      </c>
      <c r="H2587" s="4" t="s">
        <v>49</v>
      </c>
      <c r="I2587" s="4" t="s">
        <v>6005</v>
      </c>
      <c r="J2587" s="4" t="s">
        <v>78</v>
      </c>
      <c r="K2587" s="5" t="str">
        <f t="shared" ref="K2587:K2588" si="110">HYPERLINK("https://media.licdn.com/dms/image/v2/D4E22AQEiKuf6y_4noA/feedshare-shrink_1280/B4EZ6IhDsPGwAQ-/0/1780406828244?e=2147483647&amp;v=beta&amp;t=Z6zoH2fzRtxMaNxoRpqRJ9ZTwNBSrs0x-S4_VOnTKaM","View Creative")</f>
        <v>View Creative</v>
      </c>
      <c r="L2587" s="4" t="s">
        <v>106</v>
      </c>
      <c r="M2587" s="4" t="s">
        <v>5965</v>
      </c>
      <c r="O2587" s="4" t="s">
        <v>63</v>
      </c>
      <c r="P2587" s="4" t="s">
        <v>64</v>
      </c>
    </row>
    <row r="2588">
      <c r="A2588" s="4" t="s">
        <v>5965</v>
      </c>
      <c r="B2588" s="4" t="s">
        <v>5965</v>
      </c>
      <c r="C2588" s="4">
        <v>977.0</v>
      </c>
      <c r="D2588" s="5" t="str">
        <f>HYPERLINK("https://www.linkedin.com/ad-library/detail/1431352176","Open Ad")</f>
        <v>Open Ad</v>
      </c>
      <c r="E2588" s="4" t="s">
        <v>78</v>
      </c>
      <c r="F2588" s="4" t="s">
        <v>54</v>
      </c>
      <c r="G2588" s="4" t="s">
        <v>6476</v>
      </c>
      <c r="H2588" s="4" t="s">
        <v>49</v>
      </c>
      <c r="I2588" s="4" t="s">
        <v>6005</v>
      </c>
      <c r="J2588" s="4" t="s">
        <v>78</v>
      </c>
      <c r="K2588" s="5" t="str">
        <f t="shared" si="110"/>
        <v>View Creative</v>
      </c>
      <c r="L2588" s="4" t="s">
        <v>106</v>
      </c>
      <c r="M2588" s="4" t="s">
        <v>5965</v>
      </c>
      <c r="O2588" s="4" t="s">
        <v>63</v>
      </c>
      <c r="P2588" s="4" t="s">
        <v>64</v>
      </c>
    </row>
    <row r="2589">
      <c r="A2589" s="4" t="s">
        <v>5965</v>
      </c>
      <c r="B2589" s="4" t="s">
        <v>5965</v>
      </c>
      <c r="C2589" s="4">
        <v>978.0</v>
      </c>
      <c r="D2589" s="5" t="str">
        <f>HYPERLINK("https://www.linkedin.com/ad-library/detail/1431520236","Open Ad")</f>
        <v>Open Ad</v>
      </c>
      <c r="E2589" s="4" t="s">
        <v>121</v>
      </c>
      <c r="F2589" s="4" t="s">
        <v>54</v>
      </c>
      <c r="G2589" s="4" t="s">
        <v>6047</v>
      </c>
      <c r="H2589" s="4" t="s">
        <v>49</v>
      </c>
      <c r="I2589" s="4" t="s">
        <v>6005</v>
      </c>
      <c r="J2589" s="4" t="s">
        <v>121</v>
      </c>
      <c r="K2589" s="5" t="str">
        <f>HYPERLINK("https://dms.licdn.com/playlist/vid/v2/D4E10AQFbU42CgG1Z7g/mp4-720p-30fp-crf28/B4EZ6E1cjuIkBk-/0/1780345071320?e=2147483647&amp;v=beta&amp;t=lm4Raasi9Hn2k_Jca5TAGdFZZmL4wlksoW4hHU6e3XU","View Creative")</f>
        <v>View Creative</v>
      </c>
      <c r="L2589" s="4" t="s">
        <v>106</v>
      </c>
      <c r="M2589" s="4" t="s">
        <v>5965</v>
      </c>
      <c r="O2589" s="4" t="s">
        <v>63</v>
      </c>
      <c r="P2589" s="4" t="s">
        <v>64</v>
      </c>
    </row>
    <row r="2590">
      <c r="A2590" s="4" t="s">
        <v>5965</v>
      </c>
      <c r="B2590" s="4" t="s">
        <v>5965</v>
      </c>
      <c r="C2590" s="4">
        <v>979.0</v>
      </c>
      <c r="D2590" s="5" t="str">
        <f>HYPERLINK("https://www.linkedin.com/ad-library/detail/1431289616","Open Ad")</f>
        <v>Open Ad</v>
      </c>
      <c r="E2590" s="4" t="s">
        <v>78</v>
      </c>
      <c r="F2590" s="4" t="s">
        <v>54</v>
      </c>
      <c r="G2590" s="4" t="s">
        <v>6476</v>
      </c>
      <c r="H2590" s="4" t="s">
        <v>49</v>
      </c>
      <c r="I2590" s="4" t="s">
        <v>6005</v>
      </c>
      <c r="J2590" s="4" t="s">
        <v>78</v>
      </c>
      <c r="K2590" s="5" t="str">
        <f>HYPERLINK("https://media.licdn.com/dms/image/v2/D4E22AQEiKuf6y_4noA/feedshare-shrink_1280/B4EZ6IhDsPGwAQ-/0/1780406828244?e=2147483647&amp;v=beta&amp;t=Z6zoH2fzRtxMaNxoRpqRJ9ZTwNBSrs0x-S4_VOnTKaM","View Creative")</f>
        <v>View Creative</v>
      </c>
      <c r="L2590" s="4" t="s">
        <v>106</v>
      </c>
      <c r="M2590" s="4" t="s">
        <v>5965</v>
      </c>
      <c r="O2590" s="4" t="s">
        <v>63</v>
      </c>
      <c r="P2590" s="4" t="s">
        <v>64</v>
      </c>
    </row>
    <row r="2591">
      <c r="A2591" s="4" t="s">
        <v>5965</v>
      </c>
      <c r="B2591" s="4" t="s">
        <v>5965</v>
      </c>
      <c r="C2591" s="4">
        <v>980.0</v>
      </c>
      <c r="D2591" s="5" t="str">
        <f>HYPERLINK("https://www.linkedin.com/ad-library/detail/1426391286","Open Ad")</f>
        <v>Open Ad</v>
      </c>
      <c r="E2591" s="4" t="s">
        <v>78</v>
      </c>
      <c r="F2591" s="4" t="s">
        <v>54</v>
      </c>
      <c r="G2591" s="4" t="s">
        <v>6270</v>
      </c>
      <c r="H2591" s="4" t="s">
        <v>49</v>
      </c>
      <c r="I2591" s="4" t="s">
        <v>6005</v>
      </c>
      <c r="J2591" s="4" t="s">
        <v>78</v>
      </c>
      <c r="K2591" s="5" t="str">
        <f>HYPERLINK("https://media.licdn.com/dms/image/v2/D5610AQEC6uKodaP14A/image-shrink_1280/B56Z6AaqPKHwAg-/0/1780270933257/Ad201png?e=2147483647&amp;v=beta&amp;t=1A661kGu5AkvtoRboYevKI4nXl-sd3eUIKlZq0ouF78","View Creative")</f>
        <v>View Creative</v>
      </c>
      <c r="L2591" s="4" t="s">
        <v>106</v>
      </c>
      <c r="M2591" s="4" t="s">
        <v>5965</v>
      </c>
      <c r="O2591" s="4" t="s">
        <v>63</v>
      </c>
      <c r="P2591" s="4" t="s">
        <v>64</v>
      </c>
    </row>
    <row r="2592">
      <c r="A2592" s="4" t="s">
        <v>5965</v>
      </c>
      <c r="B2592" s="4" t="s">
        <v>5965</v>
      </c>
      <c r="C2592" s="4">
        <v>981.0</v>
      </c>
      <c r="D2592" s="5" t="str">
        <f>HYPERLINK("https://www.linkedin.com/ad-library/detail/1430982896","Open Ad")</f>
        <v>Open Ad</v>
      </c>
      <c r="E2592" s="4" t="s">
        <v>121</v>
      </c>
      <c r="F2592" s="4" t="s">
        <v>54</v>
      </c>
      <c r="G2592" s="8" t="s">
        <v>6477</v>
      </c>
      <c r="H2592" s="4" t="s">
        <v>49</v>
      </c>
      <c r="I2592" s="4" t="s">
        <v>6005</v>
      </c>
      <c r="J2592" s="4" t="s">
        <v>121</v>
      </c>
      <c r="K2592" s="5" t="str">
        <f>HYPERLINK("https://dms.licdn.com/playlist/vid/v2/D4E10AQGSBAu5iYEFKg/mp4-640p-30fp-crf28/B4EZ506V9GK8BE-/0/1780077919574?e=2147483647&amp;v=beta&amp;t=sGJW5XiZY6_Cl2u_Tsg0hb5-Ul8JW8xMM0ssWI_NILA","View Creative")</f>
        <v>View Creative</v>
      </c>
      <c r="L2592" s="4" t="s">
        <v>106</v>
      </c>
      <c r="M2592" s="4" t="s">
        <v>5965</v>
      </c>
      <c r="O2592" s="4" t="s">
        <v>63</v>
      </c>
      <c r="P2592" s="4" t="s">
        <v>64</v>
      </c>
    </row>
    <row r="2593">
      <c r="A2593" s="4" t="s">
        <v>5965</v>
      </c>
      <c r="B2593" s="4" t="s">
        <v>5965</v>
      </c>
      <c r="C2593" s="4">
        <v>982.0</v>
      </c>
      <c r="D2593" s="5" t="str">
        <f>HYPERLINK("https://www.linkedin.com/ad-library/detail/1431520216","Open Ad")</f>
        <v>Open Ad</v>
      </c>
      <c r="E2593" s="4" t="s">
        <v>78</v>
      </c>
      <c r="F2593" s="4" t="s">
        <v>54</v>
      </c>
      <c r="G2593" s="4" t="s">
        <v>6476</v>
      </c>
      <c r="H2593" s="4" t="s">
        <v>49</v>
      </c>
      <c r="I2593" s="4" t="s">
        <v>6005</v>
      </c>
      <c r="J2593" s="4" t="s">
        <v>78</v>
      </c>
      <c r="K2593" s="5" t="str">
        <f>HYPERLINK("https://media.licdn.com/dms/image/v2/D4E22AQEiKuf6y_4noA/feedshare-shrink_1280/B4EZ6IhDsPGwAQ-/0/1780406828244?e=2147483647&amp;v=beta&amp;t=Z6zoH2fzRtxMaNxoRpqRJ9ZTwNBSrs0x-S4_VOnTKaM","View Creative")</f>
        <v>View Creative</v>
      </c>
      <c r="L2593" s="4" t="s">
        <v>106</v>
      </c>
      <c r="M2593" s="4" t="s">
        <v>5965</v>
      </c>
      <c r="O2593" s="4" t="s">
        <v>63</v>
      </c>
      <c r="P2593" s="4" t="s">
        <v>64</v>
      </c>
    </row>
    <row r="2594">
      <c r="A2594" s="4" t="s">
        <v>5965</v>
      </c>
      <c r="B2594" s="4" t="s">
        <v>5965</v>
      </c>
      <c r="C2594" s="4">
        <v>983.0</v>
      </c>
      <c r="D2594" s="5" t="str">
        <f>HYPERLINK("https://www.linkedin.com/ad-library/detail/1426500896","Open Ad")</f>
        <v>Open Ad</v>
      </c>
      <c r="E2594" s="4" t="s">
        <v>78</v>
      </c>
      <c r="F2594" s="4" t="s">
        <v>54</v>
      </c>
      <c r="G2594" s="4" t="s">
        <v>6406</v>
      </c>
      <c r="H2594" s="4" t="s">
        <v>49</v>
      </c>
      <c r="I2594" s="4" t="s">
        <v>6005</v>
      </c>
      <c r="J2594" s="4" t="s">
        <v>78</v>
      </c>
      <c r="K2594" s="5" t="str">
        <f>HYPERLINK("https://media.licdn.com/dms/image/v2/D5610AQERUevwH6cWPA/image-shrink_1280/B56Z6AaLIUKkAc-/0/1780270805756/Ad211png?e=2147483647&amp;v=beta&amp;t=EU-zb0V4Qt9I9Pmof6TxqYfN8i31tA-XtbaSSkHtjdY","View Creative")</f>
        <v>View Creative</v>
      </c>
      <c r="L2594" s="4" t="s">
        <v>106</v>
      </c>
      <c r="M2594" s="4" t="s">
        <v>5965</v>
      </c>
      <c r="O2594" s="4" t="s">
        <v>63</v>
      </c>
      <c r="P2594" s="4" t="s">
        <v>64</v>
      </c>
    </row>
    <row r="2595">
      <c r="A2595" s="4" t="s">
        <v>5965</v>
      </c>
      <c r="B2595" s="4" t="s">
        <v>5965</v>
      </c>
      <c r="C2595" s="4">
        <v>984.0</v>
      </c>
      <c r="D2595" s="5" t="str">
        <f>HYPERLINK("https://www.linkedin.com/ad-library/detail/1433082686","Open Ad")</f>
        <v>Open Ad</v>
      </c>
      <c r="E2595" s="4" t="s">
        <v>78</v>
      </c>
      <c r="F2595" s="4" t="s">
        <v>54</v>
      </c>
      <c r="G2595" s="4" t="s">
        <v>6475</v>
      </c>
      <c r="H2595" s="4" t="s">
        <v>49</v>
      </c>
      <c r="I2595" s="4" t="s">
        <v>6005</v>
      </c>
      <c r="J2595" s="4" t="s">
        <v>78</v>
      </c>
      <c r="K2595" s="5" t="str">
        <f>HYPERLINK("https://media.licdn.com/dms/image/v2/D4E10AQFTSYvqK-P9Hw/image-shrink_1280/B4EZ6UU9pHIUAc-/0/1780604984584?e=2147483647&amp;v=beta&amp;t=asALE0FuY_22ywbCEcWrixVL5PJXMLy4zsMErBBIgMk","View Creative")</f>
        <v>View Creative</v>
      </c>
      <c r="L2595" s="4" t="s">
        <v>106</v>
      </c>
      <c r="M2595" s="4" t="s">
        <v>5965</v>
      </c>
      <c r="O2595" s="4" t="s">
        <v>63</v>
      </c>
      <c r="P2595" s="4" t="s">
        <v>64</v>
      </c>
    </row>
    <row r="2596">
      <c r="A2596" s="4" t="s">
        <v>5965</v>
      </c>
      <c r="B2596" s="4" t="s">
        <v>5965</v>
      </c>
      <c r="C2596" s="4">
        <v>985.0</v>
      </c>
      <c r="D2596" s="5" t="str">
        <f>HYPERLINK("https://www.linkedin.com/ad-library/detail/1426500746","Open Ad")</f>
        <v>Open Ad</v>
      </c>
      <c r="E2596" s="4" t="s">
        <v>78</v>
      </c>
      <c r="F2596" s="4" t="s">
        <v>54</v>
      </c>
      <c r="G2596" s="4" t="s">
        <v>6260</v>
      </c>
      <c r="H2596" s="4" t="s">
        <v>49</v>
      </c>
      <c r="I2596" s="4" t="s">
        <v>6005</v>
      </c>
      <c r="J2596" s="4" t="s">
        <v>78</v>
      </c>
      <c r="K2596" s="4" t="s">
        <v>59</v>
      </c>
      <c r="L2596" s="4" t="s">
        <v>106</v>
      </c>
      <c r="M2596" s="4" t="s">
        <v>5965</v>
      </c>
      <c r="O2596" s="4" t="s">
        <v>63</v>
      </c>
      <c r="P2596" s="4" t="s">
        <v>64</v>
      </c>
    </row>
    <row r="2597">
      <c r="A2597" s="4" t="s">
        <v>5965</v>
      </c>
      <c r="B2597" s="4" t="s">
        <v>5965</v>
      </c>
      <c r="C2597" s="4">
        <v>986.0</v>
      </c>
      <c r="D2597" s="5" t="str">
        <f>HYPERLINK("https://www.linkedin.com/ad-library/detail/1426490936","Open Ad")</f>
        <v>Open Ad</v>
      </c>
      <c r="E2597" s="4" t="s">
        <v>78</v>
      </c>
      <c r="F2597" s="4" t="s">
        <v>54</v>
      </c>
      <c r="G2597" s="4" t="s">
        <v>6270</v>
      </c>
      <c r="H2597" s="4" t="s">
        <v>49</v>
      </c>
      <c r="I2597" s="4" t="s">
        <v>6005</v>
      </c>
      <c r="J2597" s="4" t="s">
        <v>78</v>
      </c>
      <c r="K2597" s="5" t="str">
        <f t="shared" ref="K2597:K2598" si="111">HYPERLINK("https://media.licdn.com/dms/image/v2/D5610AQEC6uKodaP14A/image-shrink_1280/B56Z6AaqPKHwAg-/0/1780270933257/Ad201png?e=2147483647&amp;v=beta&amp;t=1A661kGu5AkvtoRboYevKI4nXl-sd3eUIKlZq0ouF78","View Creative")</f>
        <v>View Creative</v>
      </c>
      <c r="L2597" s="4" t="s">
        <v>106</v>
      </c>
      <c r="M2597" s="4" t="s">
        <v>5965</v>
      </c>
      <c r="O2597" s="4" t="s">
        <v>63</v>
      </c>
      <c r="P2597" s="4" t="s">
        <v>64</v>
      </c>
    </row>
    <row r="2598">
      <c r="A2598" s="4" t="s">
        <v>5965</v>
      </c>
      <c r="B2598" s="4" t="s">
        <v>5965</v>
      </c>
      <c r="C2598" s="4">
        <v>987.0</v>
      </c>
      <c r="D2598" s="5" t="str">
        <f>HYPERLINK("https://www.linkedin.com/ad-library/detail/1426271266","Open Ad")</f>
        <v>Open Ad</v>
      </c>
      <c r="E2598" s="4" t="s">
        <v>78</v>
      </c>
      <c r="F2598" s="4" t="s">
        <v>54</v>
      </c>
      <c r="G2598" s="4" t="s">
        <v>6406</v>
      </c>
      <c r="H2598" s="4" t="s">
        <v>49</v>
      </c>
      <c r="I2598" s="4" t="s">
        <v>6005</v>
      </c>
      <c r="J2598" s="4" t="s">
        <v>78</v>
      </c>
      <c r="K2598" s="5" t="str">
        <f t="shared" si="111"/>
        <v>View Creative</v>
      </c>
      <c r="L2598" s="4" t="s">
        <v>106</v>
      </c>
      <c r="M2598" s="4" t="s">
        <v>5965</v>
      </c>
      <c r="O2598" s="4" t="s">
        <v>63</v>
      </c>
      <c r="P2598" s="4" t="s">
        <v>64</v>
      </c>
    </row>
    <row r="2599">
      <c r="A2599" s="4" t="s">
        <v>5965</v>
      </c>
      <c r="B2599" s="4" t="s">
        <v>5965</v>
      </c>
      <c r="C2599" s="4">
        <v>988.0</v>
      </c>
      <c r="D2599" s="5" t="str">
        <f>HYPERLINK("https://www.linkedin.com/ad-library/detail/1426461206","Open Ad")</f>
        <v>Open Ad</v>
      </c>
      <c r="E2599" s="4" t="s">
        <v>78</v>
      </c>
      <c r="F2599" s="4" t="s">
        <v>54</v>
      </c>
      <c r="G2599" s="4" t="s">
        <v>6270</v>
      </c>
      <c r="H2599" s="4" t="s">
        <v>49</v>
      </c>
      <c r="I2599" s="4" t="s">
        <v>6005</v>
      </c>
      <c r="J2599" s="4" t="s">
        <v>78</v>
      </c>
      <c r="K2599" s="5" t="str">
        <f>HYPERLINK("https://media.licdn.com/dms/image/v2/D5610AQERUevwH6cWPA/image-shrink_1280/B56Z6AaLIUKkAc-/0/1780270805756/Ad211png?e=2147483647&amp;v=beta&amp;t=EU-zb0V4Qt9I9Pmof6TxqYfN8i31tA-XtbaSSkHtjdY","View Creative")</f>
        <v>View Creative</v>
      </c>
      <c r="L2599" s="4" t="s">
        <v>106</v>
      </c>
      <c r="M2599" s="4" t="s">
        <v>5965</v>
      </c>
      <c r="O2599" s="4" t="s">
        <v>63</v>
      </c>
      <c r="P2599" s="4" t="s">
        <v>64</v>
      </c>
    </row>
    <row r="2600">
      <c r="A2600" s="4" t="s">
        <v>5965</v>
      </c>
      <c r="B2600" s="4" t="s">
        <v>5965</v>
      </c>
      <c r="C2600" s="4">
        <v>989.0</v>
      </c>
      <c r="D2600" s="5" t="str">
        <f>HYPERLINK("https://www.linkedin.com/ad-library/detail/1426350796","Open Ad")</f>
        <v>Open Ad</v>
      </c>
      <c r="E2600" s="4" t="s">
        <v>78</v>
      </c>
      <c r="F2600" s="4" t="s">
        <v>54</v>
      </c>
      <c r="G2600" s="4" t="s">
        <v>6472</v>
      </c>
      <c r="H2600" s="4" t="s">
        <v>49</v>
      </c>
      <c r="I2600" s="4" t="s">
        <v>6005</v>
      </c>
      <c r="J2600" s="4" t="s">
        <v>78</v>
      </c>
      <c r="K2600" s="4" t="s">
        <v>59</v>
      </c>
      <c r="L2600" s="4" t="s">
        <v>106</v>
      </c>
      <c r="M2600" s="4" t="s">
        <v>5965</v>
      </c>
      <c r="O2600" s="4" t="s">
        <v>63</v>
      </c>
      <c r="P2600" s="4" t="s">
        <v>64</v>
      </c>
    </row>
    <row r="2601">
      <c r="A2601" s="4" t="s">
        <v>5965</v>
      </c>
      <c r="B2601" s="4" t="s">
        <v>5965</v>
      </c>
      <c r="C2601" s="4">
        <v>990.0</v>
      </c>
      <c r="D2601" s="5" t="str">
        <f>HYPERLINK("https://www.linkedin.com/ad-library/detail/1426490896","Open Ad")</f>
        <v>Open Ad</v>
      </c>
      <c r="E2601" s="4" t="s">
        <v>78</v>
      </c>
      <c r="F2601" s="4" t="s">
        <v>54</v>
      </c>
      <c r="G2601" s="4" t="s">
        <v>6406</v>
      </c>
      <c r="H2601" s="4" t="s">
        <v>49</v>
      </c>
      <c r="I2601" s="4" t="s">
        <v>6005</v>
      </c>
      <c r="J2601" s="4" t="s">
        <v>78</v>
      </c>
      <c r="K2601" s="5" t="str">
        <f t="shared" ref="K2601:K2602" si="112">HYPERLINK("https://media.licdn.com/dms/image/v2/D5610AQERUevwH6cWPA/image-shrink_1280/B56Z6AaLIUKkAc-/0/1780270805756/Ad211png?e=2147483647&amp;v=beta&amp;t=EU-zb0V4Qt9I9Pmof6TxqYfN8i31tA-XtbaSSkHtjdY","View Creative")</f>
        <v>View Creative</v>
      </c>
      <c r="L2601" s="4" t="s">
        <v>106</v>
      </c>
      <c r="M2601" s="4" t="s">
        <v>5965</v>
      </c>
      <c r="O2601" s="4" t="s">
        <v>63</v>
      </c>
      <c r="P2601" s="4" t="s">
        <v>64</v>
      </c>
    </row>
    <row r="2602">
      <c r="A2602" s="4" t="s">
        <v>5965</v>
      </c>
      <c r="B2602" s="4" t="s">
        <v>5965</v>
      </c>
      <c r="C2602" s="4">
        <v>991.0</v>
      </c>
      <c r="D2602" s="5" t="str">
        <f>HYPERLINK("https://www.linkedin.com/ad-library/detail/1426441136","Open Ad")</f>
        <v>Open Ad</v>
      </c>
      <c r="E2602" s="4" t="s">
        <v>78</v>
      </c>
      <c r="F2602" s="4" t="s">
        <v>54</v>
      </c>
      <c r="G2602" s="4" t="s">
        <v>6270</v>
      </c>
      <c r="H2602" s="4" t="s">
        <v>49</v>
      </c>
      <c r="I2602" s="4" t="s">
        <v>6005</v>
      </c>
      <c r="J2602" s="4" t="s">
        <v>78</v>
      </c>
      <c r="K2602" s="5" t="str">
        <f t="shared" si="112"/>
        <v>View Creative</v>
      </c>
      <c r="L2602" s="4" t="s">
        <v>106</v>
      </c>
      <c r="M2602" s="4" t="s">
        <v>5965</v>
      </c>
      <c r="O2602" s="4" t="s">
        <v>63</v>
      </c>
      <c r="P2602" s="4" t="s">
        <v>64</v>
      </c>
    </row>
    <row r="2603">
      <c r="A2603" s="4" t="s">
        <v>5965</v>
      </c>
      <c r="B2603" s="4" t="s">
        <v>5965</v>
      </c>
      <c r="C2603" s="4">
        <v>992.0</v>
      </c>
      <c r="D2603" s="5" t="str">
        <f>HYPERLINK("https://www.linkedin.com/ad-library/detail/1426330986","Open Ad")</f>
        <v>Open Ad</v>
      </c>
      <c r="E2603" s="4" t="s">
        <v>78</v>
      </c>
      <c r="F2603" s="4" t="s">
        <v>54</v>
      </c>
      <c r="G2603" s="4" t="s">
        <v>6466</v>
      </c>
      <c r="H2603" s="4" t="s">
        <v>49</v>
      </c>
      <c r="I2603" s="4" t="s">
        <v>6005</v>
      </c>
      <c r="J2603" s="4" t="s">
        <v>78</v>
      </c>
      <c r="K2603" s="4" t="s">
        <v>59</v>
      </c>
      <c r="L2603" s="4" t="s">
        <v>106</v>
      </c>
      <c r="M2603" s="4" t="s">
        <v>5965</v>
      </c>
      <c r="O2603" s="4" t="s">
        <v>63</v>
      </c>
      <c r="P2603" s="4" t="s">
        <v>64</v>
      </c>
    </row>
    <row r="2604">
      <c r="A2604" s="4" t="s">
        <v>5965</v>
      </c>
      <c r="B2604" s="4" t="s">
        <v>5965</v>
      </c>
      <c r="C2604" s="4">
        <v>993.0</v>
      </c>
      <c r="D2604" s="5" t="str">
        <f>HYPERLINK("https://www.linkedin.com/ad-library/detail/1426291286","Open Ad")</f>
        <v>Open Ad</v>
      </c>
      <c r="E2604" s="4" t="s">
        <v>78</v>
      </c>
      <c r="F2604" s="4" t="s">
        <v>54</v>
      </c>
      <c r="G2604" s="4" t="s">
        <v>6406</v>
      </c>
      <c r="H2604" s="4" t="s">
        <v>49</v>
      </c>
      <c r="I2604" s="4" t="s">
        <v>6005</v>
      </c>
      <c r="J2604" s="4" t="s">
        <v>78</v>
      </c>
      <c r="K2604" s="5" t="str">
        <f>HYPERLINK("https://media.licdn.com/dms/image/v2/D5610AQERUevwH6cWPA/image-shrink_1280/B56Z6AaLIUKkAc-/0/1780270805756/Ad211png?e=2147483647&amp;v=beta&amp;t=EU-zb0V4Qt9I9Pmof6TxqYfN8i31tA-XtbaSSkHtjdY","View Creative")</f>
        <v>View Creative</v>
      </c>
      <c r="L2604" s="4" t="s">
        <v>106</v>
      </c>
      <c r="M2604" s="4" t="s">
        <v>5965</v>
      </c>
      <c r="O2604" s="4" t="s">
        <v>63</v>
      </c>
      <c r="P2604" s="4" t="s">
        <v>64</v>
      </c>
    </row>
    <row r="2605">
      <c r="A2605" s="4" t="s">
        <v>5965</v>
      </c>
      <c r="B2605" s="4" t="s">
        <v>5965</v>
      </c>
      <c r="C2605" s="4">
        <v>994.0</v>
      </c>
      <c r="D2605" s="5" t="str">
        <f>HYPERLINK("https://www.linkedin.com/ad-library/detail/1426291066","Open Ad")</f>
        <v>Open Ad</v>
      </c>
      <c r="E2605" s="4" t="s">
        <v>78</v>
      </c>
      <c r="F2605" s="4" t="s">
        <v>54</v>
      </c>
      <c r="G2605" s="4" t="s">
        <v>6474</v>
      </c>
      <c r="H2605" s="4" t="s">
        <v>49</v>
      </c>
      <c r="I2605" s="4" t="s">
        <v>6005</v>
      </c>
      <c r="J2605" s="4" t="s">
        <v>78</v>
      </c>
      <c r="K2605" s="4" t="s">
        <v>59</v>
      </c>
      <c r="L2605" s="4" t="s">
        <v>106</v>
      </c>
      <c r="M2605" s="4" t="s">
        <v>5965</v>
      </c>
      <c r="O2605" s="4" t="s">
        <v>63</v>
      </c>
      <c r="P2605" s="4" t="s">
        <v>64</v>
      </c>
    </row>
    <row r="2606">
      <c r="A2606" s="4" t="s">
        <v>5965</v>
      </c>
      <c r="B2606" s="4" t="s">
        <v>5965</v>
      </c>
      <c r="C2606" s="4">
        <v>995.0</v>
      </c>
      <c r="D2606" s="5" t="str">
        <f>HYPERLINK("https://www.linkedin.com/ad-library/detail/1426321156","Open Ad")</f>
        <v>Open Ad</v>
      </c>
      <c r="E2606" s="4" t="s">
        <v>78</v>
      </c>
      <c r="F2606" s="4" t="s">
        <v>54</v>
      </c>
      <c r="G2606" s="4" t="s">
        <v>6270</v>
      </c>
      <c r="H2606" s="4" t="s">
        <v>49</v>
      </c>
      <c r="I2606" s="4" t="s">
        <v>6005</v>
      </c>
      <c r="J2606" s="4" t="s">
        <v>78</v>
      </c>
      <c r="K2606" s="5" t="str">
        <f>HYPERLINK("https://media.licdn.com/dms/image/v2/D5610AQEC6uKodaP14A/image-shrink_1280/B56Z6AaqPKHwAg-/0/1780270933257/Ad201png?e=2147483647&amp;v=beta&amp;t=1A661kGu5AkvtoRboYevKI4nXl-sd3eUIKlZq0ouF78","View Creative")</f>
        <v>View Creative</v>
      </c>
      <c r="L2606" s="4" t="s">
        <v>106</v>
      </c>
      <c r="M2606" s="4" t="s">
        <v>5965</v>
      </c>
      <c r="O2606" s="4" t="s">
        <v>63</v>
      </c>
      <c r="P2606" s="4" t="s">
        <v>64</v>
      </c>
    </row>
    <row r="2607">
      <c r="A2607" s="4" t="s">
        <v>5965</v>
      </c>
      <c r="B2607" s="4" t="s">
        <v>5965</v>
      </c>
      <c r="C2607" s="4">
        <v>996.0</v>
      </c>
      <c r="D2607" s="5" t="str">
        <f>HYPERLINK("https://www.linkedin.com/ad-library/detail/1426451006","Open Ad")</f>
        <v>Open Ad</v>
      </c>
      <c r="E2607" s="4" t="s">
        <v>78</v>
      </c>
      <c r="F2607" s="4" t="s">
        <v>54</v>
      </c>
      <c r="G2607" s="4" t="s">
        <v>6406</v>
      </c>
      <c r="H2607" s="4" t="s">
        <v>49</v>
      </c>
      <c r="I2607" s="4" t="s">
        <v>6005</v>
      </c>
      <c r="J2607" s="4" t="s">
        <v>78</v>
      </c>
      <c r="K2607" s="5" t="str">
        <f t="shared" ref="K2607:K2609" si="113">HYPERLINK("https://media.licdn.com/dms/image/v2/D5610AQERUevwH6cWPA/image-shrink_1280/B56Z6AaLIUKkAc-/0/1780270805756/Ad211png?e=2147483647&amp;v=beta&amp;t=EU-zb0V4Qt9I9Pmof6TxqYfN8i31tA-XtbaSSkHtjdY","View Creative")</f>
        <v>View Creative</v>
      </c>
      <c r="L2607" s="4" t="s">
        <v>106</v>
      </c>
      <c r="M2607" s="4" t="s">
        <v>5965</v>
      </c>
      <c r="O2607" s="4" t="s">
        <v>63</v>
      </c>
      <c r="P2607" s="4" t="s">
        <v>64</v>
      </c>
    </row>
    <row r="2608">
      <c r="A2608" s="4" t="s">
        <v>5965</v>
      </c>
      <c r="B2608" s="4" t="s">
        <v>5965</v>
      </c>
      <c r="C2608" s="4">
        <v>997.0</v>
      </c>
      <c r="D2608" s="5" t="str">
        <f>HYPERLINK("https://www.linkedin.com/ad-library/detail/1426341016","Open Ad")</f>
        <v>Open Ad</v>
      </c>
      <c r="E2608" s="4" t="s">
        <v>78</v>
      </c>
      <c r="F2608" s="4" t="s">
        <v>54</v>
      </c>
      <c r="G2608" s="4" t="s">
        <v>6406</v>
      </c>
      <c r="H2608" s="4" t="s">
        <v>49</v>
      </c>
      <c r="I2608" s="4" t="s">
        <v>6005</v>
      </c>
      <c r="J2608" s="4" t="s">
        <v>78</v>
      </c>
      <c r="K2608" s="5" t="str">
        <f t="shared" si="113"/>
        <v>View Creative</v>
      </c>
      <c r="L2608" s="4" t="s">
        <v>106</v>
      </c>
      <c r="M2608" s="4" t="s">
        <v>5965</v>
      </c>
      <c r="O2608" s="4" t="s">
        <v>63</v>
      </c>
      <c r="P2608" s="4" t="s">
        <v>64</v>
      </c>
    </row>
    <row r="2609">
      <c r="A2609" s="4" t="s">
        <v>5965</v>
      </c>
      <c r="B2609" s="4" t="s">
        <v>5965</v>
      </c>
      <c r="C2609" s="4">
        <v>998.0</v>
      </c>
      <c r="D2609" s="5" t="str">
        <f>HYPERLINK("https://www.linkedin.com/ad-library/detail/1426471256","Open Ad")</f>
        <v>Open Ad</v>
      </c>
      <c r="E2609" s="4" t="s">
        <v>78</v>
      </c>
      <c r="F2609" s="4" t="s">
        <v>54</v>
      </c>
      <c r="G2609" s="4" t="s">
        <v>6270</v>
      </c>
      <c r="H2609" s="4" t="s">
        <v>49</v>
      </c>
      <c r="I2609" s="4" t="s">
        <v>6005</v>
      </c>
      <c r="J2609" s="4" t="s">
        <v>78</v>
      </c>
      <c r="K2609" s="5" t="str">
        <f t="shared" si="113"/>
        <v>View Creative</v>
      </c>
      <c r="L2609" s="4" t="s">
        <v>106</v>
      </c>
      <c r="M2609" s="4" t="s">
        <v>5965</v>
      </c>
      <c r="O2609" s="4" t="s">
        <v>63</v>
      </c>
      <c r="P2609" s="4" t="s">
        <v>64</v>
      </c>
    </row>
    <row r="2610">
      <c r="A2610" s="4" t="s">
        <v>5965</v>
      </c>
      <c r="B2610" s="4" t="s">
        <v>5965</v>
      </c>
      <c r="C2610" s="4">
        <v>999.0</v>
      </c>
      <c r="D2610" s="5" t="str">
        <f>HYPERLINK("https://www.linkedin.com/ad-library/detail/1426471236","Open Ad")</f>
        <v>Open Ad</v>
      </c>
      <c r="E2610" s="4" t="s">
        <v>78</v>
      </c>
      <c r="F2610" s="4" t="s">
        <v>54</v>
      </c>
      <c r="G2610" s="4" t="s">
        <v>6270</v>
      </c>
      <c r="H2610" s="4" t="s">
        <v>49</v>
      </c>
      <c r="I2610" s="4" t="s">
        <v>6005</v>
      </c>
      <c r="J2610" s="4" t="s">
        <v>78</v>
      </c>
      <c r="K2610" s="5" t="str">
        <f t="shared" ref="K2610:K2611" si="114">HYPERLINK("https://media.licdn.com/dms/image/v2/D5610AQEC6uKodaP14A/image-shrink_1280/B56Z6AaqPKHwAg-/0/1780270933257/Ad201png?e=2147483647&amp;v=beta&amp;t=1A661kGu5AkvtoRboYevKI4nXl-sd3eUIKlZq0ouF78","View Creative")</f>
        <v>View Creative</v>
      </c>
      <c r="L2610" s="4" t="s">
        <v>106</v>
      </c>
      <c r="M2610" s="4" t="s">
        <v>5965</v>
      </c>
      <c r="O2610" s="4" t="s">
        <v>63</v>
      </c>
      <c r="P2610" s="4" t="s">
        <v>64</v>
      </c>
    </row>
    <row r="2611">
      <c r="A2611" s="4" t="s">
        <v>5965</v>
      </c>
      <c r="B2611" s="4" t="s">
        <v>5965</v>
      </c>
      <c r="C2611" s="4">
        <v>1000.0</v>
      </c>
      <c r="D2611" s="5" t="str">
        <f>HYPERLINK("https://www.linkedin.com/ad-library/detail/1426341006","Open Ad")</f>
        <v>Open Ad</v>
      </c>
      <c r="E2611" s="4" t="s">
        <v>78</v>
      </c>
      <c r="F2611" s="4" t="s">
        <v>54</v>
      </c>
      <c r="G2611" s="4" t="s">
        <v>6270</v>
      </c>
      <c r="H2611" s="4" t="s">
        <v>49</v>
      </c>
      <c r="I2611" s="4" t="s">
        <v>6005</v>
      </c>
      <c r="J2611" s="4" t="s">
        <v>78</v>
      </c>
      <c r="K2611" s="5" t="str">
        <f t="shared" si="114"/>
        <v>View Creative</v>
      </c>
      <c r="L2611" s="4" t="s">
        <v>106</v>
      </c>
      <c r="M2611" s="4" t="s">
        <v>5965</v>
      </c>
      <c r="O2611" s="4" t="s">
        <v>63</v>
      </c>
      <c r="P2611" s="4" t="s">
        <v>64</v>
      </c>
    </row>
    <row r="2612">
      <c r="A2612" s="4" t="s">
        <v>5965</v>
      </c>
      <c r="B2612" s="4" t="s">
        <v>5965</v>
      </c>
      <c r="C2612" s="4">
        <v>1001.0</v>
      </c>
      <c r="D2612" s="5" t="str">
        <f>HYPERLINK("https://www.linkedin.com/ad-library/detail/1426480876","Open Ad")</f>
        <v>Open Ad</v>
      </c>
      <c r="E2612" s="4" t="s">
        <v>78</v>
      </c>
      <c r="F2612" s="4" t="s">
        <v>54</v>
      </c>
      <c r="G2612" s="4" t="s">
        <v>6473</v>
      </c>
      <c r="H2612" s="4" t="s">
        <v>49</v>
      </c>
      <c r="I2612" s="4" t="s">
        <v>6005</v>
      </c>
      <c r="J2612" s="4" t="s">
        <v>78</v>
      </c>
      <c r="K2612" s="4" t="s">
        <v>59</v>
      </c>
      <c r="L2612" s="4" t="s">
        <v>106</v>
      </c>
      <c r="M2612" s="4" t="s">
        <v>5965</v>
      </c>
      <c r="O2612" s="4" t="s">
        <v>63</v>
      </c>
      <c r="P2612" s="4" t="s">
        <v>64</v>
      </c>
    </row>
    <row r="2613">
      <c r="A2613" s="4" t="s">
        <v>5965</v>
      </c>
      <c r="B2613" s="4" t="s">
        <v>5965</v>
      </c>
      <c r="C2613" s="4">
        <v>1002.0</v>
      </c>
      <c r="D2613" s="5" t="str">
        <f>HYPERLINK("https://www.linkedin.com/ad-library/detail/1426471226","Open Ad")</f>
        <v>Open Ad</v>
      </c>
      <c r="E2613" s="4" t="s">
        <v>78</v>
      </c>
      <c r="F2613" s="4" t="s">
        <v>54</v>
      </c>
      <c r="G2613" s="4" t="s">
        <v>6406</v>
      </c>
      <c r="H2613" s="4" t="s">
        <v>49</v>
      </c>
      <c r="I2613" s="4" t="s">
        <v>6005</v>
      </c>
      <c r="J2613" s="4" t="s">
        <v>78</v>
      </c>
      <c r="K2613" s="5" t="str">
        <f t="shared" ref="K2613:K2615" si="115">HYPERLINK("https://media.licdn.com/dms/image/v2/D5610AQEC6uKodaP14A/image-shrink_1280/B56Z6AaqPKHwAg-/0/1780270933257/Ad201png?e=2147483647&amp;v=beta&amp;t=1A661kGu5AkvtoRboYevKI4nXl-sd3eUIKlZq0ouF78","View Creative")</f>
        <v>View Creative</v>
      </c>
      <c r="L2613" s="4" t="s">
        <v>106</v>
      </c>
      <c r="M2613" s="4" t="s">
        <v>5965</v>
      </c>
      <c r="O2613" s="4" t="s">
        <v>63</v>
      </c>
      <c r="P2613" s="4" t="s">
        <v>64</v>
      </c>
    </row>
    <row r="2614">
      <c r="A2614" s="4" t="s">
        <v>5965</v>
      </c>
      <c r="B2614" s="4" t="s">
        <v>5965</v>
      </c>
      <c r="C2614" s="4">
        <v>1003.0</v>
      </c>
      <c r="D2614" s="5" t="str">
        <f>HYPERLINK("https://www.linkedin.com/ad-library/detail/1426340996","Open Ad")</f>
        <v>Open Ad</v>
      </c>
      <c r="E2614" s="4" t="s">
        <v>78</v>
      </c>
      <c r="F2614" s="4" t="s">
        <v>54</v>
      </c>
      <c r="G2614" s="4" t="s">
        <v>6406</v>
      </c>
      <c r="H2614" s="4" t="s">
        <v>49</v>
      </c>
      <c r="I2614" s="4" t="s">
        <v>6005</v>
      </c>
      <c r="J2614" s="4" t="s">
        <v>78</v>
      </c>
      <c r="K2614" s="5" t="str">
        <f t="shared" si="115"/>
        <v>View Creative</v>
      </c>
      <c r="L2614" s="4" t="s">
        <v>106</v>
      </c>
      <c r="M2614" s="4" t="s">
        <v>5965</v>
      </c>
      <c r="O2614" s="4" t="s">
        <v>63</v>
      </c>
      <c r="P2614" s="4" t="s">
        <v>64</v>
      </c>
    </row>
    <row r="2615">
      <c r="A2615" s="4" t="s">
        <v>5965</v>
      </c>
      <c r="B2615" s="4" t="s">
        <v>5965</v>
      </c>
      <c r="C2615" s="4">
        <v>1004.0</v>
      </c>
      <c r="D2615" s="5" t="str">
        <f>HYPERLINK("https://www.linkedin.com/ad-library/detail/1426261176","Open Ad")</f>
        <v>Open Ad</v>
      </c>
      <c r="E2615" s="4" t="s">
        <v>78</v>
      </c>
      <c r="F2615" s="4" t="s">
        <v>54</v>
      </c>
      <c r="G2615" s="4" t="s">
        <v>6406</v>
      </c>
      <c r="H2615" s="4" t="s">
        <v>49</v>
      </c>
      <c r="I2615" s="4" t="s">
        <v>6005</v>
      </c>
      <c r="J2615" s="4" t="s">
        <v>78</v>
      </c>
      <c r="K2615" s="5" t="str">
        <f t="shared" si="115"/>
        <v>View Creative</v>
      </c>
      <c r="L2615" s="4" t="s">
        <v>106</v>
      </c>
      <c r="M2615" s="4" t="s">
        <v>5965</v>
      </c>
      <c r="O2615" s="4" t="s">
        <v>63</v>
      </c>
      <c r="P2615" s="4" t="s">
        <v>64</v>
      </c>
    </row>
    <row r="2616">
      <c r="A2616" s="4" t="s">
        <v>5965</v>
      </c>
      <c r="B2616" s="4" t="s">
        <v>5965</v>
      </c>
      <c r="C2616" s="4">
        <v>1005.0</v>
      </c>
      <c r="D2616" s="5" t="str">
        <f>HYPERLINK("https://www.linkedin.com/ad-library/detail/1426441156","Open Ad")</f>
        <v>Open Ad</v>
      </c>
      <c r="E2616" s="4" t="s">
        <v>78</v>
      </c>
      <c r="F2616" s="4" t="s">
        <v>54</v>
      </c>
      <c r="G2616" s="4" t="s">
        <v>6270</v>
      </c>
      <c r="H2616" s="4" t="s">
        <v>49</v>
      </c>
      <c r="I2616" s="4" t="s">
        <v>6005</v>
      </c>
      <c r="J2616" s="4" t="s">
        <v>78</v>
      </c>
      <c r="K2616" s="5" t="str">
        <f>HYPERLINK("https://media.licdn.com/dms/image/v2/D5610AQERUevwH6cWPA/image-shrink_1280/B56Z6AaLIUKkAc-/0/1780270805756/Ad211png?e=2147483647&amp;v=beta&amp;t=EU-zb0V4Qt9I9Pmof6TxqYfN8i31tA-XtbaSSkHtjdY","View Creative")</f>
        <v>View Creative</v>
      </c>
      <c r="L2616" s="4" t="s">
        <v>106</v>
      </c>
      <c r="M2616" s="4" t="s">
        <v>5965</v>
      </c>
      <c r="O2616" s="4" t="s">
        <v>63</v>
      </c>
      <c r="P2616" s="4" t="s">
        <v>64</v>
      </c>
    </row>
    <row r="2617">
      <c r="A2617" s="4" t="s">
        <v>5965</v>
      </c>
      <c r="B2617" s="4" t="s">
        <v>5965</v>
      </c>
      <c r="C2617" s="4">
        <v>1006.0</v>
      </c>
      <c r="D2617" s="5" t="str">
        <f>HYPERLINK("https://www.linkedin.com/ad-library/detail/1426371236","Open Ad")</f>
        <v>Open Ad</v>
      </c>
      <c r="E2617" s="4" t="s">
        <v>78</v>
      </c>
      <c r="F2617" s="4" t="s">
        <v>54</v>
      </c>
      <c r="G2617" s="4" t="s">
        <v>6270</v>
      </c>
      <c r="H2617" s="4" t="s">
        <v>49</v>
      </c>
      <c r="I2617" s="4" t="s">
        <v>6005</v>
      </c>
      <c r="J2617" s="4" t="s">
        <v>78</v>
      </c>
      <c r="K2617" s="5" t="str">
        <f>HYPERLINK("https://media.licdn.com/dms/image/v2/D5610AQEC6uKodaP14A/image-shrink_1280/B56Z6AaqPKHwAg-/0/1780270933257/Ad201png?e=2147483647&amp;v=beta&amp;t=1A661kGu5AkvtoRboYevKI4nXl-sd3eUIKlZq0ouF78","View Creative")</f>
        <v>View Creative</v>
      </c>
      <c r="L2617" s="4" t="s">
        <v>106</v>
      </c>
      <c r="M2617" s="4" t="s">
        <v>5965</v>
      </c>
      <c r="O2617" s="4" t="s">
        <v>63</v>
      </c>
      <c r="P2617" s="4" t="s">
        <v>64</v>
      </c>
    </row>
    <row r="2618">
      <c r="A2618" s="4" t="s">
        <v>5965</v>
      </c>
      <c r="B2618" s="4" t="s">
        <v>5965</v>
      </c>
      <c r="C2618" s="4">
        <v>1007.0</v>
      </c>
      <c r="D2618" s="5" t="str">
        <f>HYPERLINK("https://www.linkedin.com/ad-library/detail/1426261166","Open Ad")</f>
        <v>Open Ad</v>
      </c>
      <c r="E2618" s="4" t="s">
        <v>78</v>
      </c>
      <c r="F2618" s="4" t="s">
        <v>54</v>
      </c>
      <c r="G2618" s="4" t="s">
        <v>6270</v>
      </c>
      <c r="H2618" s="4" t="s">
        <v>49</v>
      </c>
      <c r="I2618" s="4" t="s">
        <v>6005</v>
      </c>
      <c r="J2618" s="4" t="s">
        <v>78</v>
      </c>
      <c r="K2618" s="5" t="str">
        <f t="shared" ref="K2618:K2619" si="116">HYPERLINK("https://media.licdn.com/dms/image/v2/D5610AQERUevwH6cWPA/image-shrink_1280/B56Z6AaLIUKkAc-/0/1780270805756/Ad211png?e=2147483647&amp;v=beta&amp;t=EU-zb0V4Qt9I9Pmof6TxqYfN8i31tA-XtbaSSkHtjdY","View Creative")</f>
        <v>View Creative</v>
      </c>
      <c r="L2618" s="4" t="s">
        <v>106</v>
      </c>
      <c r="M2618" s="4" t="s">
        <v>5965</v>
      </c>
      <c r="O2618" s="4" t="s">
        <v>63</v>
      </c>
      <c r="P2618" s="4" t="s">
        <v>64</v>
      </c>
    </row>
    <row r="2619">
      <c r="A2619" s="4" t="s">
        <v>5965</v>
      </c>
      <c r="B2619" s="4" t="s">
        <v>5965</v>
      </c>
      <c r="C2619" s="4">
        <v>1008.0</v>
      </c>
      <c r="D2619" s="5" t="str">
        <f>HYPERLINK("https://www.linkedin.com/ad-library/detail/1426391276","Open Ad")</f>
        <v>Open Ad</v>
      </c>
      <c r="E2619" s="4" t="s">
        <v>78</v>
      </c>
      <c r="F2619" s="4" t="s">
        <v>54</v>
      </c>
      <c r="G2619" s="4" t="s">
        <v>6406</v>
      </c>
      <c r="H2619" s="4" t="s">
        <v>49</v>
      </c>
      <c r="I2619" s="4" t="s">
        <v>6005</v>
      </c>
      <c r="J2619" s="4" t="s">
        <v>78</v>
      </c>
      <c r="K2619" s="5" t="str">
        <f t="shared" si="116"/>
        <v>View Creative</v>
      </c>
      <c r="L2619" s="4" t="s">
        <v>106</v>
      </c>
      <c r="M2619" s="4" t="s">
        <v>5965</v>
      </c>
      <c r="O2619" s="4" t="s">
        <v>63</v>
      </c>
      <c r="P2619" s="4" t="s">
        <v>64</v>
      </c>
    </row>
    <row r="2620">
      <c r="A2620" s="4" t="s">
        <v>5965</v>
      </c>
      <c r="B2620" s="4" t="s">
        <v>5965</v>
      </c>
      <c r="C2620" s="4">
        <v>1009.0</v>
      </c>
      <c r="D2620" s="5" t="str">
        <f>HYPERLINK("https://www.linkedin.com/ad-library/detail/1315982794","Open Ad")</f>
        <v>Open Ad</v>
      </c>
      <c r="E2620" s="4" t="s">
        <v>5970</v>
      </c>
      <c r="F2620" s="4" t="s">
        <v>54</v>
      </c>
      <c r="G2620" s="4" t="s">
        <v>6280</v>
      </c>
      <c r="H2620" s="4" t="s">
        <v>49</v>
      </c>
      <c r="I2620" s="4" t="s">
        <v>6005</v>
      </c>
      <c r="J2620" s="4" t="s">
        <v>5973</v>
      </c>
      <c r="K2620" s="4" t="s">
        <v>59</v>
      </c>
      <c r="L2620" s="4" t="s">
        <v>106</v>
      </c>
      <c r="M2620" s="4" t="s">
        <v>5965</v>
      </c>
      <c r="O2620" s="4" t="s">
        <v>63</v>
      </c>
      <c r="P2620" s="4" t="s">
        <v>64</v>
      </c>
    </row>
    <row r="2621">
      <c r="A2621" s="4" t="s">
        <v>5965</v>
      </c>
      <c r="B2621" s="4" t="s">
        <v>5965</v>
      </c>
      <c r="C2621" s="4">
        <v>1010.0</v>
      </c>
      <c r="D2621" s="5" t="str">
        <f>HYPERLINK("https://www.linkedin.com/ad-library/detail/1426380346","Open Ad")</f>
        <v>Open Ad</v>
      </c>
      <c r="E2621" s="4" t="s">
        <v>5970</v>
      </c>
      <c r="F2621" s="4" t="s">
        <v>54</v>
      </c>
      <c r="G2621" s="4" t="s">
        <v>6278</v>
      </c>
      <c r="H2621" s="4" t="s">
        <v>49</v>
      </c>
      <c r="I2621" s="4" t="s">
        <v>6005</v>
      </c>
      <c r="J2621" s="4" t="s">
        <v>5973</v>
      </c>
      <c r="K2621" s="4" t="s">
        <v>59</v>
      </c>
      <c r="L2621" s="4" t="s">
        <v>106</v>
      </c>
      <c r="M2621" s="4" t="s">
        <v>5965</v>
      </c>
      <c r="O2621" s="4" t="s">
        <v>63</v>
      </c>
      <c r="P2621" s="4" t="s">
        <v>64</v>
      </c>
    </row>
    <row r="2622">
      <c r="A2622" s="4" t="s">
        <v>5965</v>
      </c>
      <c r="B2622" s="4" t="s">
        <v>5965</v>
      </c>
      <c r="C2622" s="4">
        <v>1011.0</v>
      </c>
      <c r="D2622" s="5" t="str">
        <f>HYPERLINK("https://www.linkedin.com/ad-library/detail/1426500216","Open Ad")</f>
        <v>Open Ad</v>
      </c>
      <c r="E2622" s="4" t="s">
        <v>5970</v>
      </c>
      <c r="F2622" s="4" t="s">
        <v>54</v>
      </c>
      <c r="G2622" s="4" t="s">
        <v>6278</v>
      </c>
      <c r="H2622" s="4" t="s">
        <v>49</v>
      </c>
      <c r="I2622" s="4" t="s">
        <v>6005</v>
      </c>
      <c r="J2622" s="4" t="s">
        <v>5973</v>
      </c>
      <c r="K2622" s="4" t="s">
        <v>59</v>
      </c>
      <c r="L2622" s="4" t="s">
        <v>106</v>
      </c>
      <c r="M2622" s="4" t="s">
        <v>5965</v>
      </c>
      <c r="O2622" s="4" t="s">
        <v>63</v>
      </c>
      <c r="P2622" s="4" t="s">
        <v>64</v>
      </c>
    </row>
    <row r="2623">
      <c r="A2623" s="4" t="s">
        <v>5965</v>
      </c>
      <c r="B2623" s="4" t="s">
        <v>5965</v>
      </c>
      <c r="C2623" s="4">
        <v>1012.0</v>
      </c>
      <c r="D2623" s="5" t="str">
        <f>HYPERLINK("https://www.linkedin.com/ad-library/detail/1426350346","Open Ad")</f>
        <v>Open Ad</v>
      </c>
      <c r="E2623" s="4" t="s">
        <v>5970</v>
      </c>
      <c r="F2623" s="4" t="s">
        <v>54</v>
      </c>
      <c r="G2623" s="4" t="s">
        <v>6028</v>
      </c>
      <c r="H2623" s="4" t="s">
        <v>49</v>
      </c>
      <c r="I2623" s="4" t="s">
        <v>6005</v>
      </c>
      <c r="J2623" s="4" t="s">
        <v>5973</v>
      </c>
      <c r="K2623" s="4" t="s">
        <v>59</v>
      </c>
      <c r="L2623" s="4" t="s">
        <v>106</v>
      </c>
      <c r="M2623" s="4" t="s">
        <v>5965</v>
      </c>
      <c r="O2623" s="4" t="s">
        <v>63</v>
      </c>
      <c r="P2623" s="4" t="s">
        <v>64</v>
      </c>
    </row>
    <row r="2624">
      <c r="A2624" s="4" t="s">
        <v>5965</v>
      </c>
      <c r="B2624" s="4" t="s">
        <v>5965</v>
      </c>
      <c r="C2624" s="4">
        <v>1013.0</v>
      </c>
      <c r="D2624" s="5" t="str">
        <f>HYPERLINK("https://www.linkedin.com/ad-library/detail/1426300246","Open Ad")</f>
        <v>Open Ad</v>
      </c>
      <c r="E2624" s="4" t="s">
        <v>5970</v>
      </c>
      <c r="F2624" s="4" t="s">
        <v>54</v>
      </c>
      <c r="G2624" s="4" t="s">
        <v>6278</v>
      </c>
      <c r="H2624" s="4" t="s">
        <v>49</v>
      </c>
      <c r="I2624" s="4" t="s">
        <v>6005</v>
      </c>
      <c r="J2624" s="4" t="s">
        <v>5973</v>
      </c>
      <c r="K2624" s="4" t="s">
        <v>59</v>
      </c>
      <c r="L2624" s="4" t="s">
        <v>106</v>
      </c>
      <c r="M2624" s="4" t="s">
        <v>5965</v>
      </c>
      <c r="O2624" s="4" t="s">
        <v>63</v>
      </c>
      <c r="P2624" s="4" t="s">
        <v>64</v>
      </c>
    </row>
    <row r="2625">
      <c r="A2625" s="4" t="s">
        <v>5965</v>
      </c>
      <c r="B2625" s="4" t="s">
        <v>5965</v>
      </c>
      <c r="C2625" s="4">
        <v>1014.0</v>
      </c>
      <c r="D2625" s="5" t="str">
        <f>HYPERLINK("https://www.linkedin.com/ad-library/detail/1426350336","Open Ad")</f>
        <v>Open Ad</v>
      </c>
      <c r="E2625" s="4" t="s">
        <v>5970</v>
      </c>
      <c r="F2625" s="4" t="s">
        <v>54</v>
      </c>
      <c r="G2625" s="4" t="s">
        <v>6278</v>
      </c>
      <c r="H2625" s="4" t="s">
        <v>49</v>
      </c>
      <c r="I2625" s="4" t="s">
        <v>6005</v>
      </c>
      <c r="J2625" s="4" t="s">
        <v>5973</v>
      </c>
      <c r="K2625" s="4" t="s">
        <v>59</v>
      </c>
      <c r="L2625" s="4" t="s">
        <v>106</v>
      </c>
      <c r="M2625" s="4" t="s">
        <v>5965</v>
      </c>
      <c r="O2625" s="4" t="s">
        <v>63</v>
      </c>
      <c r="P2625" s="4" t="s">
        <v>64</v>
      </c>
    </row>
    <row r="2626">
      <c r="A2626" s="4" t="s">
        <v>5965</v>
      </c>
      <c r="B2626" s="4" t="s">
        <v>5965</v>
      </c>
      <c r="C2626" s="4">
        <v>1015.0</v>
      </c>
      <c r="D2626" s="5" t="str">
        <f>HYPERLINK("https://www.linkedin.com/ad-library/detail/1426420356","Open Ad")</f>
        <v>Open Ad</v>
      </c>
      <c r="E2626" s="4" t="s">
        <v>5970</v>
      </c>
      <c r="F2626" s="4" t="s">
        <v>54</v>
      </c>
      <c r="G2626" s="4" t="s">
        <v>6280</v>
      </c>
      <c r="H2626" s="4" t="s">
        <v>49</v>
      </c>
      <c r="I2626" s="4" t="s">
        <v>6005</v>
      </c>
      <c r="J2626" s="4" t="s">
        <v>5973</v>
      </c>
      <c r="K2626" s="4" t="s">
        <v>59</v>
      </c>
      <c r="L2626" s="4" t="s">
        <v>106</v>
      </c>
      <c r="M2626" s="4" t="s">
        <v>5965</v>
      </c>
      <c r="O2626" s="4" t="s">
        <v>63</v>
      </c>
      <c r="P2626" s="4" t="s">
        <v>64</v>
      </c>
    </row>
    <row r="2627">
      <c r="A2627" s="4" t="s">
        <v>5965</v>
      </c>
      <c r="B2627" s="4" t="s">
        <v>5965</v>
      </c>
      <c r="C2627" s="4">
        <v>1016.0</v>
      </c>
      <c r="D2627" s="5" t="str">
        <f>HYPERLINK("https://www.linkedin.com/ad-library/detail/1426380246","Open Ad")</f>
        <v>Open Ad</v>
      </c>
      <c r="E2627" s="4" t="s">
        <v>5970</v>
      </c>
      <c r="F2627" s="4" t="s">
        <v>54</v>
      </c>
      <c r="G2627" s="4" t="s">
        <v>6278</v>
      </c>
      <c r="H2627" s="4" t="s">
        <v>49</v>
      </c>
      <c r="I2627" s="4" t="s">
        <v>6005</v>
      </c>
      <c r="J2627" s="4" t="s">
        <v>5973</v>
      </c>
      <c r="K2627" s="4" t="s">
        <v>59</v>
      </c>
      <c r="L2627" s="4" t="s">
        <v>106</v>
      </c>
      <c r="M2627" s="4" t="s">
        <v>5965</v>
      </c>
      <c r="O2627" s="4" t="s">
        <v>63</v>
      </c>
      <c r="P2627" s="4" t="s">
        <v>64</v>
      </c>
    </row>
    <row r="2628">
      <c r="A2628" s="4" t="s">
        <v>5965</v>
      </c>
      <c r="B2628" s="4" t="s">
        <v>5965</v>
      </c>
      <c r="C2628" s="4">
        <v>1017.0</v>
      </c>
      <c r="D2628" s="5" t="str">
        <f>HYPERLINK("https://www.linkedin.com/ad-library/detail/1426340176","Open Ad")</f>
        <v>Open Ad</v>
      </c>
      <c r="E2628" s="4" t="s">
        <v>5970</v>
      </c>
      <c r="F2628" s="4" t="s">
        <v>54</v>
      </c>
      <c r="G2628" s="4" t="s">
        <v>6028</v>
      </c>
      <c r="H2628" s="4" t="s">
        <v>49</v>
      </c>
      <c r="I2628" s="4" t="s">
        <v>6005</v>
      </c>
      <c r="J2628" s="4" t="s">
        <v>5973</v>
      </c>
      <c r="K2628" s="4" t="s">
        <v>59</v>
      </c>
      <c r="L2628" s="4" t="s">
        <v>106</v>
      </c>
      <c r="M2628" s="4" t="s">
        <v>5965</v>
      </c>
      <c r="O2628" s="4" t="s">
        <v>63</v>
      </c>
      <c r="P2628" s="4" t="s">
        <v>64</v>
      </c>
    </row>
    <row r="2629">
      <c r="A2629" s="4" t="s">
        <v>5965</v>
      </c>
      <c r="B2629" s="4" t="s">
        <v>5965</v>
      </c>
      <c r="C2629" s="4">
        <v>1018.0</v>
      </c>
      <c r="D2629" s="5" t="str">
        <f>HYPERLINK("https://www.linkedin.com/ad-library/detail/1426340186","Open Ad")</f>
        <v>Open Ad</v>
      </c>
      <c r="E2629" s="4" t="s">
        <v>5970</v>
      </c>
      <c r="F2629" s="4" t="s">
        <v>54</v>
      </c>
      <c r="G2629" s="4" t="s">
        <v>6028</v>
      </c>
      <c r="H2629" s="4" t="s">
        <v>49</v>
      </c>
      <c r="I2629" s="4" t="s">
        <v>6005</v>
      </c>
      <c r="J2629" s="4" t="s">
        <v>5973</v>
      </c>
      <c r="K2629" s="4" t="s">
        <v>59</v>
      </c>
      <c r="L2629" s="4" t="s">
        <v>106</v>
      </c>
      <c r="M2629" s="4" t="s">
        <v>5965</v>
      </c>
      <c r="O2629" s="4" t="s">
        <v>63</v>
      </c>
      <c r="P2629" s="4" t="s">
        <v>64</v>
      </c>
    </row>
    <row r="2630">
      <c r="A2630" s="4" t="s">
        <v>5965</v>
      </c>
      <c r="B2630" s="4" t="s">
        <v>5965</v>
      </c>
      <c r="C2630" s="4">
        <v>1019.0</v>
      </c>
      <c r="D2630" s="5" t="str">
        <f>HYPERLINK("https://www.linkedin.com/ad-library/detail/1426270346","Open Ad")</f>
        <v>Open Ad</v>
      </c>
      <c r="E2630" s="4" t="s">
        <v>5970</v>
      </c>
      <c r="F2630" s="4" t="s">
        <v>54</v>
      </c>
      <c r="G2630" s="4" t="s">
        <v>6028</v>
      </c>
      <c r="H2630" s="4" t="s">
        <v>49</v>
      </c>
      <c r="I2630" s="4" t="s">
        <v>6005</v>
      </c>
      <c r="J2630" s="4" t="s">
        <v>5973</v>
      </c>
      <c r="K2630" s="4" t="s">
        <v>59</v>
      </c>
      <c r="L2630" s="4" t="s">
        <v>106</v>
      </c>
      <c r="M2630" s="4" t="s">
        <v>5965</v>
      </c>
      <c r="O2630" s="4" t="s">
        <v>63</v>
      </c>
      <c r="P2630" s="4" t="s">
        <v>64</v>
      </c>
    </row>
    <row r="2631">
      <c r="A2631" s="4" t="s">
        <v>5965</v>
      </c>
      <c r="B2631" s="4" t="s">
        <v>5965</v>
      </c>
      <c r="C2631" s="4">
        <v>1020.0</v>
      </c>
      <c r="D2631" s="5" t="str">
        <f>HYPERLINK("https://www.linkedin.com/ad-library/detail/1426390326","Open Ad")</f>
        <v>Open Ad</v>
      </c>
      <c r="E2631" s="4" t="s">
        <v>5970</v>
      </c>
      <c r="F2631" s="4" t="s">
        <v>54</v>
      </c>
      <c r="G2631" s="4" t="s">
        <v>6278</v>
      </c>
      <c r="H2631" s="4" t="s">
        <v>49</v>
      </c>
      <c r="I2631" s="4" t="s">
        <v>6005</v>
      </c>
      <c r="J2631" s="4" t="s">
        <v>5973</v>
      </c>
      <c r="K2631" s="4" t="s">
        <v>59</v>
      </c>
      <c r="L2631" s="4" t="s">
        <v>106</v>
      </c>
      <c r="M2631" s="4" t="s">
        <v>5965</v>
      </c>
      <c r="O2631" s="4" t="s">
        <v>63</v>
      </c>
      <c r="P2631" s="4" t="s">
        <v>64</v>
      </c>
    </row>
    <row r="2632">
      <c r="A2632" s="4" t="s">
        <v>5965</v>
      </c>
      <c r="B2632" s="4" t="s">
        <v>5965</v>
      </c>
      <c r="C2632" s="4">
        <v>1021.0</v>
      </c>
      <c r="D2632" s="5" t="str">
        <f>HYPERLINK("https://www.linkedin.com/ad-library/detail/1426390316","Open Ad")</f>
        <v>Open Ad</v>
      </c>
      <c r="E2632" s="4" t="s">
        <v>5970</v>
      </c>
      <c r="F2632" s="4" t="s">
        <v>54</v>
      </c>
      <c r="G2632" s="4" t="s">
        <v>6278</v>
      </c>
      <c r="H2632" s="4" t="s">
        <v>49</v>
      </c>
      <c r="I2632" s="4" t="s">
        <v>6005</v>
      </c>
      <c r="J2632" s="4" t="s">
        <v>5973</v>
      </c>
      <c r="K2632" s="4" t="s">
        <v>59</v>
      </c>
      <c r="L2632" s="4" t="s">
        <v>106</v>
      </c>
      <c r="M2632" s="4" t="s">
        <v>5965</v>
      </c>
      <c r="O2632" s="4" t="s">
        <v>63</v>
      </c>
      <c r="P2632" s="4" t="s">
        <v>64</v>
      </c>
    </row>
    <row r="2633">
      <c r="A2633" s="4" t="s">
        <v>5965</v>
      </c>
      <c r="B2633" s="4" t="s">
        <v>5965</v>
      </c>
      <c r="C2633" s="4">
        <v>1022.0</v>
      </c>
      <c r="D2633" s="5" t="str">
        <f>HYPERLINK("https://www.linkedin.com/ad-library/detail/1426311046","Open Ad")</f>
        <v>Open Ad</v>
      </c>
      <c r="E2633" s="4" t="s">
        <v>5970</v>
      </c>
      <c r="F2633" s="4" t="s">
        <v>54</v>
      </c>
      <c r="G2633" s="4" t="s">
        <v>6278</v>
      </c>
      <c r="H2633" s="4" t="s">
        <v>49</v>
      </c>
      <c r="I2633" s="4" t="s">
        <v>6005</v>
      </c>
      <c r="J2633" s="4" t="s">
        <v>5973</v>
      </c>
      <c r="K2633" s="4" t="s">
        <v>59</v>
      </c>
      <c r="L2633" s="4" t="s">
        <v>106</v>
      </c>
      <c r="M2633" s="4" t="s">
        <v>5965</v>
      </c>
      <c r="O2633" s="4" t="s">
        <v>63</v>
      </c>
      <c r="P2633" s="4" t="s">
        <v>64</v>
      </c>
    </row>
    <row r="2634">
      <c r="A2634" s="4" t="s">
        <v>5965</v>
      </c>
      <c r="B2634" s="4" t="s">
        <v>5965</v>
      </c>
      <c r="C2634" s="4">
        <v>1023.0</v>
      </c>
      <c r="D2634" s="5" t="str">
        <f>HYPERLINK("https://www.linkedin.com/ad-library/detail/1426470256","Open Ad")</f>
        <v>Open Ad</v>
      </c>
      <c r="E2634" s="4" t="s">
        <v>5970</v>
      </c>
      <c r="F2634" s="4" t="s">
        <v>54</v>
      </c>
      <c r="G2634" s="4" t="s">
        <v>6028</v>
      </c>
      <c r="H2634" s="4" t="s">
        <v>49</v>
      </c>
      <c r="I2634" s="4" t="s">
        <v>6005</v>
      </c>
      <c r="J2634" s="4" t="s">
        <v>5973</v>
      </c>
      <c r="K2634" s="4" t="s">
        <v>59</v>
      </c>
      <c r="L2634" s="4" t="s">
        <v>106</v>
      </c>
      <c r="M2634" s="4" t="s">
        <v>5965</v>
      </c>
      <c r="O2634" s="4" t="s">
        <v>63</v>
      </c>
      <c r="P2634" s="4" t="s">
        <v>64</v>
      </c>
    </row>
    <row r="2635">
      <c r="A2635" s="4" t="s">
        <v>5965</v>
      </c>
      <c r="B2635" s="4" t="s">
        <v>5965</v>
      </c>
      <c r="C2635" s="4">
        <v>1024.0</v>
      </c>
      <c r="D2635" s="5" t="str">
        <f>HYPERLINK("https://www.linkedin.com/ad-library/detail/1426311036","Open Ad")</f>
        <v>Open Ad</v>
      </c>
      <c r="E2635" s="4" t="s">
        <v>5970</v>
      </c>
      <c r="F2635" s="4" t="s">
        <v>54</v>
      </c>
      <c r="G2635" s="4" t="s">
        <v>6280</v>
      </c>
      <c r="H2635" s="4" t="s">
        <v>49</v>
      </c>
      <c r="I2635" s="4" t="s">
        <v>6005</v>
      </c>
      <c r="J2635" s="4" t="s">
        <v>5973</v>
      </c>
      <c r="K2635" s="4" t="s">
        <v>59</v>
      </c>
      <c r="L2635" s="4" t="s">
        <v>106</v>
      </c>
      <c r="M2635" s="4" t="s">
        <v>5965</v>
      </c>
      <c r="O2635" s="4" t="s">
        <v>63</v>
      </c>
      <c r="P2635" s="4" t="s">
        <v>64</v>
      </c>
    </row>
    <row r="2636">
      <c r="A2636" s="4" t="s">
        <v>5965</v>
      </c>
      <c r="B2636" s="4" t="s">
        <v>5965</v>
      </c>
      <c r="C2636" s="4">
        <v>1025.0</v>
      </c>
      <c r="D2636" s="5" t="str">
        <f>HYPERLINK("https://www.linkedin.com/ad-library/detail/1426311026","Open Ad")</f>
        <v>Open Ad</v>
      </c>
      <c r="E2636" s="4" t="s">
        <v>5970</v>
      </c>
      <c r="F2636" s="4" t="s">
        <v>54</v>
      </c>
      <c r="G2636" s="4" t="s">
        <v>6028</v>
      </c>
      <c r="H2636" s="4" t="s">
        <v>49</v>
      </c>
      <c r="I2636" s="4" t="s">
        <v>6005</v>
      </c>
      <c r="J2636" s="4" t="s">
        <v>5973</v>
      </c>
      <c r="K2636" s="4" t="s">
        <v>59</v>
      </c>
      <c r="L2636" s="4" t="s">
        <v>106</v>
      </c>
      <c r="M2636" s="4" t="s">
        <v>5965</v>
      </c>
      <c r="O2636" s="4" t="s">
        <v>63</v>
      </c>
      <c r="P2636" s="4" t="s">
        <v>64</v>
      </c>
    </row>
    <row r="2637">
      <c r="A2637" s="4" t="s">
        <v>5965</v>
      </c>
      <c r="B2637" s="4" t="s">
        <v>5965</v>
      </c>
      <c r="C2637" s="4">
        <v>1026.0</v>
      </c>
      <c r="D2637" s="5" t="str">
        <f>HYPERLINK("https://www.linkedin.com/ad-library/detail/1426260296","Open Ad")</f>
        <v>Open Ad</v>
      </c>
      <c r="E2637" s="4" t="s">
        <v>5970</v>
      </c>
      <c r="F2637" s="4" t="s">
        <v>54</v>
      </c>
      <c r="G2637" s="4" t="s">
        <v>6028</v>
      </c>
      <c r="H2637" s="4" t="s">
        <v>49</v>
      </c>
      <c r="I2637" s="4" t="s">
        <v>6005</v>
      </c>
      <c r="J2637" s="4" t="s">
        <v>5973</v>
      </c>
      <c r="K2637" s="4" t="s">
        <v>59</v>
      </c>
      <c r="L2637" s="4" t="s">
        <v>106</v>
      </c>
      <c r="M2637" s="4" t="s">
        <v>5965</v>
      </c>
      <c r="O2637" s="4" t="s">
        <v>63</v>
      </c>
      <c r="P2637" s="4" t="s">
        <v>64</v>
      </c>
    </row>
    <row r="2638">
      <c r="A2638" s="4" t="s">
        <v>5965</v>
      </c>
      <c r="B2638" s="4" t="s">
        <v>5965</v>
      </c>
      <c r="C2638" s="4">
        <v>1027.0</v>
      </c>
      <c r="D2638" s="5" t="str">
        <f>HYPERLINK("https://www.linkedin.com/ad-library/detail/1426430236","Open Ad")</f>
        <v>Open Ad</v>
      </c>
      <c r="E2638" s="4" t="s">
        <v>5970</v>
      </c>
      <c r="F2638" s="4" t="s">
        <v>54</v>
      </c>
      <c r="G2638" s="4" t="s">
        <v>6028</v>
      </c>
      <c r="H2638" s="4" t="s">
        <v>49</v>
      </c>
      <c r="I2638" s="4" t="s">
        <v>6005</v>
      </c>
      <c r="J2638" s="4" t="s">
        <v>5973</v>
      </c>
      <c r="K2638" s="4" t="s">
        <v>59</v>
      </c>
      <c r="L2638" s="4" t="s">
        <v>106</v>
      </c>
      <c r="M2638" s="4" t="s">
        <v>5965</v>
      </c>
      <c r="O2638" s="4" t="s">
        <v>63</v>
      </c>
      <c r="P2638" s="4" t="s">
        <v>64</v>
      </c>
    </row>
    <row r="2639">
      <c r="A2639" s="4" t="s">
        <v>5965</v>
      </c>
      <c r="B2639" s="4" t="s">
        <v>5965</v>
      </c>
      <c r="C2639" s="4">
        <v>1028.0</v>
      </c>
      <c r="D2639" s="5" t="str">
        <f>HYPERLINK("https://www.linkedin.com/ad-library/detail/1426260286","Open Ad")</f>
        <v>Open Ad</v>
      </c>
      <c r="E2639" s="4" t="s">
        <v>5970</v>
      </c>
      <c r="F2639" s="4" t="s">
        <v>54</v>
      </c>
      <c r="G2639" s="4" t="s">
        <v>6028</v>
      </c>
      <c r="H2639" s="4" t="s">
        <v>49</v>
      </c>
      <c r="I2639" s="4" t="s">
        <v>6005</v>
      </c>
      <c r="J2639" s="4" t="s">
        <v>5973</v>
      </c>
      <c r="K2639" s="4" t="s">
        <v>59</v>
      </c>
      <c r="L2639" s="4" t="s">
        <v>106</v>
      </c>
      <c r="M2639" s="4" t="s">
        <v>5965</v>
      </c>
      <c r="O2639" s="4" t="s">
        <v>63</v>
      </c>
      <c r="P2639" s="4" t="s">
        <v>64</v>
      </c>
    </row>
    <row r="2640">
      <c r="A2640" s="4" t="s">
        <v>5965</v>
      </c>
      <c r="B2640" s="4" t="s">
        <v>5965</v>
      </c>
      <c r="C2640" s="4">
        <v>1029.0</v>
      </c>
      <c r="D2640" s="5" t="str">
        <f>HYPERLINK("https://www.linkedin.com/ad-library/detail/1426470826","Open Ad")</f>
        <v>Open Ad</v>
      </c>
      <c r="E2640" s="4" t="s">
        <v>5970</v>
      </c>
      <c r="F2640" s="4" t="s">
        <v>54</v>
      </c>
      <c r="G2640" s="4" t="s">
        <v>6278</v>
      </c>
      <c r="H2640" s="4" t="s">
        <v>49</v>
      </c>
      <c r="I2640" s="4" t="s">
        <v>6005</v>
      </c>
      <c r="J2640" s="4" t="s">
        <v>5973</v>
      </c>
      <c r="K2640" s="4" t="s">
        <v>59</v>
      </c>
      <c r="L2640" s="4" t="s">
        <v>106</v>
      </c>
      <c r="M2640" s="4" t="s">
        <v>5965</v>
      </c>
      <c r="O2640" s="4" t="s">
        <v>63</v>
      </c>
      <c r="P2640" s="4" t="s">
        <v>64</v>
      </c>
    </row>
    <row r="2641">
      <c r="A2641" s="4" t="s">
        <v>5965</v>
      </c>
      <c r="B2641" s="4" t="s">
        <v>5965</v>
      </c>
      <c r="C2641" s="4">
        <v>1030.0</v>
      </c>
      <c r="D2641" s="5" t="str">
        <f>HYPERLINK("https://www.linkedin.com/ad-library/detail/1426280786","Open Ad")</f>
        <v>Open Ad</v>
      </c>
      <c r="E2641" s="4" t="s">
        <v>5970</v>
      </c>
      <c r="F2641" s="4" t="s">
        <v>54</v>
      </c>
      <c r="G2641" s="4" t="s">
        <v>6280</v>
      </c>
      <c r="H2641" s="4" t="s">
        <v>49</v>
      </c>
      <c r="I2641" s="4" t="s">
        <v>6005</v>
      </c>
      <c r="J2641" s="4" t="s">
        <v>5973</v>
      </c>
      <c r="K2641" s="4" t="s">
        <v>59</v>
      </c>
      <c r="L2641" s="4" t="s">
        <v>106</v>
      </c>
      <c r="M2641" s="4" t="s">
        <v>5965</v>
      </c>
      <c r="O2641" s="4" t="s">
        <v>63</v>
      </c>
      <c r="P2641" s="4" t="s">
        <v>64</v>
      </c>
    </row>
    <row r="2642">
      <c r="A2642" s="4" t="s">
        <v>5965</v>
      </c>
      <c r="B2642" s="4" t="s">
        <v>5965</v>
      </c>
      <c r="C2642" s="4">
        <v>1031.0</v>
      </c>
      <c r="D2642" s="5" t="str">
        <f>HYPERLINK("https://www.linkedin.com/ad-library/detail/1426480276","Open Ad")</f>
        <v>Open Ad</v>
      </c>
      <c r="E2642" s="4" t="s">
        <v>5970</v>
      </c>
      <c r="F2642" s="4" t="s">
        <v>54</v>
      </c>
      <c r="G2642" s="4" t="s">
        <v>6278</v>
      </c>
      <c r="H2642" s="4" t="s">
        <v>49</v>
      </c>
      <c r="I2642" s="4" t="s">
        <v>6005</v>
      </c>
      <c r="J2642" s="4" t="s">
        <v>5973</v>
      </c>
      <c r="K2642" s="4" t="s">
        <v>59</v>
      </c>
      <c r="L2642" s="4" t="s">
        <v>106</v>
      </c>
      <c r="M2642" s="4" t="s">
        <v>5965</v>
      </c>
      <c r="O2642" s="4" t="s">
        <v>63</v>
      </c>
      <c r="P2642" s="4" t="s">
        <v>64</v>
      </c>
    </row>
    <row r="2643">
      <c r="A2643" s="4" t="s">
        <v>5965</v>
      </c>
      <c r="B2643" s="4" t="s">
        <v>5965</v>
      </c>
      <c r="C2643" s="4">
        <v>1032.0</v>
      </c>
      <c r="D2643" s="5" t="str">
        <f>HYPERLINK("https://www.linkedin.com/ad-library/detail/1426450626","Open Ad")</f>
        <v>Open Ad</v>
      </c>
      <c r="E2643" s="4" t="s">
        <v>5970</v>
      </c>
      <c r="F2643" s="4" t="s">
        <v>54</v>
      </c>
      <c r="G2643" s="4" t="s">
        <v>6028</v>
      </c>
      <c r="H2643" s="4" t="s">
        <v>49</v>
      </c>
      <c r="I2643" s="4" t="s">
        <v>6005</v>
      </c>
      <c r="J2643" s="4" t="s">
        <v>5973</v>
      </c>
      <c r="K2643" s="4" t="s">
        <v>59</v>
      </c>
      <c r="L2643" s="4" t="s">
        <v>106</v>
      </c>
      <c r="M2643" s="4" t="s">
        <v>5965</v>
      </c>
      <c r="O2643" s="4" t="s">
        <v>63</v>
      </c>
      <c r="P2643" s="4" t="s">
        <v>64</v>
      </c>
    </row>
    <row r="2644">
      <c r="A2644" s="4" t="s">
        <v>5965</v>
      </c>
      <c r="B2644" s="4" t="s">
        <v>5965</v>
      </c>
      <c r="C2644" s="4">
        <v>1033.0</v>
      </c>
      <c r="D2644" s="5" t="str">
        <f>HYPERLINK("https://www.linkedin.com/ad-library/detail/1423851086","Open Ad")</f>
        <v>Open Ad</v>
      </c>
      <c r="E2644" s="4" t="s">
        <v>121</v>
      </c>
      <c r="F2644" s="4" t="s">
        <v>54</v>
      </c>
      <c r="G2644" s="4" t="s">
        <v>6478</v>
      </c>
      <c r="H2644" s="4" t="s">
        <v>49</v>
      </c>
      <c r="I2644" s="4" t="s">
        <v>6005</v>
      </c>
      <c r="J2644" s="4" t="s">
        <v>121</v>
      </c>
      <c r="K2644" s="5" t="str">
        <f>HYPERLINK("https://dms.licdn.com/playlist/vid/v2/D4E10AQFYomRXRrqDig/mp4-360p-30fp-crf28/B4EZ5QZctRKYBc-/0/1779465322075?e=2147483647&amp;v=beta&amp;t=Jt-2HVZBVeqp6g4HzNUwGTY5HgwNqHDWTXjCIHGj-Rs","View Creative")</f>
        <v>View Creative</v>
      </c>
      <c r="L2644" s="4" t="s">
        <v>106</v>
      </c>
      <c r="M2644" s="4" t="s">
        <v>5965</v>
      </c>
      <c r="O2644" s="4" t="s">
        <v>63</v>
      </c>
      <c r="P2644" s="4" t="s">
        <v>64</v>
      </c>
    </row>
    <row r="2645">
      <c r="A2645" s="4" t="s">
        <v>5965</v>
      </c>
      <c r="B2645" s="4" t="s">
        <v>5965</v>
      </c>
      <c r="C2645" s="4">
        <v>1034.0</v>
      </c>
      <c r="D2645" s="5" t="str">
        <f>HYPERLINK("https://www.linkedin.com/ad-library/detail/1423668966","Open Ad")</f>
        <v>Open Ad</v>
      </c>
      <c r="E2645" s="4" t="s">
        <v>121</v>
      </c>
      <c r="F2645" s="4" t="s">
        <v>54</v>
      </c>
      <c r="G2645" s="4" t="s">
        <v>6479</v>
      </c>
      <c r="H2645" s="4" t="s">
        <v>49</v>
      </c>
      <c r="I2645" s="4" t="s">
        <v>6005</v>
      </c>
      <c r="J2645" s="4" t="s">
        <v>121</v>
      </c>
      <c r="K2645" s="5" t="str">
        <f>HYPERLINK("https://dms.licdn.com/playlist/vid/v2/D4E10AQErls9o1njF1A/mp4-640p-30fp-crf28/B4EZ5llp9DH0BE-/0/1779820840246?e=2147483647&amp;v=beta&amp;t=Z58UHC83cX-SqvQ5j-RNjZEi2LHiz5uABkXQ9D83RAI","View Creative")</f>
        <v>View Creative</v>
      </c>
      <c r="L2645" s="4" t="s">
        <v>106</v>
      </c>
      <c r="M2645" s="4" t="s">
        <v>5965</v>
      </c>
      <c r="O2645" s="4" t="s">
        <v>63</v>
      </c>
      <c r="P2645" s="4" t="s">
        <v>64</v>
      </c>
    </row>
    <row r="2646">
      <c r="A2646" s="4" t="s">
        <v>5965</v>
      </c>
      <c r="B2646" s="4" t="s">
        <v>5965</v>
      </c>
      <c r="C2646" s="4">
        <v>1035.0</v>
      </c>
      <c r="D2646" s="5" t="str">
        <f>HYPERLINK("https://www.linkedin.com/ad-library/detail/1423755706","Open Ad")</f>
        <v>Open Ad</v>
      </c>
      <c r="E2646" s="4" t="s">
        <v>121</v>
      </c>
      <c r="F2646" s="4" t="s">
        <v>54</v>
      </c>
      <c r="G2646" s="4" t="s">
        <v>6478</v>
      </c>
      <c r="H2646" s="4" t="s">
        <v>49</v>
      </c>
      <c r="I2646" s="4" t="s">
        <v>6005</v>
      </c>
      <c r="J2646" s="4" t="s">
        <v>121</v>
      </c>
      <c r="K2646" s="5" t="str">
        <f>HYPERLINK("https://dms.licdn.com/playlist/vid/v2/D4E10AQFYomRXRrqDig/mp4-360p-30fp-crf28/B4EZ5QZctRKYBc-/0/1779465322075?e=2147483647&amp;v=beta&amp;t=Jt-2HVZBVeqp6g4HzNUwGTY5HgwNqHDWTXjCIHGj-Rs","View Creative")</f>
        <v>View Creative</v>
      </c>
      <c r="L2646" s="4" t="s">
        <v>106</v>
      </c>
      <c r="M2646" s="4" t="s">
        <v>5965</v>
      </c>
      <c r="O2646" s="4" t="s">
        <v>63</v>
      </c>
      <c r="P2646" s="4" t="s">
        <v>64</v>
      </c>
    </row>
    <row r="2647">
      <c r="A2647" s="4" t="s">
        <v>5965</v>
      </c>
      <c r="B2647" s="4" t="s">
        <v>5965</v>
      </c>
      <c r="C2647" s="4">
        <v>1036.0</v>
      </c>
      <c r="D2647" s="5" t="str">
        <f>HYPERLINK("https://www.linkedin.com/ad-library/detail/1423812726","Open Ad")</f>
        <v>Open Ad</v>
      </c>
      <c r="E2647" s="4" t="s">
        <v>121</v>
      </c>
      <c r="F2647" s="4" t="s">
        <v>54</v>
      </c>
      <c r="G2647" s="4" t="s">
        <v>6480</v>
      </c>
      <c r="H2647" s="4" t="s">
        <v>49</v>
      </c>
      <c r="I2647" s="4" t="s">
        <v>6005</v>
      </c>
      <c r="J2647" s="4" t="s">
        <v>121</v>
      </c>
      <c r="K2647" s="5" t="str">
        <f>HYPERLINK("https://dms.licdn.com/playlist/vid/v2/D4E10AQGkpGy1geGEZg/mp4-720p-30fp-crf28/B4EZ5qm95uJ0Bg-/0/1779905071933?e=2147483647&amp;v=beta&amp;t=cxcbPmB28OTCjNNGl4521Jk1rOdYnSIrd-Sg7T_Vs8U","View Creative")</f>
        <v>View Creative</v>
      </c>
      <c r="L2647" s="4" t="s">
        <v>106</v>
      </c>
      <c r="M2647" s="4" t="s">
        <v>5965</v>
      </c>
      <c r="O2647" s="4" t="s">
        <v>63</v>
      </c>
      <c r="P2647" s="4" t="s">
        <v>64</v>
      </c>
    </row>
    <row r="2648">
      <c r="A2648" s="4" t="s">
        <v>5965</v>
      </c>
      <c r="B2648" s="4" t="s">
        <v>5965</v>
      </c>
      <c r="C2648" s="4">
        <v>1037.0</v>
      </c>
      <c r="D2648" s="5" t="str">
        <f>HYPERLINK("https://www.linkedin.com/ad-library/detail/1423745686","Open Ad")</f>
        <v>Open Ad</v>
      </c>
      <c r="E2648" s="4" t="s">
        <v>121</v>
      </c>
      <c r="F2648" s="4" t="s">
        <v>54</v>
      </c>
      <c r="G2648" s="4" t="s">
        <v>6479</v>
      </c>
      <c r="H2648" s="4" t="s">
        <v>49</v>
      </c>
      <c r="I2648" s="4" t="s">
        <v>6005</v>
      </c>
      <c r="J2648" s="4" t="s">
        <v>121</v>
      </c>
      <c r="K2648" s="5" t="str">
        <f>HYPERLINK("https://dms.licdn.com/playlist/vid/v2/D4E10AQErls9o1njF1A/mp4-640p-30fp-crf28/B4EZ5llp9DH0BE-/0/1779820840246?e=2147483647&amp;v=beta&amp;t=Z58UHC83cX-SqvQ5j-RNjZEi2LHiz5uABkXQ9D83RAI","View Creative")</f>
        <v>View Creative</v>
      </c>
      <c r="L2648" s="4" t="s">
        <v>106</v>
      </c>
      <c r="M2648" s="4" t="s">
        <v>5965</v>
      </c>
      <c r="O2648" s="4" t="s">
        <v>63</v>
      </c>
      <c r="P2648" s="4" t="s">
        <v>64</v>
      </c>
    </row>
    <row r="2649">
      <c r="A2649" s="4" t="s">
        <v>5965</v>
      </c>
      <c r="B2649" s="4" t="s">
        <v>5965</v>
      </c>
      <c r="C2649" s="4">
        <v>1038.0</v>
      </c>
      <c r="D2649" s="5" t="str">
        <f>HYPERLINK("https://www.linkedin.com/ad-library/detail/1423668726","Open Ad")</f>
        <v>Open Ad</v>
      </c>
      <c r="E2649" s="4" t="s">
        <v>121</v>
      </c>
      <c r="F2649" s="4" t="s">
        <v>54</v>
      </c>
      <c r="G2649" s="4" t="s">
        <v>6480</v>
      </c>
      <c r="H2649" s="4" t="s">
        <v>49</v>
      </c>
      <c r="I2649" s="4" t="s">
        <v>6005</v>
      </c>
      <c r="J2649" s="4" t="s">
        <v>121</v>
      </c>
      <c r="K2649" s="5" t="str">
        <f t="shared" ref="K2649:K2650" si="117">HYPERLINK("https://dms.licdn.com/playlist/vid/v2/D4E10AQGkpGy1geGEZg/mp4-720p-30fp-crf28/B4EZ5qm95uJ0Bg-/0/1779905071933?e=2147483647&amp;v=beta&amp;t=cxcbPmB28OTCjNNGl4521Jk1rOdYnSIrd-Sg7T_Vs8U","View Creative")</f>
        <v>View Creative</v>
      </c>
      <c r="L2649" s="4" t="s">
        <v>106</v>
      </c>
      <c r="M2649" s="4" t="s">
        <v>5965</v>
      </c>
      <c r="O2649" s="4" t="s">
        <v>63</v>
      </c>
      <c r="P2649" s="4" t="s">
        <v>64</v>
      </c>
    </row>
    <row r="2650">
      <c r="A2650" s="4" t="s">
        <v>5965</v>
      </c>
      <c r="B2650" s="4" t="s">
        <v>5965</v>
      </c>
      <c r="C2650" s="4">
        <v>1039.0</v>
      </c>
      <c r="D2650" s="5" t="str">
        <f>HYPERLINK("https://www.linkedin.com/ad-library/detail/1423840936","Open Ad")</f>
        <v>Open Ad</v>
      </c>
      <c r="E2650" s="4" t="s">
        <v>121</v>
      </c>
      <c r="F2650" s="4" t="s">
        <v>54</v>
      </c>
      <c r="G2650" s="4" t="s">
        <v>6480</v>
      </c>
      <c r="H2650" s="4" t="s">
        <v>49</v>
      </c>
      <c r="I2650" s="4" t="s">
        <v>6005</v>
      </c>
      <c r="J2650" s="4" t="s">
        <v>121</v>
      </c>
      <c r="K2650" s="5" t="str">
        <f t="shared" si="117"/>
        <v>View Creative</v>
      </c>
      <c r="L2650" s="4" t="s">
        <v>106</v>
      </c>
      <c r="M2650" s="4" t="s">
        <v>5965</v>
      </c>
      <c r="O2650" s="4" t="s">
        <v>63</v>
      </c>
      <c r="P2650" s="4" t="s">
        <v>64</v>
      </c>
    </row>
    <row r="2651">
      <c r="A2651" s="4" t="s">
        <v>5965</v>
      </c>
      <c r="B2651" s="4" t="s">
        <v>5965</v>
      </c>
      <c r="C2651" s="4">
        <v>1040.0</v>
      </c>
      <c r="D2651" s="5" t="str">
        <f>HYPERLINK("https://www.linkedin.com/ad-library/detail/1315882524","Open Ad")</f>
        <v>Open Ad</v>
      </c>
      <c r="E2651" s="4" t="s">
        <v>5970</v>
      </c>
      <c r="F2651" s="4" t="s">
        <v>54</v>
      </c>
      <c r="G2651" s="4" t="s">
        <v>6481</v>
      </c>
      <c r="H2651" s="4" t="s">
        <v>49</v>
      </c>
      <c r="I2651" s="4" t="s">
        <v>6005</v>
      </c>
      <c r="J2651" s="4" t="s">
        <v>5973</v>
      </c>
      <c r="K2651" s="4" t="s">
        <v>59</v>
      </c>
      <c r="L2651" s="4" t="s">
        <v>106</v>
      </c>
      <c r="M2651" s="4" t="s">
        <v>5965</v>
      </c>
      <c r="O2651" s="4" t="s">
        <v>63</v>
      </c>
      <c r="P2651" s="4" t="s">
        <v>64</v>
      </c>
    </row>
    <row r="2652">
      <c r="A2652" s="4" t="s">
        <v>5965</v>
      </c>
      <c r="B2652" s="4" t="s">
        <v>5965</v>
      </c>
      <c r="C2652" s="4">
        <v>1041.0</v>
      </c>
      <c r="D2652" s="5" t="str">
        <f>HYPERLINK("https://www.linkedin.com/ad-library/detail/1423793376","Open Ad")</f>
        <v>Open Ad</v>
      </c>
      <c r="E2652" s="4" t="s">
        <v>121</v>
      </c>
      <c r="F2652" s="4" t="s">
        <v>54</v>
      </c>
      <c r="G2652" s="4" t="s">
        <v>6478</v>
      </c>
      <c r="H2652" s="4" t="s">
        <v>49</v>
      </c>
      <c r="I2652" s="4" t="s">
        <v>6005</v>
      </c>
      <c r="J2652" s="4" t="s">
        <v>121</v>
      </c>
      <c r="K2652" s="5" t="str">
        <f>HYPERLINK("https://dms.licdn.com/playlist/vid/v2/D4E10AQFYomRXRrqDig/mp4-360p-30fp-crf28/B4EZ5QZctRKYBc-/0/1779465322075?e=2147483647&amp;v=beta&amp;t=Jt-2HVZBVeqp6g4HzNUwGTY5HgwNqHDWTXjCIHGj-Rs","View Creative")</f>
        <v>View Creative</v>
      </c>
      <c r="L2652" s="4" t="s">
        <v>106</v>
      </c>
      <c r="M2652" s="4" t="s">
        <v>5965</v>
      </c>
      <c r="O2652" s="4" t="s">
        <v>63</v>
      </c>
      <c r="P2652" s="4" t="s">
        <v>64</v>
      </c>
    </row>
    <row r="2653">
      <c r="A2653" s="4" t="s">
        <v>5965</v>
      </c>
      <c r="B2653" s="4" t="s">
        <v>5965</v>
      </c>
      <c r="C2653" s="4">
        <v>1042.0</v>
      </c>
      <c r="D2653" s="5" t="str">
        <f>HYPERLINK("https://www.linkedin.com/ad-library/detail/1315882544","Open Ad")</f>
        <v>Open Ad</v>
      </c>
      <c r="E2653" s="4" t="s">
        <v>5970</v>
      </c>
      <c r="F2653" s="4" t="s">
        <v>54</v>
      </c>
      <c r="G2653" s="4" t="s">
        <v>6268</v>
      </c>
      <c r="H2653" s="4" t="s">
        <v>49</v>
      </c>
      <c r="I2653" s="4" t="s">
        <v>6005</v>
      </c>
      <c r="J2653" s="4" t="s">
        <v>5973</v>
      </c>
      <c r="K2653" s="4" t="s">
        <v>59</v>
      </c>
      <c r="L2653" s="4" t="s">
        <v>106</v>
      </c>
      <c r="M2653" s="4" t="s">
        <v>5965</v>
      </c>
      <c r="O2653" s="4" t="s">
        <v>63</v>
      </c>
      <c r="P2653" s="4" t="s">
        <v>64</v>
      </c>
    </row>
    <row r="2654">
      <c r="A2654" s="4" t="s">
        <v>5965</v>
      </c>
      <c r="B2654" s="4" t="s">
        <v>5965</v>
      </c>
      <c r="C2654" s="4">
        <v>1043.0</v>
      </c>
      <c r="D2654" s="5" t="str">
        <f>HYPERLINK("https://www.linkedin.com/ad-library/detail/1423793366","Open Ad")</f>
        <v>Open Ad</v>
      </c>
      <c r="E2654" s="4" t="s">
        <v>121</v>
      </c>
      <c r="F2654" s="4" t="s">
        <v>54</v>
      </c>
      <c r="G2654" s="4" t="s">
        <v>6478</v>
      </c>
      <c r="H2654" s="4" t="s">
        <v>49</v>
      </c>
      <c r="I2654" s="4" t="s">
        <v>6005</v>
      </c>
      <c r="J2654" s="4" t="s">
        <v>121</v>
      </c>
      <c r="K2654" s="5" t="str">
        <f t="shared" ref="K2654:K2655" si="118">HYPERLINK("https://dms.licdn.com/playlist/vid/v2/D4E10AQFYomRXRrqDig/mp4-360p-30fp-crf28/B4EZ5QZctRKYBc-/0/1779465322075?e=2147483647&amp;v=beta&amp;t=Jt-2HVZBVeqp6g4HzNUwGTY5HgwNqHDWTXjCIHGj-Rs","View Creative")</f>
        <v>View Creative</v>
      </c>
      <c r="L2654" s="4" t="s">
        <v>106</v>
      </c>
      <c r="M2654" s="4" t="s">
        <v>5965</v>
      </c>
      <c r="O2654" s="4" t="s">
        <v>63</v>
      </c>
      <c r="P2654" s="4" t="s">
        <v>64</v>
      </c>
    </row>
    <row r="2655">
      <c r="A2655" s="4" t="s">
        <v>5965</v>
      </c>
      <c r="B2655" s="4" t="s">
        <v>5965</v>
      </c>
      <c r="C2655" s="4">
        <v>1044.0</v>
      </c>
      <c r="D2655" s="5" t="str">
        <f>HYPERLINK("https://www.linkedin.com/ad-library/detail/1423727356","Open Ad")</f>
        <v>Open Ad</v>
      </c>
      <c r="E2655" s="4" t="s">
        <v>121</v>
      </c>
      <c r="F2655" s="4" t="s">
        <v>54</v>
      </c>
      <c r="G2655" s="4" t="s">
        <v>6478</v>
      </c>
      <c r="H2655" s="4" t="s">
        <v>49</v>
      </c>
      <c r="I2655" s="4" t="s">
        <v>6005</v>
      </c>
      <c r="J2655" s="4" t="s">
        <v>121</v>
      </c>
      <c r="K2655" s="5" t="str">
        <f t="shared" si="118"/>
        <v>View Creative</v>
      </c>
      <c r="L2655" s="4" t="s">
        <v>106</v>
      </c>
      <c r="M2655" s="4" t="s">
        <v>5965</v>
      </c>
      <c r="O2655" s="4" t="s">
        <v>63</v>
      </c>
      <c r="P2655" s="4" t="s">
        <v>64</v>
      </c>
    </row>
    <row r="2656">
      <c r="A2656" s="4" t="s">
        <v>5965</v>
      </c>
      <c r="B2656" s="4" t="s">
        <v>5965</v>
      </c>
      <c r="C2656" s="4">
        <v>1045.0</v>
      </c>
      <c r="D2656" s="5" t="str">
        <f>HYPERLINK("https://www.linkedin.com/ad-library/detail/1423802406","Open Ad")</f>
        <v>Open Ad</v>
      </c>
      <c r="E2656" s="4" t="s">
        <v>121</v>
      </c>
      <c r="F2656" s="4" t="s">
        <v>54</v>
      </c>
      <c r="G2656" s="4" t="s">
        <v>6480</v>
      </c>
      <c r="H2656" s="4" t="s">
        <v>49</v>
      </c>
      <c r="I2656" s="4" t="s">
        <v>6005</v>
      </c>
      <c r="J2656" s="4" t="s">
        <v>121</v>
      </c>
      <c r="K2656" s="5" t="str">
        <f>HYPERLINK("https://dms.licdn.com/playlist/vid/v2/D4E10AQGkpGy1geGEZg/mp4-720p-30fp-crf28/B4EZ5qm95uJ0Bg-/0/1779905071933?e=2147483647&amp;v=beta&amp;t=cxcbPmB28OTCjNNGl4521Jk1rOdYnSIrd-Sg7T_Vs8U","View Creative")</f>
        <v>View Creative</v>
      </c>
      <c r="L2656" s="4" t="s">
        <v>106</v>
      </c>
      <c r="M2656" s="4" t="s">
        <v>5965</v>
      </c>
      <c r="O2656" s="4" t="s">
        <v>63</v>
      </c>
      <c r="P2656" s="4" t="s">
        <v>64</v>
      </c>
    </row>
    <row r="2657">
      <c r="A2657" s="4" t="s">
        <v>5965</v>
      </c>
      <c r="B2657" s="4" t="s">
        <v>5965</v>
      </c>
      <c r="C2657" s="4">
        <v>1046.0</v>
      </c>
      <c r="D2657" s="5" t="str">
        <f>HYPERLINK("https://www.linkedin.com/ad-library/detail/1415804086","Open Ad")</f>
        <v>Open Ad</v>
      </c>
      <c r="E2657" s="4" t="s">
        <v>121</v>
      </c>
      <c r="F2657" s="4" t="s">
        <v>54</v>
      </c>
      <c r="G2657" s="4" t="s">
        <v>6393</v>
      </c>
      <c r="H2657" s="4" t="s">
        <v>49</v>
      </c>
      <c r="I2657" s="4" t="s">
        <v>6005</v>
      </c>
      <c r="J2657" s="4" t="s">
        <v>121</v>
      </c>
      <c r="K2657" s="5" t="str">
        <f>HYPERLINK("https://dms.licdn.com/playlist/vid/v2/D4E10AQFvAgWztv-5Uw/mp4-640p-30fp-crf28/B4EZ5LQGtKJ0BI-/0/1779378998766?e=2147483647&amp;v=beta&amp;t=_8bKLKhlOLLcnEfsCY9wk5B2yEE3QM48LsyZd6MkCAQ","View Creative")</f>
        <v>View Creative</v>
      </c>
      <c r="L2657" s="4" t="s">
        <v>106</v>
      </c>
      <c r="M2657" s="4" t="s">
        <v>5965</v>
      </c>
      <c r="O2657" s="4" t="s">
        <v>63</v>
      </c>
      <c r="P2657" s="4" t="s">
        <v>64</v>
      </c>
    </row>
    <row r="2658">
      <c r="A2658" s="4" t="s">
        <v>5965</v>
      </c>
      <c r="B2658" s="4" t="s">
        <v>5965</v>
      </c>
      <c r="C2658" s="4">
        <v>1047.0</v>
      </c>
      <c r="D2658" s="5" t="str">
        <f>HYPERLINK("https://www.linkedin.com/ad-library/detail/1423822716","Open Ad")</f>
        <v>Open Ad</v>
      </c>
      <c r="E2658" s="4" t="s">
        <v>121</v>
      </c>
      <c r="F2658" s="4" t="s">
        <v>54</v>
      </c>
      <c r="G2658" s="4" t="s">
        <v>6479</v>
      </c>
      <c r="H2658" s="4" t="s">
        <v>49</v>
      </c>
      <c r="I2658" s="4" t="s">
        <v>6005</v>
      </c>
      <c r="J2658" s="4" t="s">
        <v>121</v>
      </c>
      <c r="K2658" s="5" t="str">
        <f>HYPERLINK("https://dms.licdn.com/playlist/vid/v2/D4E10AQErls9o1njF1A/mp4-640p-30fp-crf28/B4EZ5llp9DH0BE-/0/1779820840246?e=2147483647&amp;v=beta&amp;t=Z58UHC83cX-SqvQ5j-RNjZEi2LHiz5uABkXQ9D83RAI","View Creative")</f>
        <v>View Creative</v>
      </c>
      <c r="L2658" s="4" t="s">
        <v>106</v>
      </c>
      <c r="M2658" s="4" t="s">
        <v>5965</v>
      </c>
      <c r="O2658" s="4" t="s">
        <v>63</v>
      </c>
      <c r="P2658" s="4" t="s">
        <v>64</v>
      </c>
    </row>
    <row r="2659">
      <c r="A2659" s="4" t="s">
        <v>5965</v>
      </c>
      <c r="B2659" s="4" t="s">
        <v>5965</v>
      </c>
      <c r="C2659" s="4">
        <v>1048.0</v>
      </c>
      <c r="D2659" s="5" t="str">
        <f>HYPERLINK("https://www.linkedin.com/ad-library/detail/1415694416","Open Ad")</f>
        <v>Open Ad</v>
      </c>
      <c r="E2659" s="4" t="s">
        <v>121</v>
      </c>
      <c r="F2659" s="4" t="s">
        <v>54</v>
      </c>
      <c r="G2659" s="4" t="s">
        <v>6393</v>
      </c>
      <c r="H2659" s="4" t="s">
        <v>49</v>
      </c>
      <c r="I2659" s="4" t="s">
        <v>6005</v>
      </c>
      <c r="J2659" s="4" t="s">
        <v>121</v>
      </c>
      <c r="K2659" s="5" t="str">
        <f>HYPERLINK("https://dms.licdn.com/playlist/vid/v2/D4E10AQFvAgWztv-5Uw/mp4-640p-30fp-crf28/B4EZ5LQGtKJ0BI-/0/1779378998766?e=2147483647&amp;v=beta&amp;t=_8bKLKhlOLLcnEfsCY9wk5B2yEE3QM48LsyZd6MkCAQ","View Creative")</f>
        <v>View Creative</v>
      </c>
      <c r="L2659" s="4" t="s">
        <v>106</v>
      </c>
      <c r="M2659" s="4" t="s">
        <v>5965</v>
      </c>
      <c r="O2659" s="4" t="s">
        <v>63</v>
      </c>
      <c r="P2659" s="4" t="s">
        <v>64</v>
      </c>
    </row>
    <row r="2660">
      <c r="A2660" s="4" t="s">
        <v>5965</v>
      </c>
      <c r="B2660" s="4" t="s">
        <v>5965</v>
      </c>
      <c r="C2660" s="4">
        <v>1049.0</v>
      </c>
      <c r="D2660" s="5" t="str">
        <f>HYPERLINK("https://www.linkedin.com/ad-library/detail/1315882564","Open Ad")</f>
        <v>Open Ad</v>
      </c>
      <c r="E2660" s="4" t="s">
        <v>5970</v>
      </c>
      <c r="F2660" s="4" t="s">
        <v>54</v>
      </c>
      <c r="G2660" s="4" t="s">
        <v>6268</v>
      </c>
      <c r="H2660" s="4" t="s">
        <v>49</v>
      </c>
      <c r="I2660" s="4" t="s">
        <v>6005</v>
      </c>
      <c r="J2660" s="4" t="s">
        <v>5973</v>
      </c>
      <c r="K2660" s="4" t="s">
        <v>59</v>
      </c>
      <c r="L2660" s="4" t="s">
        <v>106</v>
      </c>
      <c r="M2660" s="4" t="s">
        <v>5965</v>
      </c>
      <c r="O2660" s="4" t="s">
        <v>63</v>
      </c>
      <c r="P2660" s="4" t="s">
        <v>64</v>
      </c>
    </row>
    <row r="2661">
      <c r="A2661" s="4" t="s">
        <v>5965</v>
      </c>
      <c r="B2661" s="4" t="s">
        <v>5965</v>
      </c>
      <c r="C2661" s="4">
        <v>1050.0</v>
      </c>
      <c r="D2661" s="5" t="str">
        <f>HYPERLINK("https://www.linkedin.com/ad-library/detail/1415754186","Open Ad")</f>
        <v>Open Ad</v>
      </c>
      <c r="E2661" s="4" t="s">
        <v>121</v>
      </c>
      <c r="F2661" s="4" t="s">
        <v>54</v>
      </c>
      <c r="G2661" s="4" t="s">
        <v>6393</v>
      </c>
      <c r="H2661" s="4" t="s">
        <v>49</v>
      </c>
      <c r="I2661" s="4" t="s">
        <v>6005</v>
      </c>
      <c r="J2661" s="4" t="s">
        <v>121</v>
      </c>
      <c r="K2661" s="5" t="str">
        <f>HYPERLINK("https://dms.licdn.com/playlist/vid/v2/D4E10AQFvAgWztv-5Uw/mp4-640p-30fp-crf28/B4EZ5LQGtKJ0BI-/0/1779378998766?e=2147483647&amp;v=beta&amp;t=_8bKLKhlOLLcnEfsCY9wk5B2yEE3QM48LsyZd6MkCAQ","View Creative")</f>
        <v>View Creative</v>
      </c>
      <c r="L2661" s="4" t="s">
        <v>106</v>
      </c>
      <c r="M2661" s="4" t="s">
        <v>5965</v>
      </c>
      <c r="O2661" s="4" t="s">
        <v>63</v>
      </c>
      <c r="P2661" s="4" t="s">
        <v>64</v>
      </c>
    </row>
    <row r="2662">
      <c r="A2662" s="4" t="s">
        <v>5965</v>
      </c>
      <c r="B2662" s="4" t="s">
        <v>5965</v>
      </c>
      <c r="C2662" s="4">
        <v>1051.0</v>
      </c>
      <c r="D2662" s="5" t="str">
        <f>HYPERLINK("https://www.linkedin.com/ad-library/detail/1423678696","Open Ad")</f>
        <v>Open Ad</v>
      </c>
      <c r="E2662" s="4" t="s">
        <v>121</v>
      </c>
      <c r="F2662" s="4" t="s">
        <v>54</v>
      </c>
      <c r="G2662" s="4" t="s">
        <v>6480</v>
      </c>
      <c r="H2662" s="4" t="s">
        <v>49</v>
      </c>
      <c r="I2662" s="4" t="s">
        <v>6005</v>
      </c>
      <c r="J2662" s="4" t="s">
        <v>121</v>
      </c>
      <c r="K2662" s="5" t="str">
        <f>HYPERLINK("https://dms.licdn.com/playlist/vid/v2/D4E10AQGkpGy1geGEZg/mp4-720p-30fp-crf28/B4EZ5qm95uJ0Bg-/0/1779905071933?e=2147483647&amp;v=beta&amp;t=cxcbPmB28OTCjNNGl4521Jk1rOdYnSIrd-Sg7T_Vs8U","View Creative")</f>
        <v>View Creative</v>
      </c>
      <c r="L2662" s="4" t="s">
        <v>106</v>
      </c>
      <c r="M2662" s="4" t="s">
        <v>5965</v>
      </c>
      <c r="O2662" s="4" t="s">
        <v>63</v>
      </c>
      <c r="P2662" s="4" t="s">
        <v>64</v>
      </c>
    </row>
    <row r="2663">
      <c r="A2663" s="4" t="s">
        <v>5965</v>
      </c>
      <c r="B2663" s="4" t="s">
        <v>5965</v>
      </c>
      <c r="C2663" s="4">
        <v>1052.0</v>
      </c>
      <c r="D2663" s="5" t="str">
        <f>HYPERLINK("https://www.linkedin.com/ad-library/detail/1415834116","Open Ad")</f>
        <v>Open Ad</v>
      </c>
      <c r="E2663" s="4" t="s">
        <v>121</v>
      </c>
      <c r="F2663" s="4" t="s">
        <v>54</v>
      </c>
      <c r="G2663" s="4" t="s">
        <v>6393</v>
      </c>
      <c r="H2663" s="4" t="s">
        <v>49</v>
      </c>
      <c r="I2663" s="4" t="s">
        <v>6005</v>
      </c>
      <c r="J2663" s="4" t="s">
        <v>121</v>
      </c>
      <c r="K2663" s="5" t="str">
        <f>HYPERLINK("https://dms.licdn.com/playlist/vid/v2/D4E10AQFvAgWztv-5Uw/mp4-640p-30fp-crf28/B4EZ5LQGtKJ0BI-/0/1779378998766?e=2147483647&amp;v=beta&amp;t=_8bKLKhlOLLcnEfsCY9wk5B2yEE3QM48LsyZd6MkCAQ","View Creative")</f>
        <v>View Creative</v>
      </c>
      <c r="L2663" s="4" t="s">
        <v>106</v>
      </c>
      <c r="M2663" s="4" t="s">
        <v>5965</v>
      </c>
      <c r="O2663" s="4" t="s">
        <v>63</v>
      </c>
      <c r="P2663" s="4" t="s">
        <v>64</v>
      </c>
    </row>
    <row r="2664">
      <c r="A2664" s="4" t="s">
        <v>5965</v>
      </c>
      <c r="B2664" s="4" t="s">
        <v>5965</v>
      </c>
      <c r="C2664" s="4">
        <v>1053.0</v>
      </c>
      <c r="D2664" s="5" t="str">
        <f>HYPERLINK("https://www.linkedin.com/ad-library/detail/1316482664","Open Ad")</f>
        <v>Open Ad</v>
      </c>
      <c r="E2664" s="4" t="s">
        <v>5970</v>
      </c>
      <c r="F2664" s="4" t="s">
        <v>54</v>
      </c>
      <c r="G2664" s="4" t="s">
        <v>6280</v>
      </c>
      <c r="H2664" s="4" t="s">
        <v>49</v>
      </c>
      <c r="I2664" s="4" t="s">
        <v>6005</v>
      </c>
      <c r="J2664" s="4" t="s">
        <v>5973</v>
      </c>
      <c r="K2664" s="4" t="s">
        <v>59</v>
      </c>
      <c r="L2664" s="4" t="s">
        <v>106</v>
      </c>
      <c r="M2664" s="4" t="s">
        <v>5965</v>
      </c>
      <c r="O2664" s="4" t="s">
        <v>63</v>
      </c>
      <c r="P2664" s="4" t="s">
        <v>64</v>
      </c>
    </row>
    <row r="2665">
      <c r="A2665" s="4" t="s">
        <v>5965</v>
      </c>
      <c r="B2665" s="4" t="s">
        <v>5965</v>
      </c>
      <c r="C2665" s="4">
        <v>1054.0</v>
      </c>
      <c r="D2665" s="5" t="str">
        <f>HYPERLINK("https://www.linkedin.com/ad-library/detail/1423860466","Open Ad")</f>
        <v>Open Ad</v>
      </c>
      <c r="E2665" s="4" t="s">
        <v>121</v>
      </c>
      <c r="F2665" s="4" t="s">
        <v>54</v>
      </c>
      <c r="G2665" s="4" t="s">
        <v>6479</v>
      </c>
      <c r="H2665" s="4" t="s">
        <v>49</v>
      </c>
      <c r="I2665" s="4" t="s">
        <v>6005</v>
      </c>
      <c r="J2665" s="4" t="s">
        <v>121</v>
      </c>
      <c r="K2665" s="5" t="str">
        <f>HYPERLINK("https://dms.licdn.com/playlist/vid/v2/D4E10AQErls9o1njF1A/mp4-640p-30fp-crf28/B4EZ5llp9DH0BE-/0/1779820840246?e=2147483647&amp;v=beta&amp;t=Z58UHC83cX-SqvQ5j-RNjZEi2LHiz5uABkXQ9D83RAI","View Creative")</f>
        <v>View Creative</v>
      </c>
      <c r="L2665" s="4" t="s">
        <v>106</v>
      </c>
      <c r="M2665" s="4" t="s">
        <v>5965</v>
      </c>
      <c r="O2665" s="4" t="s">
        <v>63</v>
      </c>
      <c r="P2665" s="4" t="s">
        <v>64</v>
      </c>
    </row>
    <row r="2666">
      <c r="A2666" s="4" t="s">
        <v>5965</v>
      </c>
      <c r="B2666" s="4" t="s">
        <v>5965</v>
      </c>
      <c r="C2666" s="4">
        <v>1055.0</v>
      </c>
      <c r="D2666" s="5" t="str">
        <f>HYPERLINK("https://www.linkedin.com/ad-library/detail/1316782614","Open Ad")</f>
        <v>Open Ad</v>
      </c>
      <c r="E2666" s="4" t="s">
        <v>5970</v>
      </c>
      <c r="F2666" s="4" t="s">
        <v>54</v>
      </c>
      <c r="G2666" s="4" t="s">
        <v>6280</v>
      </c>
      <c r="H2666" s="4" t="s">
        <v>49</v>
      </c>
      <c r="I2666" s="4" t="s">
        <v>6005</v>
      </c>
      <c r="J2666" s="4" t="s">
        <v>5973</v>
      </c>
      <c r="K2666" s="4" t="s">
        <v>59</v>
      </c>
      <c r="L2666" s="4" t="s">
        <v>106</v>
      </c>
      <c r="M2666" s="4" t="s">
        <v>5965</v>
      </c>
      <c r="O2666" s="4" t="s">
        <v>63</v>
      </c>
      <c r="P2666" s="4" t="s">
        <v>64</v>
      </c>
    </row>
    <row r="2667">
      <c r="A2667" s="4" t="s">
        <v>5965</v>
      </c>
      <c r="B2667" s="4" t="s">
        <v>5965</v>
      </c>
      <c r="C2667" s="4">
        <v>1056.0</v>
      </c>
      <c r="D2667" s="5" t="str">
        <f>HYPERLINK("https://www.linkedin.com/ad-library/detail/1423717776","Open Ad")</f>
        <v>Open Ad</v>
      </c>
      <c r="E2667" s="4" t="s">
        <v>121</v>
      </c>
      <c r="F2667" s="4" t="s">
        <v>54</v>
      </c>
      <c r="G2667" s="4" t="s">
        <v>6479</v>
      </c>
      <c r="H2667" s="4" t="s">
        <v>49</v>
      </c>
      <c r="I2667" s="4" t="s">
        <v>6005</v>
      </c>
      <c r="J2667" s="4" t="s">
        <v>121</v>
      </c>
      <c r="K2667" s="5" t="str">
        <f>HYPERLINK("https://dms.licdn.com/playlist/vid/v2/D4E10AQErls9o1njF1A/mp4-640p-30fp-crf28/B4EZ5llp9DH0BE-/0/1779820840246?e=2147483647&amp;v=beta&amp;t=Z58UHC83cX-SqvQ5j-RNjZEi2LHiz5uABkXQ9D83RAI","View Creative")</f>
        <v>View Creative</v>
      </c>
      <c r="L2667" s="4" t="s">
        <v>106</v>
      </c>
      <c r="M2667" s="4" t="s">
        <v>5965</v>
      </c>
      <c r="O2667" s="4" t="s">
        <v>63</v>
      </c>
      <c r="P2667" s="4" t="s">
        <v>64</v>
      </c>
    </row>
    <row r="2668">
      <c r="A2668" s="4" t="s">
        <v>5965</v>
      </c>
      <c r="B2668" s="4" t="s">
        <v>5965</v>
      </c>
      <c r="C2668" s="4">
        <v>1057.0</v>
      </c>
      <c r="D2668" s="5" t="str">
        <f>HYPERLINK("https://www.linkedin.com/ad-library/detail/1415714476","Open Ad")</f>
        <v>Open Ad</v>
      </c>
      <c r="E2668" s="4" t="s">
        <v>78</v>
      </c>
      <c r="F2668" s="4" t="s">
        <v>54</v>
      </c>
      <c r="G2668" s="4" t="s">
        <v>6482</v>
      </c>
      <c r="H2668" s="4" t="s">
        <v>49</v>
      </c>
      <c r="I2668" s="4" t="s">
        <v>6005</v>
      </c>
      <c r="J2668" s="4" t="s">
        <v>78</v>
      </c>
      <c r="K2668" s="5" t="str">
        <f>HYPERLINK("https://media.licdn.com/dms/image/v2/D4E22AQHZmiYij9a5OA/feedshare-shrink_1280/B4EZ5FOEoOJAAM-/0/1779277777860?e=2147483647&amp;v=beta&amp;t=E7sP19NECiMMyWvfMFCVr8M4p8aMc-gEjOIdAHP9nEc","View Creative")</f>
        <v>View Creative</v>
      </c>
      <c r="L2668" s="4" t="s">
        <v>106</v>
      </c>
      <c r="M2668" s="4" t="s">
        <v>5965</v>
      </c>
      <c r="O2668" s="4" t="s">
        <v>63</v>
      </c>
      <c r="P2668" s="4" t="s">
        <v>64</v>
      </c>
    </row>
    <row r="2669">
      <c r="A2669" s="4" t="s">
        <v>5965</v>
      </c>
      <c r="B2669" s="4" t="s">
        <v>5965</v>
      </c>
      <c r="C2669" s="4">
        <v>1058.0</v>
      </c>
      <c r="D2669" s="5" t="str">
        <f>HYPERLINK("https://www.linkedin.com/ad-library/detail/1415823896","Open Ad")</f>
        <v>Open Ad</v>
      </c>
      <c r="E2669" s="4" t="s">
        <v>78</v>
      </c>
      <c r="F2669" s="4" t="s">
        <v>54</v>
      </c>
      <c r="G2669" s="4" t="s">
        <v>6483</v>
      </c>
      <c r="H2669" s="4" t="s">
        <v>49</v>
      </c>
      <c r="I2669" s="4" t="s">
        <v>6005</v>
      </c>
      <c r="J2669" s="4" t="s">
        <v>78</v>
      </c>
      <c r="K2669" s="5" t="str">
        <f>HYPERLINK("https://media.licdn.com/dms/image/v2/D4E10AQH5KT8g0rrQoQ/image-shrink_1280/B4EZ5LpofQG8Ac-/0/1779385666333?e=2147483647&amp;v=beta&amp;t=bwt0AJ_bLpQ9QBffwxqimkRXKK0zpUYuux5-2IxdajI","View Creative")</f>
        <v>View Creative</v>
      </c>
      <c r="L2669" s="4" t="s">
        <v>106</v>
      </c>
      <c r="M2669" s="4" t="s">
        <v>5965</v>
      </c>
      <c r="O2669" s="4" t="s">
        <v>63</v>
      </c>
      <c r="P2669" s="4" t="s">
        <v>64</v>
      </c>
    </row>
    <row r="2670">
      <c r="A2670" s="4" t="s">
        <v>5965</v>
      </c>
      <c r="B2670" s="4" t="s">
        <v>5965</v>
      </c>
      <c r="C2670" s="4">
        <v>1059.0</v>
      </c>
      <c r="D2670" s="5" t="str">
        <f>HYPERLINK("https://www.linkedin.com/ad-library/detail/1415893256","Open Ad")</f>
        <v>Open Ad</v>
      </c>
      <c r="E2670" s="4" t="s">
        <v>78</v>
      </c>
      <c r="F2670" s="4" t="s">
        <v>54</v>
      </c>
      <c r="G2670" s="4" t="s">
        <v>6482</v>
      </c>
      <c r="H2670" s="4" t="s">
        <v>49</v>
      </c>
      <c r="I2670" s="4" t="s">
        <v>6005</v>
      </c>
      <c r="J2670" s="4" t="s">
        <v>78</v>
      </c>
      <c r="K2670" s="5" t="str">
        <f>HYPERLINK("https://media.licdn.com/dms/image/v2/D4E22AQHZmiYij9a5OA/feedshare-shrink_1280/B4EZ5FOEoOJAAM-/0/1779277777860?e=2147483647&amp;v=beta&amp;t=E7sP19NECiMMyWvfMFCVr8M4p8aMc-gEjOIdAHP9nEc","View Creative")</f>
        <v>View Creative</v>
      </c>
      <c r="L2670" s="4" t="s">
        <v>106</v>
      </c>
      <c r="M2670" s="4" t="s">
        <v>5965</v>
      </c>
      <c r="O2670" s="4" t="s">
        <v>63</v>
      </c>
      <c r="P2670" s="4" t="s">
        <v>64</v>
      </c>
    </row>
    <row r="2671">
      <c r="A2671" s="4" t="s">
        <v>5965</v>
      </c>
      <c r="B2671" s="4" t="s">
        <v>5965</v>
      </c>
      <c r="C2671" s="4">
        <v>1060.0</v>
      </c>
      <c r="D2671" s="5" t="str">
        <f>HYPERLINK("https://www.linkedin.com/ad-library/detail/1415903336","Open Ad")</f>
        <v>Open Ad</v>
      </c>
      <c r="E2671" s="4" t="s">
        <v>78</v>
      </c>
      <c r="F2671" s="4" t="s">
        <v>54</v>
      </c>
      <c r="G2671" s="4" t="s">
        <v>6484</v>
      </c>
      <c r="H2671" s="4" t="s">
        <v>49</v>
      </c>
      <c r="I2671" s="4" t="s">
        <v>5998</v>
      </c>
      <c r="J2671" s="4" t="s">
        <v>78</v>
      </c>
      <c r="K2671" s="5" t="str">
        <f>HYPERLINK("https://media.licdn.com/dms/image/v2/D4E10AQHjHTtJx4aTHw/image-shrink_1280/B4EZ5GIYx7HQAc-/0/1779293065016?e=2147483647&amp;v=beta&amp;t=DUVEju8dl8ghOMEW-kDpQyy8fVmulRcb3FRLgvqEYfg","View Creative")</f>
        <v>View Creative</v>
      </c>
      <c r="L2671" s="4" t="s">
        <v>106</v>
      </c>
      <c r="M2671" s="4" t="s">
        <v>5965</v>
      </c>
      <c r="O2671" s="4" t="s">
        <v>74</v>
      </c>
      <c r="P2671" s="4" t="s">
        <v>6485</v>
      </c>
    </row>
    <row r="2672">
      <c r="A2672" s="4" t="s">
        <v>5965</v>
      </c>
      <c r="B2672" s="4" t="s">
        <v>5965</v>
      </c>
      <c r="C2672" s="4">
        <v>1061.0</v>
      </c>
      <c r="D2672" s="5" t="str">
        <f>HYPERLINK("https://www.linkedin.com/ad-library/detail/1415734256","Open Ad")</f>
        <v>Open Ad</v>
      </c>
      <c r="E2672" s="4" t="s">
        <v>78</v>
      </c>
      <c r="F2672" s="4" t="s">
        <v>54</v>
      </c>
      <c r="G2672" s="4" t="s">
        <v>6482</v>
      </c>
      <c r="H2672" s="4" t="s">
        <v>49</v>
      </c>
      <c r="I2672" s="4" t="s">
        <v>6005</v>
      </c>
      <c r="J2672" s="4" t="s">
        <v>78</v>
      </c>
      <c r="K2672" s="5" t="str">
        <f t="shared" ref="K2672:K2673" si="119">HYPERLINK("https://media.licdn.com/dms/image/v2/D4E22AQHZmiYij9a5OA/feedshare-shrink_1280/B4EZ5FOEoOJAAM-/0/1779277777860?e=2147483647&amp;v=beta&amp;t=E7sP19NECiMMyWvfMFCVr8M4p8aMc-gEjOIdAHP9nEc","View Creative")</f>
        <v>View Creative</v>
      </c>
      <c r="L2672" s="4" t="s">
        <v>106</v>
      </c>
      <c r="M2672" s="4" t="s">
        <v>5965</v>
      </c>
      <c r="O2672" s="4" t="s">
        <v>63</v>
      </c>
      <c r="P2672" s="4" t="s">
        <v>64</v>
      </c>
    </row>
    <row r="2673">
      <c r="A2673" s="4" t="s">
        <v>5965</v>
      </c>
      <c r="B2673" s="4" t="s">
        <v>5965</v>
      </c>
      <c r="C2673" s="4">
        <v>1062.0</v>
      </c>
      <c r="D2673" s="5" t="str">
        <f>HYPERLINK("https://www.linkedin.com/ad-library/detail/1415813816","Open Ad")</f>
        <v>Open Ad</v>
      </c>
      <c r="E2673" s="4" t="s">
        <v>78</v>
      </c>
      <c r="F2673" s="4" t="s">
        <v>54</v>
      </c>
      <c r="G2673" s="4" t="s">
        <v>6482</v>
      </c>
      <c r="H2673" s="4" t="s">
        <v>49</v>
      </c>
      <c r="I2673" s="4" t="s">
        <v>6005</v>
      </c>
      <c r="J2673" s="4" t="s">
        <v>78</v>
      </c>
      <c r="K2673" s="5" t="str">
        <f t="shared" si="119"/>
        <v>View Creative</v>
      </c>
      <c r="L2673" s="4" t="s">
        <v>106</v>
      </c>
      <c r="M2673" s="4" t="s">
        <v>5965</v>
      </c>
      <c r="O2673" s="4" t="s">
        <v>63</v>
      </c>
      <c r="P2673" s="4" t="s">
        <v>64</v>
      </c>
    </row>
    <row r="2674">
      <c r="A2674" s="4" t="s">
        <v>5965</v>
      </c>
      <c r="B2674" s="4" t="s">
        <v>5965</v>
      </c>
      <c r="C2674" s="4">
        <v>1063.0</v>
      </c>
      <c r="D2674" s="5" t="str">
        <f>HYPERLINK("https://www.linkedin.com/ad-library/detail/1415684916","Open Ad")</f>
        <v>Open Ad</v>
      </c>
      <c r="E2674" s="4" t="s">
        <v>78</v>
      </c>
      <c r="F2674" s="4" t="s">
        <v>54</v>
      </c>
      <c r="G2674" s="4" t="s">
        <v>6483</v>
      </c>
      <c r="H2674" s="4" t="s">
        <v>49</v>
      </c>
      <c r="I2674" s="4" t="s">
        <v>6005</v>
      </c>
      <c r="J2674" s="4" t="s">
        <v>78</v>
      </c>
      <c r="K2674" s="5" t="str">
        <f>HYPERLINK("https://media.licdn.com/dms/image/v2/D4E10AQH5KT8g0rrQoQ/image-shrink_1280/B4EZ5LpofQG8Ac-/0/1779385666333?e=2147483647&amp;v=beta&amp;t=bwt0AJ_bLpQ9QBffwxqimkRXKK0zpUYuux5-2IxdajI","View Creative")</f>
        <v>View Creative</v>
      </c>
      <c r="L2674" s="4" t="s">
        <v>106</v>
      </c>
      <c r="M2674" s="4" t="s">
        <v>5965</v>
      </c>
      <c r="O2674" s="4" t="s">
        <v>63</v>
      </c>
      <c r="P2674" s="4" t="s">
        <v>64</v>
      </c>
    </row>
    <row r="2675">
      <c r="A2675" s="4" t="s">
        <v>5965</v>
      </c>
      <c r="B2675" s="4" t="s">
        <v>5965</v>
      </c>
      <c r="C2675" s="4">
        <v>1064.0</v>
      </c>
      <c r="D2675" s="5" t="str">
        <f>HYPERLINK("https://www.linkedin.com/ad-library/detail/1415684926","Open Ad")</f>
        <v>Open Ad</v>
      </c>
      <c r="E2675" s="4" t="s">
        <v>78</v>
      </c>
      <c r="F2675" s="4" t="s">
        <v>54</v>
      </c>
      <c r="G2675" s="4" t="s">
        <v>6484</v>
      </c>
      <c r="H2675" s="4" t="s">
        <v>49</v>
      </c>
      <c r="I2675" s="4" t="s">
        <v>6005</v>
      </c>
      <c r="J2675" s="4" t="s">
        <v>78</v>
      </c>
      <c r="K2675" s="5" t="str">
        <f>HYPERLINK("https://media.licdn.com/dms/image/v2/D4E10AQHjHTtJx4aTHw/image-shrink_1280/B4EZ5GIYx7HQAc-/0/1779293065016?e=2147483647&amp;v=beta&amp;t=DUVEju8dl8ghOMEW-kDpQyy8fVmulRcb3FRLgvqEYfg","View Creative")</f>
        <v>View Creative</v>
      </c>
      <c r="L2675" s="4" t="s">
        <v>106</v>
      </c>
      <c r="M2675" s="4" t="s">
        <v>5965</v>
      </c>
      <c r="O2675" s="4" t="s">
        <v>63</v>
      </c>
      <c r="P2675" s="4" t="s">
        <v>64</v>
      </c>
    </row>
    <row r="2676">
      <c r="A2676" s="4" t="s">
        <v>5965</v>
      </c>
      <c r="B2676" s="4" t="s">
        <v>5965</v>
      </c>
      <c r="C2676" s="4">
        <v>1065.0</v>
      </c>
      <c r="D2676" s="5" t="str">
        <f>HYPERLINK("https://www.linkedin.com/ad-library/detail/1415883726","Open Ad")</f>
        <v>Open Ad</v>
      </c>
      <c r="E2676" s="4" t="s">
        <v>78</v>
      </c>
      <c r="F2676" s="4" t="s">
        <v>54</v>
      </c>
      <c r="G2676" s="4" t="s">
        <v>6483</v>
      </c>
      <c r="H2676" s="4" t="s">
        <v>49</v>
      </c>
      <c r="I2676" s="4" t="s">
        <v>6005</v>
      </c>
      <c r="J2676" s="4" t="s">
        <v>78</v>
      </c>
      <c r="K2676" s="5" t="str">
        <f t="shared" ref="K2676:K2677" si="120">HYPERLINK("https://media.licdn.com/dms/image/v2/D4E10AQH5KT8g0rrQoQ/image-shrink_1280/B4EZ5LpofQG8Ac-/0/1779385666333?e=2147483647&amp;v=beta&amp;t=bwt0AJ_bLpQ9QBffwxqimkRXKK0zpUYuux5-2IxdajI","View Creative")</f>
        <v>View Creative</v>
      </c>
      <c r="L2676" s="4" t="s">
        <v>106</v>
      </c>
      <c r="M2676" s="4" t="s">
        <v>5965</v>
      </c>
      <c r="O2676" s="4" t="s">
        <v>63</v>
      </c>
      <c r="P2676" s="4" t="s">
        <v>64</v>
      </c>
    </row>
    <row r="2677">
      <c r="A2677" s="4" t="s">
        <v>5965</v>
      </c>
      <c r="B2677" s="4" t="s">
        <v>5965</v>
      </c>
      <c r="C2677" s="4">
        <v>1066.0</v>
      </c>
      <c r="D2677" s="5" t="str">
        <f>HYPERLINK("https://www.linkedin.com/ad-library/detail/1415774436","Open Ad")</f>
        <v>Open Ad</v>
      </c>
      <c r="E2677" s="4" t="s">
        <v>78</v>
      </c>
      <c r="F2677" s="4" t="s">
        <v>54</v>
      </c>
      <c r="G2677" s="4" t="s">
        <v>6483</v>
      </c>
      <c r="H2677" s="4" t="s">
        <v>49</v>
      </c>
      <c r="I2677" s="4" t="s">
        <v>6005</v>
      </c>
      <c r="J2677" s="4" t="s">
        <v>78</v>
      </c>
      <c r="K2677" s="5" t="str">
        <f t="shared" si="120"/>
        <v>View Creative</v>
      </c>
      <c r="L2677" s="4" t="s">
        <v>106</v>
      </c>
      <c r="M2677" s="4" t="s">
        <v>5965</v>
      </c>
      <c r="O2677" s="4" t="s">
        <v>63</v>
      </c>
      <c r="P2677" s="4" t="s">
        <v>64</v>
      </c>
    </row>
    <row r="2678">
      <c r="A2678" s="4" t="s">
        <v>5965</v>
      </c>
      <c r="B2678" s="4" t="s">
        <v>5965</v>
      </c>
      <c r="C2678" s="4">
        <v>1067.0</v>
      </c>
      <c r="D2678" s="5" t="str">
        <f>HYPERLINK("https://www.linkedin.com/ad-library/detail/1415863796","Open Ad")</f>
        <v>Open Ad</v>
      </c>
      <c r="E2678" s="4" t="s">
        <v>78</v>
      </c>
      <c r="F2678" s="4" t="s">
        <v>54</v>
      </c>
      <c r="G2678" s="4" t="s">
        <v>6484</v>
      </c>
      <c r="H2678" s="4" t="s">
        <v>49</v>
      </c>
      <c r="I2678" s="4" t="s">
        <v>6005</v>
      </c>
      <c r="J2678" s="4" t="s">
        <v>78</v>
      </c>
      <c r="K2678" s="5" t="str">
        <f>HYPERLINK("https://media.licdn.com/dms/image/v2/D4E10AQHjHTtJx4aTHw/image-shrink_1280/B4EZ5GIYx7HQAc-/0/1779293065016?e=2147483647&amp;v=beta&amp;t=DUVEju8dl8ghOMEW-kDpQyy8fVmulRcb3FRLgvqEYfg","View Creative")</f>
        <v>View Creative</v>
      </c>
      <c r="L2678" s="4" t="s">
        <v>106</v>
      </c>
      <c r="M2678" s="4" t="s">
        <v>5965</v>
      </c>
      <c r="O2678" s="4" t="s">
        <v>63</v>
      </c>
      <c r="P2678" s="4" t="s">
        <v>64</v>
      </c>
    </row>
    <row r="2679">
      <c r="A2679" s="4" t="s">
        <v>5965</v>
      </c>
      <c r="B2679" s="4" t="s">
        <v>5965</v>
      </c>
      <c r="C2679" s="4">
        <v>1068.0</v>
      </c>
      <c r="D2679" s="5" t="str">
        <f>HYPERLINK("https://www.linkedin.com/ad-library/detail/1415754126","Open Ad")</f>
        <v>Open Ad</v>
      </c>
      <c r="E2679" s="4" t="s">
        <v>78</v>
      </c>
      <c r="F2679" s="4" t="s">
        <v>54</v>
      </c>
      <c r="G2679" s="4" t="s">
        <v>6482</v>
      </c>
      <c r="H2679" s="4" t="s">
        <v>49</v>
      </c>
      <c r="I2679" s="4" t="s">
        <v>6005</v>
      </c>
      <c r="J2679" s="4" t="s">
        <v>78</v>
      </c>
      <c r="K2679" s="5" t="str">
        <f>HYPERLINK("https://media.licdn.com/dms/image/v2/D4E22AQHZmiYij9a5OA/feedshare-shrink_1280/B4EZ5FOEoOJAAM-/0/1779277777860?e=2147483647&amp;v=beta&amp;t=E7sP19NECiMMyWvfMFCVr8M4p8aMc-gEjOIdAHP9nEc","View Creative")</f>
        <v>View Creative</v>
      </c>
      <c r="L2679" s="4" t="s">
        <v>106</v>
      </c>
      <c r="M2679" s="4" t="s">
        <v>5965</v>
      </c>
      <c r="O2679" s="4" t="s">
        <v>63</v>
      </c>
      <c r="P2679" s="4" t="s">
        <v>64</v>
      </c>
    </row>
    <row r="2680">
      <c r="A2680" s="4" t="s">
        <v>5965</v>
      </c>
      <c r="B2680" s="4" t="s">
        <v>5965</v>
      </c>
      <c r="C2680" s="4">
        <v>1069.0</v>
      </c>
      <c r="D2680" s="5" t="str">
        <f>HYPERLINK("https://www.linkedin.com/ad-library/detail/1415694336","Open Ad")</f>
        <v>Open Ad</v>
      </c>
      <c r="E2680" s="4" t="s">
        <v>78</v>
      </c>
      <c r="F2680" s="4" t="s">
        <v>54</v>
      </c>
      <c r="G2680" s="4" t="s">
        <v>6260</v>
      </c>
      <c r="H2680" s="4" t="s">
        <v>49</v>
      </c>
      <c r="I2680" s="4" t="s">
        <v>6005</v>
      </c>
      <c r="J2680" s="4" t="s">
        <v>78</v>
      </c>
      <c r="K2680" s="4" t="s">
        <v>59</v>
      </c>
      <c r="L2680" s="4" t="s">
        <v>106</v>
      </c>
      <c r="M2680" s="4" t="s">
        <v>5965</v>
      </c>
      <c r="O2680" s="4" t="s">
        <v>63</v>
      </c>
      <c r="P2680" s="4" t="s">
        <v>64</v>
      </c>
    </row>
    <row r="2681">
      <c r="A2681" s="4" t="s">
        <v>5965</v>
      </c>
      <c r="B2681" s="4" t="s">
        <v>5965</v>
      </c>
      <c r="C2681" s="4">
        <v>1070.0</v>
      </c>
      <c r="D2681" s="5" t="str">
        <f>HYPERLINK("https://www.linkedin.com/ad-library/detail/1415694346","Open Ad")</f>
        <v>Open Ad</v>
      </c>
      <c r="E2681" s="4" t="s">
        <v>78</v>
      </c>
      <c r="F2681" s="4" t="s">
        <v>54</v>
      </c>
      <c r="G2681" s="4" t="s">
        <v>6483</v>
      </c>
      <c r="H2681" s="4" t="s">
        <v>49</v>
      </c>
      <c r="I2681" s="4" t="s">
        <v>6005</v>
      </c>
      <c r="J2681" s="4" t="s">
        <v>78</v>
      </c>
      <c r="K2681" s="5" t="str">
        <f>HYPERLINK("https://media.licdn.com/dms/image/v2/D4E10AQH5KT8g0rrQoQ/image-shrink_1280/B4EZ5LpofQG8Ac-/0/1779385666333?e=2147483647&amp;v=beta&amp;t=bwt0AJ_bLpQ9QBffwxqimkRXKK0zpUYuux5-2IxdajI","View Creative")</f>
        <v>View Creative</v>
      </c>
      <c r="L2681" s="4" t="s">
        <v>106</v>
      </c>
      <c r="M2681" s="4" t="s">
        <v>5965</v>
      </c>
      <c r="O2681" s="4" t="s">
        <v>63</v>
      </c>
      <c r="P2681" s="4" t="s">
        <v>64</v>
      </c>
    </row>
    <row r="2682">
      <c r="A2682" s="4" t="s">
        <v>5965</v>
      </c>
      <c r="B2682" s="4" t="s">
        <v>5965</v>
      </c>
      <c r="C2682" s="4">
        <v>1071.0</v>
      </c>
      <c r="D2682" s="5" t="str">
        <f>HYPERLINK("https://www.linkedin.com/ad-library/detail/1415694406","Open Ad")</f>
        <v>Open Ad</v>
      </c>
      <c r="E2682" s="4" t="s">
        <v>78</v>
      </c>
      <c r="F2682" s="4" t="s">
        <v>54</v>
      </c>
      <c r="G2682" s="4" t="s">
        <v>6484</v>
      </c>
      <c r="H2682" s="4" t="s">
        <v>49</v>
      </c>
      <c r="I2682" s="4" t="s">
        <v>6005</v>
      </c>
      <c r="J2682" s="4" t="s">
        <v>78</v>
      </c>
      <c r="K2682" s="5" t="str">
        <f>HYPERLINK("https://media.licdn.com/dms/image/v2/D4E10AQHjHTtJx4aTHw/image-shrink_1280/B4EZ5GIYx7HQAc-/0/1779293065016?e=2147483647&amp;v=beta&amp;t=DUVEju8dl8ghOMEW-kDpQyy8fVmulRcb3FRLgvqEYfg","View Creative")</f>
        <v>View Creative</v>
      </c>
      <c r="L2682" s="4" t="s">
        <v>106</v>
      </c>
      <c r="M2682" s="4" t="s">
        <v>5965</v>
      </c>
      <c r="O2682" s="4" t="s">
        <v>63</v>
      </c>
      <c r="P2682" s="4" t="s">
        <v>64</v>
      </c>
    </row>
    <row r="2683">
      <c r="A2683" s="4" t="s">
        <v>5965</v>
      </c>
      <c r="B2683" s="4" t="s">
        <v>5965</v>
      </c>
      <c r="C2683" s="4">
        <v>1072.0</v>
      </c>
      <c r="D2683" s="5" t="str">
        <f>HYPERLINK("https://www.linkedin.com/ad-library/detail/1415675536","Open Ad")</f>
        <v>Open Ad</v>
      </c>
      <c r="E2683" s="4" t="s">
        <v>78</v>
      </c>
      <c r="F2683" s="4" t="s">
        <v>54</v>
      </c>
      <c r="G2683" s="4" t="s">
        <v>6483</v>
      </c>
      <c r="H2683" s="4" t="s">
        <v>49</v>
      </c>
      <c r="I2683" s="4" t="s">
        <v>6005</v>
      </c>
      <c r="J2683" s="4" t="s">
        <v>78</v>
      </c>
      <c r="K2683" s="5" t="str">
        <f t="shared" ref="K2683:K2685" si="121">HYPERLINK("https://media.licdn.com/dms/image/v2/D4E10AQH5KT8g0rrQoQ/image-shrink_1280/B4EZ5LpofQG8Ac-/0/1779385666333?e=2147483647&amp;v=beta&amp;t=bwt0AJ_bLpQ9QBffwxqimkRXKK0zpUYuux5-2IxdajI","View Creative")</f>
        <v>View Creative</v>
      </c>
      <c r="L2683" s="4" t="s">
        <v>106</v>
      </c>
      <c r="M2683" s="4" t="s">
        <v>5965</v>
      </c>
      <c r="O2683" s="4" t="s">
        <v>63</v>
      </c>
      <c r="P2683" s="4" t="s">
        <v>64</v>
      </c>
    </row>
    <row r="2684">
      <c r="A2684" s="4" t="s">
        <v>5965</v>
      </c>
      <c r="B2684" s="4" t="s">
        <v>5965</v>
      </c>
      <c r="C2684" s="4">
        <v>1073.0</v>
      </c>
      <c r="D2684" s="5" t="str">
        <f>HYPERLINK("https://www.linkedin.com/ad-library/detail/1415754096","Open Ad")</f>
        <v>Open Ad</v>
      </c>
      <c r="E2684" s="4" t="s">
        <v>78</v>
      </c>
      <c r="F2684" s="4" t="s">
        <v>54</v>
      </c>
      <c r="G2684" s="4" t="s">
        <v>6483</v>
      </c>
      <c r="H2684" s="4" t="s">
        <v>49</v>
      </c>
      <c r="I2684" s="4" t="s">
        <v>6005</v>
      </c>
      <c r="J2684" s="4" t="s">
        <v>78</v>
      </c>
      <c r="K2684" s="5" t="str">
        <f t="shared" si="121"/>
        <v>View Creative</v>
      </c>
      <c r="L2684" s="4" t="s">
        <v>106</v>
      </c>
      <c r="M2684" s="4" t="s">
        <v>5965</v>
      </c>
      <c r="O2684" s="4" t="s">
        <v>63</v>
      </c>
      <c r="P2684" s="4" t="s">
        <v>64</v>
      </c>
    </row>
    <row r="2685">
      <c r="A2685" s="4" t="s">
        <v>5965</v>
      </c>
      <c r="B2685" s="4" t="s">
        <v>5965</v>
      </c>
      <c r="C2685" s="4">
        <v>1074.0</v>
      </c>
      <c r="D2685" s="5" t="str">
        <f>HYPERLINK("https://www.linkedin.com/ad-library/detail/1415893226","Open Ad")</f>
        <v>Open Ad</v>
      </c>
      <c r="E2685" s="4" t="s">
        <v>78</v>
      </c>
      <c r="F2685" s="4" t="s">
        <v>54</v>
      </c>
      <c r="G2685" s="4" t="s">
        <v>6483</v>
      </c>
      <c r="H2685" s="4" t="s">
        <v>49</v>
      </c>
      <c r="I2685" s="4" t="s">
        <v>6005</v>
      </c>
      <c r="J2685" s="4" t="s">
        <v>78</v>
      </c>
      <c r="K2685" s="5" t="str">
        <f t="shared" si="121"/>
        <v>View Creative</v>
      </c>
      <c r="L2685" s="4" t="s">
        <v>106</v>
      </c>
      <c r="M2685" s="4" t="s">
        <v>5965</v>
      </c>
      <c r="O2685" s="4" t="s">
        <v>63</v>
      </c>
      <c r="P2685" s="4" t="s">
        <v>64</v>
      </c>
    </row>
    <row r="2686">
      <c r="A2686" s="4" t="s">
        <v>5965</v>
      </c>
      <c r="B2686" s="4" t="s">
        <v>5965</v>
      </c>
      <c r="C2686" s="4">
        <v>1075.0</v>
      </c>
      <c r="D2686" s="5" t="str">
        <f>HYPERLINK("https://www.linkedin.com/ad-library/detail/1415743916","Open Ad")</f>
        <v>Open Ad</v>
      </c>
      <c r="E2686" s="4" t="s">
        <v>78</v>
      </c>
      <c r="F2686" s="4" t="s">
        <v>54</v>
      </c>
      <c r="G2686" s="4" t="s">
        <v>6466</v>
      </c>
      <c r="H2686" s="4" t="s">
        <v>49</v>
      </c>
      <c r="I2686" s="4" t="s">
        <v>6005</v>
      </c>
      <c r="J2686" s="4" t="s">
        <v>78</v>
      </c>
      <c r="K2686" s="4" t="s">
        <v>59</v>
      </c>
      <c r="L2686" s="4" t="s">
        <v>106</v>
      </c>
      <c r="M2686" s="4" t="s">
        <v>5965</v>
      </c>
      <c r="O2686" s="4" t="s">
        <v>63</v>
      </c>
      <c r="P2686" s="4" t="s">
        <v>64</v>
      </c>
    </row>
    <row r="2687">
      <c r="A2687" s="4" t="s">
        <v>5965</v>
      </c>
      <c r="B2687" s="4" t="s">
        <v>5965</v>
      </c>
      <c r="C2687" s="4">
        <v>1076.0</v>
      </c>
      <c r="D2687" s="5" t="str">
        <f>HYPERLINK("https://www.linkedin.com/ad-library/detail/1415823916","Open Ad")</f>
        <v>Open Ad</v>
      </c>
      <c r="E2687" s="4" t="s">
        <v>78</v>
      </c>
      <c r="F2687" s="4" t="s">
        <v>54</v>
      </c>
      <c r="G2687" s="4" t="s">
        <v>6482</v>
      </c>
      <c r="H2687" s="4" t="s">
        <v>49</v>
      </c>
      <c r="I2687" s="4" t="s">
        <v>6005</v>
      </c>
      <c r="J2687" s="4" t="s">
        <v>78</v>
      </c>
      <c r="K2687" s="5" t="str">
        <f>HYPERLINK("https://media.licdn.com/dms/image/v2/D4E22AQHZmiYij9a5OA/feedshare-shrink_1280/B4EZ5FOEoOJAAM-/0/1779277777860?e=2147483647&amp;v=beta&amp;t=E7sP19NECiMMyWvfMFCVr8M4p8aMc-gEjOIdAHP9nEc","View Creative")</f>
        <v>View Creative</v>
      </c>
      <c r="L2687" s="4" t="s">
        <v>106</v>
      </c>
      <c r="M2687" s="4" t="s">
        <v>5965</v>
      </c>
      <c r="O2687" s="4" t="s">
        <v>63</v>
      </c>
      <c r="P2687" s="4" t="s">
        <v>64</v>
      </c>
    </row>
    <row r="2688">
      <c r="A2688" s="4" t="s">
        <v>5965</v>
      </c>
      <c r="B2688" s="4" t="s">
        <v>5965</v>
      </c>
      <c r="C2688" s="4">
        <v>1077.0</v>
      </c>
      <c r="D2688" s="5" t="str">
        <f>HYPERLINK("https://www.linkedin.com/ad-library/detail/1415754086","Open Ad")</f>
        <v>Open Ad</v>
      </c>
      <c r="E2688" s="4" t="s">
        <v>78</v>
      </c>
      <c r="F2688" s="4" t="s">
        <v>54</v>
      </c>
      <c r="G2688" s="4" t="s">
        <v>6483</v>
      </c>
      <c r="H2688" s="4" t="s">
        <v>49</v>
      </c>
      <c r="I2688" s="4" t="s">
        <v>6005</v>
      </c>
      <c r="J2688" s="4" t="s">
        <v>78</v>
      </c>
      <c r="K2688" s="5" t="str">
        <f>HYPERLINK("https://media.licdn.com/dms/image/v2/D4E10AQH5KT8g0rrQoQ/image-shrink_1280/B4EZ5LpofQG8Ac-/0/1779385666333?e=2147483647&amp;v=beta&amp;t=bwt0AJ_bLpQ9QBffwxqimkRXKK0zpUYuux5-2IxdajI","View Creative")</f>
        <v>View Creative</v>
      </c>
      <c r="L2688" s="4" t="s">
        <v>106</v>
      </c>
      <c r="M2688" s="4" t="s">
        <v>5965</v>
      </c>
      <c r="O2688" s="4" t="s">
        <v>63</v>
      </c>
      <c r="P2688" s="4" t="s">
        <v>64</v>
      </c>
    </row>
    <row r="2689">
      <c r="A2689" s="4" t="s">
        <v>5965</v>
      </c>
      <c r="B2689" s="4" t="s">
        <v>5965</v>
      </c>
      <c r="C2689" s="4">
        <v>1078.0</v>
      </c>
      <c r="D2689" s="5" t="str">
        <f>HYPERLINK("https://www.linkedin.com/ad-library/detail/1415704536","Open Ad")</f>
        <v>Open Ad</v>
      </c>
      <c r="E2689" s="4" t="s">
        <v>78</v>
      </c>
      <c r="F2689" s="4" t="s">
        <v>54</v>
      </c>
      <c r="G2689" s="4" t="s">
        <v>6484</v>
      </c>
      <c r="H2689" s="4" t="s">
        <v>49</v>
      </c>
      <c r="I2689" s="4" t="s">
        <v>6005</v>
      </c>
      <c r="J2689" s="4" t="s">
        <v>78</v>
      </c>
      <c r="K2689" s="5" t="str">
        <f>HYPERLINK("https://media.licdn.com/dms/image/v2/D4E10AQHjHTtJx4aTHw/image-shrink_1280/B4EZ5GIYx7HQAc-/0/1779293065016?e=2147483647&amp;v=beta&amp;t=DUVEju8dl8ghOMEW-kDpQyy8fVmulRcb3FRLgvqEYfg","View Creative")</f>
        <v>View Creative</v>
      </c>
      <c r="L2689" s="4" t="s">
        <v>106</v>
      </c>
      <c r="M2689" s="4" t="s">
        <v>5965</v>
      </c>
      <c r="O2689" s="4" t="s">
        <v>63</v>
      </c>
      <c r="P2689" s="4" t="s">
        <v>64</v>
      </c>
    </row>
    <row r="2690">
      <c r="A2690" s="4" t="s">
        <v>5965</v>
      </c>
      <c r="B2690" s="4" t="s">
        <v>5965</v>
      </c>
      <c r="C2690" s="4">
        <v>1079.0</v>
      </c>
      <c r="D2690" s="5" t="str">
        <f>HYPERLINK("https://www.linkedin.com/ad-library/detail/1415823906","Open Ad")</f>
        <v>Open Ad</v>
      </c>
      <c r="E2690" s="4" t="s">
        <v>78</v>
      </c>
      <c r="F2690" s="4" t="s">
        <v>54</v>
      </c>
      <c r="G2690" s="4" t="s">
        <v>6482</v>
      </c>
      <c r="H2690" s="4" t="s">
        <v>49</v>
      </c>
      <c r="I2690" s="4" t="s">
        <v>6005</v>
      </c>
      <c r="J2690" s="4" t="s">
        <v>78</v>
      </c>
      <c r="K2690" s="5" t="str">
        <f>HYPERLINK("https://media.licdn.com/dms/image/v2/D4E22AQHZmiYij9a5OA/feedshare-shrink_1280/B4EZ5FOEoOJAAM-/0/1779277777860?e=2147483647&amp;v=beta&amp;t=E7sP19NECiMMyWvfMFCVr8M4p8aMc-gEjOIdAHP9nEc","View Creative")</f>
        <v>View Creative</v>
      </c>
      <c r="L2690" s="4" t="s">
        <v>106</v>
      </c>
      <c r="M2690" s="4" t="s">
        <v>5965</v>
      </c>
      <c r="O2690" s="4" t="s">
        <v>63</v>
      </c>
      <c r="P2690" s="4" t="s">
        <v>64</v>
      </c>
    </row>
    <row r="2691">
      <c r="A2691" s="4" t="s">
        <v>5965</v>
      </c>
      <c r="B2691" s="4" t="s">
        <v>5965</v>
      </c>
      <c r="C2691" s="4">
        <v>1080.0</v>
      </c>
      <c r="D2691" s="5" t="str">
        <f>HYPERLINK("https://www.linkedin.com/ad-library/detail/1415743956","Open Ad")</f>
        <v>Open Ad</v>
      </c>
      <c r="E2691" s="4" t="s">
        <v>78</v>
      </c>
      <c r="F2691" s="4" t="s">
        <v>54</v>
      </c>
      <c r="G2691" s="4" t="s">
        <v>6484</v>
      </c>
      <c r="H2691" s="4" t="s">
        <v>49</v>
      </c>
      <c r="I2691" s="4" t="s">
        <v>6005</v>
      </c>
      <c r="J2691" s="4" t="s">
        <v>78</v>
      </c>
      <c r="K2691" s="5" t="str">
        <f>HYPERLINK("https://media.licdn.com/dms/image/v2/D4E10AQHjHTtJx4aTHw/image-shrink_1280/B4EZ5GIYx7HQAc-/0/1779293065016?e=2147483647&amp;v=beta&amp;t=DUVEju8dl8ghOMEW-kDpQyy8fVmulRcb3FRLgvqEYfg","View Creative")</f>
        <v>View Creative</v>
      </c>
      <c r="L2691" s="4" t="s">
        <v>106</v>
      </c>
      <c r="M2691" s="4" t="s">
        <v>5965</v>
      </c>
      <c r="O2691" s="4" t="s">
        <v>63</v>
      </c>
      <c r="P2691" s="4" t="s">
        <v>64</v>
      </c>
    </row>
    <row r="2692">
      <c r="A2692" s="4" t="s">
        <v>5965</v>
      </c>
      <c r="B2692" s="4" t="s">
        <v>5965</v>
      </c>
      <c r="C2692" s="4">
        <v>1081.0</v>
      </c>
      <c r="D2692" s="5" t="str">
        <f>HYPERLINK("https://www.linkedin.com/ad-library/detail/1412692386","Open Ad")</f>
        <v>Open Ad</v>
      </c>
      <c r="E2692" s="4" t="s">
        <v>121</v>
      </c>
      <c r="F2692" s="4" t="s">
        <v>54</v>
      </c>
      <c r="G2692" s="4" t="s">
        <v>6486</v>
      </c>
      <c r="H2692" s="4" t="s">
        <v>49</v>
      </c>
      <c r="I2692" s="4" t="s">
        <v>6005</v>
      </c>
      <c r="J2692" s="4" t="s">
        <v>121</v>
      </c>
      <c r="K2692" s="5" t="str">
        <f>HYPERLINK("https://dms.licdn.com/playlist/vid/v2/D4E10AQHaVnlTZWO5lQ/mp4-640p-30fp-crf28/B4EZ4EDxT1IABE-/0/1778184568233?e=2147483647&amp;v=beta&amp;t=jeKB-nUJMbPs44wNiftahuqppmxwQaFreN02VRMJGkw","View Creative")</f>
        <v>View Creative</v>
      </c>
      <c r="L2692" s="4" t="s">
        <v>106</v>
      </c>
      <c r="M2692" s="4" t="s">
        <v>5965</v>
      </c>
      <c r="O2692" s="4" t="s">
        <v>63</v>
      </c>
      <c r="P2692" s="4" t="s">
        <v>64</v>
      </c>
    </row>
    <row r="2693">
      <c r="A2693" s="4" t="s">
        <v>5965</v>
      </c>
      <c r="B2693" s="4" t="s">
        <v>5965</v>
      </c>
      <c r="C2693" s="4">
        <v>1082.0</v>
      </c>
      <c r="D2693" s="5" t="str">
        <f>HYPERLINK("https://www.linkedin.com/ad-library/detail/1413075626","Open Ad")</f>
        <v>Open Ad</v>
      </c>
      <c r="E2693" s="4" t="s">
        <v>78</v>
      </c>
      <c r="F2693" s="4" t="s">
        <v>54</v>
      </c>
      <c r="G2693" s="4" t="s">
        <v>6115</v>
      </c>
      <c r="H2693" s="4" t="s">
        <v>49</v>
      </c>
      <c r="I2693" s="4" t="s">
        <v>6005</v>
      </c>
      <c r="J2693" s="4" t="s">
        <v>78</v>
      </c>
      <c r="K2693" s="5" t="str">
        <f>HYPERLINK("https://media.licdn.com/dms/image/v2/D5610AQHboNfHfdoMGg/image-shrink_1280/B56Z39lJVLH4Ag-/0/1778075866691/Ad13png?e=2147483647&amp;v=beta&amp;t=w47eH2aNcVt5nGxpOUSqt9WGlOcn-OqTBTg2vMGSkLA","View Creative")</f>
        <v>View Creative</v>
      </c>
      <c r="L2693" s="4" t="s">
        <v>106</v>
      </c>
      <c r="M2693" s="4" t="s">
        <v>5965</v>
      </c>
      <c r="O2693" s="4" t="s">
        <v>63</v>
      </c>
      <c r="P2693" s="4" t="s">
        <v>64</v>
      </c>
    </row>
    <row r="2694">
      <c r="A2694" s="4" t="s">
        <v>5965</v>
      </c>
      <c r="B2694" s="4" t="s">
        <v>5965</v>
      </c>
      <c r="C2694" s="4">
        <v>1083.0</v>
      </c>
      <c r="D2694" s="5" t="str">
        <f>HYPERLINK("https://www.linkedin.com/ad-library/detail/1412997656","Open Ad")</f>
        <v>Open Ad</v>
      </c>
      <c r="E2694" s="4" t="s">
        <v>78</v>
      </c>
      <c r="F2694" s="4" t="s">
        <v>54</v>
      </c>
      <c r="G2694" s="4" t="s">
        <v>6115</v>
      </c>
      <c r="H2694" s="4" t="s">
        <v>49</v>
      </c>
      <c r="I2694" s="4" t="s">
        <v>6005</v>
      </c>
      <c r="J2694" s="4" t="s">
        <v>78</v>
      </c>
      <c r="K2694" s="5" t="str">
        <f>HYPERLINK("https://media.licdn.com/dms/image/v2/D5610AQH-q8Kfz-YVbQ/image-shrink_1280/B56Z3WDoOFKgAc-/0/1777412768916/Adpng?e=2147483647&amp;v=beta&amp;t=Lvt6Go03KIs4rRA12hIMu8l80ejL9dzwHdp0rAwmuTM","View Creative")</f>
        <v>View Creative</v>
      </c>
      <c r="L2694" s="4" t="s">
        <v>106</v>
      </c>
      <c r="M2694" s="4" t="s">
        <v>5965</v>
      </c>
      <c r="O2694" s="4" t="s">
        <v>63</v>
      </c>
      <c r="P2694" s="4" t="s">
        <v>64</v>
      </c>
    </row>
    <row r="2695">
      <c r="A2695" s="4" t="s">
        <v>5965</v>
      </c>
      <c r="B2695" s="4" t="s">
        <v>5965</v>
      </c>
      <c r="C2695" s="4">
        <v>1084.0</v>
      </c>
      <c r="D2695" s="5" t="str">
        <f>HYPERLINK("https://www.linkedin.com/ad-library/detail/1412648916","Open Ad")</f>
        <v>Open Ad</v>
      </c>
      <c r="E2695" s="4" t="s">
        <v>78</v>
      </c>
      <c r="F2695" s="4" t="s">
        <v>54</v>
      </c>
      <c r="G2695" s="4" t="s">
        <v>6487</v>
      </c>
      <c r="H2695" s="4" t="s">
        <v>49</v>
      </c>
      <c r="I2695" s="4" t="s">
        <v>6005</v>
      </c>
      <c r="J2695" s="4" t="s">
        <v>78</v>
      </c>
      <c r="K2695" s="5" t="str">
        <f>HYPERLINK("https://media.licdn.com/dms/image/v2/D5622AQEEgLlTMdzorw/feedshare-image-high-res/B56Z2My4h9KwAU-/0/1776183644784?e=2147483647&amp;v=beta&amp;t=UnX_74qXI_CDX3CCDjND1x0Ikckb3vCRMxgfEkG-fvM","View Creative")</f>
        <v>View Creative</v>
      </c>
      <c r="L2695" s="4" t="s">
        <v>106</v>
      </c>
      <c r="M2695" s="4" t="s">
        <v>5965</v>
      </c>
      <c r="O2695" s="4" t="s">
        <v>63</v>
      </c>
      <c r="P2695" s="4" t="s">
        <v>64</v>
      </c>
    </row>
    <row r="2696">
      <c r="A2696" s="4" t="s">
        <v>5965</v>
      </c>
      <c r="B2696" s="4" t="s">
        <v>5965</v>
      </c>
      <c r="C2696" s="4">
        <v>1085.0</v>
      </c>
      <c r="D2696" s="5" t="str">
        <f>HYPERLINK("https://www.linkedin.com/ad-library/detail/1412729976","Open Ad")</f>
        <v>Open Ad</v>
      </c>
      <c r="E2696" s="4" t="s">
        <v>121</v>
      </c>
      <c r="F2696" s="4" t="s">
        <v>54</v>
      </c>
      <c r="G2696" s="4" t="s">
        <v>6488</v>
      </c>
      <c r="H2696" s="4" t="s">
        <v>49</v>
      </c>
      <c r="I2696" s="4" t="s">
        <v>6005</v>
      </c>
      <c r="J2696" s="4" t="s">
        <v>121</v>
      </c>
      <c r="K2696" s="5" t="str">
        <f>HYPERLINK("https://dms.licdn.com/playlist/vid/v2/D4E10AQEIiLiyO-KGMw/mp4-640p-30fp-crf28/B4EZ4drQ6rHsBE-/0/1778614350812?e=2147483647&amp;v=beta&amp;t=EK_t5ZorYF5dYEL7zXTGiFxzf9T_L_tVfDHN5SfibwY","View Creative")</f>
        <v>View Creative</v>
      </c>
      <c r="L2696" s="4" t="s">
        <v>106</v>
      </c>
      <c r="M2696" s="4" t="s">
        <v>5965</v>
      </c>
      <c r="O2696" s="4" t="s">
        <v>63</v>
      </c>
      <c r="P2696" s="4" t="s">
        <v>64</v>
      </c>
    </row>
    <row r="2697">
      <c r="A2697" s="4" t="s">
        <v>5965</v>
      </c>
      <c r="B2697" s="4" t="s">
        <v>5965</v>
      </c>
      <c r="C2697" s="4">
        <v>1086.0</v>
      </c>
      <c r="D2697" s="5" t="str">
        <f>HYPERLINK("https://www.linkedin.com/ad-library/detail/1415823846","Open Ad")</f>
        <v>Open Ad</v>
      </c>
      <c r="E2697" s="4" t="s">
        <v>78</v>
      </c>
      <c r="F2697" s="4" t="s">
        <v>54</v>
      </c>
      <c r="G2697" s="4" t="s">
        <v>6474</v>
      </c>
      <c r="H2697" s="4" t="s">
        <v>49</v>
      </c>
      <c r="I2697" s="4" t="s">
        <v>6005</v>
      </c>
      <c r="J2697" s="4" t="s">
        <v>78</v>
      </c>
      <c r="K2697" s="4" t="s">
        <v>59</v>
      </c>
      <c r="L2697" s="4" t="s">
        <v>106</v>
      </c>
      <c r="M2697" s="4" t="s">
        <v>5965</v>
      </c>
      <c r="O2697" s="4" t="s">
        <v>63</v>
      </c>
      <c r="P2697" s="4" t="s">
        <v>64</v>
      </c>
    </row>
    <row r="2698">
      <c r="A2698" s="4" t="s">
        <v>5965</v>
      </c>
      <c r="B2698" s="4" t="s">
        <v>5965</v>
      </c>
      <c r="C2698" s="4">
        <v>1087.0</v>
      </c>
      <c r="D2698" s="5" t="str">
        <f>HYPERLINK("https://www.linkedin.com/ad-library/detail/1413151716","Open Ad")</f>
        <v>Open Ad</v>
      </c>
      <c r="E2698" s="4" t="s">
        <v>78</v>
      </c>
      <c r="F2698" s="4" t="s">
        <v>54</v>
      </c>
      <c r="G2698" s="4" t="s">
        <v>6115</v>
      </c>
      <c r="H2698" s="4" t="s">
        <v>49</v>
      </c>
      <c r="I2698" s="4" t="s">
        <v>6005</v>
      </c>
      <c r="J2698" s="4" t="s">
        <v>78</v>
      </c>
      <c r="K2698" s="5" t="str">
        <f>HYPERLINK("https://media.licdn.com/dms/image/v2/D5610AQFwlPh9OuqQ4A/image-shrink_1280/B56Z39k5SxIkAc-/0/1778075801026/Ad10png?e=2147483647&amp;v=beta&amp;t=LZdF-LfuEKTiB836HBLNFhI94910PU_-tRMjp3lZxJE","View Creative")</f>
        <v>View Creative</v>
      </c>
      <c r="L2698" s="4" t="s">
        <v>106</v>
      </c>
      <c r="M2698" s="4" t="s">
        <v>5965</v>
      </c>
      <c r="O2698" s="4" t="s">
        <v>63</v>
      </c>
      <c r="P2698" s="4" t="s">
        <v>64</v>
      </c>
    </row>
    <row r="2699">
      <c r="A2699" s="4" t="s">
        <v>5965</v>
      </c>
      <c r="B2699" s="4" t="s">
        <v>5965</v>
      </c>
      <c r="C2699" s="4">
        <v>1088.0</v>
      </c>
      <c r="D2699" s="5" t="str">
        <f>HYPERLINK("https://www.linkedin.com/ad-library/detail/1412598406","Open Ad")</f>
        <v>Open Ad</v>
      </c>
      <c r="E2699" s="4" t="s">
        <v>78</v>
      </c>
      <c r="F2699" s="4" t="s">
        <v>54</v>
      </c>
      <c r="G2699" s="8" t="s">
        <v>6489</v>
      </c>
      <c r="H2699" s="4" t="s">
        <v>49</v>
      </c>
      <c r="I2699" s="4" t="s">
        <v>6005</v>
      </c>
      <c r="J2699" s="4" t="s">
        <v>78</v>
      </c>
      <c r="K2699" s="5" t="str">
        <f>HYPERLINK("https://media.licdn.com/dms/image/v2/D4E22AQGD81oz3FYM1Q/feedshare-shrink_1280/B4EZ4XQU_HJAAM-/0/1778506617358?e=2147483647&amp;v=beta&amp;t=OdTpu75_XH7oT3LVL22UyGlqQZPOznFr4UZO9OyLEa0","View Creative")</f>
        <v>View Creative</v>
      </c>
      <c r="L2699" s="4" t="s">
        <v>106</v>
      </c>
      <c r="M2699" s="4" t="s">
        <v>5965</v>
      </c>
      <c r="O2699" s="4" t="s">
        <v>63</v>
      </c>
      <c r="P2699" s="4" t="s">
        <v>64</v>
      </c>
    </row>
    <row r="2700">
      <c r="A2700" s="4" t="s">
        <v>5965</v>
      </c>
      <c r="B2700" s="4" t="s">
        <v>5965</v>
      </c>
      <c r="C2700" s="4">
        <v>1089.0</v>
      </c>
      <c r="D2700" s="5" t="str">
        <f>HYPERLINK("https://www.linkedin.com/ad-library/detail/1415675466","Open Ad")</f>
        <v>Open Ad</v>
      </c>
      <c r="E2700" s="4" t="s">
        <v>78</v>
      </c>
      <c r="F2700" s="4" t="s">
        <v>54</v>
      </c>
      <c r="G2700" s="4" t="s">
        <v>6469</v>
      </c>
      <c r="H2700" s="4" t="s">
        <v>49</v>
      </c>
      <c r="I2700" s="4" t="s">
        <v>6005</v>
      </c>
      <c r="J2700" s="4" t="s">
        <v>78</v>
      </c>
      <c r="K2700" s="4" t="s">
        <v>59</v>
      </c>
      <c r="L2700" s="4" t="s">
        <v>106</v>
      </c>
      <c r="M2700" s="4" t="s">
        <v>5965</v>
      </c>
      <c r="O2700" s="4" t="s">
        <v>63</v>
      </c>
      <c r="P2700" s="4" t="s">
        <v>64</v>
      </c>
    </row>
    <row r="2701">
      <c r="A2701" s="4" t="s">
        <v>5965</v>
      </c>
      <c r="B2701" s="4" t="s">
        <v>5965</v>
      </c>
      <c r="C2701" s="4">
        <v>1090.0</v>
      </c>
      <c r="D2701" s="5" t="str">
        <f>HYPERLINK("https://www.linkedin.com/ad-library/detail/1412519376","Open Ad")</f>
        <v>Open Ad</v>
      </c>
      <c r="E2701" s="4" t="s">
        <v>121</v>
      </c>
      <c r="F2701" s="4" t="s">
        <v>54</v>
      </c>
      <c r="G2701" s="4" t="s">
        <v>6490</v>
      </c>
      <c r="H2701" s="4" t="s">
        <v>49</v>
      </c>
      <c r="I2701" s="4" t="s">
        <v>6005</v>
      </c>
      <c r="J2701" s="4" t="s">
        <v>121</v>
      </c>
      <c r="K2701" s="5" t="str">
        <f>HYPERLINK("https://dms.licdn.com/playlist/vid/v2/D4E05AQGgDq87Idj5yQ/mp4-720p-30fp-crf28/B4EZ2SOfNBIkCI-/0/1776274785729?e=2147483647&amp;v=beta&amp;t=GlzWHH2t1SJHcYYhlaMPGa_26MZmEbr1GAGR0HyZh70","View Creative")</f>
        <v>View Creative</v>
      </c>
      <c r="L2701" s="4" t="s">
        <v>106</v>
      </c>
      <c r="M2701" s="4" t="s">
        <v>5965</v>
      </c>
      <c r="O2701" s="4" t="s">
        <v>63</v>
      </c>
      <c r="P2701" s="4" t="s">
        <v>64</v>
      </c>
    </row>
    <row r="2702">
      <c r="A2702" s="4" t="s">
        <v>5965</v>
      </c>
      <c r="B2702" s="4" t="s">
        <v>5965</v>
      </c>
      <c r="C2702" s="4">
        <v>1091.0</v>
      </c>
      <c r="D2702" s="5" t="str">
        <f>HYPERLINK("https://www.linkedin.com/ad-library/detail/1412578706","Open Ad")</f>
        <v>Open Ad</v>
      </c>
      <c r="E2702" s="4" t="s">
        <v>78</v>
      </c>
      <c r="F2702" s="4" t="s">
        <v>54</v>
      </c>
      <c r="G2702" s="4" t="s">
        <v>6491</v>
      </c>
      <c r="H2702" s="4" t="s">
        <v>49</v>
      </c>
      <c r="I2702" s="4" t="s">
        <v>6005</v>
      </c>
      <c r="J2702" s="4" t="s">
        <v>78</v>
      </c>
      <c r="K2702" s="5" t="str">
        <f>HYPERLINK("https://media.licdn.com/dms/image/v2/D4E10AQFxOL9nLqs70A/image-shrink_1280/B4EZ4ianU2HQAc-/0/1778693863094?e=2147483647&amp;v=beta&amp;t=Kek_CvI7J64DQujymdrphqZ0971IksfKM8-LPcA7u1g","View Creative")</f>
        <v>View Creative</v>
      </c>
      <c r="L2702" s="4" t="s">
        <v>106</v>
      </c>
      <c r="M2702" s="4" t="s">
        <v>5965</v>
      </c>
      <c r="O2702" s="4" t="s">
        <v>63</v>
      </c>
      <c r="P2702" s="4" t="s">
        <v>64</v>
      </c>
    </row>
    <row r="2703">
      <c r="A2703" s="4" t="s">
        <v>5965</v>
      </c>
      <c r="B2703" s="4" t="s">
        <v>5965</v>
      </c>
      <c r="C2703" s="4">
        <v>1092.0</v>
      </c>
      <c r="D2703" s="5" t="str">
        <f>HYPERLINK("https://www.linkedin.com/ad-library/detail/1412608266","Open Ad")</f>
        <v>Open Ad</v>
      </c>
      <c r="E2703" s="4" t="s">
        <v>121</v>
      </c>
      <c r="F2703" s="4" t="s">
        <v>54</v>
      </c>
      <c r="G2703" s="4" t="s">
        <v>6492</v>
      </c>
      <c r="H2703" s="4" t="s">
        <v>49</v>
      </c>
      <c r="I2703" s="4" t="s">
        <v>6005</v>
      </c>
      <c r="J2703" s="4" t="s">
        <v>121</v>
      </c>
      <c r="K2703" s="5" t="str">
        <f>HYPERLINK("https://dms.licdn.com/playlist/vid/v2/D4E10AQG2UpRhHOuMCw/mp4-360p-30fp-crf28/B4EZ3gFVQtKQBc-/0/1777580992778?e=2147483647&amp;v=beta&amp;t=f4WJja1TUP7dpfZlQSH5mijwN80xWRScl9vgdNUiVYY","View Creative")</f>
        <v>View Creative</v>
      </c>
      <c r="L2703" s="4" t="s">
        <v>106</v>
      </c>
      <c r="M2703" s="4" t="s">
        <v>5965</v>
      </c>
      <c r="O2703" s="4" t="s">
        <v>63</v>
      </c>
      <c r="P2703" s="4" t="s">
        <v>64</v>
      </c>
    </row>
    <row r="2704">
      <c r="A2704" s="4" t="s">
        <v>5965</v>
      </c>
      <c r="B2704" s="4" t="s">
        <v>5965</v>
      </c>
      <c r="C2704" s="4">
        <v>1093.0</v>
      </c>
      <c r="D2704" s="5" t="str">
        <f>HYPERLINK("https://www.linkedin.com/ad-library/detail/1413035966","Open Ad")</f>
        <v>Open Ad</v>
      </c>
      <c r="E2704" s="4" t="s">
        <v>78</v>
      </c>
      <c r="F2704" s="4" t="s">
        <v>54</v>
      </c>
      <c r="G2704" s="4" t="s">
        <v>6115</v>
      </c>
      <c r="H2704" s="4" t="s">
        <v>49</v>
      </c>
      <c r="I2704" s="4" t="s">
        <v>6005</v>
      </c>
      <c r="J2704" s="4" t="s">
        <v>78</v>
      </c>
      <c r="K2704" s="5" t="str">
        <f>HYPERLINK("https://media.licdn.com/dms/image/v2/D5610AQGMVMBywOZTRA/image-shrink_1280/B56Z3WD4I4GsAc-/0/1777412834072/Ad11png?e=2147483647&amp;v=beta&amp;t=wEwvt57CmhCwh8mjwxDAOwifwJjctZBli8J_4VPqXQ0","View Creative")</f>
        <v>View Creative</v>
      </c>
      <c r="L2704" s="4" t="s">
        <v>106</v>
      </c>
      <c r="M2704" s="4" t="s">
        <v>5965</v>
      </c>
      <c r="O2704" s="4" t="s">
        <v>63</v>
      </c>
      <c r="P2704" s="4" t="s">
        <v>64</v>
      </c>
    </row>
    <row r="2705">
      <c r="A2705" s="4" t="s">
        <v>5965</v>
      </c>
      <c r="B2705" s="4" t="s">
        <v>5965</v>
      </c>
      <c r="C2705" s="4">
        <v>1094.0</v>
      </c>
      <c r="D2705" s="5" t="str">
        <f>HYPERLINK("https://www.linkedin.com/ad-library/detail/1412719946","Open Ad")</f>
        <v>Open Ad</v>
      </c>
      <c r="E2705" s="4" t="s">
        <v>121</v>
      </c>
      <c r="F2705" s="4" t="s">
        <v>54</v>
      </c>
      <c r="G2705" s="4" t="s">
        <v>6493</v>
      </c>
      <c r="H2705" s="4" t="s">
        <v>49</v>
      </c>
      <c r="I2705" s="4" t="s">
        <v>6005</v>
      </c>
      <c r="J2705" s="4" t="s">
        <v>121</v>
      </c>
      <c r="K2705" s="5" t="str">
        <f>HYPERLINK("https://dms.licdn.com/playlist/vid/v2/D4E10AQHquBM6CRwRLg/mp4-720p-30fp-crf28/B4EZ4Y836cIwBo-/0/1778535076118?e=2147483647&amp;v=beta&amp;t=S5BdaHRMxcbrYKRiNigEZ8fnuBM2nr09EtW-wtwsuTI","View Creative")</f>
        <v>View Creative</v>
      </c>
      <c r="L2705" s="4" t="s">
        <v>106</v>
      </c>
      <c r="M2705" s="4" t="s">
        <v>5965</v>
      </c>
      <c r="O2705" s="4" t="s">
        <v>63</v>
      </c>
      <c r="P2705" s="4" t="s">
        <v>64</v>
      </c>
    </row>
    <row r="2706">
      <c r="A2706" s="4" t="s">
        <v>5965</v>
      </c>
      <c r="B2706" s="4" t="s">
        <v>5965</v>
      </c>
      <c r="C2706" s="4">
        <v>1095.0</v>
      </c>
      <c r="D2706" s="5" t="str">
        <f>HYPERLINK("https://www.linkedin.com/ad-library/detail/1412558816","Open Ad")</f>
        <v>Open Ad</v>
      </c>
      <c r="E2706" s="4" t="s">
        <v>78</v>
      </c>
      <c r="F2706" s="4" t="s">
        <v>54</v>
      </c>
      <c r="G2706" s="4" t="s">
        <v>6494</v>
      </c>
      <c r="H2706" s="4" t="s">
        <v>49</v>
      </c>
      <c r="I2706" s="4" t="s">
        <v>6005</v>
      </c>
      <c r="J2706" s="4" t="s">
        <v>78</v>
      </c>
      <c r="K2706" s="5" t="str">
        <f>HYPERLINK("https://media.licdn.com/dms/image/v2/D4E22AQHbFCQCDCGG3g/feedshare-image-high-res/B4EZpOeqO1HgAw-/0/1762253252103?e=2147483647&amp;v=beta&amp;t=Br5vflKeqacS-e7vktti7ZfaCAL9Qm6QJloy5pf7CYw","View Creative")</f>
        <v>View Creative</v>
      </c>
      <c r="L2706" s="4" t="s">
        <v>106</v>
      </c>
      <c r="M2706" s="4" t="s">
        <v>5965</v>
      </c>
      <c r="O2706" s="4" t="s">
        <v>63</v>
      </c>
      <c r="P2706" s="4" t="s">
        <v>64</v>
      </c>
    </row>
    <row r="2707">
      <c r="A2707" s="4" t="s">
        <v>5965</v>
      </c>
      <c r="B2707" s="4" t="s">
        <v>5965</v>
      </c>
      <c r="C2707" s="4">
        <v>1096.0</v>
      </c>
      <c r="D2707" s="5" t="str">
        <f>HYPERLINK("https://www.linkedin.com/ad-library/detail/1412598426","Open Ad")</f>
        <v>Open Ad</v>
      </c>
      <c r="E2707" s="4" t="s">
        <v>78</v>
      </c>
      <c r="F2707" s="4" t="s">
        <v>54</v>
      </c>
      <c r="G2707" s="4" t="s">
        <v>6495</v>
      </c>
      <c r="H2707" s="4" t="s">
        <v>49</v>
      </c>
      <c r="I2707" s="4" t="s">
        <v>6005</v>
      </c>
      <c r="J2707" s="4" t="s">
        <v>78</v>
      </c>
      <c r="K2707" s="5" t="str">
        <f>HYPERLINK("https://media.licdn.com/dms/image/v2/D4E10AQHDXlmtjKyj5A/image-shrink_1280/B4EZ5AZvOOIIAk-/0/1779196950051?e=2147483647&amp;v=beta&amp;t=Vhm01rhLWWhvjCaJa2tuncQmcHCNQWpm2nfup_kGCoQ","View Creative")</f>
        <v>View Creative</v>
      </c>
      <c r="L2707" s="4" t="s">
        <v>106</v>
      </c>
      <c r="M2707" s="4" t="s">
        <v>5965</v>
      </c>
      <c r="O2707" s="4" t="s">
        <v>63</v>
      </c>
      <c r="P2707" s="4" t="s">
        <v>64</v>
      </c>
    </row>
    <row r="2708">
      <c r="A2708" s="4" t="s">
        <v>5965</v>
      </c>
      <c r="B2708" s="4" t="s">
        <v>5965</v>
      </c>
      <c r="C2708" s="4">
        <v>1097.0</v>
      </c>
      <c r="D2708" s="5" t="str">
        <f>HYPERLINK("https://www.linkedin.com/ad-library/detail/1412658406","Open Ad")</f>
        <v>Open Ad</v>
      </c>
      <c r="E2708" s="4" t="s">
        <v>78</v>
      </c>
      <c r="F2708" s="4" t="s">
        <v>54</v>
      </c>
      <c r="G2708" s="4" t="s">
        <v>6069</v>
      </c>
      <c r="H2708" s="4" t="s">
        <v>49</v>
      </c>
      <c r="I2708" s="4" t="s">
        <v>6005</v>
      </c>
      <c r="J2708" s="4" t="s">
        <v>78</v>
      </c>
      <c r="K2708" s="5" t="str">
        <f>HYPERLINK("https://media.licdn.com/dms/image/v2/D4E10AQEqECWLz8eLfg/image-shrink_1280/B4EZ3UsZ.CGkAc-/0/1777389904287?e=2147483647&amp;v=beta&amp;t=0Mbfqk_hLfichGIBXrMjoO2DeoHez5SeK866pI13xWU","View Creative")</f>
        <v>View Creative</v>
      </c>
      <c r="L2708" s="4" t="s">
        <v>106</v>
      </c>
      <c r="M2708" s="4" t="s">
        <v>5965</v>
      </c>
      <c r="O2708" s="4" t="s">
        <v>63</v>
      </c>
      <c r="P2708" s="4" t="s">
        <v>64</v>
      </c>
    </row>
    <row r="2709">
      <c r="A2709" s="4" t="s">
        <v>5965</v>
      </c>
      <c r="B2709" s="4" t="s">
        <v>5965</v>
      </c>
      <c r="C2709" s="4">
        <v>1098.0</v>
      </c>
      <c r="D2709" s="5" t="str">
        <f>HYPERLINK("https://www.linkedin.com/ad-library/detail/1413141036","Open Ad")</f>
        <v>Open Ad</v>
      </c>
      <c r="E2709" s="4" t="s">
        <v>78</v>
      </c>
      <c r="F2709" s="4" t="s">
        <v>54</v>
      </c>
      <c r="G2709" s="4" t="s">
        <v>6115</v>
      </c>
      <c r="H2709" s="4" t="s">
        <v>49</v>
      </c>
      <c r="I2709" s="4" t="s">
        <v>6005</v>
      </c>
      <c r="J2709" s="4" t="s">
        <v>78</v>
      </c>
      <c r="K2709" s="5" t="str">
        <f>HYPERLINK("https://media.licdn.com/dms/image/v2/D5610AQHwfvEneIqQpg/image-shrink_1280/B56Z3WDTp1G0Ac-/0/1777412684628/Ad9png?e=2147483647&amp;v=beta&amp;t=aYxtFLgpOksdc2sW2JhFfLdBL1lU2G76XPJ-90sIZlk","View Creative")</f>
        <v>View Creative</v>
      </c>
      <c r="L2709" s="4" t="s">
        <v>106</v>
      </c>
      <c r="M2709" s="4" t="s">
        <v>5965</v>
      </c>
      <c r="O2709" s="4" t="s">
        <v>63</v>
      </c>
      <c r="P2709" s="4" t="s">
        <v>64</v>
      </c>
    </row>
    <row r="2710">
      <c r="A2710" s="4" t="s">
        <v>5965</v>
      </c>
      <c r="B2710" s="4" t="s">
        <v>5965</v>
      </c>
      <c r="C2710" s="4">
        <v>1099.0</v>
      </c>
      <c r="D2710" s="5" t="str">
        <f>HYPERLINK("https://www.linkedin.com/ad-library/detail/1307917384","Open Ad")</f>
        <v>Open Ad</v>
      </c>
      <c r="E2710" s="4" t="s">
        <v>78</v>
      </c>
      <c r="F2710" s="4" t="s">
        <v>54</v>
      </c>
      <c r="G2710" s="8" t="s">
        <v>6289</v>
      </c>
      <c r="H2710" s="4" t="s">
        <v>49</v>
      </c>
      <c r="I2710" s="4" t="s">
        <v>6005</v>
      </c>
      <c r="J2710" s="4" t="s">
        <v>78</v>
      </c>
      <c r="K2710" s="5" t="str">
        <f>HYPERLINK("https://media.licdn.com/dms/image/v2/D4E22AQGUgWvCy3EsCA/feedshare-image-high-res/B4EZ5MfammIIAU-/0/1779399764662?e=2147483647&amp;v=beta&amp;t=RDqRNBrhkZWz3rWfPv8WhtKpVkgRrzMA6KFe_K4nRWM","View Creative")</f>
        <v>View Creative</v>
      </c>
      <c r="L2710" s="4" t="s">
        <v>106</v>
      </c>
      <c r="M2710" s="4" t="s">
        <v>5965</v>
      </c>
      <c r="O2710" s="4" t="s">
        <v>63</v>
      </c>
      <c r="P2710" s="4" t="s">
        <v>64</v>
      </c>
    </row>
    <row r="2711">
      <c r="A2711" s="4" t="s">
        <v>5965</v>
      </c>
      <c r="B2711" s="4" t="s">
        <v>5965</v>
      </c>
      <c r="C2711" s="4">
        <v>1100.0</v>
      </c>
      <c r="D2711" s="5" t="str">
        <f>HYPERLINK("https://www.linkedin.com/ad-library/detail/1412608306","Open Ad")</f>
        <v>Open Ad</v>
      </c>
      <c r="E2711" s="4" t="s">
        <v>78</v>
      </c>
      <c r="F2711" s="4" t="s">
        <v>54</v>
      </c>
      <c r="G2711" s="4" t="s">
        <v>6496</v>
      </c>
      <c r="H2711" s="4" t="s">
        <v>49</v>
      </c>
      <c r="I2711" s="4" t="s">
        <v>6005</v>
      </c>
      <c r="J2711" s="4" t="s">
        <v>78</v>
      </c>
      <c r="K2711" s="5" t="str">
        <f>HYPERLINK("https://media.licdn.com/dms/image/v2/D4E10AQFu8KZz_7vc0g/image-shrink_1280/B4EZ4EWOD4JsAc-/0/1778189395117?e=2147483647&amp;v=beta&amp;t=MFHh8ZziJJ66eADx3_Yp_sCjThDVa31duNVTpQCBmRg","View Creative")</f>
        <v>View Creative</v>
      </c>
      <c r="L2711" s="4" t="s">
        <v>106</v>
      </c>
      <c r="M2711" s="4" t="s">
        <v>5965</v>
      </c>
      <c r="O2711" s="4" t="s">
        <v>63</v>
      </c>
      <c r="P2711" s="4" t="s">
        <v>64</v>
      </c>
    </row>
    <row r="2712">
      <c r="A2712" s="4" t="s">
        <v>5965</v>
      </c>
      <c r="B2712" s="4" t="s">
        <v>5965</v>
      </c>
      <c r="C2712" s="4">
        <v>1101.0</v>
      </c>
      <c r="D2712" s="5" t="str">
        <f>HYPERLINK("https://www.linkedin.com/ad-library/detail/1412675366","Open Ad")</f>
        <v>Open Ad</v>
      </c>
      <c r="E2712" s="4" t="s">
        <v>121</v>
      </c>
      <c r="F2712" s="4" t="s">
        <v>54</v>
      </c>
      <c r="G2712" s="4" t="s">
        <v>6497</v>
      </c>
      <c r="H2712" s="4" t="s">
        <v>49</v>
      </c>
      <c r="I2712" s="4" t="s">
        <v>6005</v>
      </c>
      <c r="J2712" s="4" t="s">
        <v>121</v>
      </c>
      <c r="K2712" s="5" t="str">
        <f>HYPERLINK("https://dms.licdn.com/playlist/vid/v2/D4E10AQHUrI2j9Xlm-g/mp4-360p-30fp-crf28/B4EZ3gCy9GHUBc-/0/1777580327951?e=2147483647&amp;v=beta&amp;t=o0Yf6I3v44oAb3XWlcouRtGT8_n1n1Q3iyFdqJ3i4ew","View Creative")</f>
        <v>View Creative</v>
      </c>
      <c r="L2712" s="4" t="s">
        <v>106</v>
      </c>
      <c r="M2712" s="4" t="s">
        <v>5965</v>
      </c>
      <c r="O2712" s="4" t="s">
        <v>63</v>
      </c>
      <c r="P2712" s="4" t="s">
        <v>64</v>
      </c>
    </row>
    <row r="2713">
      <c r="A2713" s="4" t="s">
        <v>5965</v>
      </c>
      <c r="B2713" s="4" t="s">
        <v>5965</v>
      </c>
      <c r="C2713" s="4">
        <v>1102.0</v>
      </c>
      <c r="D2713" s="5" t="str">
        <f>HYPERLINK("https://www.linkedin.com/ad-library/detail/1415853476","Open Ad")</f>
        <v>Open Ad</v>
      </c>
      <c r="E2713" s="4" t="s">
        <v>78</v>
      </c>
      <c r="F2713" s="4" t="s">
        <v>54</v>
      </c>
      <c r="G2713" s="4" t="s">
        <v>6473</v>
      </c>
      <c r="H2713" s="4" t="s">
        <v>49</v>
      </c>
      <c r="I2713" s="4" t="s">
        <v>6005</v>
      </c>
      <c r="J2713" s="4" t="s">
        <v>78</v>
      </c>
      <c r="K2713" s="4" t="s">
        <v>59</v>
      </c>
      <c r="L2713" s="4" t="s">
        <v>106</v>
      </c>
      <c r="M2713" s="4" t="s">
        <v>5965</v>
      </c>
      <c r="O2713" s="4" t="s">
        <v>63</v>
      </c>
      <c r="P2713" s="4" t="s">
        <v>64</v>
      </c>
    </row>
    <row r="2714">
      <c r="A2714" s="4" t="s">
        <v>5965</v>
      </c>
      <c r="B2714" s="4" t="s">
        <v>5965</v>
      </c>
      <c r="C2714" s="4">
        <v>1103.0</v>
      </c>
      <c r="D2714" s="5" t="str">
        <f>HYPERLINK("https://www.linkedin.com/ad-library/detail/1415873446","Open Ad")</f>
        <v>Open Ad</v>
      </c>
      <c r="E2714" s="4" t="s">
        <v>78</v>
      </c>
      <c r="F2714" s="4" t="s">
        <v>54</v>
      </c>
      <c r="G2714" s="4" t="s">
        <v>6472</v>
      </c>
      <c r="H2714" s="4" t="s">
        <v>49</v>
      </c>
      <c r="I2714" s="4" t="s">
        <v>6005</v>
      </c>
      <c r="J2714" s="4" t="s">
        <v>78</v>
      </c>
      <c r="K2714" s="4" t="s">
        <v>59</v>
      </c>
      <c r="L2714" s="4" t="s">
        <v>106</v>
      </c>
      <c r="M2714" s="4" t="s">
        <v>5965</v>
      </c>
      <c r="O2714" s="4" t="s">
        <v>63</v>
      </c>
      <c r="P2714" s="4" t="s">
        <v>64</v>
      </c>
    </row>
    <row r="2715">
      <c r="A2715" s="4" t="s">
        <v>5965</v>
      </c>
      <c r="B2715" s="4" t="s">
        <v>5965</v>
      </c>
      <c r="C2715" s="4">
        <v>1104.0</v>
      </c>
      <c r="D2715" s="5" t="str">
        <f>HYPERLINK("https://www.linkedin.com/ad-library/detail/1412675336","Open Ad")</f>
        <v>Open Ad</v>
      </c>
      <c r="E2715" s="4" t="s">
        <v>121</v>
      </c>
      <c r="F2715" s="4" t="s">
        <v>54</v>
      </c>
      <c r="G2715" s="4" t="s">
        <v>6389</v>
      </c>
      <c r="H2715" s="4" t="s">
        <v>49</v>
      </c>
      <c r="I2715" s="4" t="s">
        <v>6005</v>
      </c>
      <c r="J2715" s="4" t="s">
        <v>121</v>
      </c>
      <c r="K2715" s="5" t="str">
        <f>HYPERLINK("https://dms.licdn.com/playlist/vid/v2/D4E05AQEZIBMQ5dvMiw/mp4-640p-30fp-crf28/B4EZq7fWtpGcB0-/0/1764082160741?e=2147483647&amp;v=beta&amp;t=XFL1jBqfg-_iulKKPx99xtiUuPTR1oKXosCHSzSTLSs","View Creative")</f>
        <v>View Creative</v>
      </c>
      <c r="L2715" s="4" t="s">
        <v>106</v>
      </c>
      <c r="M2715" s="4" t="s">
        <v>5965</v>
      </c>
      <c r="O2715" s="4" t="s">
        <v>63</v>
      </c>
      <c r="P2715" s="4" t="s">
        <v>64</v>
      </c>
    </row>
    <row r="2716">
      <c r="A2716" s="4" t="s">
        <v>5965</v>
      </c>
      <c r="B2716" s="4" t="s">
        <v>5965</v>
      </c>
      <c r="C2716" s="4">
        <v>1105.0</v>
      </c>
      <c r="D2716" s="5" t="str">
        <f>HYPERLINK("https://www.linkedin.com/ad-library/detail/1411519656","Open Ad")</f>
        <v>Open Ad</v>
      </c>
      <c r="E2716" s="4" t="s">
        <v>78</v>
      </c>
      <c r="F2716" s="4" t="s">
        <v>54</v>
      </c>
      <c r="G2716" s="4" t="s">
        <v>6498</v>
      </c>
      <c r="H2716" s="4" t="s">
        <v>49</v>
      </c>
      <c r="I2716" s="4" t="s">
        <v>6005</v>
      </c>
      <c r="J2716" s="4" t="s">
        <v>78</v>
      </c>
      <c r="K2716" s="5" t="str">
        <f t="shared" ref="K2716:K2717" si="122">HYPERLINK("https://media.licdn.com/dms/image/v2/D4E10AQH2PAwG3WpztQ/image-shrink_1280/B4EZ484HvnG8Ac-/0/1779137805700?e=2147483647&amp;v=beta&amp;t=pGqFJJO6RwNSFk17_p855nqFqUjYy3-1ppvlx9nvguI","View Creative")</f>
        <v>View Creative</v>
      </c>
      <c r="L2716" s="4" t="s">
        <v>106</v>
      </c>
      <c r="M2716" s="4" t="s">
        <v>5965</v>
      </c>
      <c r="O2716" s="4" t="s">
        <v>63</v>
      </c>
      <c r="P2716" s="4" t="s">
        <v>64</v>
      </c>
    </row>
    <row r="2717">
      <c r="A2717" s="4" t="s">
        <v>5965</v>
      </c>
      <c r="B2717" s="4" t="s">
        <v>5965</v>
      </c>
      <c r="C2717" s="4">
        <v>1106.0</v>
      </c>
      <c r="D2717" s="5" t="str">
        <f>HYPERLINK("https://www.linkedin.com/ad-library/detail/1411548636","Open Ad")</f>
        <v>Open Ad</v>
      </c>
      <c r="E2717" s="4" t="s">
        <v>78</v>
      </c>
      <c r="F2717" s="4" t="s">
        <v>54</v>
      </c>
      <c r="G2717" s="4" t="s">
        <v>6498</v>
      </c>
      <c r="H2717" s="4" t="s">
        <v>49</v>
      </c>
      <c r="I2717" s="4" t="s">
        <v>6005</v>
      </c>
      <c r="J2717" s="4" t="s">
        <v>78</v>
      </c>
      <c r="K2717" s="5" t="str">
        <f t="shared" si="122"/>
        <v>View Creative</v>
      </c>
      <c r="L2717" s="4" t="s">
        <v>106</v>
      </c>
      <c r="M2717" s="4" t="s">
        <v>5965</v>
      </c>
      <c r="O2717" s="4" t="s">
        <v>63</v>
      </c>
      <c r="P2717" s="4" t="s">
        <v>64</v>
      </c>
    </row>
    <row r="2718">
      <c r="A2718" s="4" t="s">
        <v>5965</v>
      </c>
      <c r="B2718" s="4" t="s">
        <v>5965</v>
      </c>
      <c r="C2718" s="4">
        <v>1107.0</v>
      </c>
      <c r="D2718" s="5" t="str">
        <f>HYPERLINK("https://www.linkedin.com/ad-library/detail/1411715956","Open Ad")</f>
        <v>Open Ad</v>
      </c>
      <c r="E2718" s="4" t="s">
        <v>78</v>
      </c>
      <c r="F2718" s="4" t="s">
        <v>54</v>
      </c>
      <c r="G2718" s="4" t="s">
        <v>6499</v>
      </c>
      <c r="H2718" s="4" t="s">
        <v>49</v>
      </c>
      <c r="I2718" s="4" t="s">
        <v>6005</v>
      </c>
      <c r="J2718" s="4" t="s">
        <v>78</v>
      </c>
      <c r="K2718" s="5" t="str">
        <f>HYPERLINK("https://media.licdn.com/dms/image/v2/D4E10AQHO-Mixcdp73g/image-shrink_1280/B4EZ483.HpJEAc-/0/1779137766258?e=2147483647&amp;v=beta&amp;t=cMEn_VXDnO5UPXzYpF0GGukQKEXgrOl1vSr793sCZtw","View Creative")</f>
        <v>View Creative</v>
      </c>
      <c r="L2718" s="4" t="s">
        <v>106</v>
      </c>
      <c r="M2718" s="4" t="s">
        <v>5965</v>
      </c>
      <c r="O2718" s="4" t="s">
        <v>63</v>
      </c>
      <c r="P2718" s="4" t="s">
        <v>64</v>
      </c>
    </row>
    <row r="2719">
      <c r="A2719" s="4" t="s">
        <v>5965</v>
      </c>
      <c r="B2719" s="4" t="s">
        <v>5965</v>
      </c>
      <c r="C2719" s="4">
        <v>1108.0</v>
      </c>
      <c r="D2719" s="5" t="str">
        <f>HYPERLINK("https://www.linkedin.com/ad-library/detail/1408923276","Open Ad")</f>
        <v>Open Ad</v>
      </c>
      <c r="E2719" s="4" t="s">
        <v>121</v>
      </c>
      <c r="F2719" s="4" t="s">
        <v>54</v>
      </c>
      <c r="G2719" s="4" t="s">
        <v>6500</v>
      </c>
      <c r="H2719" s="4" t="s">
        <v>49</v>
      </c>
      <c r="I2719" s="4" t="s">
        <v>6005</v>
      </c>
      <c r="J2719" s="4" t="s">
        <v>121</v>
      </c>
      <c r="K2719" s="5" t="str">
        <f>HYPERLINK("https://dms.licdn.com/playlist/vid/v2/D4E10AQGjGISKu4gVew/mp4-720p-30fp-crf28/B4EZ4imKVhKkBo-/0/1778696894361?e=2147483647&amp;v=beta&amp;t=K4OxFqMN6aCp2ezZswmS8szByQ6IKvCyOo6xiWdgT3Y","View Creative")</f>
        <v>View Creative</v>
      </c>
      <c r="L2719" s="4" t="s">
        <v>106</v>
      </c>
      <c r="M2719" s="4" t="s">
        <v>5965</v>
      </c>
      <c r="O2719" s="4" t="s">
        <v>63</v>
      </c>
      <c r="P2719" s="4" t="s">
        <v>64</v>
      </c>
    </row>
    <row r="2720">
      <c r="A2720" s="4" t="s">
        <v>5965</v>
      </c>
      <c r="B2720" s="4" t="s">
        <v>5965</v>
      </c>
      <c r="C2720" s="4">
        <v>1109.0</v>
      </c>
      <c r="D2720" s="5" t="str">
        <f>HYPERLINK("https://www.linkedin.com/ad-library/detail/1410800376","Open Ad")</f>
        <v>Open Ad</v>
      </c>
      <c r="E2720" s="4" t="s">
        <v>78</v>
      </c>
      <c r="F2720" s="4" t="s">
        <v>54</v>
      </c>
      <c r="G2720" s="4" t="s">
        <v>6115</v>
      </c>
      <c r="H2720" s="4" t="s">
        <v>49</v>
      </c>
      <c r="I2720" s="4" t="s">
        <v>6005</v>
      </c>
      <c r="J2720" s="4" t="s">
        <v>78</v>
      </c>
      <c r="K2720" s="5" t="str">
        <f>HYPERLINK("https://media.licdn.com/dms/image/v2/D5610AQGMVMBywOZTRA/image-shrink_1280/B56Z3WD4I4GsAc-/0/1777412834072/Ad11png?e=2147483647&amp;v=beta&amp;t=wEwvt57CmhCwh8mjwxDAOwifwJjctZBli8J_4VPqXQ0","View Creative")</f>
        <v>View Creative</v>
      </c>
      <c r="L2720" s="4" t="s">
        <v>106</v>
      </c>
      <c r="M2720" s="4" t="s">
        <v>5965</v>
      </c>
      <c r="O2720" s="4" t="s">
        <v>63</v>
      </c>
      <c r="P2720" s="4" t="s">
        <v>64</v>
      </c>
    </row>
    <row r="2721">
      <c r="A2721" s="4" t="s">
        <v>5965</v>
      </c>
      <c r="B2721" s="4" t="s">
        <v>5965</v>
      </c>
      <c r="C2721" s="4">
        <v>1110.0</v>
      </c>
      <c r="D2721" s="5" t="str">
        <f>HYPERLINK("https://www.linkedin.com/ad-library/detail/1411678056","Open Ad")</f>
        <v>Open Ad</v>
      </c>
      <c r="E2721" s="4" t="s">
        <v>78</v>
      </c>
      <c r="F2721" s="4" t="s">
        <v>54</v>
      </c>
      <c r="G2721" s="4" t="s">
        <v>6498</v>
      </c>
      <c r="H2721" s="4" t="s">
        <v>49</v>
      </c>
      <c r="I2721" s="4" t="s">
        <v>6005</v>
      </c>
      <c r="J2721" s="4" t="s">
        <v>78</v>
      </c>
      <c r="K2721" s="5" t="str">
        <f>HYPERLINK("https://media.licdn.com/dms/image/v2/D4E10AQH2PAwG3WpztQ/image-shrink_1280/B4EZ484HvnG8Ac-/0/1779137805700?e=2147483647&amp;v=beta&amp;t=pGqFJJO6RwNSFk17_p855nqFqUjYy3-1ppvlx9nvguI","View Creative")</f>
        <v>View Creative</v>
      </c>
      <c r="L2721" s="4" t="s">
        <v>106</v>
      </c>
      <c r="M2721" s="4" t="s">
        <v>5965</v>
      </c>
      <c r="O2721" s="4" t="s">
        <v>63</v>
      </c>
      <c r="P2721" s="4" t="s">
        <v>64</v>
      </c>
    </row>
    <row r="2722">
      <c r="A2722" s="4" t="s">
        <v>5965</v>
      </c>
      <c r="B2722" s="4" t="s">
        <v>5965</v>
      </c>
      <c r="C2722" s="4">
        <v>1111.0</v>
      </c>
      <c r="D2722" s="5" t="str">
        <f>HYPERLINK("https://www.linkedin.com/ad-library/detail/1410950326","Open Ad")</f>
        <v>Open Ad</v>
      </c>
      <c r="E2722" s="4" t="s">
        <v>78</v>
      </c>
      <c r="F2722" s="4" t="s">
        <v>54</v>
      </c>
      <c r="G2722" s="4" t="s">
        <v>6115</v>
      </c>
      <c r="H2722" s="4" t="s">
        <v>49</v>
      </c>
      <c r="I2722" s="4" t="s">
        <v>6005</v>
      </c>
      <c r="J2722" s="4" t="s">
        <v>78</v>
      </c>
      <c r="K2722" s="5" t="str">
        <f>HYPERLINK("https://media.licdn.com/dms/image/v2/D5610AQGMVMBywOZTRA/image-shrink_1280/B56Z3WD4I4GsAc-/0/1777412834072/Ad11png?e=2147483647&amp;v=beta&amp;t=wEwvt57CmhCwh8mjwxDAOwifwJjctZBli8J_4VPqXQ0","View Creative")</f>
        <v>View Creative</v>
      </c>
      <c r="L2722" s="4" t="s">
        <v>106</v>
      </c>
      <c r="M2722" s="4" t="s">
        <v>5965</v>
      </c>
      <c r="O2722" s="4" t="s">
        <v>63</v>
      </c>
      <c r="P2722" s="4" t="s">
        <v>64</v>
      </c>
    </row>
    <row r="2723">
      <c r="A2723" s="4" t="s">
        <v>5965</v>
      </c>
      <c r="B2723" s="4" t="s">
        <v>5965</v>
      </c>
      <c r="C2723" s="4">
        <v>1112.0</v>
      </c>
      <c r="D2723" s="5" t="str">
        <f>HYPERLINK("https://www.linkedin.com/ad-library/detail/1411587656","Open Ad")</f>
        <v>Open Ad</v>
      </c>
      <c r="E2723" s="4" t="s">
        <v>78</v>
      </c>
      <c r="F2723" s="4" t="s">
        <v>54</v>
      </c>
      <c r="G2723" s="4" t="s">
        <v>6495</v>
      </c>
      <c r="H2723" s="4" t="s">
        <v>49</v>
      </c>
      <c r="I2723" s="4" t="s">
        <v>6005</v>
      </c>
      <c r="J2723" s="4" t="s">
        <v>78</v>
      </c>
      <c r="K2723" s="5" t="str">
        <f>HYPERLINK("https://media.licdn.com/dms/image/v2/D4E10AQHDXlmtjKyj5A/image-shrink_1280/B4EZ5AZvOOIIAk-/0/1779196950051?e=2147483647&amp;v=beta&amp;t=Vhm01rhLWWhvjCaJa2tuncQmcHCNQWpm2nfup_kGCoQ","View Creative")</f>
        <v>View Creative</v>
      </c>
      <c r="L2723" s="4" t="s">
        <v>106</v>
      </c>
      <c r="M2723" s="4" t="s">
        <v>5965</v>
      </c>
      <c r="O2723" s="4" t="s">
        <v>63</v>
      </c>
      <c r="P2723" s="4" t="s">
        <v>64</v>
      </c>
    </row>
    <row r="2724">
      <c r="A2724" s="4" t="s">
        <v>5965</v>
      </c>
      <c r="B2724" s="4" t="s">
        <v>5965</v>
      </c>
      <c r="C2724" s="4">
        <v>1113.0</v>
      </c>
      <c r="D2724" s="5" t="str">
        <f>HYPERLINK("https://www.linkedin.com/ad-library/detail/1411627716","Open Ad")</f>
        <v>Open Ad</v>
      </c>
      <c r="E2724" s="4" t="s">
        <v>78</v>
      </c>
      <c r="F2724" s="4" t="s">
        <v>54</v>
      </c>
      <c r="G2724" s="4" t="s">
        <v>6499</v>
      </c>
      <c r="H2724" s="4" t="s">
        <v>49</v>
      </c>
      <c r="I2724" s="4" t="s">
        <v>6005</v>
      </c>
      <c r="J2724" s="4" t="s">
        <v>78</v>
      </c>
      <c r="K2724" s="5" t="str">
        <f>HYPERLINK("https://media.licdn.com/dms/image/v2/D4E10AQHO-Mixcdp73g/image-shrink_1280/B4EZ483.HpJEAc-/0/1779137766258?e=2147483647&amp;v=beta&amp;t=cMEn_VXDnO5UPXzYpF0GGukQKEXgrOl1vSr793sCZtw","View Creative")</f>
        <v>View Creative</v>
      </c>
      <c r="L2724" s="4" t="s">
        <v>106</v>
      </c>
      <c r="M2724" s="4" t="s">
        <v>5965</v>
      </c>
      <c r="O2724" s="4" t="s">
        <v>63</v>
      </c>
      <c r="P2724" s="4" t="s">
        <v>64</v>
      </c>
    </row>
    <row r="2725">
      <c r="A2725" s="4" t="s">
        <v>5965</v>
      </c>
      <c r="B2725" s="4" t="s">
        <v>5965</v>
      </c>
      <c r="C2725" s="4">
        <v>1114.0</v>
      </c>
      <c r="D2725" s="5" t="str">
        <f>HYPERLINK("https://www.linkedin.com/ad-library/detail/1298590214","Open Ad")</f>
        <v>Open Ad</v>
      </c>
      <c r="E2725" s="4" t="s">
        <v>78</v>
      </c>
      <c r="F2725" s="4" t="s">
        <v>54</v>
      </c>
      <c r="G2725" s="8" t="s">
        <v>6296</v>
      </c>
      <c r="H2725" s="4" t="s">
        <v>49</v>
      </c>
      <c r="I2725" s="4" t="s">
        <v>6005</v>
      </c>
      <c r="J2725" s="4" t="s">
        <v>78</v>
      </c>
      <c r="K2725" s="5" t="str">
        <f>HYPERLINK("https://media.licdn.com/dms/image/v2/D4E22AQGpcCW171s7XQ/feedshare-image-high-res/B4EZ48NEUUKQAU-/0/1779126519344?e=2147483647&amp;v=beta&amp;t=qtKlxqfofONgIfGH2M0a_hcnI2zE1Cnk944xMnVrZkY","View Creative")</f>
        <v>View Creative</v>
      </c>
      <c r="L2725" s="4" t="s">
        <v>106</v>
      </c>
      <c r="M2725" s="4" t="s">
        <v>5965</v>
      </c>
      <c r="O2725" s="4" t="s">
        <v>63</v>
      </c>
      <c r="P2725" s="4" t="s">
        <v>64</v>
      </c>
    </row>
    <row r="2726">
      <c r="A2726" s="4" t="s">
        <v>5965</v>
      </c>
      <c r="B2726" s="4" t="s">
        <v>5965</v>
      </c>
      <c r="C2726" s="4">
        <v>1115.0</v>
      </c>
      <c r="D2726" s="5" t="str">
        <f>HYPERLINK("https://www.linkedin.com/ad-library/detail/1411678066","Open Ad")</f>
        <v>Open Ad</v>
      </c>
      <c r="E2726" s="4" t="s">
        <v>78</v>
      </c>
      <c r="F2726" s="4" t="s">
        <v>54</v>
      </c>
      <c r="G2726" s="4" t="s">
        <v>6498</v>
      </c>
      <c r="H2726" s="4" t="s">
        <v>49</v>
      </c>
      <c r="I2726" s="4" t="s">
        <v>6005</v>
      </c>
      <c r="J2726" s="4" t="s">
        <v>78</v>
      </c>
      <c r="K2726" s="5" t="str">
        <f>HYPERLINK("https://media.licdn.com/dms/image/v2/D4E10AQH2PAwG3WpztQ/image-shrink_1280/B4EZ484HvnG8Ac-/0/1779137805700?e=2147483647&amp;v=beta&amp;t=pGqFJJO6RwNSFk17_p855nqFqUjYy3-1ppvlx9nvguI","View Creative")</f>
        <v>View Creative</v>
      </c>
      <c r="L2726" s="4" t="s">
        <v>106</v>
      </c>
      <c r="M2726" s="4" t="s">
        <v>5965</v>
      </c>
      <c r="O2726" s="4" t="s">
        <v>63</v>
      </c>
      <c r="P2726" s="4" t="s">
        <v>64</v>
      </c>
    </row>
    <row r="2727">
      <c r="A2727" s="4" t="s">
        <v>5965</v>
      </c>
      <c r="B2727" s="4" t="s">
        <v>5965</v>
      </c>
      <c r="C2727" s="4">
        <v>1116.0</v>
      </c>
      <c r="D2727" s="5" t="str">
        <f>HYPERLINK("https://www.linkedin.com/ad-library/detail/1411750776","Open Ad")</f>
        <v>Open Ad</v>
      </c>
      <c r="E2727" s="4" t="s">
        <v>78</v>
      </c>
      <c r="F2727" s="4" t="s">
        <v>54</v>
      </c>
      <c r="G2727" s="4" t="s">
        <v>6495</v>
      </c>
      <c r="H2727" s="4" t="s">
        <v>49</v>
      </c>
      <c r="I2727" s="4" t="s">
        <v>6005</v>
      </c>
      <c r="J2727" s="4" t="s">
        <v>78</v>
      </c>
      <c r="K2727" s="5" t="str">
        <f>HYPERLINK("https://media.licdn.com/dms/image/v2/D4E10AQHDXlmtjKyj5A/image-shrink_1280/B4EZ5AZvOOIIAk-/0/1779196950051?e=2147483647&amp;v=beta&amp;t=Vhm01rhLWWhvjCaJa2tuncQmcHCNQWpm2nfup_kGCoQ","View Creative")</f>
        <v>View Creative</v>
      </c>
      <c r="L2727" s="4" t="s">
        <v>106</v>
      </c>
      <c r="M2727" s="4" t="s">
        <v>5965</v>
      </c>
      <c r="O2727" s="4" t="s">
        <v>63</v>
      </c>
      <c r="P2727" s="4" t="s">
        <v>64</v>
      </c>
    </row>
    <row r="2728">
      <c r="A2728" s="4" t="s">
        <v>5965</v>
      </c>
      <c r="B2728" s="4" t="s">
        <v>5965</v>
      </c>
      <c r="C2728" s="4">
        <v>1117.0</v>
      </c>
      <c r="D2728" s="5" t="str">
        <f>HYPERLINK("https://www.linkedin.com/ad-library/detail/1411743146","Open Ad")</f>
        <v>Open Ad</v>
      </c>
      <c r="E2728" s="4" t="s">
        <v>78</v>
      </c>
      <c r="F2728" s="4" t="s">
        <v>54</v>
      </c>
      <c r="G2728" s="4" t="s">
        <v>6498</v>
      </c>
      <c r="H2728" s="4" t="s">
        <v>49</v>
      </c>
      <c r="I2728" s="4" t="s">
        <v>6005</v>
      </c>
      <c r="J2728" s="4" t="s">
        <v>78</v>
      </c>
      <c r="K2728" s="5" t="str">
        <f>HYPERLINK("https://media.licdn.com/dms/image/v2/D4E10AQH2PAwG3WpztQ/image-shrink_1280/B4EZ484HvnG8Ac-/0/1779137805700?e=2147483647&amp;v=beta&amp;t=pGqFJJO6RwNSFk17_p855nqFqUjYy3-1ppvlx9nvguI","View Creative")</f>
        <v>View Creative</v>
      </c>
      <c r="L2728" s="4" t="s">
        <v>106</v>
      </c>
      <c r="M2728" s="4" t="s">
        <v>5965</v>
      </c>
      <c r="O2728" s="4" t="s">
        <v>63</v>
      </c>
      <c r="P2728" s="4" t="s">
        <v>64</v>
      </c>
    </row>
    <row r="2729">
      <c r="A2729" s="4" t="s">
        <v>5965</v>
      </c>
      <c r="B2729" s="4" t="s">
        <v>5965</v>
      </c>
      <c r="C2729" s="4">
        <v>1118.0</v>
      </c>
      <c r="D2729" s="5" t="str">
        <f>HYPERLINK("https://www.linkedin.com/ad-library/detail/1411638236","Open Ad")</f>
        <v>Open Ad</v>
      </c>
      <c r="E2729" s="4" t="s">
        <v>78</v>
      </c>
      <c r="F2729" s="4" t="s">
        <v>54</v>
      </c>
      <c r="G2729" s="4" t="s">
        <v>6499</v>
      </c>
      <c r="H2729" s="4" t="s">
        <v>49</v>
      </c>
      <c r="I2729" s="4" t="s">
        <v>6005</v>
      </c>
      <c r="J2729" s="4" t="s">
        <v>78</v>
      </c>
      <c r="K2729" s="5" t="str">
        <f>HYPERLINK("https://media.licdn.com/dms/image/v2/D4E10AQHO-Mixcdp73g/image-shrink_1280/B4EZ483.HpJEAc-/0/1779137766258?e=2147483647&amp;v=beta&amp;t=cMEn_VXDnO5UPXzYpF0GGukQKEXgrOl1vSr793sCZtw","View Creative")</f>
        <v>View Creative</v>
      </c>
      <c r="L2729" s="4" t="s">
        <v>106</v>
      </c>
      <c r="M2729" s="4" t="s">
        <v>5965</v>
      </c>
      <c r="O2729" s="4" t="s">
        <v>63</v>
      </c>
      <c r="P2729" s="4" t="s">
        <v>64</v>
      </c>
    </row>
    <row r="2730">
      <c r="A2730" s="4" t="s">
        <v>5965</v>
      </c>
      <c r="B2730" s="4" t="s">
        <v>5965</v>
      </c>
      <c r="C2730" s="4">
        <v>1119.0</v>
      </c>
      <c r="D2730" s="5" t="str">
        <f>HYPERLINK("https://www.linkedin.com/ad-library/detail/1410750556","Open Ad")</f>
        <v>Open Ad</v>
      </c>
      <c r="E2730" s="4" t="s">
        <v>78</v>
      </c>
      <c r="F2730" s="4" t="s">
        <v>54</v>
      </c>
      <c r="G2730" s="4" t="s">
        <v>6115</v>
      </c>
      <c r="H2730" s="4" t="s">
        <v>49</v>
      </c>
      <c r="I2730" s="4" t="s">
        <v>6005</v>
      </c>
      <c r="J2730" s="4" t="s">
        <v>78</v>
      </c>
      <c r="K2730" s="5" t="str">
        <f>HYPERLINK("https://media.licdn.com/dms/image/v2/D5610AQHwfvEneIqQpg/image-shrink_1280/B56Z3WDTp1G0Ac-/0/1777412684628/Ad9png?e=2147483647&amp;v=beta&amp;t=aYxtFLgpOksdc2sW2JhFfLdBL1lU2G76XPJ-90sIZlk","View Creative")</f>
        <v>View Creative</v>
      </c>
      <c r="L2730" s="4" t="s">
        <v>106</v>
      </c>
      <c r="M2730" s="4" t="s">
        <v>5965</v>
      </c>
      <c r="O2730" s="4" t="s">
        <v>63</v>
      </c>
      <c r="P2730" s="4" t="s">
        <v>64</v>
      </c>
    </row>
    <row r="2731">
      <c r="A2731" s="4" t="s">
        <v>5965</v>
      </c>
      <c r="B2731" s="4" t="s">
        <v>5965</v>
      </c>
      <c r="C2731" s="4">
        <v>1120.0</v>
      </c>
      <c r="D2731" s="5" t="str">
        <f>HYPERLINK("https://www.linkedin.com/ad-library/detail/1410750546","Open Ad")</f>
        <v>Open Ad</v>
      </c>
      <c r="E2731" s="4" t="s">
        <v>78</v>
      </c>
      <c r="F2731" s="4" t="s">
        <v>54</v>
      </c>
      <c r="G2731" s="4" t="s">
        <v>6115</v>
      </c>
      <c r="H2731" s="4" t="s">
        <v>49</v>
      </c>
      <c r="I2731" s="4" t="s">
        <v>6005</v>
      </c>
      <c r="J2731" s="4" t="s">
        <v>78</v>
      </c>
      <c r="K2731" s="5" t="str">
        <f>HYPERLINK("https://media.licdn.com/dms/image/v2/D5610AQGMVMBywOZTRA/image-shrink_1280/B56Z3WD4I4GsAc-/0/1777412834072/Ad11png?e=2147483647&amp;v=beta&amp;t=wEwvt57CmhCwh8mjwxDAOwifwJjctZBli8J_4VPqXQ0","View Creative")</f>
        <v>View Creative</v>
      </c>
      <c r="L2731" s="4" t="s">
        <v>106</v>
      </c>
      <c r="M2731" s="4" t="s">
        <v>5965</v>
      </c>
      <c r="O2731" s="4" t="s">
        <v>63</v>
      </c>
      <c r="P2731" s="4" t="s">
        <v>64</v>
      </c>
    </row>
    <row r="2732">
      <c r="A2732" s="4" t="s">
        <v>5965</v>
      </c>
      <c r="B2732" s="4" t="s">
        <v>5965</v>
      </c>
      <c r="C2732" s="4">
        <v>1121.0</v>
      </c>
      <c r="D2732" s="5" t="str">
        <f>HYPERLINK("https://www.linkedin.com/ad-library/detail/1411578746","Open Ad")</f>
        <v>Open Ad</v>
      </c>
      <c r="E2732" s="4" t="s">
        <v>78</v>
      </c>
      <c r="F2732" s="4" t="s">
        <v>54</v>
      </c>
      <c r="G2732" s="4" t="s">
        <v>6498</v>
      </c>
      <c r="H2732" s="4" t="s">
        <v>49</v>
      </c>
      <c r="I2732" s="4" t="s">
        <v>6005</v>
      </c>
      <c r="J2732" s="4" t="s">
        <v>78</v>
      </c>
      <c r="K2732" s="5" t="str">
        <f>HYPERLINK("https://media.licdn.com/dms/image/v2/D4E10AQH2PAwG3WpztQ/image-shrink_1280/B4EZ484HvnG8Ac-/0/1779137805700?e=2147483647&amp;v=beta&amp;t=pGqFJJO6RwNSFk17_p855nqFqUjYy3-1ppvlx9nvguI","View Creative")</f>
        <v>View Creative</v>
      </c>
      <c r="L2732" s="4" t="s">
        <v>106</v>
      </c>
      <c r="M2732" s="4" t="s">
        <v>5965</v>
      </c>
      <c r="O2732" s="4" t="s">
        <v>63</v>
      </c>
      <c r="P2732" s="4" t="s">
        <v>64</v>
      </c>
    </row>
    <row r="2733">
      <c r="A2733" s="4" t="s">
        <v>5965</v>
      </c>
      <c r="B2733" s="4" t="s">
        <v>5965</v>
      </c>
      <c r="C2733" s="4">
        <v>1122.0</v>
      </c>
      <c r="D2733" s="5" t="str">
        <f>HYPERLINK("https://www.linkedin.com/ad-library/detail/1411706976","Open Ad")</f>
        <v>Open Ad</v>
      </c>
      <c r="E2733" s="4" t="s">
        <v>78</v>
      </c>
      <c r="F2733" s="4" t="s">
        <v>54</v>
      </c>
      <c r="G2733" s="4" t="s">
        <v>6499</v>
      </c>
      <c r="H2733" s="4" t="s">
        <v>49</v>
      </c>
      <c r="I2733" s="4" t="s">
        <v>6005</v>
      </c>
      <c r="J2733" s="4" t="s">
        <v>78</v>
      </c>
      <c r="K2733" s="5" t="str">
        <f>HYPERLINK("https://media.licdn.com/dms/image/v2/D4E10AQHO-Mixcdp73g/image-shrink_1280/B4EZ483.HpJEAc-/0/1779137766258?e=2147483647&amp;v=beta&amp;t=cMEn_VXDnO5UPXzYpF0GGukQKEXgrOl1vSr793sCZtw","View Creative")</f>
        <v>View Creative</v>
      </c>
      <c r="L2733" s="4" t="s">
        <v>106</v>
      </c>
      <c r="M2733" s="4" t="s">
        <v>5965</v>
      </c>
      <c r="O2733" s="4" t="s">
        <v>63</v>
      </c>
      <c r="P2733" s="4" t="s">
        <v>64</v>
      </c>
    </row>
    <row r="2734">
      <c r="A2734" s="4" t="s">
        <v>5965</v>
      </c>
      <c r="B2734" s="4" t="s">
        <v>5965</v>
      </c>
      <c r="C2734" s="4">
        <v>1123.0</v>
      </c>
      <c r="D2734" s="5" t="str">
        <f>HYPERLINK("https://www.linkedin.com/ad-library/detail/1411597986","Open Ad")</f>
        <v>Open Ad</v>
      </c>
      <c r="E2734" s="4" t="s">
        <v>78</v>
      </c>
      <c r="F2734" s="4" t="s">
        <v>54</v>
      </c>
      <c r="G2734" s="4" t="s">
        <v>6495</v>
      </c>
      <c r="H2734" s="4" t="s">
        <v>49</v>
      </c>
      <c r="I2734" s="4" t="s">
        <v>6005</v>
      </c>
      <c r="J2734" s="4" t="s">
        <v>78</v>
      </c>
      <c r="K2734" s="5" t="str">
        <f>HYPERLINK("https://media.licdn.com/dms/image/v2/D4E10AQHDXlmtjKyj5A/image-shrink_1280/B4EZ5AZvOOIIAk-/0/1779196950051?e=2147483647&amp;v=beta&amp;t=Vhm01rhLWWhvjCaJa2tuncQmcHCNQWpm2nfup_kGCoQ","View Creative")</f>
        <v>View Creative</v>
      </c>
      <c r="L2734" s="4" t="s">
        <v>106</v>
      </c>
      <c r="M2734" s="4" t="s">
        <v>5965</v>
      </c>
      <c r="O2734" s="4" t="s">
        <v>63</v>
      </c>
      <c r="P2734" s="4" t="s">
        <v>64</v>
      </c>
    </row>
    <row r="2735">
      <c r="A2735" s="4" t="s">
        <v>5965</v>
      </c>
      <c r="B2735" s="4" t="s">
        <v>5965</v>
      </c>
      <c r="C2735" s="4">
        <v>1124.0</v>
      </c>
      <c r="D2735" s="5" t="str">
        <f>HYPERLINK("https://www.linkedin.com/ad-library/detail/1411558186","Open Ad")</f>
        <v>Open Ad</v>
      </c>
      <c r="E2735" s="4" t="s">
        <v>78</v>
      </c>
      <c r="F2735" s="4" t="s">
        <v>54</v>
      </c>
      <c r="G2735" s="4" t="s">
        <v>6499</v>
      </c>
      <c r="H2735" s="4" t="s">
        <v>49</v>
      </c>
      <c r="I2735" s="4" t="s">
        <v>6005</v>
      </c>
      <c r="J2735" s="4" t="s">
        <v>78</v>
      </c>
      <c r="K2735" s="5" t="str">
        <f>HYPERLINK("https://media.licdn.com/dms/image/v2/D4E10AQHO-Mixcdp73g/image-shrink_1280/B4EZ483.HpJEAc-/0/1779137766258?e=2147483647&amp;v=beta&amp;t=cMEn_VXDnO5UPXzYpF0GGukQKEXgrOl1vSr793sCZtw","View Creative")</f>
        <v>View Creative</v>
      </c>
      <c r="L2735" s="4" t="s">
        <v>106</v>
      </c>
      <c r="M2735" s="4" t="s">
        <v>5965</v>
      </c>
      <c r="O2735" s="4" t="s">
        <v>63</v>
      </c>
      <c r="P2735" s="4" t="s">
        <v>64</v>
      </c>
    </row>
    <row r="2736">
      <c r="A2736" s="4" t="s">
        <v>5965</v>
      </c>
      <c r="B2736" s="4" t="s">
        <v>5965</v>
      </c>
      <c r="C2736" s="4">
        <v>1125.0</v>
      </c>
      <c r="D2736" s="5" t="str">
        <f>HYPERLINK("https://www.linkedin.com/ad-library/detail/1298289964","Open Ad")</f>
        <v>Open Ad</v>
      </c>
      <c r="E2736" s="4" t="s">
        <v>78</v>
      </c>
      <c r="F2736" s="4" t="s">
        <v>54</v>
      </c>
      <c r="G2736" s="8" t="s">
        <v>6296</v>
      </c>
      <c r="H2736" s="4" t="s">
        <v>49</v>
      </c>
      <c r="I2736" s="4" t="s">
        <v>6005</v>
      </c>
      <c r="J2736" s="4" t="s">
        <v>78</v>
      </c>
      <c r="K2736" s="5" t="str">
        <f>HYPERLINK("https://media.licdn.com/dms/image/v2/D4E22AQGpcCW171s7XQ/feedshare-image-high-res/B4EZ48NEUUKQAU-/0/1779126519344?e=2147483647&amp;v=beta&amp;t=qtKlxqfofONgIfGH2M0a_hcnI2zE1Cnk944xMnVrZkY","View Creative")</f>
        <v>View Creative</v>
      </c>
      <c r="L2736" s="4" t="s">
        <v>106</v>
      </c>
      <c r="M2736" s="4" t="s">
        <v>5965</v>
      </c>
      <c r="O2736" s="4" t="s">
        <v>63</v>
      </c>
      <c r="P2736" s="4" t="s">
        <v>64</v>
      </c>
    </row>
    <row r="2737">
      <c r="A2737" s="4" t="s">
        <v>5965</v>
      </c>
      <c r="B2737" s="4" t="s">
        <v>5965</v>
      </c>
      <c r="C2737" s="4">
        <v>1126.0</v>
      </c>
      <c r="D2737" s="5" t="str">
        <f>HYPERLINK("https://www.linkedin.com/ad-library/detail/1410830216","Open Ad")</f>
        <v>Open Ad</v>
      </c>
      <c r="E2737" s="4" t="s">
        <v>78</v>
      </c>
      <c r="F2737" s="4" t="s">
        <v>54</v>
      </c>
      <c r="G2737" s="4" t="s">
        <v>6115</v>
      </c>
      <c r="H2737" s="4" t="s">
        <v>49</v>
      </c>
      <c r="I2737" s="4" t="s">
        <v>6005</v>
      </c>
      <c r="J2737" s="4" t="s">
        <v>78</v>
      </c>
      <c r="K2737" s="5" t="str">
        <f>HYPERLINK("https://media.licdn.com/dms/image/v2/D5610AQHwfvEneIqQpg/image-shrink_1280/B56Z3WDTp1G0Ac-/0/1777412684628/Ad9png?e=2147483647&amp;v=beta&amp;t=aYxtFLgpOksdc2sW2JhFfLdBL1lU2G76XPJ-90sIZlk","View Creative")</f>
        <v>View Creative</v>
      </c>
      <c r="L2737" s="4" t="s">
        <v>106</v>
      </c>
      <c r="M2737" s="4" t="s">
        <v>5965</v>
      </c>
      <c r="O2737" s="4" t="s">
        <v>63</v>
      </c>
      <c r="P2737" s="4" t="s">
        <v>64</v>
      </c>
    </row>
    <row r="2738">
      <c r="A2738" s="4" t="s">
        <v>5965</v>
      </c>
      <c r="B2738" s="4" t="s">
        <v>5965</v>
      </c>
      <c r="C2738" s="4">
        <v>1127.0</v>
      </c>
      <c r="D2738" s="5" t="str">
        <f>HYPERLINK("https://www.linkedin.com/ad-library/detail/1411578486","Open Ad")</f>
        <v>Open Ad</v>
      </c>
      <c r="E2738" s="4" t="s">
        <v>78</v>
      </c>
      <c r="F2738" s="4" t="s">
        <v>54</v>
      </c>
      <c r="G2738" s="4" t="s">
        <v>6499</v>
      </c>
      <c r="H2738" s="4" t="s">
        <v>49</v>
      </c>
      <c r="I2738" s="4" t="s">
        <v>6005</v>
      </c>
      <c r="J2738" s="4" t="s">
        <v>78</v>
      </c>
      <c r="K2738" s="5" t="str">
        <f>HYPERLINK("https://media.licdn.com/dms/image/v2/D4E10AQHO-Mixcdp73g/image-shrink_1280/B4EZ483.HpJEAc-/0/1779137766258?e=2147483647&amp;v=beta&amp;t=cMEn_VXDnO5UPXzYpF0GGukQKEXgrOl1vSr793sCZtw","View Creative")</f>
        <v>View Creative</v>
      </c>
      <c r="L2738" s="4" t="s">
        <v>106</v>
      </c>
      <c r="M2738" s="4" t="s">
        <v>5965</v>
      </c>
      <c r="O2738" s="4" t="s">
        <v>63</v>
      </c>
      <c r="P2738" s="4" t="s">
        <v>64</v>
      </c>
    </row>
    <row r="2739">
      <c r="A2739" s="4" t="s">
        <v>5965</v>
      </c>
      <c r="B2739" s="4" t="s">
        <v>5965</v>
      </c>
      <c r="C2739" s="4">
        <v>1128.0</v>
      </c>
      <c r="D2739" s="5" t="str">
        <f>HYPERLINK("https://www.linkedin.com/ad-library/detail/1410920276","Open Ad")</f>
        <v>Open Ad</v>
      </c>
      <c r="E2739" s="4" t="s">
        <v>78</v>
      </c>
      <c r="F2739" s="4" t="s">
        <v>54</v>
      </c>
      <c r="G2739" s="4" t="s">
        <v>6115</v>
      </c>
      <c r="H2739" s="4" t="s">
        <v>49</v>
      </c>
      <c r="I2739" s="4" t="s">
        <v>6005</v>
      </c>
      <c r="J2739" s="4" t="s">
        <v>78</v>
      </c>
      <c r="K2739" s="5" t="str">
        <f>HYPERLINK("https://media.licdn.com/dms/image/v2/D5610AQGMVMBywOZTRA/image-shrink_1280/B56Z3WD4I4GsAc-/0/1777412834072/Ad11png?e=2147483647&amp;v=beta&amp;t=wEwvt57CmhCwh8mjwxDAOwifwJjctZBli8J_4VPqXQ0","View Creative")</f>
        <v>View Creative</v>
      </c>
      <c r="L2739" s="4" t="s">
        <v>106</v>
      </c>
      <c r="M2739" s="4" t="s">
        <v>5965</v>
      </c>
      <c r="O2739" s="4" t="s">
        <v>63</v>
      </c>
      <c r="P2739" s="4" t="s">
        <v>64</v>
      </c>
    </row>
    <row r="2740">
      <c r="A2740" s="4" t="s">
        <v>5965</v>
      </c>
      <c r="B2740" s="4" t="s">
        <v>5965</v>
      </c>
      <c r="C2740" s="4">
        <v>1129.0</v>
      </c>
      <c r="D2740" s="5" t="str">
        <f>HYPERLINK("https://www.linkedin.com/ad-library/detail/1408863236","Open Ad")</f>
        <v>Open Ad</v>
      </c>
      <c r="E2740" s="4" t="s">
        <v>121</v>
      </c>
      <c r="F2740" s="4" t="s">
        <v>54</v>
      </c>
      <c r="G2740" s="4" t="s">
        <v>6500</v>
      </c>
      <c r="H2740" s="4" t="s">
        <v>49</v>
      </c>
      <c r="I2740" s="4" t="s">
        <v>6005</v>
      </c>
      <c r="J2740" s="4" t="s">
        <v>121</v>
      </c>
      <c r="K2740" s="5" t="str">
        <f>HYPERLINK("https://dms.licdn.com/playlist/vid/v2/D4E10AQGjGISKu4gVew/mp4-720p-30fp-crf28/B4EZ4imKVhKkBo-/0/1778696894361?e=2147483647&amp;v=beta&amp;t=K4OxFqMN6aCp2ezZswmS8szByQ6IKvCyOo6xiWdgT3Y","View Creative")</f>
        <v>View Creative</v>
      </c>
      <c r="L2740" s="4" t="s">
        <v>106</v>
      </c>
      <c r="M2740" s="4" t="s">
        <v>5965</v>
      </c>
      <c r="O2740" s="4" t="s">
        <v>63</v>
      </c>
      <c r="P2740" s="4" t="s">
        <v>64</v>
      </c>
    </row>
    <row r="2741">
      <c r="A2741" s="4" t="s">
        <v>5965</v>
      </c>
      <c r="B2741" s="4" t="s">
        <v>5965</v>
      </c>
      <c r="C2741" s="4">
        <v>1130.0</v>
      </c>
      <c r="D2741" s="5" t="str">
        <f>HYPERLINK("https://www.linkedin.com/ad-library/detail/1408943136","Open Ad")</f>
        <v>Open Ad</v>
      </c>
      <c r="E2741" s="4" t="s">
        <v>78</v>
      </c>
      <c r="F2741" s="4" t="s">
        <v>54</v>
      </c>
      <c r="G2741" s="4" t="s">
        <v>6501</v>
      </c>
      <c r="H2741" s="4" t="s">
        <v>49</v>
      </c>
      <c r="I2741" s="4" t="s">
        <v>6005</v>
      </c>
      <c r="J2741" s="4" t="s">
        <v>78</v>
      </c>
      <c r="K2741" s="5" t="str">
        <f>HYPERLINK("https://media.licdn.com/dms/image/v2/D4E22AQEQFx2gWKEzqw/feedshare-shrink_1280/B4EZ4mvVZWKgAM-/0/1778766403519?e=2147483647&amp;v=beta&amp;t=paHpE8wb74Dwbe8caaokUOFdcadDEjXQFKkt1x8dXg4","View Creative")</f>
        <v>View Creative</v>
      </c>
      <c r="L2741" s="4" t="s">
        <v>106</v>
      </c>
      <c r="M2741" s="4" t="s">
        <v>5965</v>
      </c>
      <c r="O2741" s="4" t="s">
        <v>63</v>
      </c>
      <c r="P2741" s="4" t="s">
        <v>64</v>
      </c>
    </row>
    <row r="2742">
      <c r="A2742" s="4" t="s">
        <v>5965</v>
      </c>
      <c r="B2742" s="4" t="s">
        <v>5965</v>
      </c>
      <c r="C2742" s="4">
        <v>1131.0</v>
      </c>
      <c r="D2742" s="5" t="str">
        <f>HYPERLINK("https://www.linkedin.com/ad-library/detail/1408706426","Open Ad")</f>
        <v>Open Ad</v>
      </c>
      <c r="E2742" s="4" t="s">
        <v>78</v>
      </c>
      <c r="F2742" s="4" t="s">
        <v>54</v>
      </c>
      <c r="G2742" s="4" t="s">
        <v>6115</v>
      </c>
      <c r="H2742" s="4" t="s">
        <v>49</v>
      </c>
      <c r="I2742" s="4" t="s">
        <v>6005</v>
      </c>
      <c r="J2742" s="4" t="s">
        <v>78</v>
      </c>
      <c r="K2742" s="5" t="str">
        <f>HYPERLINK("https://media.licdn.com/dms/image/v2/D5610AQHboNfHfdoMGg/image-shrink_1280/B56Z39lJVLH4Ag-/0/1778075866691/Ad13png?e=2147483647&amp;v=beta&amp;t=w47eH2aNcVt5nGxpOUSqt9WGlOcn-OqTBTg2vMGSkLA","View Creative")</f>
        <v>View Creative</v>
      </c>
      <c r="L2742" s="4" t="s">
        <v>106</v>
      </c>
      <c r="M2742" s="4" t="s">
        <v>5965</v>
      </c>
      <c r="O2742" s="4" t="s">
        <v>63</v>
      </c>
      <c r="P2742" s="4" t="s">
        <v>64</v>
      </c>
    </row>
    <row r="2743">
      <c r="A2743" s="4" t="s">
        <v>5965</v>
      </c>
      <c r="B2743" s="4" t="s">
        <v>5965</v>
      </c>
      <c r="C2743" s="4">
        <v>1132.0</v>
      </c>
      <c r="D2743" s="5" t="str">
        <f>HYPERLINK("https://www.linkedin.com/ad-library/detail/1408706436","Open Ad")</f>
        <v>Open Ad</v>
      </c>
      <c r="E2743" s="4" t="s">
        <v>78</v>
      </c>
      <c r="F2743" s="4" t="s">
        <v>54</v>
      </c>
      <c r="G2743" s="4" t="s">
        <v>6115</v>
      </c>
      <c r="H2743" s="4" t="s">
        <v>49</v>
      </c>
      <c r="I2743" s="4" t="s">
        <v>6005</v>
      </c>
      <c r="J2743" s="4" t="s">
        <v>78</v>
      </c>
      <c r="K2743" s="5" t="str">
        <f>HYPERLINK("https://media.licdn.com/dms/image/v2/D5610AQGMVMBywOZTRA/image-shrink_1280/B56Z3WD4I4GsAc-/0/1777412834072/Ad11png?e=2147483647&amp;v=beta&amp;t=wEwvt57CmhCwh8mjwxDAOwifwJjctZBli8J_4VPqXQ0","View Creative")</f>
        <v>View Creative</v>
      </c>
      <c r="L2743" s="4" t="s">
        <v>106</v>
      </c>
      <c r="M2743" s="4" t="s">
        <v>5965</v>
      </c>
      <c r="O2743" s="4" t="s">
        <v>63</v>
      </c>
      <c r="P2743" s="4" t="s">
        <v>64</v>
      </c>
    </row>
    <row r="2744">
      <c r="A2744" s="4" t="s">
        <v>5965</v>
      </c>
      <c r="B2744" s="4" t="s">
        <v>5965</v>
      </c>
      <c r="C2744" s="4">
        <v>1133.0</v>
      </c>
      <c r="D2744" s="5" t="str">
        <f>HYPERLINK("https://www.linkedin.com/ad-library/detail/1408871966","Open Ad")</f>
        <v>Open Ad</v>
      </c>
      <c r="E2744" s="4" t="s">
        <v>78</v>
      </c>
      <c r="F2744" s="4" t="s">
        <v>54</v>
      </c>
      <c r="G2744" s="4" t="s">
        <v>6491</v>
      </c>
      <c r="H2744" s="4" t="s">
        <v>49</v>
      </c>
      <c r="I2744" s="4" t="s">
        <v>6005</v>
      </c>
      <c r="J2744" s="4" t="s">
        <v>78</v>
      </c>
      <c r="K2744" s="5" t="str">
        <f t="shared" ref="K2744:K2745" si="123">HYPERLINK("https://media.licdn.com/dms/image/v2/D4E10AQFxOL9nLqs70A/image-shrink_1280/B4EZ4ianU2HQAc-/0/1778693863094?e=2147483647&amp;v=beta&amp;t=Kek_CvI7J64DQujymdrphqZ0971IksfKM8-LPcA7u1g","View Creative")</f>
        <v>View Creative</v>
      </c>
      <c r="L2744" s="4" t="s">
        <v>106</v>
      </c>
      <c r="M2744" s="4" t="s">
        <v>5965</v>
      </c>
      <c r="O2744" s="4" t="s">
        <v>63</v>
      </c>
      <c r="P2744" s="4" t="s">
        <v>64</v>
      </c>
    </row>
    <row r="2745">
      <c r="A2745" s="4" t="s">
        <v>5965</v>
      </c>
      <c r="B2745" s="4" t="s">
        <v>5965</v>
      </c>
      <c r="C2745" s="4">
        <v>1134.0</v>
      </c>
      <c r="D2745" s="5" t="str">
        <f>HYPERLINK("https://www.linkedin.com/ad-library/detail/1408812036","Open Ad")</f>
        <v>Open Ad</v>
      </c>
      <c r="E2745" s="4" t="s">
        <v>78</v>
      </c>
      <c r="F2745" s="4" t="s">
        <v>54</v>
      </c>
      <c r="G2745" s="4" t="s">
        <v>6491</v>
      </c>
      <c r="H2745" s="4" t="s">
        <v>49</v>
      </c>
      <c r="I2745" s="4" t="s">
        <v>6005</v>
      </c>
      <c r="J2745" s="4" t="s">
        <v>78</v>
      </c>
      <c r="K2745" s="5" t="str">
        <f t="shared" si="123"/>
        <v>View Creative</v>
      </c>
      <c r="L2745" s="4" t="s">
        <v>106</v>
      </c>
      <c r="M2745" s="4" t="s">
        <v>5965</v>
      </c>
      <c r="O2745" s="4" t="s">
        <v>63</v>
      </c>
      <c r="P2745" s="4" t="s">
        <v>64</v>
      </c>
    </row>
    <row r="2746">
      <c r="A2746" s="4" t="s">
        <v>5965</v>
      </c>
      <c r="B2746" s="4" t="s">
        <v>5965</v>
      </c>
      <c r="C2746" s="4">
        <v>1135.0</v>
      </c>
      <c r="D2746" s="5" t="str">
        <f>HYPERLINK("https://www.linkedin.com/ad-library/detail/1408993206","Open Ad")</f>
        <v>Open Ad</v>
      </c>
      <c r="E2746" s="4" t="s">
        <v>121</v>
      </c>
      <c r="F2746" s="4" t="s">
        <v>54</v>
      </c>
      <c r="G2746" s="4" t="s">
        <v>6500</v>
      </c>
      <c r="H2746" s="4" t="s">
        <v>49</v>
      </c>
      <c r="I2746" s="4" t="s">
        <v>6005</v>
      </c>
      <c r="J2746" s="4" t="s">
        <v>121</v>
      </c>
      <c r="K2746" s="5" t="str">
        <f>HYPERLINK("https://dms.licdn.com/playlist/vid/v2/D4E10AQGjGISKu4gVew/mp4-720p-30fp-crf28/B4EZ4imKVhKkBo-/0/1778696894361?e=2147483647&amp;v=beta&amp;t=K4OxFqMN6aCp2ezZswmS8szByQ6IKvCyOo6xiWdgT3Y","View Creative")</f>
        <v>View Creative</v>
      </c>
      <c r="L2746" s="4" t="s">
        <v>106</v>
      </c>
      <c r="M2746" s="4" t="s">
        <v>5965</v>
      </c>
      <c r="O2746" s="4" t="s">
        <v>63</v>
      </c>
      <c r="P2746" s="4" t="s">
        <v>64</v>
      </c>
    </row>
    <row r="2747">
      <c r="A2747" s="4" t="s">
        <v>5965</v>
      </c>
      <c r="B2747" s="4" t="s">
        <v>5965</v>
      </c>
      <c r="C2747" s="4">
        <v>1136.0</v>
      </c>
      <c r="D2747" s="5" t="str">
        <f>HYPERLINK("https://www.linkedin.com/ad-library/detail/1408842006","Open Ad")</f>
        <v>Open Ad</v>
      </c>
      <c r="E2747" s="4" t="s">
        <v>78</v>
      </c>
      <c r="F2747" s="4" t="s">
        <v>54</v>
      </c>
      <c r="G2747" s="4" t="s">
        <v>6491</v>
      </c>
      <c r="H2747" s="4" t="s">
        <v>49</v>
      </c>
      <c r="I2747" s="4" t="s">
        <v>6005</v>
      </c>
      <c r="J2747" s="4" t="s">
        <v>78</v>
      </c>
      <c r="K2747" s="5" t="str">
        <f>HYPERLINK("https://media.licdn.com/dms/image/v2/D4E10AQFxOL9nLqs70A/image-shrink_1280/B4EZ4ianU2HQAc-/0/1778693863094?e=2147483647&amp;v=beta&amp;t=Kek_CvI7J64DQujymdrphqZ0971IksfKM8-LPcA7u1g","View Creative")</f>
        <v>View Creative</v>
      </c>
      <c r="L2747" s="4" t="s">
        <v>106</v>
      </c>
      <c r="M2747" s="4" t="s">
        <v>5965</v>
      </c>
      <c r="O2747" s="4" t="s">
        <v>63</v>
      </c>
      <c r="P2747" s="4" t="s">
        <v>64</v>
      </c>
    </row>
    <row r="2748">
      <c r="A2748" s="4" t="s">
        <v>5965</v>
      </c>
      <c r="B2748" s="4" t="s">
        <v>5965</v>
      </c>
      <c r="C2748" s="4">
        <v>1137.0</v>
      </c>
      <c r="D2748" s="5" t="str">
        <f>HYPERLINK("https://www.linkedin.com/ad-library/detail/1408823646","Open Ad")</f>
        <v>Open Ad</v>
      </c>
      <c r="E2748" s="4" t="s">
        <v>121</v>
      </c>
      <c r="F2748" s="4" t="s">
        <v>54</v>
      </c>
      <c r="G2748" s="4" t="s">
        <v>6500</v>
      </c>
      <c r="H2748" s="4" t="s">
        <v>49</v>
      </c>
      <c r="I2748" s="4" t="s">
        <v>6005</v>
      </c>
      <c r="J2748" s="4" t="s">
        <v>121</v>
      </c>
      <c r="K2748" s="5" t="str">
        <f>HYPERLINK("https://dms.licdn.com/playlist/vid/v2/D4E10AQGjGISKu4gVew/mp4-720p-30fp-crf28/B4EZ4imKVhKkBo-/0/1778696894361?e=2147483647&amp;v=beta&amp;t=K4OxFqMN6aCp2ezZswmS8szByQ6IKvCyOo6xiWdgT3Y","View Creative")</f>
        <v>View Creative</v>
      </c>
      <c r="L2748" s="4" t="s">
        <v>106</v>
      </c>
      <c r="M2748" s="4" t="s">
        <v>5965</v>
      </c>
      <c r="O2748" s="4" t="s">
        <v>63</v>
      </c>
      <c r="P2748" s="4" t="s">
        <v>64</v>
      </c>
    </row>
    <row r="2749">
      <c r="A2749" s="4" t="s">
        <v>5965</v>
      </c>
      <c r="B2749" s="4" t="s">
        <v>5965</v>
      </c>
      <c r="C2749" s="4">
        <v>1138.0</v>
      </c>
      <c r="D2749" s="5" t="str">
        <f>HYPERLINK("https://www.linkedin.com/ad-library/detail/1408963186","Open Ad")</f>
        <v>Open Ad</v>
      </c>
      <c r="E2749" s="4" t="s">
        <v>78</v>
      </c>
      <c r="F2749" s="4" t="s">
        <v>54</v>
      </c>
      <c r="G2749" s="4" t="s">
        <v>6501</v>
      </c>
      <c r="H2749" s="4" t="s">
        <v>49</v>
      </c>
      <c r="I2749" s="4" t="s">
        <v>6005</v>
      </c>
      <c r="J2749" s="4" t="s">
        <v>78</v>
      </c>
      <c r="K2749" s="5" t="str">
        <f>HYPERLINK("https://media.licdn.com/dms/image/v2/D4E22AQEQFx2gWKEzqw/feedshare-shrink_1280/B4EZ4mvVZWKgAM-/0/1778766403519?e=2147483647&amp;v=beta&amp;t=paHpE8wb74Dwbe8caaokUOFdcadDEjXQFKkt1x8dXg4","View Creative")</f>
        <v>View Creative</v>
      </c>
      <c r="L2749" s="4" t="s">
        <v>106</v>
      </c>
      <c r="M2749" s="4" t="s">
        <v>5965</v>
      </c>
      <c r="O2749" s="4" t="s">
        <v>63</v>
      </c>
      <c r="P2749" s="4" t="s">
        <v>64</v>
      </c>
    </row>
    <row r="2750">
      <c r="A2750" s="4" t="s">
        <v>5965</v>
      </c>
      <c r="B2750" s="4" t="s">
        <v>5965</v>
      </c>
      <c r="C2750" s="4">
        <v>1139.0</v>
      </c>
      <c r="D2750" s="5" t="str">
        <f>HYPERLINK("https://www.linkedin.com/ad-library/detail/1408852166","Open Ad")</f>
        <v>Open Ad</v>
      </c>
      <c r="E2750" s="4" t="s">
        <v>78</v>
      </c>
      <c r="F2750" s="4" t="s">
        <v>54</v>
      </c>
      <c r="G2750" s="4" t="s">
        <v>6491</v>
      </c>
      <c r="H2750" s="4" t="s">
        <v>49</v>
      </c>
      <c r="I2750" s="4" t="s">
        <v>6005</v>
      </c>
      <c r="J2750" s="4" t="s">
        <v>78</v>
      </c>
      <c r="K2750" s="5" t="str">
        <f>HYPERLINK("https://media.licdn.com/dms/image/v2/D4E10AQFxOL9nLqs70A/image-shrink_1280/B4EZ4ianU2HQAc-/0/1778693863094?e=2147483647&amp;v=beta&amp;t=Kek_CvI7J64DQujymdrphqZ0971IksfKM8-LPcA7u1g","View Creative")</f>
        <v>View Creative</v>
      </c>
      <c r="L2750" s="4" t="s">
        <v>106</v>
      </c>
      <c r="M2750" s="4" t="s">
        <v>5965</v>
      </c>
      <c r="O2750" s="4" t="s">
        <v>63</v>
      </c>
      <c r="P2750" s="4" t="s">
        <v>64</v>
      </c>
    </row>
    <row r="2751">
      <c r="A2751" s="4" t="s">
        <v>5965</v>
      </c>
      <c r="B2751" s="4" t="s">
        <v>5965</v>
      </c>
      <c r="C2751" s="4">
        <v>1140.0</v>
      </c>
      <c r="D2751" s="5" t="str">
        <f>HYPERLINK("https://www.linkedin.com/ad-library/detail/1408410826","Open Ad")</f>
        <v>Open Ad</v>
      </c>
      <c r="E2751" s="4" t="s">
        <v>78</v>
      </c>
      <c r="F2751" s="4" t="s">
        <v>54</v>
      </c>
      <c r="G2751" s="4" t="s">
        <v>6502</v>
      </c>
      <c r="H2751" s="4" t="s">
        <v>49</v>
      </c>
      <c r="I2751" s="4" t="s">
        <v>6005</v>
      </c>
      <c r="J2751" s="4" t="s">
        <v>78</v>
      </c>
      <c r="K2751" s="5" t="str">
        <f>HYPERLINK("https://media.licdn.com/dms/image/v2/D4E10AQF_Fk0brjoPdQ/image-shrink_1280/B4EZ4Iq9_fHUAc-/0/1778261943357?e=2147483647&amp;v=beta&amp;t=MWh4rs9Tkkq6B1q1NSdd0gIhwtP85MAweNfC5p7gKwQ","View Creative")</f>
        <v>View Creative</v>
      </c>
      <c r="L2751" s="4" t="s">
        <v>106</v>
      </c>
      <c r="M2751" s="4" t="s">
        <v>5965</v>
      </c>
      <c r="O2751" s="4" t="s">
        <v>63</v>
      </c>
      <c r="P2751" s="4" t="s">
        <v>64</v>
      </c>
    </row>
    <row r="2752">
      <c r="A2752" s="4" t="s">
        <v>5965</v>
      </c>
      <c r="B2752" s="4" t="s">
        <v>5965</v>
      </c>
      <c r="C2752" s="4">
        <v>1141.0</v>
      </c>
      <c r="D2752" s="5" t="str">
        <f>HYPERLINK("https://www.linkedin.com/ad-library/detail/1408598476","Open Ad")</f>
        <v>Open Ad</v>
      </c>
      <c r="E2752" s="4" t="s">
        <v>78</v>
      </c>
      <c r="F2752" s="4" t="s">
        <v>54</v>
      </c>
      <c r="G2752" s="4" t="s">
        <v>6115</v>
      </c>
      <c r="H2752" s="4" t="s">
        <v>49</v>
      </c>
      <c r="I2752" s="4" t="s">
        <v>6005</v>
      </c>
      <c r="J2752" s="4" t="s">
        <v>78</v>
      </c>
      <c r="K2752" s="5" t="str">
        <f>HYPERLINK("https://media.licdn.com/dms/image/v2/D5610AQHwfvEneIqQpg/image-shrink_1280/B56Z3WDTp1G0Ac-/0/1777412684628/Ad9png?e=2147483647&amp;v=beta&amp;t=aYxtFLgpOksdc2sW2JhFfLdBL1lU2G76XPJ-90sIZlk","View Creative")</f>
        <v>View Creative</v>
      </c>
      <c r="L2752" s="4" t="s">
        <v>106</v>
      </c>
      <c r="M2752" s="4" t="s">
        <v>5965</v>
      </c>
      <c r="O2752" s="4" t="s">
        <v>63</v>
      </c>
      <c r="P2752" s="4" t="s">
        <v>64</v>
      </c>
    </row>
    <row r="2753">
      <c r="A2753" s="4" t="s">
        <v>5965</v>
      </c>
      <c r="B2753" s="4" t="s">
        <v>5965</v>
      </c>
      <c r="C2753" s="4">
        <v>1142.0</v>
      </c>
      <c r="D2753" s="5" t="str">
        <f>HYPERLINK("https://www.linkedin.com/ad-library/detail/1408853176","Open Ad")</f>
        <v>Open Ad</v>
      </c>
      <c r="E2753" s="4" t="s">
        <v>78</v>
      </c>
      <c r="F2753" s="4" t="s">
        <v>54</v>
      </c>
      <c r="G2753" s="4" t="s">
        <v>6501</v>
      </c>
      <c r="H2753" s="4" t="s">
        <v>49</v>
      </c>
      <c r="I2753" s="4" t="s">
        <v>6005</v>
      </c>
      <c r="J2753" s="4" t="s">
        <v>78</v>
      </c>
      <c r="K2753" s="5" t="str">
        <f t="shared" ref="K2753:K2754" si="124">HYPERLINK("https://media.licdn.com/dms/image/v2/D4E22AQEQFx2gWKEzqw/feedshare-shrink_1280/B4EZ4mvVZWKgAM-/0/1778766403519?e=2147483647&amp;v=beta&amp;t=paHpE8wb74Dwbe8caaokUOFdcadDEjXQFKkt1x8dXg4","View Creative")</f>
        <v>View Creative</v>
      </c>
      <c r="L2753" s="4" t="s">
        <v>106</v>
      </c>
      <c r="M2753" s="4" t="s">
        <v>5965</v>
      </c>
      <c r="O2753" s="4" t="s">
        <v>63</v>
      </c>
      <c r="P2753" s="4" t="s">
        <v>64</v>
      </c>
    </row>
    <row r="2754">
      <c r="A2754" s="4" t="s">
        <v>5965</v>
      </c>
      <c r="B2754" s="4" t="s">
        <v>5965</v>
      </c>
      <c r="C2754" s="4">
        <v>1143.0</v>
      </c>
      <c r="D2754" s="5" t="str">
        <f>HYPERLINK("https://www.linkedin.com/ad-library/detail/1408803336","Open Ad")</f>
        <v>Open Ad</v>
      </c>
      <c r="E2754" s="4" t="s">
        <v>78</v>
      </c>
      <c r="F2754" s="4" t="s">
        <v>54</v>
      </c>
      <c r="G2754" s="4" t="s">
        <v>6501</v>
      </c>
      <c r="H2754" s="4" t="s">
        <v>49</v>
      </c>
      <c r="I2754" s="4" t="s">
        <v>6005</v>
      </c>
      <c r="J2754" s="4" t="s">
        <v>78</v>
      </c>
      <c r="K2754" s="5" t="str">
        <f t="shared" si="124"/>
        <v>View Creative</v>
      </c>
      <c r="L2754" s="4" t="s">
        <v>106</v>
      </c>
      <c r="M2754" s="4" t="s">
        <v>5965</v>
      </c>
      <c r="O2754" s="4" t="s">
        <v>63</v>
      </c>
      <c r="P2754" s="4" t="s">
        <v>64</v>
      </c>
    </row>
    <row r="2755">
      <c r="A2755" s="4" t="s">
        <v>5965</v>
      </c>
      <c r="B2755" s="4" t="s">
        <v>5965</v>
      </c>
      <c r="C2755" s="4">
        <v>1144.0</v>
      </c>
      <c r="D2755" s="5" t="str">
        <f>HYPERLINK("https://www.linkedin.com/ad-library/detail/1408715286","Open Ad")</f>
        <v>Open Ad</v>
      </c>
      <c r="E2755" s="4" t="s">
        <v>78</v>
      </c>
      <c r="F2755" s="4" t="s">
        <v>54</v>
      </c>
      <c r="G2755" s="4" t="s">
        <v>6115</v>
      </c>
      <c r="H2755" s="4" t="s">
        <v>49</v>
      </c>
      <c r="I2755" s="4" t="s">
        <v>6005</v>
      </c>
      <c r="J2755" s="4" t="s">
        <v>78</v>
      </c>
      <c r="K2755" s="5" t="str">
        <f>HYPERLINK("https://media.licdn.com/dms/image/v2/D5610AQEaAP2ePthrkg/image-shrink_1280/B56Z3WEHN.KkAc-/0/1777412895878/Ad12png?e=2147483647&amp;v=beta&amp;t=T2wKzNoxIXKU0UU_eFAjRvI7gkBs3J8l1XJINIpnIvs","View Creative")</f>
        <v>View Creative</v>
      </c>
      <c r="L2755" s="4" t="s">
        <v>106</v>
      </c>
      <c r="M2755" s="4" t="s">
        <v>5965</v>
      </c>
      <c r="O2755" s="4" t="s">
        <v>63</v>
      </c>
      <c r="P2755" s="4" t="s">
        <v>64</v>
      </c>
    </row>
    <row r="2756">
      <c r="A2756" s="4" t="s">
        <v>5965</v>
      </c>
      <c r="B2756" s="4" t="s">
        <v>5965</v>
      </c>
      <c r="C2756" s="4">
        <v>1145.0</v>
      </c>
      <c r="D2756" s="5" t="str">
        <f>HYPERLINK("https://www.linkedin.com/ad-library/detail/1408852126","Open Ad")</f>
        <v>Open Ad</v>
      </c>
      <c r="E2756" s="4" t="s">
        <v>78</v>
      </c>
      <c r="F2756" s="4" t="s">
        <v>54</v>
      </c>
      <c r="G2756" s="4" t="s">
        <v>6491</v>
      </c>
      <c r="H2756" s="4" t="s">
        <v>49</v>
      </c>
      <c r="I2756" s="4" t="s">
        <v>6005</v>
      </c>
      <c r="J2756" s="4" t="s">
        <v>78</v>
      </c>
      <c r="K2756" s="5" t="str">
        <f t="shared" ref="K2756:K2757" si="125">HYPERLINK("https://media.licdn.com/dms/image/v2/D4E10AQFxOL9nLqs70A/image-shrink_1280/B4EZ4ianU2HQAc-/0/1778693863094?e=2147483647&amp;v=beta&amp;t=Kek_CvI7J64DQujymdrphqZ0971IksfKM8-LPcA7u1g","View Creative")</f>
        <v>View Creative</v>
      </c>
      <c r="L2756" s="4" t="s">
        <v>106</v>
      </c>
      <c r="M2756" s="4" t="s">
        <v>5965</v>
      </c>
      <c r="O2756" s="4" t="s">
        <v>63</v>
      </c>
      <c r="P2756" s="4" t="s">
        <v>64</v>
      </c>
    </row>
    <row r="2757">
      <c r="A2757" s="4" t="s">
        <v>5965</v>
      </c>
      <c r="B2757" s="4" t="s">
        <v>5965</v>
      </c>
      <c r="C2757" s="4">
        <v>1146.0</v>
      </c>
      <c r="D2757" s="5" t="str">
        <f>HYPERLINK("https://www.linkedin.com/ad-library/detail/1408932086","Open Ad")</f>
        <v>Open Ad</v>
      </c>
      <c r="E2757" s="4" t="s">
        <v>78</v>
      </c>
      <c r="F2757" s="4" t="s">
        <v>54</v>
      </c>
      <c r="G2757" s="4" t="s">
        <v>6491</v>
      </c>
      <c r="H2757" s="4" t="s">
        <v>49</v>
      </c>
      <c r="I2757" s="4" t="s">
        <v>6005</v>
      </c>
      <c r="J2757" s="4" t="s">
        <v>78</v>
      </c>
      <c r="K2757" s="5" t="str">
        <f t="shared" si="125"/>
        <v>View Creative</v>
      </c>
      <c r="L2757" s="4" t="s">
        <v>106</v>
      </c>
      <c r="M2757" s="4" t="s">
        <v>5965</v>
      </c>
      <c r="O2757" s="4" t="s">
        <v>63</v>
      </c>
      <c r="P2757" s="4" t="s">
        <v>64</v>
      </c>
    </row>
    <row r="2758">
      <c r="A2758" s="4" t="s">
        <v>5965</v>
      </c>
      <c r="B2758" s="4" t="s">
        <v>5965</v>
      </c>
      <c r="C2758" s="4">
        <v>1147.0</v>
      </c>
      <c r="D2758" s="5" t="str">
        <f>HYPERLINK("https://www.linkedin.com/ad-library/detail/1408933296","Open Ad")</f>
        <v>Open Ad</v>
      </c>
      <c r="E2758" s="4" t="s">
        <v>78</v>
      </c>
      <c r="F2758" s="4" t="s">
        <v>54</v>
      </c>
      <c r="G2758" s="4" t="s">
        <v>6501</v>
      </c>
      <c r="H2758" s="4" t="s">
        <v>49</v>
      </c>
      <c r="I2758" s="4" t="s">
        <v>6005</v>
      </c>
      <c r="J2758" s="4" t="s">
        <v>78</v>
      </c>
      <c r="K2758" s="5" t="str">
        <f t="shared" ref="K2758:K2759" si="126">HYPERLINK("https://media.licdn.com/dms/image/v2/D4E22AQEQFx2gWKEzqw/feedshare-shrink_1280/B4EZ4mvVZWKgAM-/0/1778766403519?e=2147483647&amp;v=beta&amp;t=paHpE8wb74Dwbe8caaokUOFdcadDEjXQFKkt1x8dXg4","View Creative")</f>
        <v>View Creative</v>
      </c>
      <c r="L2758" s="4" t="s">
        <v>106</v>
      </c>
      <c r="M2758" s="4" t="s">
        <v>5965</v>
      </c>
      <c r="O2758" s="4" t="s">
        <v>63</v>
      </c>
      <c r="P2758" s="4" t="s">
        <v>64</v>
      </c>
    </row>
    <row r="2759">
      <c r="A2759" s="4" t="s">
        <v>5965</v>
      </c>
      <c r="B2759" s="4" t="s">
        <v>5965</v>
      </c>
      <c r="C2759" s="4">
        <v>1148.0</v>
      </c>
      <c r="D2759" s="5" t="str">
        <f>HYPERLINK("https://www.linkedin.com/ad-library/detail/1409051186","Open Ad")</f>
        <v>Open Ad</v>
      </c>
      <c r="E2759" s="4" t="s">
        <v>78</v>
      </c>
      <c r="F2759" s="4" t="s">
        <v>54</v>
      </c>
      <c r="G2759" s="4" t="s">
        <v>6501</v>
      </c>
      <c r="H2759" s="4" t="s">
        <v>49</v>
      </c>
      <c r="I2759" s="4" t="s">
        <v>6005</v>
      </c>
      <c r="J2759" s="4" t="s">
        <v>78</v>
      </c>
      <c r="K2759" s="5" t="str">
        <f t="shared" si="126"/>
        <v>View Creative</v>
      </c>
      <c r="L2759" s="4" t="s">
        <v>106</v>
      </c>
      <c r="M2759" s="4" t="s">
        <v>5965</v>
      </c>
      <c r="O2759" s="4" t="s">
        <v>63</v>
      </c>
      <c r="P2759" s="4" t="s">
        <v>64</v>
      </c>
    </row>
    <row r="2760">
      <c r="A2760" s="4" t="s">
        <v>5965</v>
      </c>
      <c r="B2760" s="4" t="s">
        <v>5965</v>
      </c>
      <c r="C2760" s="4">
        <v>1149.0</v>
      </c>
      <c r="D2760" s="5" t="str">
        <f>HYPERLINK("https://www.linkedin.com/ad-library/detail/1408686676","Open Ad")</f>
        <v>Open Ad</v>
      </c>
      <c r="E2760" s="4" t="s">
        <v>78</v>
      </c>
      <c r="F2760" s="4" t="s">
        <v>54</v>
      </c>
      <c r="G2760" s="4" t="s">
        <v>6115</v>
      </c>
      <c r="H2760" s="4" t="s">
        <v>49</v>
      </c>
      <c r="I2760" s="4" t="s">
        <v>6005</v>
      </c>
      <c r="J2760" s="4" t="s">
        <v>78</v>
      </c>
      <c r="K2760" s="5" t="str">
        <f>HYPERLINK("https://media.licdn.com/dms/image/v2/D5610AQGMVMBywOZTRA/image-shrink_1280/B56Z3WD4I4GsAc-/0/1777412834072/Ad11png?e=2147483647&amp;v=beta&amp;t=wEwvt57CmhCwh8mjwxDAOwifwJjctZBli8J_4VPqXQ0","View Creative")</f>
        <v>View Creative</v>
      </c>
      <c r="L2760" s="4" t="s">
        <v>106</v>
      </c>
      <c r="M2760" s="4" t="s">
        <v>5965</v>
      </c>
      <c r="O2760" s="4" t="s">
        <v>63</v>
      </c>
      <c r="P2760" s="4" t="s">
        <v>64</v>
      </c>
    </row>
    <row r="2761">
      <c r="A2761" s="4" t="s">
        <v>5965</v>
      </c>
      <c r="B2761" s="4" t="s">
        <v>5965</v>
      </c>
      <c r="C2761" s="4">
        <v>1150.0</v>
      </c>
      <c r="D2761" s="5" t="str">
        <f>HYPERLINK("https://www.linkedin.com/ad-library/detail/1408961906","Open Ad")</f>
        <v>Open Ad</v>
      </c>
      <c r="E2761" s="4" t="s">
        <v>78</v>
      </c>
      <c r="F2761" s="4" t="s">
        <v>54</v>
      </c>
      <c r="G2761" s="4" t="s">
        <v>6491</v>
      </c>
      <c r="H2761" s="4" t="s">
        <v>49</v>
      </c>
      <c r="I2761" s="4" t="s">
        <v>6005</v>
      </c>
      <c r="J2761" s="4" t="s">
        <v>78</v>
      </c>
      <c r="K2761" s="5" t="str">
        <f>HYPERLINK("https://media.licdn.com/dms/image/v2/D4E10AQFxOL9nLqs70A/image-shrink_1280/B4EZ4ianU2HQAc-/0/1778693863094?e=2147483647&amp;v=beta&amp;t=Kek_CvI7J64DQujymdrphqZ0971IksfKM8-LPcA7u1g","View Creative")</f>
        <v>View Creative</v>
      </c>
      <c r="L2761" s="4" t="s">
        <v>106</v>
      </c>
      <c r="M2761" s="4" t="s">
        <v>5965</v>
      </c>
      <c r="O2761" s="4" t="s">
        <v>63</v>
      </c>
      <c r="P2761" s="4" t="s">
        <v>64</v>
      </c>
    </row>
    <row r="2762">
      <c r="A2762" s="4" t="s">
        <v>5965</v>
      </c>
      <c r="B2762" s="4" t="s">
        <v>5965</v>
      </c>
      <c r="C2762" s="4">
        <v>1151.0</v>
      </c>
      <c r="D2762" s="5" t="str">
        <f>HYPERLINK("https://www.linkedin.com/ad-library/detail/1408607736","Open Ad")</f>
        <v>Open Ad</v>
      </c>
      <c r="E2762" s="4" t="s">
        <v>78</v>
      </c>
      <c r="F2762" s="4" t="s">
        <v>54</v>
      </c>
      <c r="G2762" s="4" t="s">
        <v>6115</v>
      </c>
      <c r="H2762" s="4" t="s">
        <v>49</v>
      </c>
      <c r="I2762" s="4" t="s">
        <v>6005</v>
      </c>
      <c r="J2762" s="4" t="s">
        <v>78</v>
      </c>
      <c r="K2762" s="5" t="str">
        <f>HYPERLINK("https://media.licdn.com/dms/image/v2/D5610AQGMVMBywOZTRA/image-shrink_1280/B56Z3WD4I4GsAc-/0/1777412834072/Ad11png?e=2147483647&amp;v=beta&amp;t=wEwvt57CmhCwh8mjwxDAOwifwJjctZBli8J_4VPqXQ0","View Creative")</f>
        <v>View Creative</v>
      </c>
      <c r="L2762" s="4" t="s">
        <v>106</v>
      </c>
      <c r="M2762" s="4" t="s">
        <v>5965</v>
      </c>
      <c r="O2762" s="4" t="s">
        <v>63</v>
      </c>
      <c r="P2762" s="4" t="s">
        <v>64</v>
      </c>
    </row>
    <row r="2763">
      <c r="A2763" s="4" t="s">
        <v>5965</v>
      </c>
      <c r="B2763" s="4" t="s">
        <v>5965</v>
      </c>
      <c r="C2763" s="4">
        <v>1152.0</v>
      </c>
      <c r="D2763" s="5" t="str">
        <f>HYPERLINK("https://www.linkedin.com/ad-library/detail/1408381636","Open Ad")</f>
        <v>Open Ad</v>
      </c>
      <c r="E2763" s="4" t="s">
        <v>78</v>
      </c>
      <c r="F2763" s="4" t="s">
        <v>54</v>
      </c>
      <c r="G2763" s="4" t="s">
        <v>6502</v>
      </c>
      <c r="H2763" s="4" t="s">
        <v>49</v>
      </c>
      <c r="I2763" s="4" t="s">
        <v>6005</v>
      </c>
      <c r="J2763" s="4" t="s">
        <v>78</v>
      </c>
      <c r="K2763" s="5" t="str">
        <f>HYPERLINK("https://media.licdn.com/dms/image/v2/D4E10AQF_Fk0brjoPdQ/image-shrink_1280/B4EZ4Iq9_fHUAc-/0/1778261943357?e=2147483647&amp;v=beta&amp;t=MWh4rs9Tkkq6B1q1NSdd0gIhwtP85MAweNfC5p7gKwQ","View Creative")</f>
        <v>View Creative</v>
      </c>
      <c r="L2763" s="4" t="s">
        <v>106</v>
      </c>
      <c r="M2763" s="4" t="s">
        <v>5965</v>
      </c>
      <c r="O2763" s="4" t="s">
        <v>63</v>
      </c>
      <c r="P2763" s="4" t="s">
        <v>64</v>
      </c>
    </row>
    <row r="2764">
      <c r="A2764" s="4" t="s">
        <v>5965</v>
      </c>
      <c r="B2764" s="4" t="s">
        <v>5965</v>
      </c>
      <c r="C2764" s="4">
        <v>1153.0</v>
      </c>
      <c r="D2764" s="5" t="str">
        <f>HYPERLINK("https://www.linkedin.com/ad-library/detail/1408460746","Open Ad")</f>
        <v>Open Ad</v>
      </c>
      <c r="E2764" s="4" t="s">
        <v>121</v>
      </c>
      <c r="F2764" s="4" t="s">
        <v>54</v>
      </c>
      <c r="G2764" s="4" t="s">
        <v>6503</v>
      </c>
      <c r="H2764" s="4" t="s">
        <v>49</v>
      </c>
      <c r="I2764" s="4" t="s">
        <v>6005</v>
      </c>
      <c r="J2764" s="4" t="s">
        <v>121</v>
      </c>
      <c r="K2764" s="5" t="str">
        <f t="shared" ref="K2764:K2765" si="127">HYPERLINK("https://dms.licdn.com/playlist/vid/v2/D4E10AQEE5OmenyQyxA/mp4-720p-30fp-crf28/B4EZ4XJK7fHQBk-/0/1778504746008?e=2147483647&amp;v=beta&amp;t=l_-VtHGStiIHyoAcA0tEXArY77Tfpolv7dQugYws6wk","View Creative")</f>
        <v>View Creative</v>
      </c>
      <c r="L2764" s="4" t="s">
        <v>106</v>
      </c>
      <c r="M2764" s="4" t="s">
        <v>5965</v>
      </c>
      <c r="O2764" s="4" t="s">
        <v>63</v>
      </c>
      <c r="P2764" s="4" t="s">
        <v>64</v>
      </c>
    </row>
    <row r="2765">
      <c r="A2765" s="4" t="s">
        <v>5965</v>
      </c>
      <c r="B2765" s="4" t="s">
        <v>5965</v>
      </c>
      <c r="C2765" s="4">
        <v>1154.0</v>
      </c>
      <c r="D2765" s="5" t="str">
        <f>HYPERLINK("https://www.linkedin.com/ad-library/detail/1408410786","Open Ad")</f>
        <v>Open Ad</v>
      </c>
      <c r="E2765" s="4" t="s">
        <v>121</v>
      </c>
      <c r="F2765" s="4" t="s">
        <v>54</v>
      </c>
      <c r="G2765" s="4" t="s">
        <v>6503</v>
      </c>
      <c r="H2765" s="4" t="s">
        <v>49</v>
      </c>
      <c r="I2765" s="4" t="s">
        <v>6005</v>
      </c>
      <c r="J2765" s="4" t="s">
        <v>121</v>
      </c>
      <c r="K2765" s="5" t="str">
        <f t="shared" si="127"/>
        <v>View Creative</v>
      </c>
      <c r="L2765" s="4" t="s">
        <v>106</v>
      </c>
      <c r="M2765" s="4" t="s">
        <v>5965</v>
      </c>
      <c r="O2765" s="4" t="s">
        <v>63</v>
      </c>
      <c r="P2765" s="4" t="s">
        <v>64</v>
      </c>
    </row>
    <row r="2766">
      <c r="A2766" s="4" t="s">
        <v>5965</v>
      </c>
      <c r="B2766" s="4" t="s">
        <v>5965</v>
      </c>
      <c r="C2766" s="4">
        <v>1155.0</v>
      </c>
      <c r="D2766" s="5" t="str">
        <f>HYPERLINK("https://www.linkedin.com/ad-library/detail/1408322796","Open Ad")</f>
        <v>Open Ad</v>
      </c>
      <c r="E2766" s="4" t="s">
        <v>121</v>
      </c>
      <c r="F2766" s="4" t="s">
        <v>54</v>
      </c>
      <c r="G2766" s="4" t="s">
        <v>6493</v>
      </c>
      <c r="H2766" s="4" t="s">
        <v>49</v>
      </c>
      <c r="I2766" s="4" t="s">
        <v>6005</v>
      </c>
      <c r="J2766" s="4" t="s">
        <v>121</v>
      </c>
      <c r="K2766" s="5" t="str">
        <f>HYPERLINK("https://dms.licdn.com/playlist/vid/v2/D4E10AQHquBM6CRwRLg/mp4-720p-30fp-crf28/B4EZ4Y836cIwBo-/0/1778535076118?e=2147483647&amp;v=beta&amp;t=S5BdaHRMxcbrYKRiNigEZ8fnuBM2nr09EtW-wtwsuTI","View Creative")</f>
        <v>View Creative</v>
      </c>
      <c r="L2766" s="4" t="s">
        <v>106</v>
      </c>
      <c r="M2766" s="4" t="s">
        <v>5965</v>
      </c>
      <c r="O2766" s="4" t="s">
        <v>63</v>
      </c>
      <c r="P2766" s="4" t="s">
        <v>64</v>
      </c>
    </row>
    <row r="2767">
      <c r="A2767" s="4" t="s">
        <v>5965</v>
      </c>
      <c r="B2767" s="4" t="s">
        <v>5965</v>
      </c>
      <c r="C2767" s="4">
        <v>1156.0</v>
      </c>
      <c r="D2767" s="5" t="str">
        <f>HYPERLINK("https://www.linkedin.com/ad-library/detail/1408322776","Open Ad")</f>
        <v>Open Ad</v>
      </c>
      <c r="E2767" s="4" t="s">
        <v>121</v>
      </c>
      <c r="F2767" s="4" t="s">
        <v>54</v>
      </c>
      <c r="G2767" s="4" t="s">
        <v>6488</v>
      </c>
      <c r="H2767" s="4" t="s">
        <v>49</v>
      </c>
      <c r="I2767" s="4" t="s">
        <v>6005</v>
      </c>
      <c r="J2767" s="4" t="s">
        <v>121</v>
      </c>
      <c r="K2767" s="5" t="str">
        <f>HYPERLINK("https://dms.licdn.com/playlist/vid/v2/D4E10AQEIiLiyO-KGMw/mp4-640p-30fp-crf28/B4EZ4drQ6rHsBE-/0/1778614350812?e=2147483647&amp;v=beta&amp;t=EK_t5ZorYF5dYEL7zXTGiFxzf9T_L_tVfDHN5SfibwY","View Creative")</f>
        <v>View Creative</v>
      </c>
      <c r="L2767" s="4" t="s">
        <v>106</v>
      </c>
      <c r="M2767" s="4" t="s">
        <v>5965</v>
      </c>
      <c r="O2767" s="4" t="s">
        <v>63</v>
      </c>
      <c r="P2767" s="4" t="s">
        <v>64</v>
      </c>
    </row>
    <row r="2768">
      <c r="A2768" s="4" t="s">
        <v>5965</v>
      </c>
      <c r="B2768" s="4" t="s">
        <v>5965</v>
      </c>
      <c r="C2768" s="4">
        <v>1157.0</v>
      </c>
      <c r="D2768" s="5" t="str">
        <f>HYPERLINK("https://www.linkedin.com/ad-library/detail/1408293256","Open Ad")</f>
        <v>Open Ad</v>
      </c>
      <c r="E2768" s="4" t="s">
        <v>78</v>
      </c>
      <c r="F2768" s="4" t="s">
        <v>54</v>
      </c>
      <c r="G2768" s="4" t="s">
        <v>6502</v>
      </c>
      <c r="H2768" s="4" t="s">
        <v>49</v>
      </c>
      <c r="I2768" s="4" t="s">
        <v>6005</v>
      </c>
      <c r="J2768" s="4" t="s">
        <v>78</v>
      </c>
      <c r="K2768" s="5" t="str">
        <f>HYPERLINK("https://media.licdn.com/dms/image/v2/D4E10AQF_Fk0brjoPdQ/image-shrink_1280/B4EZ4Iq9_fHUAc-/0/1778261943357?e=2147483647&amp;v=beta&amp;t=MWh4rs9Tkkq6B1q1NSdd0gIhwtP85MAweNfC5p7gKwQ","View Creative")</f>
        <v>View Creative</v>
      </c>
      <c r="L2768" s="4" t="s">
        <v>106</v>
      </c>
      <c r="M2768" s="4" t="s">
        <v>5965</v>
      </c>
      <c r="O2768" s="4" t="s">
        <v>63</v>
      </c>
      <c r="P2768" s="4" t="s">
        <v>64</v>
      </c>
    </row>
    <row r="2769">
      <c r="A2769" s="4" t="s">
        <v>5965</v>
      </c>
      <c r="B2769" s="4" t="s">
        <v>5965</v>
      </c>
      <c r="C2769" s="4">
        <v>1158.0</v>
      </c>
      <c r="D2769" s="5" t="str">
        <f>HYPERLINK("https://www.linkedin.com/ad-library/detail/1408460656","Open Ad")</f>
        <v>Open Ad</v>
      </c>
      <c r="E2769" s="4" t="s">
        <v>121</v>
      </c>
      <c r="F2769" s="4" t="s">
        <v>54</v>
      </c>
      <c r="G2769" s="4" t="s">
        <v>6488</v>
      </c>
      <c r="H2769" s="4" t="s">
        <v>49</v>
      </c>
      <c r="I2769" s="4" t="s">
        <v>6005</v>
      </c>
      <c r="J2769" s="4" t="s">
        <v>121</v>
      </c>
      <c r="K2769" s="5" t="str">
        <f>HYPERLINK("https://dms.licdn.com/playlist/vid/v2/D4E10AQEIiLiyO-KGMw/mp4-640p-30fp-crf28/B4EZ4drQ6rHsBE-/0/1778614350812?e=2147483647&amp;v=beta&amp;t=EK_t5ZorYF5dYEL7zXTGiFxzf9T_L_tVfDHN5SfibwY","View Creative")</f>
        <v>View Creative</v>
      </c>
      <c r="L2769" s="4" t="s">
        <v>106</v>
      </c>
      <c r="M2769" s="4" t="s">
        <v>5965</v>
      </c>
      <c r="O2769" s="4" t="s">
        <v>63</v>
      </c>
      <c r="P2769" s="4" t="s">
        <v>64</v>
      </c>
    </row>
    <row r="2770">
      <c r="A2770" s="4" t="s">
        <v>5965</v>
      </c>
      <c r="B2770" s="4" t="s">
        <v>5965</v>
      </c>
      <c r="C2770" s="4">
        <v>1159.0</v>
      </c>
      <c r="D2770" s="5" t="str">
        <f>HYPERLINK("https://www.linkedin.com/ad-library/detail/1408283476","Open Ad")</f>
        <v>Open Ad</v>
      </c>
      <c r="E2770" s="4" t="s">
        <v>121</v>
      </c>
      <c r="F2770" s="4" t="s">
        <v>54</v>
      </c>
      <c r="G2770" s="4" t="s">
        <v>6503</v>
      </c>
      <c r="H2770" s="4" t="s">
        <v>49</v>
      </c>
      <c r="I2770" s="4" t="s">
        <v>6005</v>
      </c>
      <c r="J2770" s="4" t="s">
        <v>121</v>
      </c>
      <c r="K2770" s="5" t="str">
        <f>HYPERLINK("https://dms.licdn.com/playlist/vid/v2/D4E10AQEE5OmenyQyxA/mp4-720p-30fp-crf28/B4EZ4XJK7fHQBk-/0/1778504746008?e=2147483647&amp;v=beta&amp;t=l_-VtHGStiIHyoAcA0tEXArY77Tfpolv7dQugYws6wk","View Creative")</f>
        <v>View Creative</v>
      </c>
      <c r="L2770" s="4" t="s">
        <v>106</v>
      </c>
      <c r="M2770" s="4" t="s">
        <v>5965</v>
      </c>
      <c r="O2770" s="4" t="s">
        <v>63</v>
      </c>
      <c r="P2770" s="4" t="s">
        <v>64</v>
      </c>
    </row>
    <row r="2771">
      <c r="A2771" s="4" t="s">
        <v>5965</v>
      </c>
      <c r="B2771" s="4" t="s">
        <v>5965</v>
      </c>
      <c r="C2771" s="4">
        <v>1160.0</v>
      </c>
      <c r="D2771" s="5" t="str">
        <f>HYPERLINK("https://www.linkedin.com/ad-library/detail/1408283456","Open Ad")</f>
        <v>Open Ad</v>
      </c>
      <c r="E2771" s="4" t="s">
        <v>121</v>
      </c>
      <c r="F2771" s="4" t="s">
        <v>54</v>
      </c>
      <c r="G2771" s="4" t="s">
        <v>6493</v>
      </c>
      <c r="H2771" s="4" t="s">
        <v>49</v>
      </c>
      <c r="I2771" s="4" t="s">
        <v>6005</v>
      </c>
      <c r="J2771" s="4" t="s">
        <v>121</v>
      </c>
      <c r="K2771" s="5" t="str">
        <f>HYPERLINK("https://dms.licdn.com/playlist/vid/v2/D4E10AQHquBM6CRwRLg/mp4-720p-30fp-crf28/B4EZ4Y836cIwBo-/0/1778535076118?e=2147483647&amp;v=beta&amp;t=S5BdaHRMxcbrYKRiNigEZ8fnuBM2nr09EtW-wtwsuTI","View Creative")</f>
        <v>View Creative</v>
      </c>
      <c r="L2771" s="4" t="s">
        <v>106</v>
      </c>
      <c r="M2771" s="4" t="s">
        <v>5965</v>
      </c>
      <c r="O2771" s="4" t="s">
        <v>63</v>
      </c>
      <c r="P2771" s="4" t="s">
        <v>64</v>
      </c>
    </row>
    <row r="2772">
      <c r="A2772" s="4" t="s">
        <v>5965</v>
      </c>
      <c r="B2772" s="4" t="s">
        <v>5965</v>
      </c>
      <c r="C2772" s="4">
        <v>1161.0</v>
      </c>
      <c r="D2772" s="5" t="str">
        <f>HYPERLINK("https://www.linkedin.com/ad-library/detail/1408371646","Open Ad")</f>
        <v>Open Ad</v>
      </c>
      <c r="E2772" s="4" t="s">
        <v>121</v>
      </c>
      <c r="F2772" s="4" t="s">
        <v>54</v>
      </c>
      <c r="G2772" s="4" t="s">
        <v>6488</v>
      </c>
      <c r="H2772" s="4" t="s">
        <v>49</v>
      </c>
      <c r="I2772" s="4" t="s">
        <v>6005</v>
      </c>
      <c r="J2772" s="4" t="s">
        <v>121</v>
      </c>
      <c r="K2772" s="5" t="str">
        <f>HYPERLINK("https://dms.licdn.com/playlist/vid/v2/D4E10AQEIiLiyO-KGMw/mp4-640p-30fp-crf28/B4EZ4drQ6rHsBE-/0/1778614350812?e=2147483647&amp;v=beta&amp;t=EK_t5ZorYF5dYEL7zXTGiFxzf9T_L_tVfDHN5SfibwY","View Creative")</f>
        <v>View Creative</v>
      </c>
      <c r="L2772" s="4" t="s">
        <v>106</v>
      </c>
      <c r="M2772" s="4" t="s">
        <v>5965</v>
      </c>
      <c r="O2772" s="4" t="s">
        <v>63</v>
      </c>
      <c r="P2772" s="4" t="s">
        <v>64</v>
      </c>
    </row>
    <row r="2773">
      <c r="A2773" s="4" t="s">
        <v>5965</v>
      </c>
      <c r="B2773" s="4" t="s">
        <v>5965</v>
      </c>
      <c r="C2773" s="4">
        <v>1162.0</v>
      </c>
      <c r="D2773" s="5" t="str">
        <f>HYPERLINK("https://www.linkedin.com/ad-library/detail/1408322816","Open Ad")</f>
        <v>Open Ad</v>
      </c>
      <c r="E2773" s="4" t="s">
        <v>121</v>
      </c>
      <c r="F2773" s="4" t="s">
        <v>54</v>
      </c>
      <c r="G2773" s="4" t="s">
        <v>6503</v>
      </c>
      <c r="H2773" s="4" t="s">
        <v>49</v>
      </c>
      <c r="I2773" s="4" t="s">
        <v>6005</v>
      </c>
      <c r="J2773" s="4" t="s">
        <v>121</v>
      </c>
      <c r="K2773" s="5" t="str">
        <f>HYPERLINK("https://dms.licdn.com/playlist/vid/v2/D4E10AQEE5OmenyQyxA/mp4-720p-30fp-crf28/B4EZ4XJK7fHQBk-/0/1778504746008?e=2147483647&amp;v=beta&amp;t=l_-VtHGStiIHyoAcA0tEXArY77Tfpolv7dQugYws6wk","View Creative")</f>
        <v>View Creative</v>
      </c>
      <c r="L2773" s="4" t="s">
        <v>106</v>
      </c>
      <c r="M2773" s="4" t="s">
        <v>5965</v>
      </c>
      <c r="O2773" s="4" t="s">
        <v>63</v>
      </c>
      <c r="P2773" s="4" t="s">
        <v>64</v>
      </c>
    </row>
    <row r="2774">
      <c r="A2774" s="4" t="s">
        <v>5965</v>
      </c>
      <c r="B2774" s="4" t="s">
        <v>5965</v>
      </c>
      <c r="C2774" s="4">
        <v>1163.0</v>
      </c>
      <c r="D2774" s="5" t="str">
        <f>HYPERLINK("https://www.linkedin.com/ad-library/detail/1408302716","Open Ad")</f>
        <v>Open Ad</v>
      </c>
      <c r="E2774" s="4" t="s">
        <v>121</v>
      </c>
      <c r="F2774" s="4" t="s">
        <v>54</v>
      </c>
      <c r="G2774" s="4" t="s">
        <v>6488</v>
      </c>
      <c r="H2774" s="4" t="s">
        <v>49</v>
      </c>
      <c r="I2774" s="4" t="s">
        <v>6005</v>
      </c>
      <c r="J2774" s="4" t="s">
        <v>121</v>
      </c>
      <c r="K2774" s="5" t="str">
        <f>HYPERLINK("https://dms.licdn.com/playlist/vid/v2/D4E10AQEIiLiyO-KGMw/mp4-640p-30fp-crf28/B4EZ4drQ6rHsBE-/0/1778614350812?e=2147483647&amp;v=beta&amp;t=EK_t5ZorYF5dYEL7zXTGiFxzf9T_L_tVfDHN5SfibwY","View Creative")</f>
        <v>View Creative</v>
      </c>
      <c r="L2774" s="4" t="s">
        <v>106</v>
      </c>
      <c r="M2774" s="4" t="s">
        <v>5965</v>
      </c>
      <c r="O2774" s="4" t="s">
        <v>63</v>
      </c>
      <c r="P2774" s="4" t="s">
        <v>64</v>
      </c>
    </row>
    <row r="2775">
      <c r="A2775" s="4" t="s">
        <v>5965</v>
      </c>
      <c r="B2775" s="4" t="s">
        <v>5965</v>
      </c>
      <c r="C2775" s="4">
        <v>1164.0</v>
      </c>
      <c r="D2775" s="5" t="str">
        <f>HYPERLINK("https://www.linkedin.com/ad-library/detail/1407853426","Open Ad")</f>
        <v>Open Ad</v>
      </c>
      <c r="E2775" s="4" t="s">
        <v>78</v>
      </c>
      <c r="F2775" s="4" t="s">
        <v>54</v>
      </c>
      <c r="G2775" s="4" t="s">
        <v>6115</v>
      </c>
      <c r="H2775" s="4" t="s">
        <v>49</v>
      </c>
      <c r="I2775" s="4" t="s">
        <v>6005</v>
      </c>
      <c r="J2775" s="4" t="s">
        <v>78</v>
      </c>
      <c r="K2775" s="5" t="str">
        <f>HYPERLINK("https://media.licdn.com/dms/image/v2/D5610AQHwfvEneIqQpg/image-shrink_1280/B56Z3WDTp1G0Ac-/0/1777412684628/Ad9png?e=2147483647&amp;v=beta&amp;t=aYxtFLgpOksdc2sW2JhFfLdBL1lU2G76XPJ-90sIZlk","View Creative")</f>
        <v>View Creative</v>
      </c>
      <c r="L2775" s="4" t="s">
        <v>106</v>
      </c>
      <c r="M2775" s="4" t="s">
        <v>5965</v>
      </c>
      <c r="O2775" s="4" t="s">
        <v>63</v>
      </c>
      <c r="P2775" s="4" t="s">
        <v>64</v>
      </c>
    </row>
    <row r="2776">
      <c r="A2776" s="4" t="s">
        <v>5965</v>
      </c>
      <c r="B2776" s="4" t="s">
        <v>5965</v>
      </c>
      <c r="C2776" s="4">
        <v>1165.0</v>
      </c>
      <c r="D2776" s="5" t="str">
        <f>HYPERLINK("https://www.linkedin.com/ad-library/detail/1407853436","Open Ad")</f>
        <v>Open Ad</v>
      </c>
      <c r="E2776" s="4" t="s">
        <v>78</v>
      </c>
      <c r="F2776" s="4" t="s">
        <v>54</v>
      </c>
      <c r="G2776" s="4" t="s">
        <v>6115</v>
      </c>
      <c r="H2776" s="4" t="s">
        <v>49</v>
      </c>
      <c r="I2776" s="4" t="s">
        <v>6005</v>
      </c>
      <c r="J2776" s="4" t="s">
        <v>78</v>
      </c>
      <c r="K2776" s="5" t="str">
        <f>HYPERLINK("https://media.licdn.com/dms/image/v2/D5610AQEaAP2ePthrkg/image-shrink_1280/B56Z3WEHN.KkAc-/0/1777412895878/Ad12png?e=2147483647&amp;v=beta&amp;t=T2wKzNoxIXKU0UU_eFAjRvI7gkBs3J8l1XJINIpnIvs","View Creative")</f>
        <v>View Creative</v>
      </c>
      <c r="L2776" s="4" t="s">
        <v>106</v>
      </c>
      <c r="M2776" s="4" t="s">
        <v>5965</v>
      </c>
      <c r="O2776" s="4" t="s">
        <v>63</v>
      </c>
      <c r="P2776" s="4" t="s">
        <v>64</v>
      </c>
    </row>
    <row r="2777">
      <c r="A2777" s="4" t="s">
        <v>5965</v>
      </c>
      <c r="B2777" s="4" t="s">
        <v>5965</v>
      </c>
      <c r="C2777" s="4">
        <v>1166.0</v>
      </c>
      <c r="D2777" s="5" t="str">
        <f>HYPERLINK("https://www.linkedin.com/ad-library/detail/1407962036","Open Ad")</f>
        <v>Open Ad</v>
      </c>
      <c r="E2777" s="4" t="s">
        <v>78</v>
      </c>
      <c r="F2777" s="4" t="s">
        <v>54</v>
      </c>
      <c r="G2777" s="4" t="s">
        <v>6115</v>
      </c>
      <c r="H2777" s="4" t="s">
        <v>49</v>
      </c>
      <c r="I2777" s="4" t="s">
        <v>6005</v>
      </c>
      <c r="J2777" s="4" t="s">
        <v>78</v>
      </c>
      <c r="K2777" s="5" t="str">
        <f>HYPERLINK("https://media.licdn.com/dms/image/v2/D5610AQFwlPh9OuqQ4A/image-shrink_1280/B56Z39k5SxIkAc-/0/1778075801026/Ad10png?e=2147483647&amp;v=beta&amp;t=LZdF-LfuEKTiB836HBLNFhI94910PU_-tRMjp3lZxJE","View Creative")</f>
        <v>View Creative</v>
      </c>
      <c r="L2777" s="4" t="s">
        <v>106</v>
      </c>
      <c r="M2777" s="4" t="s">
        <v>5965</v>
      </c>
      <c r="O2777" s="4" t="s">
        <v>63</v>
      </c>
      <c r="P2777" s="4" t="s">
        <v>64</v>
      </c>
    </row>
    <row r="2778">
      <c r="A2778" s="4" t="s">
        <v>5965</v>
      </c>
      <c r="B2778" s="4" t="s">
        <v>5965</v>
      </c>
      <c r="C2778" s="4">
        <v>1167.0</v>
      </c>
      <c r="D2778" s="5" t="str">
        <f>HYPERLINK("https://www.linkedin.com/ad-library/detail/1408255886","Open Ad")</f>
        <v>Open Ad</v>
      </c>
      <c r="E2778" s="4" t="s">
        <v>78</v>
      </c>
      <c r="F2778" s="4" t="s">
        <v>54</v>
      </c>
      <c r="G2778" s="4" t="s">
        <v>6502</v>
      </c>
      <c r="H2778" s="4" t="s">
        <v>49</v>
      </c>
      <c r="I2778" s="4" t="s">
        <v>6005</v>
      </c>
      <c r="J2778" s="4" t="s">
        <v>78</v>
      </c>
      <c r="K2778" s="5" t="str">
        <f>HYPERLINK("https://media.licdn.com/dms/image/v2/D4E10AQF_Fk0brjoPdQ/image-shrink_1280/B4EZ4Iq9_fHUAc-/0/1778261943357?e=2147483647&amp;v=beta&amp;t=MWh4rs9Tkkq6B1q1NSdd0gIhwtP85MAweNfC5p7gKwQ","View Creative")</f>
        <v>View Creative</v>
      </c>
      <c r="L2778" s="4" t="s">
        <v>106</v>
      </c>
      <c r="M2778" s="4" t="s">
        <v>5965</v>
      </c>
      <c r="O2778" s="4" t="s">
        <v>63</v>
      </c>
      <c r="P2778" s="4" t="s">
        <v>64</v>
      </c>
    </row>
    <row r="2779">
      <c r="A2779" s="4" t="s">
        <v>5965</v>
      </c>
      <c r="B2779" s="4" t="s">
        <v>5965</v>
      </c>
      <c r="C2779" s="4">
        <v>1168.0</v>
      </c>
      <c r="D2779" s="5" t="str">
        <f>HYPERLINK("https://www.linkedin.com/ad-library/detail/1408450516","Open Ad")</f>
        <v>Open Ad</v>
      </c>
      <c r="E2779" s="4" t="s">
        <v>121</v>
      </c>
      <c r="F2779" s="4" t="s">
        <v>54</v>
      </c>
      <c r="G2779" s="4" t="s">
        <v>6488</v>
      </c>
      <c r="H2779" s="4" t="s">
        <v>49</v>
      </c>
      <c r="I2779" s="4" t="s">
        <v>6005</v>
      </c>
      <c r="J2779" s="4" t="s">
        <v>121</v>
      </c>
      <c r="K2779" s="5" t="str">
        <f>HYPERLINK("https://dms.licdn.com/playlist/vid/v2/D4E10AQEIiLiyO-KGMw/mp4-640p-30fp-crf28/B4EZ4drQ6rHsBE-/0/1778614350812?e=2147483647&amp;v=beta&amp;t=EK_t5ZorYF5dYEL7zXTGiFxzf9T_L_tVfDHN5SfibwY","View Creative")</f>
        <v>View Creative</v>
      </c>
      <c r="L2779" s="4" t="s">
        <v>106</v>
      </c>
      <c r="M2779" s="4" t="s">
        <v>5965</v>
      </c>
      <c r="O2779" s="4" t="s">
        <v>63</v>
      </c>
      <c r="P2779" s="4" t="s">
        <v>64</v>
      </c>
    </row>
    <row r="2780">
      <c r="A2780" s="4" t="s">
        <v>5965</v>
      </c>
      <c r="B2780" s="4" t="s">
        <v>5965</v>
      </c>
      <c r="C2780" s="4">
        <v>1169.0</v>
      </c>
      <c r="D2780" s="5" t="str">
        <f>HYPERLINK("https://www.linkedin.com/ad-library/detail/1407912696","Open Ad")</f>
        <v>Open Ad</v>
      </c>
      <c r="E2780" s="4" t="s">
        <v>78</v>
      </c>
      <c r="F2780" s="4" t="s">
        <v>54</v>
      </c>
      <c r="G2780" s="4" t="s">
        <v>6115</v>
      </c>
      <c r="H2780" s="4" t="s">
        <v>49</v>
      </c>
      <c r="I2780" s="4" t="s">
        <v>6005</v>
      </c>
      <c r="J2780" s="4" t="s">
        <v>78</v>
      </c>
      <c r="K2780" s="5" t="str">
        <f>HYPERLINK("https://media.licdn.com/dms/image/v2/D5610AQGMVMBywOZTRA/image-shrink_1280/B56Z3WD4I4GsAc-/0/1777412834072/Ad11png?e=2147483647&amp;v=beta&amp;t=wEwvt57CmhCwh8mjwxDAOwifwJjctZBli8J_4VPqXQ0","View Creative")</f>
        <v>View Creative</v>
      </c>
      <c r="L2780" s="4" t="s">
        <v>106</v>
      </c>
      <c r="M2780" s="4" t="s">
        <v>5965</v>
      </c>
      <c r="O2780" s="4" t="s">
        <v>63</v>
      </c>
      <c r="P2780" s="4" t="s">
        <v>64</v>
      </c>
    </row>
    <row r="2781">
      <c r="A2781" s="4" t="s">
        <v>5965</v>
      </c>
      <c r="B2781" s="4" t="s">
        <v>5965</v>
      </c>
      <c r="C2781" s="4">
        <v>1170.0</v>
      </c>
      <c r="D2781" s="5" t="str">
        <f>HYPERLINK("https://www.linkedin.com/ad-library/detail/1407922736","Open Ad")</f>
        <v>Open Ad</v>
      </c>
      <c r="E2781" s="4" t="s">
        <v>5970</v>
      </c>
      <c r="F2781" s="4" t="s">
        <v>54</v>
      </c>
      <c r="G2781" s="4" t="s">
        <v>6280</v>
      </c>
      <c r="H2781" s="4" t="s">
        <v>49</v>
      </c>
      <c r="I2781" s="4" t="s">
        <v>5972</v>
      </c>
      <c r="J2781" s="4" t="s">
        <v>5973</v>
      </c>
      <c r="K2781" s="4" t="s">
        <v>59</v>
      </c>
      <c r="L2781" s="4" t="s">
        <v>106</v>
      </c>
      <c r="M2781" s="4" t="s">
        <v>5965</v>
      </c>
      <c r="O2781" s="4" t="s">
        <v>63</v>
      </c>
      <c r="P2781" s="4" t="s">
        <v>64</v>
      </c>
    </row>
    <row r="2782">
      <c r="A2782" s="4" t="s">
        <v>5965</v>
      </c>
      <c r="B2782" s="4" t="s">
        <v>5965</v>
      </c>
      <c r="C2782" s="4">
        <v>1171.0</v>
      </c>
      <c r="D2782" s="5" t="str">
        <f>HYPERLINK("https://www.linkedin.com/ad-library/detail/1408440676","Open Ad")</f>
        <v>Open Ad</v>
      </c>
      <c r="E2782" s="4" t="s">
        <v>121</v>
      </c>
      <c r="F2782" s="4" t="s">
        <v>54</v>
      </c>
      <c r="G2782" s="4" t="s">
        <v>6503</v>
      </c>
      <c r="H2782" s="4" t="s">
        <v>49</v>
      </c>
      <c r="I2782" s="4" t="s">
        <v>6005</v>
      </c>
      <c r="J2782" s="4" t="s">
        <v>121</v>
      </c>
      <c r="K2782" s="5" t="str">
        <f>HYPERLINK("https://dms.licdn.com/playlist/vid/v2/D4E10AQEE5OmenyQyxA/mp4-720p-30fp-crf28/B4EZ4XJK7fHQBk-/0/1778504746008?e=2147483647&amp;v=beta&amp;t=l_-VtHGStiIHyoAcA0tEXArY77Tfpolv7dQugYws6wk","View Creative")</f>
        <v>View Creative</v>
      </c>
      <c r="L2782" s="4" t="s">
        <v>106</v>
      </c>
      <c r="M2782" s="4" t="s">
        <v>5965</v>
      </c>
      <c r="O2782" s="4" t="s">
        <v>63</v>
      </c>
      <c r="P2782" s="4" t="s">
        <v>64</v>
      </c>
    </row>
    <row r="2783">
      <c r="A2783" s="4" t="s">
        <v>5965</v>
      </c>
      <c r="B2783" s="4" t="s">
        <v>5965</v>
      </c>
      <c r="C2783" s="4">
        <v>1172.0</v>
      </c>
      <c r="D2783" s="5" t="str">
        <f>HYPERLINK("https://www.linkedin.com/ad-library/detail/1408420926","Open Ad")</f>
        <v>Open Ad</v>
      </c>
      <c r="E2783" s="4" t="s">
        <v>78</v>
      </c>
      <c r="F2783" s="4" t="s">
        <v>54</v>
      </c>
      <c r="G2783" s="4" t="s">
        <v>6502</v>
      </c>
      <c r="H2783" s="4" t="s">
        <v>49</v>
      </c>
      <c r="I2783" s="4" t="s">
        <v>6005</v>
      </c>
      <c r="J2783" s="4" t="s">
        <v>78</v>
      </c>
      <c r="K2783" s="5" t="str">
        <f>HYPERLINK("https://media.licdn.com/dms/image/v2/D4E10AQF_Fk0brjoPdQ/image-shrink_1280/B4EZ4Iq9_fHUAc-/0/1778261943357?e=2147483647&amp;v=beta&amp;t=MWh4rs9Tkkq6B1q1NSdd0gIhwtP85MAweNfC5p7gKwQ","View Creative")</f>
        <v>View Creative</v>
      </c>
      <c r="L2783" s="4" t="s">
        <v>106</v>
      </c>
      <c r="M2783" s="4" t="s">
        <v>5965</v>
      </c>
      <c r="O2783" s="4" t="s">
        <v>63</v>
      </c>
      <c r="P2783" s="4" t="s">
        <v>64</v>
      </c>
    </row>
    <row r="2784">
      <c r="A2784" s="4" t="s">
        <v>5965</v>
      </c>
      <c r="B2784" s="4" t="s">
        <v>5965</v>
      </c>
      <c r="C2784" s="4">
        <v>1173.0</v>
      </c>
      <c r="D2784" s="5" t="str">
        <f>HYPERLINK("https://www.linkedin.com/ad-library/detail/1408255806","Open Ad")</f>
        <v>Open Ad</v>
      </c>
      <c r="E2784" s="4" t="s">
        <v>121</v>
      </c>
      <c r="F2784" s="4" t="s">
        <v>54</v>
      </c>
      <c r="G2784" s="4" t="s">
        <v>6493</v>
      </c>
      <c r="H2784" s="4" t="s">
        <v>49</v>
      </c>
      <c r="I2784" s="4" t="s">
        <v>6005</v>
      </c>
      <c r="J2784" s="4" t="s">
        <v>121</v>
      </c>
      <c r="K2784" s="5" t="str">
        <f>HYPERLINK("https://dms.licdn.com/playlist/vid/v2/D4E10AQHquBM6CRwRLg/mp4-720p-30fp-crf28/B4EZ4Y836cIwBo-/0/1778535076118?e=2147483647&amp;v=beta&amp;t=S5BdaHRMxcbrYKRiNigEZ8fnuBM2nr09EtW-wtwsuTI","View Creative")</f>
        <v>View Creative</v>
      </c>
      <c r="L2784" s="4" t="s">
        <v>106</v>
      </c>
      <c r="M2784" s="4" t="s">
        <v>5965</v>
      </c>
      <c r="O2784" s="4" t="s">
        <v>63</v>
      </c>
      <c r="P2784" s="4" t="s">
        <v>64</v>
      </c>
    </row>
    <row r="2785">
      <c r="A2785" s="4" t="s">
        <v>5965</v>
      </c>
      <c r="B2785" s="4" t="s">
        <v>5965</v>
      </c>
      <c r="C2785" s="4">
        <v>1174.0</v>
      </c>
      <c r="D2785" s="5" t="str">
        <f>HYPERLINK("https://www.linkedin.com/ad-library/detail/1408460816","Open Ad")</f>
        <v>Open Ad</v>
      </c>
      <c r="E2785" s="4" t="s">
        <v>78</v>
      </c>
      <c r="F2785" s="4" t="s">
        <v>54</v>
      </c>
      <c r="G2785" s="4" t="s">
        <v>6502</v>
      </c>
      <c r="H2785" s="4" t="s">
        <v>49</v>
      </c>
      <c r="I2785" s="4" t="s">
        <v>6005</v>
      </c>
      <c r="J2785" s="4" t="s">
        <v>78</v>
      </c>
      <c r="K2785" s="5" t="str">
        <f>HYPERLINK("https://media.licdn.com/dms/image/v2/D4E10AQF_Fk0brjoPdQ/image-shrink_1280/B4EZ4Iq9_fHUAc-/0/1778261943357?e=2147483647&amp;v=beta&amp;t=MWh4rs9Tkkq6B1q1NSdd0gIhwtP85MAweNfC5p7gKwQ","View Creative")</f>
        <v>View Creative</v>
      </c>
      <c r="L2785" s="4" t="s">
        <v>106</v>
      </c>
      <c r="M2785" s="4" t="s">
        <v>5965</v>
      </c>
      <c r="O2785" s="4" t="s">
        <v>63</v>
      </c>
      <c r="P2785" s="4" t="s">
        <v>64</v>
      </c>
    </row>
    <row r="2786">
      <c r="A2786" s="4" t="s">
        <v>5965</v>
      </c>
      <c r="B2786" s="4" t="s">
        <v>5965</v>
      </c>
      <c r="C2786" s="4">
        <v>1175.0</v>
      </c>
      <c r="D2786" s="5" t="str">
        <f>HYPERLINK("https://www.linkedin.com/ad-library/detail/1408420856","Open Ad")</f>
        <v>Open Ad</v>
      </c>
      <c r="E2786" s="4" t="s">
        <v>121</v>
      </c>
      <c r="F2786" s="4" t="s">
        <v>54</v>
      </c>
      <c r="G2786" s="4" t="s">
        <v>6493</v>
      </c>
      <c r="H2786" s="4" t="s">
        <v>49</v>
      </c>
      <c r="I2786" s="4" t="s">
        <v>6005</v>
      </c>
      <c r="J2786" s="4" t="s">
        <v>121</v>
      </c>
      <c r="K2786" s="5" t="str">
        <f t="shared" ref="K2786:K2787" si="128">HYPERLINK("https://dms.licdn.com/playlist/vid/v2/D4E10AQHquBM6CRwRLg/mp4-720p-30fp-crf28/B4EZ4Y836cIwBo-/0/1778535076118?e=2147483647&amp;v=beta&amp;t=S5BdaHRMxcbrYKRiNigEZ8fnuBM2nr09EtW-wtwsuTI","View Creative")</f>
        <v>View Creative</v>
      </c>
      <c r="L2786" s="4" t="s">
        <v>106</v>
      </c>
      <c r="M2786" s="4" t="s">
        <v>5965</v>
      </c>
      <c r="O2786" s="4" t="s">
        <v>63</v>
      </c>
      <c r="P2786" s="4" t="s">
        <v>64</v>
      </c>
    </row>
    <row r="2787">
      <c r="A2787" s="4" t="s">
        <v>5965</v>
      </c>
      <c r="B2787" s="4" t="s">
        <v>5965</v>
      </c>
      <c r="C2787" s="4">
        <v>1176.0</v>
      </c>
      <c r="D2787" s="5" t="str">
        <f>HYPERLINK("https://www.linkedin.com/ad-library/detail/1408273966","Open Ad")</f>
        <v>Open Ad</v>
      </c>
      <c r="E2787" s="4" t="s">
        <v>121</v>
      </c>
      <c r="F2787" s="4" t="s">
        <v>54</v>
      </c>
      <c r="G2787" s="4" t="s">
        <v>6493</v>
      </c>
      <c r="H2787" s="4" t="s">
        <v>49</v>
      </c>
      <c r="I2787" s="4" t="s">
        <v>6005</v>
      </c>
      <c r="J2787" s="4" t="s">
        <v>121</v>
      </c>
      <c r="K2787" s="5" t="str">
        <f t="shared" si="128"/>
        <v>View Creative</v>
      </c>
      <c r="L2787" s="4" t="s">
        <v>106</v>
      </c>
      <c r="M2787" s="4" t="s">
        <v>5965</v>
      </c>
      <c r="O2787" s="4" t="s">
        <v>63</v>
      </c>
      <c r="P2787" s="4" t="s">
        <v>64</v>
      </c>
    </row>
    <row r="2788">
      <c r="A2788" s="4" t="s">
        <v>5965</v>
      </c>
      <c r="B2788" s="4" t="s">
        <v>5965</v>
      </c>
      <c r="C2788" s="4">
        <v>1177.0</v>
      </c>
      <c r="D2788" s="5" t="str">
        <f>HYPERLINK("https://www.linkedin.com/ad-library/detail/1407843476","Open Ad")</f>
        <v>Open Ad</v>
      </c>
      <c r="E2788" s="4" t="s">
        <v>78</v>
      </c>
      <c r="F2788" s="4" t="s">
        <v>54</v>
      </c>
      <c r="G2788" s="4" t="s">
        <v>6115</v>
      </c>
      <c r="H2788" s="4" t="s">
        <v>49</v>
      </c>
      <c r="I2788" s="4" t="s">
        <v>6005</v>
      </c>
      <c r="J2788" s="4" t="s">
        <v>78</v>
      </c>
      <c r="K2788" s="5" t="str">
        <f>HYPERLINK("https://media.licdn.com/dms/image/v2/D5610AQH-q8Kfz-YVbQ/image-shrink_1280/B56Z3WDoOFKgAc-/0/1777412768916/Adpng?e=2147483647&amp;v=beta&amp;t=Lvt6Go03KIs4rRA12hIMu8l80ejL9dzwHdp0rAwmuTM","View Creative")</f>
        <v>View Creative</v>
      </c>
      <c r="L2788" s="4" t="s">
        <v>106</v>
      </c>
      <c r="M2788" s="4" t="s">
        <v>5965</v>
      </c>
      <c r="O2788" s="4" t="s">
        <v>63</v>
      </c>
      <c r="P2788" s="4" t="s">
        <v>64</v>
      </c>
    </row>
    <row r="2789">
      <c r="A2789" s="4" t="s">
        <v>5965</v>
      </c>
      <c r="B2789" s="4" t="s">
        <v>5965</v>
      </c>
      <c r="C2789" s="4">
        <v>1178.0</v>
      </c>
      <c r="D2789" s="5" t="str">
        <f>HYPERLINK("https://www.linkedin.com/ad-library/detail/1407902476","Open Ad")</f>
        <v>Open Ad</v>
      </c>
      <c r="E2789" s="4" t="s">
        <v>78</v>
      </c>
      <c r="F2789" s="4" t="s">
        <v>54</v>
      </c>
      <c r="G2789" s="4" t="s">
        <v>6115</v>
      </c>
      <c r="H2789" s="4" t="s">
        <v>49</v>
      </c>
      <c r="I2789" s="4" t="s">
        <v>6005</v>
      </c>
      <c r="J2789" s="4" t="s">
        <v>78</v>
      </c>
      <c r="K2789" s="5" t="str">
        <f t="shared" ref="K2789:K2790" si="129">HYPERLINK("https://media.licdn.com/dms/image/v2/D5610AQHboNfHfdoMGg/image-shrink_1280/B56Z39lJVLH4Ag-/0/1778075866691/Ad13png?e=2147483647&amp;v=beta&amp;t=w47eH2aNcVt5nGxpOUSqt9WGlOcn-OqTBTg2vMGSkLA","View Creative")</f>
        <v>View Creative</v>
      </c>
      <c r="L2789" s="4" t="s">
        <v>106</v>
      </c>
      <c r="M2789" s="4" t="s">
        <v>5965</v>
      </c>
      <c r="O2789" s="4" t="s">
        <v>63</v>
      </c>
      <c r="P2789" s="4" t="s">
        <v>64</v>
      </c>
    </row>
    <row r="2790">
      <c r="A2790" s="4" t="s">
        <v>5965</v>
      </c>
      <c r="B2790" s="4" t="s">
        <v>5965</v>
      </c>
      <c r="C2790" s="4">
        <v>1179.0</v>
      </c>
      <c r="D2790" s="5" t="str">
        <f>HYPERLINK("https://www.linkedin.com/ad-library/detail/1407863366","Open Ad")</f>
        <v>Open Ad</v>
      </c>
      <c r="E2790" s="4" t="s">
        <v>78</v>
      </c>
      <c r="F2790" s="4" t="s">
        <v>54</v>
      </c>
      <c r="G2790" s="4" t="s">
        <v>6115</v>
      </c>
      <c r="H2790" s="4" t="s">
        <v>49</v>
      </c>
      <c r="I2790" s="4" t="s">
        <v>6005</v>
      </c>
      <c r="J2790" s="4" t="s">
        <v>78</v>
      </c>
      <c r="K2790" s="5" t="str">
        <f t="shared" si="129"/>
        <v>View Creative</v>
      </c>
      <c r="L2790" s="4" t="s">
        <v>106</v>
      </c>
      <c r="M2790" s="4" t="s">
        <v>5965</v>
      </c>
      <c r="O2790" s="4" t="s">
        <v>63</v>
      </c>
      <c r="P2790" s="4" t="s">
        <v>64</v>
      </c>
    </row>
    <row r="2791">
      <c r="A2791" s="4" t="s">
        <v>5965</v>
      </c>
      <c r="B2791" s="4" t="s">
        <v>5965</v>
      </c>
      <c r="C2791" s="4">
        <v>1180.0</v>
      </c>
      <c r="D2791" s="5" t="str">
        <f>HYPERLINK("https://www.linkedin.com/ad-library/detail/1407893246","Open Ad")</f>
        <v>Open Ad</v>
      </c>
      <c r="E2791" s="4" t="s">
        <v>78</v>
      </c>
      <c r="F2791" s="4" t="s">
        <v>54</v>
      </c>
      <c r="G2791" s="4" t="s">
        <v>6115</v>
      </c>
      <c r="H2791" s="4" t="s">
        <v>49</v>
      </c>
      <c r="I2791" s="4" t="s">
        <v>6005</v>
      </c>
      <c r="J2791" s="4" t="s">
        <v>78</v>
      </c>
      <c r="K2791" s="5" t="str">
        <f>HYPERLINK("https://media.licdn.com/dms/image/v2/D5610AQGMVMBywOZTRA/image-shrink_1280/B56Z3WD4I4GsAc-/0/1777412834072/Ad11png?e=2147483647&amp;v=beta&amp;t=wEwvt57CmhCwh8mjwxDAOwifwJjctZBli8J_4VPqXQ0","View Creative")</f>
        <v>View Creative</v>
      </c>
      <c r="L2791" s="4" t="s">
        <v>106</v>
      </c>
      <c r="M2791" s="4" t="s">
        <v>5965</v>
      </c>
      <c r="O2791" s="4" t="s">
        <v>63</v>
      </c>
      <c r="P2791" s="4" t="s">
        <v>64</v>
      </c>
    </row>
    <row r="2792">
      <c r="A2792" s="4" t="s">
        <v>5965</v>
      </c>
      <c r="B2792" s="4" t="s">
        <v>5965</v>
      </c>
      <c r="C2792" s="4">
        <v>1181.0</v>
      </c>
      <c r="D2792" s="5" t="str">
        <f>HYPERLINK("https://www.linkedin.com/ad-library/detail/1407940296","Open Ad")</f>
        <v>Open Ad</v>
      </c>
      <c r="E2792" s="4" t="s">
        <v>78</v>
      </c>
      <c r="F2792" s="4" t="s">
        <v>54</v>
      </c>
      <c r="G2792" s="8" t="s">
        <v>6489</v>
      </c>
      <c r="H2792" s="4" t="s">
        <v>49</v>
      </c>
      <c r="I2792" s="4" t="s">
        <v>6005</v>
      </c>
      <c r="J2792" s="4" t="s">
        <v>78</v>
      </c>
      <c r="K2792" s="5" t="str">
        <f>HYPERLINK("https://media.licdn.com/dms/image/v2/D4E22AQGD81oz3FYM1Q/feedshare-shrink_1280/B4EZ4XQU_HJAAM-/0/1778506617358?e=2147483647&amp;v=beta&amp;t=OdTpu75_XH7oT3LVL22UyGlqQZPOznFr4UZO9OyLEa0","View Creative")</f>
        <v>View Creative</v>
      </c>
      <c r="L2792" s="4" t="s">
        <v>106</v>
      </c>
      <c r="M2792" s="4" t="s">
        <v>5965</v>
      </c>
      <c r="O2792" s="4" t="s">
        <v>63</v>
      </c>
      <c r="P2792" s="4" t="s">
        <v>64</v>
      </c>
    </row>
    <row r="2793">
      <c r="A2793" s="4" t="s">
        <v>5965</v>
      </c>
      <c r="B2793" s="4" t="s">
        <v>5965</v>
      </c>
      <c r="C2793" s="4">
        <v>1182.0</v>
      </c>
      <c r="D2793" s="5" t="str">
        <f>HYPERLINK("https://www.linkedin.com/ad-library/detail/1407942076","Open Ad")</f>
        <v>Open Ad</v>
      </c>
      <c r="E2793" s="4" t="s">
        <v>78</v>
      </c>
      <c r="F2793" s="4" t="s">
        <v>54</v>
      </c>
      <c r="G2793" s="4" t="s">
        <v>6115</v>
      </c>
      <c r="H2793" s="4" t="s">
        <v>49</v>
      </c>
      <c r="I2793" s="4" t="s">
        <v>6005</v>
      </c>
      <c r="J2793" s="4" t="s">
        <v>78</v>
      </c>
      <c r="K2793" s="5" t="str">
        <f>HYPERLINK("https://media.licdn.com/dms/image/v2/D5610AQFwlPh9OuqQ4A/image-shrink_1280/B56Z39k5SxIkAc-/0/1778075801026/Ad10png?e=2147483647&amp;v=beta&amp;t=LZdF-LfuEKTiB836HBLNFhI94910PU_-tRMjp3lZxJE","View Creative")</f>
        <v>View Creative</v>
      </c>
      <c r="L2793" s="4" t="s">
        <v>106</v>
      </c>
      <c r="M2793" s="4" t="s">
        <v>5965</v>
      </c>
      <c r="O2793" s="4" t="s">
        <v>63</v>
      </c>
      <c r="P2793" s="4" t="s">
        <v>64</v>
      </c>
    </row>
    <row r="2794">
      <c r="A2794" s="4" t="s">
        <v>5965</v>
      </c>
      <c r="B2794" s="4" t="s">
        <v>5965</v>
      </c>
      <c r="C2794" s="4">
        <v>1183.0</v>
      </c>
      <c r="D2794" s="5" t="str">
        <f>HYPERLINK("https://www.linkedin.com/ad-library/detail/1407942086","Open Ad")</f>
        <v>Open Ad</v>
      </c>
      <c r="E2794" s="4" t="s">
        <v>78</v>
      </c>
      <c r="F2794" s="4" t="s">
        <v>54</v>
      </c>
      <c r="G2794" s="4" t="s">
        <v>6115</v>
      </c>
      <c r="H2794" s="4" t="s">
        <v>49</v>
      </c>
      <c r="I2794" s="4" t="s">
        <v>6005</v>
      </c>
      <c r="J2794" s="4" t="s">
        <v>78</v>
      </c>
      <c r="K2794" s="5" t="str">
        <f>HYPERLINK("https://media.licdn.com/dms/image/v2/D5610AQGMVMBywOZTRA/image-shrink_1280/B56Z3WD4I4GsAc-/0/1777412834072/Ad11png?e=2147483647&amp;v=beta&amp;t=wEwvt57CmhCwh8mjwxDAOwifwJjctZBli8J_4VPqXQ0","View Creative")</f>
        <v>View Creative</v>
      </c>
      <c r="L2794" s="4" t="s">
        <v>106</v>
      </c>
      <c r="M2794" s="4" t="s">
        <v>5965</v>
      </c>
      <c r="O2794" s="4" t="s">
        <v>63</v>
      </c>
      <c r="P2794" s="4" t="s">
        <v>64</v>
      </c>
    </row>
    <row r="2795">
      <c r="A2795" s="4" t="s">
        <v>5965</v>
      </c>
      <c r="B2795" s="4" t="s">
        <v>5965</v>
      </c>
      <c r="C2795" s="4">
        <v>1184.0</v>
      </c>
      <c r="D2795" s="5" t="str">
        <f>HYPERLINK("https://www.linkedin.com/ad-library/detail/1407634416","Open Ad")</f>
        <v>Open Ad</v>
      </c>
      <c r="E2795" s="4" t="s">
        <v>5970</v>
      </c>
      <c r="F2795" s="4" t="s">
        <v>54</v>
      </c>
      <c r="G2795" s="4" t="s">
        <v>6504</v>
      </c>
      <c r="H2795" s="4" t="s">
        <v>49</v>
      </c>
      <c r="I2795" s="4" t="s">
        <v>6005</v>
      </c>
      <c r="J2795" s="4" t="s">
        <v>5973</v>
      </c>
      <c r="K2795" s="4" t="s">
        <v>59</v>
      </c>
      <c r="L2795" s="4" t="s">
        <v>106</v>
      </c>
      <c r="M2795" s="4" t="s">
        <v>5965</v>
      </c>
      <c r="O2795" s="4" t="s">
        <v>63</v>
      </c>
      <c r="P2795" s="4" t="s">
        <v>64</v>
      </c>
    </row>
    <row r="2796">
      <c r="A2796" s="4" t="s">
        <v>5965</v>
      </c>
      <c r="B2796" s="4" t="s">
        <v>5965</v>
      </c>
      <c r="C2796" s="4">
        <v>1185.0</v>
      </c>
      <c r="D2796" s="5" t="str">
        <f>HYPERLINK("https://www.linkedin.com/ad-library/detail/1407910616","Open Ad")</f>
        <v>Open Ad</v>
      </c>
      <c r="E2796" s="4" t="s">
        <v>78</v>
      </c>
      <c r="F2796" s="4" t="s">
        <v>54</v>
      </c>
      <c r="G2796" s="8" t="s">
        <v>6489</v>
      </c>
      <c r="H2796" s="4" t="s">
        <v>49</v>
      </c>
      <c r="I2796" s="4" t="s">
        <v>6005</v>
      </c>
      <c r="J2796" s="4" t="s">
        <v>78</v>
      </c>
      <c r="K2796" s="5" t="str">
        <f>HYPERLINK("https://media.licdn.com/dms/image/v2/D4E22AQGD81oz3FYM1Q/feedshare-shrink_1280/B4EZ4XQU_HJAAM-/0/1778506617358?e=2147483647&amp;v=beta&amp;t=OdTpu75_XH7oT3LVL22UyGlqQZPOznFr4UZO9OyLEa0","View Creative")</f>
        <v>View Creative</v>
      </c>
      <c r="L2796" s="4" t="s">
        <v>106</v>
      </c>
      <c r="M2796" s="4" t="s">
        <v>5965</v>
      </c>
      <c r="O2796" s="4" t="s">
        <v>63</v>
      </c>
      <c r="P2796" s="4" t="s">
        <v>64</v>
      </c>
    </row>
    <row r="2797">
      <c r="A2797" s="4" t="s">
        <v>5965</v>
      </c>
      <c r="B2797" s="4" t="s">
        <v>5965</v>
      </c>
      <c r="C2797" s="4">
        <v>1186.0</v>
      </c>
      <c r="D2797" s="5" t="str">
        <f>HYPERLINK("https://www.linkedin.com/ad-library/detail/1407673916","Open Ad")</f>
        <v>Open Ad</v>
      </c>
      <c r="E2797" s="4" t="s">
        <v>78</v>
      </c>
      <c r="F2797" s="4" t="s">
        <v>54</v>
      </c>
      <c r="G2797" s="4" t="s">
        <v>6505</v>
      </c>
      <c r="H2797" s="4" t="s">
        <v>49</v>
      </c>
      <c r="I2797" s="4" t="s">
        <v>6005</v>
      </c>
      <c r="J2797" s="4" t="s">
        <v>78</v>
      </c>
      <c r="K2797" s="4" t="s">
        <v>59</v>
      </c>
      <c r="L2797" s="4" t="s">
        <v>106</v>
      </c>
      <c r="M2797" s="4" t="s">
        <v>5965</v>
      </c>
      <c r="O2797" s="4" t="s">
        <v>63</v>
      </c>
      <c r="P2797" s="4" t="s">
        <v>64</v>
      </c>
    </row>
    <row r="2798">
      <c r="A2798" s="4" t="s">
        <v>5965</v>
      </c>
      <c r="B2798" s="4" t="s">
        <v>5965</v>
      </c>
      <c r="C2798" s="4">
        <v>1187.0</v>
      </c>
      <c r="D2798" s="5" t="str">
        <f>HYPERLINK("https://www.linkedin.com/ad-library/detail/1407614806","Open Ad")</f>
        <v>Open Ad</v>
      </c>
      <c r="E2798" s="4" t="s">
        <v>5970</v>
      </c>
      <c r="F2798" s="4" t="s">
        <v>54</v>
      </c>
      <c r="G2798" s="4" t="s">
        <v>6504</v>
      </c>
      <c r="H2798" s="4" t="s">
        <v>49</v>
      </c>
      <c r="I2798" s="4" t="s">
        <v>6005</v>
      </c>
      <c r="J2798" s="4" t="s">
        <v>5973</v>
      </c>
      <c r="K2798" s="4" t="s">
        <v>59</v>
      </c>
      <c r="L2798" s="4" t="s">
        <v>106</v>
      </c>
      <c r="M2798" s="4" t="s">
        <v>5965</v>
      </c>
      <c r="O2798" s="4" t="s">
        <v>63</v>
      </c>
      <c r="P2798" s="4" t="s">
        <v>64</v>
      </c>
    </row>
    <row r="2799">
      <c r="A2799" s="4" t="s">
        <v>5965</v>
      </c>
      <c r="B2799" s="4" t="s">
        <v>5965</v>
      </c>
      <c r="C2799" s="4">
        <v>1188.0</v>
      </c>
      <c r="D2799" s="5" t="str">
        <f>HYPERLINK("https://www.linkedin.com/ad-library/detail/1407794486","Open Ad")</f>
        <v>Open Ad</v>
      </c>
      <c r="E2799" s="4" t="s">
        <v>78</v>
      </c>
      <c r="F2799" s="4" t="s">
        <v>54</v>
      </c>
      <c r="G2799" s="4" t="s">
        <v>6115</v>
      </c>
      <c r="H2799" s="4" t="s">
        <v>49</v>
      </c>
      <c r="I2799" s="4" t="s">
        <v>6005</v>
      </c>
      <c r="J2799" s="4" t="s">
        <v>78</v>
      </c>
      <c r="K2799" s="5" t="str">
        <f>HYPERLINK("https://media.licdn.com/dms/image/v2/D5610AQHwfvEneIqQpg/image-shrink_1280/B56Z3WDTp1G0Ac-/0/1777412684628/Ad9png?e=2147483647&amp;v=beta&amp;t=aYxtFLgpOksdc2sW2JhFfLdBL1lU2G76XPJ-90sIZlk","View Creative")</f>
        <v>View Creative</v>
      </c>
      <c r="L2799" s="4" t="s">
        <v>106</v>
      </c>
      <c r="M2799" s="4" t="s">
        <v>5965</v>
      </c>
      <c r="O2799" s="4" t="s">
        <v>63</v>
      </c>
      <c r="P2799" s="4" t="s">
        <v>64</v>
      </c>
    </row>
    <row r="2800">
      <c r="A2800" s="4" t="s">
        <v>5965</v>
      </c>
      <c r="B2800" s="4" t="s">
        <v>5965</v>
      </c>
      <c r="C2800" s="4">
        <v>1189.0</v>
      </c>
      <c r="D2800" s="5" t="str">
        <f>HYPERLINK("https://www.linkedin.com/ad-library/detail/1407794496","Open Ad")</f>
        <v>Open Ad</v>
      </c>
      <c r="E2800" s="4" t="s">
        <v>78</v>
      </c>
      <c r="F2800" s="4" t="s">
        <v>54</v>
      </c>
      <c r="G2800" s="4" t="s">
        <v>6115</v>
      </c>
      <c r="H2800" s="4" t="s">
        <v>49</v>
      </c>
      <c r="I2800" s="4" t="s">
        <v>6005</v>
      </c>
      <c r="J2800" s="4" t="s">
        <v>78</v>
      </c>
      <c r="K2800" s="5" t="str">
        <f>HYPERLINK("https://media.licdn.com/dms/image/v2/D5610AQH-q8Kfz-YVbQ/image-shrink_1280/B56Z3WDoOFKgAc-/0/1777412768916/Adpng?e=2147483647&amp;v=beta&amp;t=Lvt6Go03KIs4rRA12hIMu8l80ejL9dzwHdp0rAwmuTM","View Creative")</f>
        <v>View Creative</v>
      </c>
      <c r="L2800" s="4" t="s">
        <v>106</v>
      </c>
      <c r="M2800" s="4" t="s">
        <v>5965</v>
      </c>
      <c r="O2800" s="4" t="s">
        <v>63</v>
      </c>
      <c r="P2800" s="4" t="s">
        <v>64</v>
      </c>
    </row>
    <row r="2801">
      <c r="A2801" s="4" t="s">
        <v>5965</v>
      </c>
      <c r="B2801" s="4" t="s">
        <v>5965</v>
      </c>
      <c r="C2801" s="4">
        <v>1190.0</v>
      </c>
      <c r="D2801" s="5" t="str">
        <f>HYPERLINK("https://www.linkedin.com/ad-library/detail/1407912556","Open Ad")</f>
        <v>Open Ad</v>
      </c>
      <c r="E2801" s="4" t="s">
        <v>78</v>
      </c>
      <c r="F2801" s="4" t="s">
        <v>54</v>
      </c>
      <c r="G2801" s="4" t="s">
        <v>6115</v>
      </c>
      <c r="H2801" s="4" t="s">
        <v>49</v>
      </c>
      <c r="I2801" s="4" t="s">
        <v>6005</v>
      </c>
      <c r="J2801" s="4" t="s">
        <v>78</v>
      </c>
      <c r="K2801" s="5" t="str">
        <f>HYPERLINK("https://media.licdn.com/dms/image/v2/D5610AQFwlPh9OuqQ4A/image-shrink_1280/B56Z39k5SxIkAc-/0/1778075801026/Ad10png?e=2147483647&amp;v=beta&amp;t=LZdF-LfuEKTiB836HBLNFhI94910PU_-tRMjp3lZxJE","View Creative")</f>
        <v>View Creative</v>
      </c>
      <c r="L2801" s="4" t="s">
        <v>106</v>
      </c>
      <c r="M2801" s="4" t="s">
        <v>5965</v>
      </c>
      <c r="O2801" s="4" t="s">
        <v>63</v>
      </c>
      <c r="P2801" s="4" t="s">
        <v>64</v>
      </c>
    </row>
    <row r="2802">
      <c r="A2802" s="4" t="s">
        <v>5965</v>
      </c>
      <c r="B2802" s="4" t="s">
        <v>5965</v>
      </c>
      <c r="C2802" s="4">
        <v>1191.0</v>
      </c>
      <c r="D2802" s="5" t="str">
        <f>HYPERLINK("https://www.linkedin.com/ad-library/detail/1407776876","Open Ad")</f>
        <v>Open Ad</v>
      </c>
      <c r="E2802" s="4" t="s">
        <v>78</v>
      </c>
      <c r="F2802" s="4" t="s">
        <v>54</v>
      </c>
      <c r="G2802" s="4" t="s">
        <v>6115</v>
      </c>
      <c r="H2802" s="4" t="s">
        <v>49</v>
      </c>
      <c r="I2802" s="4" t="s">
        <v>6005</v>
      </c>
      <c r="J2802" s="4" t="s">
        <v>78</v>
      </c>
      <c r="K2802" s="5" t="str">
        <f>HYPERLINK("https://media.licdn.com/dms/image/v2/D5610AQH-q8Kfz-YVbQ/image-shrink_1280/B56Z3WDoOFKgAc-/0/1777412768916/Adpng?e=2147483647&amp;v=beta&amp;t=Lvt6Go03KIs4rRA12hIMu8l80ejL9dzwHdp0rAwmuTM","View Creative")</f>
        <v>View Creative</v>
      </c>
      <c r="L2802" s="4" t="s">
        <v>106</v>
      </c>
      <c r="M2802" s="4" t="s">
        <v>5965</v>
      </c>
      <c r="O2802" s="4" t="s">
        <v>63</v>
      </c>
      <c r="P2802" s="4" t="s">
        <v>64</v>
      </c>
    </row>
    <row r="2803">
      <c r="A2803" s="4" t="s">
        <v>5965</v>
      </c>
      <c r="B2803" s="4" t="s">
        <v>5965</v>
      </c>
      <c r="C2803" s="4">
        <v>1192.0</v>
      </c>
      <c r="D2803" s="5" t="str">
        <f>HYPERLINK("https://www.linkedin.com/ad-library/detail/1407812536","Open Ad")</f>
        <v>Open Ad</v>
      </c>
      <c r="E2803" s="4" t="s">
        <v>78</v>
      </c>
      <c r="F2803" s="4" t="s">
        <v>54</v>
      </c>
      <c r="G2803" s="8" t="s">
        <v>6489</v>
      </c>
      <c r="H2803" s="4" t="s">
        <v>49</v>
      </c>
      <c r="I2803" s="4" t="s">
        <v>6005</v>
      </c>
      <c r="J2803" s="4" t="s">
        <v>78</v>
      </c>
      <c r="K2803" s="5" t="str">
        <f t="shared" ref="K2803:K2804" si="130">HYPERLINK("https://media.licdn.com/dms/image/v2/D4E22AQGD81oz3FYM1Q/feedshare-shrink_1280/B4EZ4XQU_HJAAM-/0/1778506617358?e=2147483647&amp;v=beta&amp;t=OdTpu75_XH7oT3LVL22UyGlqQZPOznFr4UZO9OyLEa0","View Creative")</f>
        <v>View Creative</v>
      </c>
      <c r="L2803" s="4" t="s">
        <v>106</v>
      </c>
      <c r="M2803" s="4" t="s">
        <v>5965</v>
      </c>
      <c r="O2803" s="4" t="s">
        <v>63</v>
      </c>
      <c r="P2803" s="4" t="s">
        <v>64</v>
      </c>
    </row>
    <row r="2804">
      <c r="A2804" s="4" t="s">
        <v>5965</v>
      </c>
      <c r="B2804" s="4" t="s">
        <v>5965</v>
      </c>
      <c r="C2804" s="4">
        <v>1193.0</v>
      </c>
      <c r="D2804" s="5" t="str">
        <f>HYPERLINK("https://www.linkedin.com/ad-library/detail/1407881156","Open Ad")</f>
        <v>Open Ad</v>
      </c>
      <c r="E2804" s="4" t="s">
        <v>78</v>
      </c>
      <c r="F2804" s="4" t="s">
        <v>54</v>
      </c>
      <c r="G2804" s="8" t="s">
        <v>6489</v>
      </c>
      <c r="H2804" s="4" t="s">
        <v>49</v>
      </c>
      <c r="I2804" s="4" t="s">
        <v>6005</v>
      </c>
      <c r="J2804" s="4" t="s">
        <v>78</v>
      </c>
      <c r="K2804" s="5" t="str">
        <f t="shared" si="130"/>
        <v>View Creative</v>
      </c>
      <c r="L2804" s="4" t="s">
        <v>106</v>
      </c>
      <c r="M2804" s="4" t="s">
        <v>5965</v>
      </c>
      <c r="O2804" s="4" t="s">
        <v>63</v>
      </c>
      <c r="P2804" s="4" t="s">
        <v>64</v>
      </c>
    </row>
    <row r="2805">
      <c r="A2805" s="4" t="s">
        <v>5965</v>
      </c>
      <c r="B2805" s="4" t="s">
        <v>5965</v>
      </c>
      <c r="C2805" s="4">
        <v>1194.0</v>
      </c>
      <c r="D2805" s="5" t="str">
        <f>HYPERLINK("https://www.linkedin.com/ad-library/detail/1407912566","Open Ad")</f>
        <v>Open Ad</v>
      </c>
      <c r="E2805" s="4" t="s">
        <v>78</v>
      </c>
      <c r="F2805" s="4" t="s">
        <v>54</v>
      </c>
      <c r="G2805" s="4" t="s">
        <v>6115</v>
      </c>
      <c r="H2805" s="4" t="s">
        <v>49</v>
      </c>
      <c r="I2805" s="4" t="s">
        <v>6005</v>
      </c>
      <c r="J2805" s="4" t="s">
        <v>78</v>
      </c>
      <c r="K2805" s="5" t="str">
        <f>HYPERLINK("https://media.licdn.com/dms/image/v2/D5610AQEaAP2ePthrkg/image-shrink_1280/B56Z3WEHN.KkAc-/0/1777412895878/Ad12png?e=2147483647&amp;v=beta&amp;t=T2wKzNoxIXKU0UU_eFAjRvI7gkBs3J8l1XJINIpnIvs","View Creative")</f>
        <v>View Creative</v>
      </c>
      <c r="L2805" s="4" t="s">
        <v>106</v>
      </c>
      <c r="M2805" s="4" t="s">
        <v>5965</v>
      </c>
      <c r="O2805" s="4" t="s">
        <v>63</v>
      </c>
      <c r="P2805" s="4" t="s">
        <v>64</v>
      </c>
    </row>
    <row r="2806">
      <c r="A2806" s="4" t="s">
        <v>5965</v>
      </c>
      <c r="B2806" s="4" t="s">
        <v>5965</v>
      </c>
      <c r="C2806" s="4">
        <v>1195.0</v>
      </c>
      <c r="D2806" s="5" t="str">
        <f>HYPERLINK("https://www.linkedin.com/ad-library/detail/1407881146","Open Ad")</f>
        <v>Open Ad</v>
      </c>
      <c r="E2806" s="4" t="s">
        <v>78</v>
      </c>
      <c r="F2806" s="4" t="s">
        <v>54</v>
      </c>
      <c r="G2806" s="8" t="s">
        <v>6489</v>
      </c>
      <c r="H2806" s="4" t="s">
        <v>49</v>
      </c>
      <c r="I2806" s="4" t="s">
        <v>6005</v>
      </c>
      <c r="J2806" s="4" t="s">
        <v>78</v>
      </c>
      <c r="K2806" s="5" t="str">
        <f t="shared" ref="K2806:K2807" si="131">HYPERLINK("https://media.licdn.com/dms/image/v2/D4E22AQGD81oz3FYM1Q/feedshare-shrink_1280/B4EZ4XQU_HJAAM-/0/1778506617358?e=2147483647&amp;v=beta&amp;t=OdTpu75_XH7oT3LVL22UyGlqQZPOznFr4UZO9OyLEa0","View Creative")</f>
        <v>View Creative</v>
      </c>
      <c r="L2806" s="4" t="s">
        <v>106</v>
      </c>
      <c r="M2806" s="4" t="s">
        <v>5965</v>
      </c>
      <c r="O2806" s="4" t="s">
        <v>74</v>
      </c>
      <c r="P2806" s="4" t="s">
        <v>6506</v>
      </c>
    </row>
    <row r="2807">
      <c r="A2807" s="4" t="s">
        <v>5965</v>
      </c>
      <c r="B2807" s="4" t="s">
        <v>5965</v>
      </c>
      <c r="C2807" s="4">
        <v>1196.0</v>
      </c>
      <c r="D2807" s="5" t="str">
        <f>HYPERLINK("https://www.linkedin.com/ad-library/detail/1407881176","Open Ad")</f>
        <v>Open Ad</v>
      </c>
      <c r="E2807" s="4" t="s">
        <v>78</v>
      </c>
      <c r="F2807" s="4" t="s">
        <v>54</v>
      </c>
      <c r="G2807" s="8" t="s">
        <v>6489</v>
      </c>
      <c r="H2807" s="4" t="s">
        <v>49</v>
      </c>
      <c r="I2807" s="4" t="s">
        <v>6005</v>
      </c>
      <c r="J2807" s="4" t="s">
        <v>78</v>
      </c>
      <c r="K2807" s="5" t="str">
        <f t="shared" si="131"/>
        <v>View Creative</v>
      </c>
      <c r="L2807" s="4" t="s">
        <v>106</v>
      </c>
      <c r="M2807" s="4" t="s">
        <v>5965</v>
      </c>
      <c r="O2807" s="4" t="s">
        <v>63</v>
      </c>
      <c r="P2807" s="4" t="s">
        <v>64</v>
      </c>
    </row>
    <row r="2808">
      <c r="A2808" s="4" t="s">
        <v>5965</v>
      </c>
      <c r="B2808" s="4" t="s">
        <v>5965</v>
      </c>
      <c r="C2808" s="4">
        <v>1197.0</v>
      </c>
      <c r="D2808" s="5" t="str">
        <f>HYPERLINK("https://www.linkedin.com/ad-library/detail/1407703916","Open Ad")</f>
        <v>Open Ad</v>
      </c>
      <c r="E2808" s="4" t="s">
        <v>78</v>
      </c>
      <c r="F2808" s="4" t="s">
        <v>54</v>
      </c>
      <c r="G2808" s="4" t="s">
        <v>6505</v>
      </c>
      <c r="H2808" s="4" t="s">
        <v>49</v>
      </c>
      <c r="I2808" s="4" t="s">
        <v>6005</v>
      </c>
      <c r="J2808" s="4" t="s">
        <v>78</v>
      </c>
      <c r="K2808" s="4" t="s">
        <v>59</v>
      </c>
      <c r="L2808" s="4" t="s">
        <v>106</v>
      </c>
      <c r="M2808" s="4" t="s">
        <v>5965</v>
      </c>
      <c r="O2808" s="4" t="s">
        <v>63</v>
      </c>
      <c r="P2808" s="4" t="s">
        <v>64</v>
      </c>
    </row>
    <row r="2809">
      <c r="A2809" s="4" t="s">
        <v>5965</v>
      </c>
      <c r="B2809" s="4" t="s">
        <v>5965</v>
      </c>
      <c r="C2809" s="4">
        <v>1198.0</v>
      </c>
      <c r="D2809" s="5" t="str">
        <f>HYPERLINK("https://www.linkedin.com/ad-library/detail/1407822566","Open Ad")</f>
        <v>Open Ad</v>
      </c>
      <c r="E2809" s="4" t="s">
        <v>78</v>
      </c>
      <c r="F2809" s="4" t="s">
        <v>54</v>
      </c>
      <c r="G2809" s="4" t="s">
        <v>6507</v>
      </c>
      <c r="H2809" s="4" t="s">
        <v>49</v>
      </c>
      <c r="I2809" s="4" t="s">
        <v>6005</v>
      </c>
      <c r="J2809" s="4" t="s">
        <v>78</v>
      </c>
      <c r="K2809" s="5" t="str">
        <f>HYPERLINK("https://media.licdn.com/dms/image/v2/D4E1EAQGJmjoKbsnccQ/event-background-image-crop_720_1280/B4EZ4XfEpmJMAQ-/0/1778510482710?e=2147483647&amp;v=beta&amp;t=C8aDRZJDlhG_NrdaAD2MlQsiOTU0HJCf0DbhZQGcMfM","View Creative")</f>
        <v>View Creative</v>
      </c>
      <c r="L2809" s="4" t="s">
        <v>106</v>
      </c>
      <c r="M2809" s="4" t="s">
        <v>5965</v>
      </c>
      <c r="O2809" s="4" t="s">
        <v>63</v>
      </c>
      <c r="P2809" s="4" t="s">
        <v>64</v>
      </c>
    </row>
    <row r="2810">
      <c r="A2810" s="4" t="s">
        <v>5965</v>
      </c>
      <c r="B2810" s="4" t="s">
        <v>5965</v>
      </c>
      <c r="C2810" s="4">
        <v>1199.0</v>
      </c>
      <c r="D2810" s="5" t="str">
        <f>HYPERLINK("https://www.linkedin.com/ad-library/detail/1407823436","Open Ad")</f>
        <v>Open Ad</v>
      </c>
      <c r="E2810" s="4" t="s">
        <v>78</v>
      </c>
      <c r="F2810" s="4" t="s">
        <v>54</v>
      </c>
      <c r="G2810" s="4" t="s">
        <v>6115</v>
      </c>
      <c r="H2810" s="4" t="s">
        <v>49</v>
      </c>
      <c r="I2810" s="4" t="s">
        <v>6005</v>
      </c>
      <c r="J2810" s="4" t="s">
        <v>78</v>
      </c>
      <c r="K2810" s="5" t="str">
        <f>HYPERLINK("https://media.licdn.com/dms/image/v2/D5610AQHwfvEneIqQpg/image-shrink_1280/B56Z3WDTp1G0Ac-/0/1777412684628/Ad9png?e=2147483647&amp;v=beta&amp;t=aYxtFLgpOksdc2sW2JhFfLdBL1lU2G76XPJ-90sIZlk","View Creative")</f>
        <v>View Creative</v>
      </c>
      <c r="L2810" s="4" t="s">
        <v>106</v>
      </c>
      <c r="M2810" s="4" t="s">
        <v>5965</v>
      </c>
      <c r="O2810" s="4" t="s">
        <v>63</v>
      </c>
      <c r="P2810" s="4" t="s">
        <v>64</v>
      </c>
    </row>
    <row r="2811">
      <c r="A2811" s="4" t="s">
        <v>5965</v>
      </c>
      <c r="B2811" s="4" t="s">
        <v>5965</v>
      </c>
      <c r="C2811" s="4">
        <v>1200.0</v>
      </c>
      <c r="D2811" s="5" t="str">
        <f>HYPERLINK("https://www.linkedin.com/ad-library/detail/1407952046","Open Ad")</f>
        <v>Open Ad</v>
      </c>
      <c r="E2811" s="4" t="s">
        <v>78</v>
      </c>
      <c r="F2811" s="4" t="s">
        <v>54</v>
      </c>
      <c r="G2811" s="4" t="s">
        <v>6115</v>
      </c>
      <c r="H2811" s="4" t="s">
        <v>49</v>
      </c>
      <c r="I2811" s="4" t="s">
        <v>6005</v>
      </c>
      <c r="J2811" s="4" t="s">
        <v>78</v>
      </c>
      <c r="K2811" s="5" t="str">
        <f>HYPERLINK("https://media.licdn.com/dms/image/v2/D5610AQEaAP2ePthrkg/image-shrink_1280/B56Z3WEHN.KkAc-/0/1777412895878/Ad12png?e=2147483647&amp;v=beta&amp;t=T2wKzNoxIXKU0UU_eFAjRvI7gkBs3J8l1XJINIpnIvs","View Creative")</f>
        <v>View Creative</v>
      </c>
      <c r="L2811" s="4" t="s">
        <v>106</v>
      </c>
      <c r="M2811" s="4" t="s">
        <v>5965</v>
      </c>
      <c r="O2811" s="4" t="s">
        <v>63</v>
      </c>
      <c r="P2811" s="4" t="s">
        <v>64</v>
      </c>
    </row>
    <row r="2812">
      <c r="A2812" s="4" t="s">
        <v>5965</v>
      </c>
      <c r="B2812" s="4" t="s">
        <v>5965</v>
      </c>
      <c r="C2812" s="4">
        <v>1201.0</v>
      </c>
      <c r="D2812" s="5" t="str">
        <f>HYPERLINK("https://www.linkedin.com/ad-library/detail/1407054456","Open Ad")</f>
        <v>Open Ad</v>
      </c>
      <c r="E2812" s="4" t="s">
        <v>78</v>
      </c>
      <c r="F2812" s="4" t="s">
        <v>54</v>
      </c>
      <c r="G2812" s="4" t="s">
        <v>6496</v>
      </c>
      <c r="H2812" s="4" t="s">
        <v>49</v>
      </c>
      <c r="I2812" s="4" t="s">
        <v>6005</v>
      </c>
      <c r="J2812" s="4" t="s">
        <v>78</v>
      </c>
      <c r="K2812" s="5" t="str">
        <f>HYPERLINK("https://media.licdn.com/dms/image/v2/D4E10AQFu8KZz_7vc0g/image-shrink_1280/B4EZ4EWOD4JsAc-/0/1778189395117?e=2147483647&amp;v=beta&amp;t=MFHh8ZziJJ66eADx3_Yp_sCjThDVa31duNVTpQCBmRg","View Creative")</f>
        <v>View Creative</v>
      </c>
      <c r="L2812" s="4" t="s">
        <v>106</v>
      </c>
      <c r="M2812" s="4" t="s">
        <v>5965</v>
      </c>
      <c r="O2812" s="4" t="s">
        <v>63</v>
      </c>
      <c r="P2812" s="4" t="s">
        <v>64</v>
      </c>
    </row>
    <row r="2813">
      <c r="A2813" s="4" t="s">
        <v>5965</v>
      </c>
      <c r="B2813" s="4" t="s">
        <v>5965</v>
      </c>
      <c r="C2813" s="4">
        <v>1202.0</v>
      </c>
      <c r="D2813" s="5" t="str">
        <f>HYPERLINK("https://www.linkedin.com/ad-library/detail/1407054386","Open Ad")</f>
        <v>Open Ad</v>
      </c>
      <c r="E2813" s="4" t="s">
        <v>121</v>
      </c>
      <c r="F2813" s="4" t="s">
        <v>54</v>
      </c>
      <c r="G2813" s="4" t="s">
        <v>6486</v>
      </c>
      <c r="H2813" s="4" t="s">
        <v>49</v>
      </c>
      <c r="I2813" s="4" t="s">
        <v>6005</v>
      </c>
      <c r="J2813" s="4" t="s">
        <v>121</v>
      </c>
      <c r="K2813" s="5" t="str">
        <f>HYPERLINK("https://dms.licdn.com/playlist/vid/v2/D4E10AQHaVnlTZWO5lQ/mp4-640p-30fp-crf28/B4EZ4EDxT1IABE-/0/1778184568233?e=2147483647&amp;v=beta&amp;t=jeKB-nUJMbPs44wNiftahuqppmxwQaFreN02VRMJGkw","View Creative")</f>
        <v>View Creative</v>
      </c>
      <c r="L2813" s="4" t="s">
        <v>106</v>
      </c>
      <c r="M2813" s="4" t="s">
        <v>5965</v>
      </c>
      <c r="O2813" s="4" t="s">
        <v>63</v>
      </c>
      <c r="P2813" s="4" t="s">
        <v>64</v>
      </c>
    </row>
    <row r="2814">
      <c r="A2814" s="4" t="s">
        <v>5965</v>
      </c>
      <c r="B2814" s="4" t="s">
        <v>5965</v>
      </c>
      <c r="C2814" s="4">
        <v>1203.0</v>
      </c>
      <c r="D2814" s="5" t="str">
        <f>HYPERLINK("https://www.linkedin.com/ad-library/detail/1407140896","Open Ad")</f>
        <v>Open Ad</v>
      </c>
      <c r="E2814" s="4" t="s">
        <v>121</v>
      </c>
      <c r="F2814" s="4" t="s">
        <v>54</v>
      </c>
      <c r="G2814" s="4" t="s">
        <v>6508</v>
      </c>
      <c r="H2814" s="4" t="s">
        <v>49</v>
      </c>
      <c r="I2814" s="4" t="s">
        <v>6005</v>
      </c>
      <c r="J2814" s="4" t="s">
        <v>121</v>
      </c>
      <c r="K2814" s="5" t="str">
        <f>HYPERLINK("https://dms.licdn.com/playlist/vid/v2/D4E10AQGOyPFo4VVnAg/mp4-640p-30fp-crf28/B4EZ398Z5sJ4BI-/0/1778081967815?e=2147483647&amp;v=beta&amp;t=FzUuD4C0bQ8yZU5CmStuCf0dCBi2H2Sj6qyZzw_h8Lk","View Creative")</f>
        <v>View Creative</v>
      </c>
      <c r="L2814" s="4" t="s">
        <v>106</v>
      </c>
      <c r="M2814" s="4" t="s">
        <v>5965</v>
      </c>
      <c r="O2814" s="4" t="s">
        <v>63</v>
      </c>
      <c r="P2814" s="4" t="s">
        <v>64</v>
      </c>
    </row>
    <row r="2815">
      <c r="A2815" s="4" t="s">
        <v>5965</v>
      </c>
      <c r="B2815" s="4" t="s">
        <v>5965</v>
      </c>
      <c r="C2815" s="4">
        <v>1204.0</v>
      </c>
      <c r="D2815" s="5" t="str">
        <f>HYPERLINK("https://www.linkedin.com/ad-library/detail/1407170846","Open Ad")</f>
        <v>Open Ad</v>
      </c>
      <c r="E2815" s="4" t="s">
        <v>78</v>
      </c>
      <c r="F2815" s="4" t="s">
        <v>54</v>
      </c>
      <c r="G2815" s="4" t="s">
        <v>6496</v>
      </c>
      <c r="H2815" s="4" t="s">
        <v>49</v>
      </c>
      <c r="I2815" s="4" t="s">
        <v>6005</v>
      </c>
      <c r="J2815" s="4" t="s">
        <v>78</v>
      </c>
      <c r="K2815" s="5" t="str">
        <f>HYPERLINK("https://media.licdn.com/dms/image/v2/D4E10AQFu8KZz_7vc0g/image-shrink_1280/B4EZ4EWOD4JsAc-/0/1778189395117?e=2147483647&amp;v=beta&amp;t=MFHh8ZziJJ66eADx3_Yp_sCjThDVa31duNVTpQCBmRg","View Creative")</f>
        <v>View Creative</v>
      </c>
      <c r="L2815" s="4" t="s">
        <v>106</v>
      </c>
      <c r="M2815" s="4" t="s">
        <v>5965</v>
      </c>
      <c r="O2815" s="4" t="s">
        <v>63</v>
      </c>
      <c r="P2815" s="4" t="s">
        <v>64</v>
      </c>
    </row>
    <row r="2816">
      <c r="A2816" s="4" t="s">
        <v>5965</v>
      </c>
      <c r="B2816" s="4" t="s">
        <v>5965</v>
      </c>
      <c r="C2816" s="4">
        <v>1205.0</v>
      </c>
      <c r="D2816" s="5" t="str">
        <f>HYPERLINK("https://www.linkedin.com/ad-library/detail/1407575866","Open Ad")</f>
        <v>Open Ad</v>
      </c>
      <c r="E2816" s="4" t="s">
        <v>5970</v>
      </c>
      <c r="F2816" s="4" t="s">
        <v>54</v>
      </c>
      <c r="G2816" s="4" t="s">
        <v>6504</v>
      </c>
      <c r="H2816" s="4" t="s">
        <v>49</v>
      </c>
      <c r="I2816" s="4" t="s">
        <v>6005</v>
      </c>
      <c r="J2816" s="4" t="s">
        <v>5973</v>
      </c>
      <c r="K2816" s="4" t="s">
        <v>59</v>
      </c>
      <c r="L2816" s="4" t="s">
        <v>106</v>
      </c>
      <c r="M2816" s="4" t="s">
        <v>5965</v>
      </c>
      <c r="O2816" s="4" t="s">
        <v>63</v>
      </c>
      <c r="P2816" s="4" t="s">
        <v>64</v>
      </c>
    </row>
    <row r="2817">
      <c r="A2817" s="4" t="s">
        <v>5965</v>
      </c>
      <c r="B2817" s="4" t="s">
        <v>5965</v>
      </c>
      <c r="C2817" s="4">
        <v>1206.0</v>
      </c>
      <c r="D2817" s="5" t="str">
        <f>HYPERLINK("https://www.linkedin.com/ad-library/detail/1407150946","Open Ad")</f>
        <v>Open Ad</v>
      </c>
      <c r="E2817" s="4" t="s">
        <v>121</v>
      </c>
      <c r="F2817" s="4" t="s">
        <v>54</v>
      </c>
      <c r="G2817" s="4" t="s">
        <v>6508</v>
      </c>
      <c r="H2817" s="4" t="s">
        <v>49</v>
      </c>
      <c r="I2817" s="4" t="s">
        <v>6005</v>
      </c>
      <c r="J2817" s="4" t="s">
        <v>121</v>
      </c>
      <c r="K2817" s="5" t="str">
        <f t="shared" ref="K2817:K2818" si="132">HYPERLINK("https://dms.licdn.com/playlist/vid/v2/D4E10AQGOyPFo4VVnAg/mp4-640p-30fp-crf28/B4EZ398Z5sJ4BI-/0/1778081967815?e=2147483647&amp;v=beta&amp;t=FzUuD4C0bQ8yZU5CmStuCf0dCBi2H2Sj6qyZzw_h8Lk","View Creative")</f>
        <v>View Creative</v>
      </c>
      <c r="L2817" s="4" t="s">
        <v>106</v>
      </c>
      <c r="M2817" s="4" t="s">
        <v>5965</v>
      </c>
      <c r="O2817" s="4" t="s">
        <v>63</v>
      </c>
      <c r="P2817" s="4" t="s">
        <v>64</v>
      </c>
    </row>
    <row r="2818">
      <c r="A2818" s="4" t="s">
        <v>5965</v>
      </c>
      <c r="B2818" s="4" t="s">
        <v>5965</v>
      </c>
      <c r="C2818" s="4">
        <v>1207.0</v>
      </c>
      <c r="D2818" s="5" t="str">
        <f>HYPERLINK("https://www.linkedin.com/ad-library/detail/1407220536","Open Ad")</f>
        <v>Open Ad</v>
      </c>
      <c r="E2818" s="4" t="s">
        <v>121</v>
      </c>
      <c r="F2818" s="4" t="s">
        <v>54</v>
      </c>
      <c r="G2818" s="4" t="s">
        <v>6508</v>
      </c>
      <c r="H2818" s="4" t="s">
        <v>49</v>
      </c>
      <c r="I2818" s="4" t="s">
        <v>6005</v>
      </c>
      <c r="J2818" s="4" t="s">
        <v>121</v>
      </c>
      <c r="K2818" s="5" t="str">
        <f t="shared" si="132"/>
        <v>View Creative</v>
      </c>
      <c r="L2818" s="4" t="s">
        <v>106</v>
      </c>
      <c r="M2818" s="4" t="s">
        <v>5965</v>
      </c>
      <c r="O2818" s="4" t="s">
        <v>63</v>
      </c>
      <c r="P2818" s="4" t="s">
        <v>64</v>
      </c>
    </row>
    <row r="2819">
      <c r="A2819" s="4" t="s">
        <v>5965</v>
      </c>
      <c r="B2819" s="4" t="s">
        <v>5965</v>
      </c>
      <c r="C2819" s="4">
        <v>1208.0</v>
      </c>
      <c r="D2819" s="5" t="str">
        <f>HYPERLINK("https://www.linkedin.com/ad-library/detail/1407054436","Open Ad")</f>
        <v>Open Ad</v>
      </c>
      <c r="E2819" s="4" t="s">
        <v>78</v>
      </c>
      <c r="F2819" s="4" t="s">
        <v>54</v>
      </c>
      <c r="G2819" s="4" t="s">
        <v>6509</v>
      </c>
      <c r="H2819" s="4" t="s">
        <v>49</v>
      </c>
      <c r="I2819" s="4" t="s">
        <v>6005</v>
      </c>
      <c r="J2819" s="4" t="s">
        <v>78</v>
      </c>
      <c r="K2819" s="5" t="str">
        <f t="shared" ref="K2819:K2821" si="133">HYPERLINK("https://media.licdn.com/dms/image/v2/D4E10AQGmtPqCgoagJQ/image-shrink_1280/B4EZ3.X8mDIcAc-/0/1778089184291?e=2147483647&amp;v=beta&amp;t=1l-JvWCbAMB657E-rj2DB5DThdy4JIxWLdw9o-_ECJg","View Creative")</f>
        <v>View Creative</v>
      </c>
      <c r="L2819" s="4" t="s">
        <v>106</v>
      </c>
      <c r="M2819" s="4" t="s">
        <v>5965</v>
      </c>
      <c r="O2819" s="4" t="s">
        <v>63</v>
      </c>
      <c r="P2819" s="4" t="s">
        <v>64</v>
      </c>
    </row>
    <row r="2820">
      <c r="A2820" s="4" t="s">
        <v>5965</v>
      </c>
      <c r="B2820" s="4" t="s">
        <v>5965</v>
      </c>
      <c r="C2820" s="4">
        <v>1209.0</v>
      </c>
      <c r="D2820" s="5" t="str">
        <f>HYPERLINK("https://www.linkedin.com/ad-library/detail/1407220636","Open Ad")</f>
        <v>Open Ad</v>
      </c>
      <c r="E2820" s="4" t="s">
        <v>78</v>
      </c>
      <c r="F2820" s="4" t="s">
        <v>54</v>
      </c>
      <c r="G2820" s="4" t="s">
        <v>6509</v>
      </c>
      <c r="H2820" s="4" t="s">
        <v>49</v>
      </c>
      <c r="I2820" s="4" t="s">
        <v>6005</v>
      </c>
      <c r="J2820" s="4" t="s">
        <v>78</v>
      </c>
      <c r="K2820" s="5" t="str">
        <f t="shared" si="133"/>
        <v>View Creative</v>
      </c>
      <c r="L2820" s="4" t="s">
        <v>106</v>
      </c>
      <c r="M2820" s="4" t="s">
        <v>5965</v>
      </c>
      <c r="O2820" s="4" t="s">
        <v>63</v>
      </c>
      <c r="P2820" s="4" t="s">
        <v>64</v>
      </c>
    </row>
    <row r="2821">
      <c r="A2821" s="4" t="s">
        <v>5965</v>
      </c>
      <c r="B2821" s="4" t="s">
        <v>5965</v>
      </c>
      <c r="C2821" s="4">
        <v>1210.0</v>
      </c>
      <c r="D2821" s="5" t="str">
        <f>HYPERLINK("https://www.linkedin.com/ad-library/detail/1407091766","Open Ad")</f>
        <v>Open Ad</v>
      </c>
      <c r="E2821" s="4" t="s">
        <v>78</v>
      </c>
      <c r="F2821" s="4" t="s">
        <v>54</v>
      </c>
      <c r="G2821" s="4" t="s">
        <v>6509</v>
      </c>
      <c r="H2821" s="4" t="s">
        <v>49</v>
      </c>
      <c r="I2821" s="4" t="s">
        <v>6005</v>
      </c>
      <c r="J2821" s="4" t="s">
        <v>78</v>
      </c>
      <c r="K2821" s="5" t="str">
        <f t="shared" si="133"/>
        <v>View Creative</v>
      </c>
      <c r="L2821" s="4" t="s">
        <v>106</v>
      </c>
      <c r="M2821" s="4" t="s">
        <v>5965</v>
      </c>
      <c r="O2821" s="4" t="s">
        <v>63</v>
      </c>
      <c r="P2821" s="4" t="s">
        <v>64</v>
      </c>
    </row>
    <row r="2822">
      <c r="A2822" s="4" t="s">
        <v>5965</v>
      </c>
      <c r="B2822" s="4" t="s">
        <v>5965</v>
      </c>
      <c r="C2822" s="4">
        <v>1211.0</v>
      </c>
      <c r="D2822" s="5" t="str">
        <f>HYPERLINK("https://www.linkedin.com/ad-library/detail/1407210546","Open Ad")</f>
        <v>Open Ad</v>
      </c>
      <c r="E2822" s="4" t="s">
        <v>121</v>
      </c>
      <c r="F2822" s="4" t="s">
        <v>54</v>
      </c>
      <c r="G2822" s="4" t="s">
        <v>6486</v>
      </c>
      <c r="H2822" s="4" t="s">
        <v>49</v>
      </c>
      <c r="I2822" s="4" t="s">
        <v>6005</v>
      </c>
      <c r="J2822" s="4" t="s">
        <v>121</v>
      </c>
      <c r="K2822" s="5" t="str">
        <f>HYPERLINK("https://dms.licdn.com/playlist/vid/v2/D4E10AQHaVnlTZWO5lQ/mp4-640p-30fp-crf28/B4EZ4EDxT1IABE-/0/1778184568233?e=2147483647&amp;v=beta&amp;t=jeKB-nUJMbPs44wNiftahuqppmxwQaFreN02VRMJGkw","View Creative")</f>
        <v>View Creative</v>
      </c>
      <c r="L2822" s="4" t="s">
        <v>106</v>
      </c>
      <c r="M2822" s="4" t="s">
        <v>5965</v>
      </c>
      <c r="O2822" s="4" t="s">
        <v>63</v>
      </c>
      <c r="P2822" s="4" t="s">
        <v>64</v>
      </c>
    </row>
    <row r="2823">
      <c r="A2823" s="4" t="s">
        <v>5965</v>
      </c>
      <c r="B2823" s="4" t="s">
        <v>5965</v>
      </c>
      <c r="C2823" s="4">
        <v>1212.0</v>
      </c>
      <c r="D2823" s="5" t="str">
        <f>HYPERLINK("https://www.linkedin.com/ad-library/detail/1407019626","Open Ad")</f>
        <v>Open Ad</v>
      </c>
      <c r="E2823" s="4" t="s">
        <v>121</v>
      </c>
      <c r="F2823" s="4" t="s">
        <v>54</v>
      </c>
      <c r="G2823" s="4" t="s">
        <v>6508</v>
      </c>
      <c r="H2823" s="4" t="s">
        <v>49</v>
      </c>
      <c r="I2823" s="4" t="s">
        <v>6005</v>
      </c>
      <c r="J2823" s="4" t="s">
        <v>121</v>
      </c>
      <c r="K2823" s="5" t="str">
        <f>HYPERLINK("https://dms.licdn.com/playlist/vid/v2/D4E10AQGOyPFo4VVnAg/mp4-640p-30fp-crf28/B4EZ398Z5sJ4BI-/0/1778081967815?e=2147483647&amp;v=beta&amp;t=FzUuD4C0bQ8yZU5CmStuCf0dCBi2H2Sj6qyZzw_h8Lk","View Creative")</f>
        <v>View Creative</v>
      </c>
      <c r="L2823" s="4" t="s">
        <v>106</v>
      </c>
      <c r="M2823" s="4" t="s">
        <v>5965</v>
      </c>
      <c r="O2823" s="4" t="s">
        <v>63</v>
      </c>
      <c r="P2823" s="4" t="s">
        <v>64</v>
      </c>
    </row>
    <row r="2824">
      <c r="A2824" s="4" t="s">
        <v>5965</v>
      </c>
      <c r="B2824" s="4" t="s">
        <v>5965</v>
      </c>
      <c r="C2824" s="4">
        <v>1213.0</v>
      </c>
      <c r="D2824" s="5" t="str">
        <f>HYPERLINK("https://www.linkedin.com/ad-library/detail/1407019636","Open Ad")</f>
        <v>Open Ad</v>
      </c>
      <c r="E2824" s="4" t="s">
        <v>121</v>
      </c>
      <c r="F2824" s="4" t="s">
        <v>54</v>
      </c>
      <c r="G2824" s="4" t="s">
        <v>6486</v>
      </c>
      <c r="H2824" s="4" t="s">
        <v>49</v>
      </c>
      <c r="I2824" s="4" t="s">
        <v>6005</v>
      </c>
      <c r="J2824" s="4" t="s">
        <v>121</v>
      </c>
      <c r="K2824" s="5" t="str">
        <f>HYPERLINK("https://dms.licdn.com/playlist/vid/v2/D4E10AQHaVnlTZWO5lQ/mp4-640p-30fp-crf28/B4EZ4EDxT1IABE-/0/1778184568233?e=2147483647&amp;v=beta&amp;t=jeKB-nUJMbPs44wNiftahuqppmxwQaFreN02VRMJGkw","View Creative")</f>
        <v>View Creative</v>
      </c>
      <c r="L2824" s="4" t="s">
        <v>106</v>
      </c>
      <c r="M2824" s="4" t="s">
        <v>5965</v>
      </c>
      <c r="O2824" s="4" t="s">
        <v>63</v>
      </c>
      <c r="P2824" s="4" t="s">
        <v>64</v>
      </c>
    </row>
    <row r="2825">
      <c r="A2825" s="4" t="s">
        <v>5965</v>
      </c>
      <c r="B2825" s="4" t="s">
        <v>5965</v>
      </c>
      <c r="C2825" s="4">
        <v>1214.0</v>
      </c>
      <c r="D2825" s="5" t="str">
        <f>HYPERLINK("https://www.linkedin.com/ad-library/detail/1407239956","Open Ad")</f>
        <v>Open Ad</v>
      </c>
      <c r="E2825" s="4" t="s">
        <v>78</v>
      </c>
      <c r="F2825" s="4" t="s">
        <v>54</v>
      </c>
      <c r="G2825" s="4" t="s">
        <v>6496</v>
      </c>
      <c r="H2825" s="4" t="s">
        <v>49</v>
      </c>
      <c r="I2825" s="4" t="s">
        <v>6005</v>
      </c>
      <c r="J2825" s="4" t="s">
        <v>78</v>
      </c>
      <c r="K2825" s="5" t="str">
        <f>HYPERLINK("https://media.licdn.com/dms/image/v2/D4E10AQFu8KZz_7vc0g/image-shrink_1280/B4EZ4EWOD4JsAc-/0/1778189395117?e=2147483647&amp;v=beta&amp;t=MFHh8ZziJJ66eADx3_Yp_sCjThDVa31duNVTpQCBmRg","View Creative")</f>
        <v>View Creative</v>
      </c>
      <c r="L2825" s="4" t="s">
        <v>106</v>
      </c>
      <c r="M2825" s="4" t="s">
        <v>5965</v>
      </c>
      <c r="O2825" s="4" t="s">
        <v>63</v>
      </c>
      <c r="P2825" s="4" t="s">
        <v>64</v>
      </c>
    </row>
    <row r="2826">
      <c r="A2826" s="4" t="s">
        <v>5965</v>
      </c>
      <c r="B2826" s="4" t="s">
        <v>5965</v>
      </c>
      <c r="C2826" s="4">
        <v>1215.0</v>
      </c>
      <c r="D2826" s="5" t="str">
        <f>HYPERLINK("https://www.linkedin.com/ad-library/detail/1407150966","Open Ad")</f>
        <v>Open Ad</v>
      </c>
      <c r="E2826" s="4" t="s">
        <v>121</v>
      </c>
      <c r="F2826" s="4" t="s">
        <v>54</v>
      </c>
      <c r="G2826" s="4" t="s">
        <v>6486</v>
      </c>
      <c r="H2826" s="4" t="s">
        <v>49</v>
      </c>
      <c r="I2826" s="4" t="s">
        <v>6005</v>
      </c>
      <c r="J2826" s="4" t="s">
        <v>121</v>
      </c>
      <c r="K2826" s="5" t="str">
        <f>HYPERLINK("https://dms.licdn.com/playlist/vid/v2/D4E10AQHaVnlTZWO5lQ/mp4-640p-30fp-crf28/B4EZ4EDxT1IABE-/0/1778184568233?e=2147483647&amp;v=beta&amp;t=jeKB-nUJMbPs44wNiftahuqppmxwQaFreN02VRMJGkw","View Creative")</f>
        <v>View Creative</v>
      </c>
      <c r="L2826" s="4" t="s">
        <v>106</v>
      </c>
      <c r="M2826" s="4" t="s">
        <v>5965</v>
      </c>
      <c r="O2826" s="4" t="s">
        <v>63</v>
      </c>
      <c r="P2826" s="4" t="s">
        <v>64</v>
      </c>
    </row>
    <row r="2827">
      <c r="A2827" s="4" t="s">
        <v>5965</v>
      </c>
      <c r="B2827" s="4" t="s">
        <v>5965</v>
      </c>
      <c r="C2827" s="4">
        <v>1216.0</v>
      </c>
      <c r="D2827" s="5" t="str">
        <f>HYPERLINK("https://www.linkedin.com/ad-library/detail/1407210586","Open Ad")</f>
        <v>Open Ad</v>
      </c>
      <c r="E2827" s="4" t="s">
        <v>78</v>
      </c>
      <c r="F2827" s="4" t="s">
        <v>54</v>
      </c>
      <c r="G2827" s="4" t="s">
        <v>6496</v>
      </c>
      <c r="H2827" s="4" t="s">
        <v>49</v>
      </c>
      <c r="I2827" s="4" t="s">
        <v>6005</v>
      </c>
      <c r="J2827" s="4" t="s">
        <v>78</v>
      </c>
      <c r="K2827" s="5" t="str">
        <f t="shared" ref="K2827:K2829" si="134">HYPERLINK("https://media.licdn.com/dms/image/v2/D4E10AQFu8KZz_7vc0g/image-shrink_1280/B4EZ4EWOD4JsAc-/0/1778189395117?e=2147483647&amp;v=beta&amp;t=MFHh8ZziJJ66eADx3_Yp_sCjThDVa31duNVTpQCBmRg","View Creative")</f>
        <v>View Creative</v>
      </c>
      <c r="L2827" s="4" t="s">
        <v>106</v>
      </c>
      <c r="M2827" s="4" t="s">
        <v>5965</v>
      </c>
      <c r="O2827" s="4" t="s">
        <v>63</v>
      </c>
      <c r="P2827" s="4" t="s">
        <v>64</v>
      </c>
    </row>
    <row r="2828">
      <c r="A2828" s="4" t="s">
        <v>5965</v>
      </c>
      <c r="B2828" s="4" t="s">
        <v>5965</v>
      </c>
      <c r="C2828" s="4">
        <v>1217.0</v>
      </c>
      <c r="D2828" s="5" t="str">
        <f>HYPERLINK("https://www.linkedin.com/ad-library/detail/1407131416","Open Ad")</f>
        <v>Open Ad</v>
      </c>
      <c r="E2828" s="4" t="s">
        <v>78</v>
      </c>
      <c r="F2828" s="4" t="s">
        <v>54</v>
      </c>
      <c r="G2828" s="4" t="s">
        <v>6496</v>
      </c>
      <c r="H2828" s="4" t="s">
        <v>49</v>
      </c>
      <c r="I2828" s="4" t="s">
        <v>6394</v>
      </c>
      <c r="J2828" s="4" t="s">
        <v>78</v>
      </c>
      <c r="K2828" s="5" t="str">
        <f t="shared" si="134"/>
        <v>View Creative</v>
      </c>
      <c r="L2828" s="4" t="s">
        <v>106</v>
      </c>
      <c r="M2828" s="4" t="s">
        <v>5965</v>
      </c>
      <c r="O2828" s="4" t="s">
        <v>74</v>
      </c>
      <c r="P2828" s="4" t="s">
        <v>6510</v>
      </c>
    </row>
    <row r="2829">
      <c r="A2829" s="4" t="s">
        <v>5965</v>
      </c>
      <c r="B2829" s="4" t="s">
        <v>5965</v>
      </c>
      <c r="C2829" s="4">
        <v>1218.0</v>
      </c>
      <c r="D2829" s="5" t="str">
        <f>HYPERLINK("https://www.linkedin.com/ad-library/detail/1407101256","Open Ad")</f>
        <v>Open Ad</v>
      </c>
      <c r="E2829" s="4" t="s">
        <v>78</v>
      </c>
      <c r="F2829" s="4" t="s">
        <v>54</v>
      </c>
      <c r="G2829" s="4" t="s">
        <v>6496</v>
      </c>
      <c r="H2829" s="4" t="s">
        <v>49</v>
      </c>
      <c r="I2829" s="4" t="s">
        <v>6005</v>
      </c>
      <c r="J2829" s="4" t="s">
        <v>78</v>
      </c>
      <c r="K2829" s="5" t="str">
        <f t="shared" si="134"/>
        <v>View Creative</v>
      </c>
      <c r="L2829" s="4" t="s">
        <v>106</v>
      </c>
      <c r="M2829" s="4" t="s">
        <v>5965</v>
      </c>
      <c r="O2829" s="4" t="s">
        <v>63</v>
      </c>
      <c r="P2829" s="4" t="s">
        <v>64</v>
      </c>
    </row>
    <row r="2830">
      <c r="A2830" s="4" t="s">
        <v>5965</v>
      </c>
      <c r="B2830" s="4" t="s">
        <v>5965</v>
      </c>
      <c r="C2830" s="4">
        <v>1219.0</v>
      </c>
      <c r="D2830" s="5" t="str">
        <f>HYPERLINK("https://www.linkedin.com/ad-library/detail/1407743156","Open Ad")</f>
        <v>Open Ad</v>
      </c>
      <c r="E2830" s="4" t="s">
        <v>5970</v>
      </c>
      <c r="F2830" s="4" t="s">
        <v>54</v>
      </c>
      <c r="G2830" s="4" t="s">
        <v>6504</v>
      </c>
      <c r="H2830" s="4" t="s">
        <v>49</v>
      </c>
      <c r="I2830" s="4" t="s">
        <v>6005</v>
      </c>
      <c r="J2830" s="4" t="s">
        <v>5973</v>
      </c>
      <c r="K2830" s="4" t="s">
        <v>59</v>
      </c>
      <c r="L2830" s="4" t="s">
        <v>106</v>
      </c>
      <c r="M2830" s="4" t="s">
        <v>5965</v>
      </c>
      <c r="O2830" s="4" t="s">
        <v>63</v>
      </c>
      <c r="P2830" s="4" t="s">
        <v>64</v>
      </c>
    </row>
    <row r="2831">
      <c r="A2831" s="4" t="s">
        <v>5965</v>
      </c>
      <c r="B2831" s="4" t="s">
        <v>5965</v>
      </c>
      <c r="C2831" s="4">
        <v>1220.0</v>
      </c>
      <c r="D2831" s="5" t="str">
        <f>HYPERLINK("https://www.linkedin.com/ad-library/detail/1407064296","Open Ad")</f>
        <v>Open Ad</v>
      </c>
      <c r="E2831" s="4" t="s">
        <v>121</v>
      </c>
      <c r="F2831" s="4" t="s">
        <v>54</v>
      </c>
      <c r="G2831" s="4" t="s">
        <v>6508</v>
      </c>
      <c r="H2831" s="4" t="s">
        <v>49</v>
      </c>
      <c r="I2831" s="4" t="s">
        <v>6005</v>
      </c>
      <c r="J2831" s="4" t="s">
        <v>121</v>
      </c>
      <c r="K2831" s="5" t="str">
        <f>HYPERLINK("https://dms.licdn.com/playlist/vid/v2/D4E10AQGOyPFo4VVnAg/mp4-640p-30fp-crf28/B4EZ398Z5sJ4BI-/0/1778081967815?e=2147483647&amp;v=beta&amp;t=FzUuD4C0bQ8yZU5CmStuCf0dCBi2H2Sj6qyZzw_h8Lk","View Creative")</f>
        <v>View Creative</v>
      </c>
      <c r="L2831" s="4" t="s">
        <v>106</v>
      </c>
      <c r="M2831" s="4" t="s">
        <v>5965</v>
      </c>
      <c r="O2831" s="4" t="s">
        <v>63</v>
      </c>
      <c r="P2831" s="4" t="s">
        <v>64</v>
      </c>
    </row>
    <row r="2832">
      <c r="A2832" s="4" t="s">
        <v>5965</v>
      </c>
      <c r="B2832" s="4" t="s">
        <v>5965</v>
      </c>
      <c r="C2832" s="4">
        <v>1221.0</v>
      </c>
      <c r="D2832" s="5" t="str">
        <f>HYPERLINK("https://www.linkedin.com/ad-library/detail/1407082386","Open Ad")</f>
        <v>Open Ad</v>
      </c>
      <c r="E2832" s="4" t="s">
        <v>78</v>
      </c>
      <c r="F2832" s="4" t="s">
        <v>54</v>
      </c>
      <c r="G2832" s="4" t="s">
        <v>6509</v>
      </c>
      <c r="H2832" s="4" t="s">
        <v>49</v>
      </c>
      <c r="I2832" s="4" t="s">
        <v>6005</v>
      </c>
      <c r="J2832" s="4" t="s">
        <v>78</v>
      </c>
      <c r="K2832" s="5" t="str">
        <f>HYPERLINK("https://media.licdn.com/dms/image/v2/D4E10AQGmtPqCgoagJQ/image-shrink_1280/B4EZ3.X8mDIcAc-/0/1778089184291?e=2147483647&amp;v=beta&amp;t=1l-JvWCbAMB657E-rj2DB5DThdy4JIxWLdw9o-_ECJg","View Creative")</f>
        <v>View Creative</v>
      </c>
      <c r="L2832" s="4" t="s">
        <v>106</v>
      </c>
      <c r="M2832" s="4" t="s">
        <v>5965</v>
      </c>
      <c r="O2832" s="4" t="s">
        <v>63</v>
      </c>
      <c r="P2832" s="4" t="s">
        <v>64</v>
      </c>
    </row>
    <row r="2833">
      <c r="A2833" s="4" t="s">
        <v>5965</v>
      </c>
      <c r="B2833" s="4" t="s">
        <v>5965</v>
      </c>
      <c r="C2833" s="4">
        <v>1222.0</v>
      </c>
      <c r="D2833" s="5" t="str">
        <f>HYPERLINK("https://www.linkedin.com/ad-library/detail/1407131346","Open Ad")</f>
        <v>Open Ad</v>
      </c>
      <c r="E2833" s="4" t="s">
        <v>121</v>
      </c>
      <c r="F2833" s="4" t="s">
        <v>54</v>
      </c>
      <c r="G2833" s="4" t="s">
        <v>6486</v>
      </c>
      <c r="H2833" s="4" t="s">
        <v>49</v>
      </c>
      <c r="I2833" s="4" t="s">
        <v>6005</v>
      </c>
      <c r="J2833" s="4" t="s">
        <v>121</v>
      </c>
      <c r="K2833" s="5" t="str">
        <f>HYPERLINK("https://dms.licdn.com/playlist/vid/v2/D4E10AQHaVnlTZWO5lQ/mp4-640p-30fp-crf28/B4EZ4EDxT1IABE-/0/1778184568233?e=2147483647&amp;v=beta&amp;t=jeKB-nUJMbPs44wNiftahuqppmxwQaFreN02VRMJGkw","View Creative")</f>
        <v>View Creative</v>
      </c>
      <c r="L2833" s="4" t="s">
        <v>106</v>
      </c>
      <c r="M2833" s="4" t="s">
        <v>5965</v>
      </c>
      <c r="O2833" s="4" t="s">
        <v>63</v>
      </c>
      <c r="P2833" s="4" t="s">
        <v>64</v>
      </c>
    </row>
    <row r="2834">
      <c r="A2834" s="4" t="s">
        <v>5965</v>
      </c>
      <c r="B2834" s="4" t="s">
        <v>5965</v>
      </c>
      <c r="C2834" s="4">
        <v>1223.0</v>
      </c>
      <c r="D2834" s="5" t="str">
        <f>HYPERLINK("https://www.linkedin.com/ad-library/detail/1407029856","Open Ad")</f>
        <v>Open Ad</v>
      </c>
      <c r="E2834" s="4" t="s">
        <v>78</v>
      </c>
      <c r="F2834" s="4" t="s">
        <v>54</v>
      </c>
      <c r="G2834" s="4" t="s">
        <v>6509</v>
      </c>
      <c r="H2834" s="4" t="s">
        <v>49</v>
      </c>
      <c r="I2834" s="4" t="s">
        <v>6005</v>
      </c>
      <c r="J2834" s="4" t="s">
        <v>78</v>
      </c>
      <c r="K2834" s="5" t="str">
        <f t="shared" ref="K2834:K2835" si="135">HYPERLINK("https://media.licdn.com/dms/image/v2/D4E10AQGmtPqCgoagJQ/image-shrink_1280/B4EZ3.X8mDIcAc-/0/1778089184291?e=2147483647&amp;v=beta&amp;t=1l-JvWCbAMB657E-rj2DB5DThdy4JIxWLdw9o-_ECJg","View Creative")</f>
        <v>View Creative</v>
      </c>
      <c r="L2834" s="4" t="s">
        <v>106</v>
      </c>
      <c r="M2834" s="4" t="s">
        <v>5965</v>
      </c>
      <c r="O2834" s="4" t="s">
        <v>63</v>
      </c>
      <c r="P2834" s="4" t="s">
        <v>64</v>
      </c>
    </row>
    <row r="2835">
      <c r="A2835" s="4" t="s">
        <v>5965</v>
      </c>
      <c r="B2835" s="4" t="s">
        <v>5965</v>
      </c>
      <c r="C2835" s="4">
        <v>1224.0</v>
      </c>
      <c r="D2835" s="5" t="str">
        <f>HYPERLINK("https://www.linkedin.com/ad-library/detail/1407190566","Open Ad")</f>
        <v>Open Ad</v>
      </c>
      <c r="E2835" s="4" t="s">
        <v>78</v>
      </c>
      <c r="F2835" s="4" t="s">
        <v>54</v>
      </c>
      <c r="G2835" s="4" t="s">
        <v>6509</v>
      </c>
      <c r="H2835" s="4" t="s">
        <v>49</v>
      </c>
      <c r="I2835" s="4" t="s">
        <v>6005</v>
      </c>
      <c r="J2835" s="4" t="s">
        <v>78</v>
      </c>
      <c r="K2835" s="5" t="str">
        <f t="shared" si="135"/>
        <v>View Creative</v>
      </c>
      <c r="L2835" s="4" t="s">
        <v>106</v>
      </c>
      <c r="M2835" s="4" t="s">
        <v>5965</v>
      </c>
      <c r="O2835" s="4" t="s">
        <v>63</v>
      </c>
      <c r="P2835" s="4" t="s">
        <v>64</v>
      </c>
    </row>
    <row r="2836">
      <c r="A2836" s="4" t="s">
        <v>5965</v>
      </c>
      <c r="B2836" s="4" t="s">
        <v>5965</v>
      </c>
      <c r="C2836" s="4">
        <v>1225.0</v>
      </c>
      <c r="D2836" s="5" t="str">
        <f>HYPERLINK("https://www.linkedin.com/ad-library/detail/1404505046","Open Ad")</f>
        <v>Open Ad</v>
      </c>
      <c r="E2836" s="4" t="s">
        <v>121</v>
      </c>
      <c r="F2836" s="4" t="s">
        <v>54</v>
      </c>
      <c r="G2836" s="4" t="s">
        <v>6497</v>
      </c>
      <c r="H2836" s="4" t="s">
        <v>49</v>
      </c>
      <c r="I2836" s="4" t="s">
        <v>6005</v>
      </c>
      <c r="J2836" s="4" t="s">
        <v>121</v>
      </c>
      <c r="K2836" s="5" t="str">
        <f>HYPERLINK("https://dms.licdn.com/playlist/vid/v2/D4E10AQHUrI2j9Xlm-g/mp4-360p-30fp-crf28/B4EZ3gCy9GHUBc-/0/1777580327951?e=2147483647&amp;v=beta&amp;t=o0Yf6I3v44oAb3XWlcouRtGT8_n1n1Q3iyFdqJ3i4ew","View Creative")</f>
        <v>View Creative</v>
      </c>
      <c r="L2836" s="4" t="s">
        <v>106</v>
      </c>
      <c r="M2836" s="4" t="s">
        <v>5965</v>
      </c>
      <c r="O2836" s="4" t="s">
        <v>63</v>
      </c>
      <c r="P2836" s="4" t="s">
        <v>64</v>
      </c>
    </row>
    <row r="2837">
      <c r="A2837" s="4" t="s">
        <v>5965</v>
      </c>
      <c r="B2837" s="4" t="s">
        <v>5965</v>
      </c>
      <c r="C2837" s="4">
        <v>1226.0</v>
      </c>
      <c r="D2837" s="5" t="str">
        <f>HYPERLINK("https://www.linkedin.com/ad-library/detail/1405722746","Open Ad")</f>
        <v>Open Ad</v>
      </c>
      <c r="E2837" s="4" t="s">
        <v>121</v>
      </c>
      <c r="F2837" s="4" t="s">
        <v>54</v>
      </c>
      <c r="G2837" s="4" t="s">
        <v>6492</v>
      </c>
      <c r="H2837" s="4" t="s">
        <v>49</v>
      </c>
      <c r="I2837" s="4" t="s">
        <v>6005</v>
      </c>
      <c r="J2837" s="4" t="s">
        <v>121</v>
      </c>
      <c r="K2837" s="5" t="str">
        <f>HYPERLINK("https://dms.licdn.com/playlist/vid/v2/D4E10AQG2UpRhHOuMCw/mp4-360p-30fp-crf28/B4EZ3gFVQtKQBc-/0/1777580992778?e=2147483647&amp;v=beta&amp;t=f4WJja1TUP7dpfZlQSH5mijwN80xWRScl9vgdNUiVYY","View Creative")</f>
        <v>View Creative</v>
      </c>
      <c r="L2837" s="4" t="s">
        <v>106</v>
      </c>
      <c r="M2837" s="4" t="s">
        <v>5965</v>
      </c>
      <c r="O2837" s="4" t="s">
        <v>63</v>
      </c>
      <c r="P2837" s="4" t="s">
        <v>64</v>
      </c>
    </row>
    <row r="2838">
      <c r="A2838" s="4" t="s">
        <v>5965</v>
      </c>
      <c r="B2838" s="4" t="s">
        <v>5965</v>
      </c>
      <c r="C2838" s="4">
        <v>1227.0</v>
      </c>
      <c r="D2838" s="5" t="str">
        <f>HYPERLINK("https://www.linkedin.com/ad-library/detail/1404611196","Open Ad")</f>
        <v>Open Ad</v>
      </c>
      <c r="E2838" s="4" t="s">
        <v>78</v>
      </c>
      <c r="F2838" s="4" t="s">
        <v>54</v>
      </c>
      <c r="G2838" s="4" t="s">
        <v>6115</v>
      </c>
      <c r="H2838" s="4" t="s">
        <v>49</v>
      </c>
      <c r="I2838" s="4" t="s">
        <v>6005</v>
      </c>
      <c r="J2838" s="4" t="s">
        <v>78</v>
      </c>
      <c r="K2838" s="5" t="str">
        <f>HYPERLINK("https://media.licdn.com/dms/image/v2/D5610AQHboNfHfdoMGg/image-shrink_1280/B56Z39lJVLH4Ag-/0/1778075866691/Ad13png?e=2147483647&amp;v=beta&amp;t=w47eH2aNcVt5nGxpOUSqt9WGlOcn-OqTBTg2vMGSkLA","View Creative")</f>
        <v>View Creative</v>
      </c>
      <c r="L2838" s="4" t="s">
        <v>106</v>
      </c>
      <c r="M2838" s="4" t="s">
        <v>5965</v>
      </c>
      <c r="O2838" s="4" t="s">
        <v>63</v>
      </c>
      <c r="P2838" s="4" t="s">
        <v>64</v>
      </c>
    </row>
    <row r="2839">
      <c r="A2839" s="4" t="s">
        <v>5965</v>
      </c>
      <c r="B2839" s="4" t="s">
        <v>5965</v>
      </c>
      <c r="C2839" s="4">
        <v>1228.0</v>
      </c>
      <c r="D2839" s="5" t="str">
        <f>HYPERLINK("https://www.linkedin.com/ad-library/detail/1404641116","Open Ad")</f>
        <v>Open Ad</v>
      </c>
      <c r="E2839" s="4" t="s">
        <v>78</v>
      </c>
      <c r="F2839" s="4" t="s">
        <v>54</v>
      </c>
      <c r="G2839" s="4" t="s">
        <v>6115</v>
      </c>
      <c r="H2839" s="4" t="s">
        <v>49</v>
      </c>
      <c r="I2839" s="4" t="s">
        <v>6005</v>
      </c>
      <c r="J2839" s="4" t="s">
        <v>78</v>
      </c>
      <c r="K2839" s="5" t="str">
        <f>HYPERLINK("https://media.licdn.com/dms/image/v2/D5610AQFwlPh9OuqQ4A/image-shrink_1280/B56Z39k5SxIkAc-/0/1778075801026/Ad10png?e=2147483647&amp;v=beta&amp;t=LZdF-LfuEKTiB836HBLNFhI94910PU_-tRMjp3lZxJE","View Creative")</f>
        <v>View Creative</v>
      </c>
      <c r="L2839" s="4" t="s">
        <v>106</v>
      </c>
      <c r="M2839" s="4" t="s">
        <v>5965</v>
      </c>
      <c r="O2839" s="4" t="s">
        <v>63</v>
      </c>
      <c r="P2839" s="4" t="s">
        <v>64</v>
      </c>
    </row>
    <row r="2840">
      <c r="A2840" s="4" t="s">
        <v>5965</v>
      </c>
      <c r="B2840" s="4" t="s">
        <v>5965</v>
      </c>
      <c r="C2840" s="4">
        <v>1229.0</v>
      </c>
      <c r="D2840" s="5" t="str">
        <f>HYPERLINK("https://www.linkedin.com/ad-library/detail/1404449516","Open Ad")</f>
        <v>Open Ad</v>
      </c>
      <c r="E2840" s="4" t="s">
        <v>121</v>
      </c>
      <c r="F2840" s="4" t="s">
        <v>54</v>
      </c>
      <c r="G2840" s="4" t="s">
        <v>6511</v>
      </c>
      <c r="H2840" s="4" t="s">
        <v>49</v>
      </c>
      <c r="I2840" s="4" t="s">
        <v>6005</v>
      </c>
      <c r="J2840" s="4" t="s">
        <v>121</v>
      </c>
      <c r="K2840" s="5" t="str">
        <f>HYPERLINK("https://dms.licdn.com/playlist/vid/v2/D4E10AQGqT5ObIDsu_A/mp4-720p-30fp-crf28/B4EZ30vMt_HcBg-/0/1777927509646?e=2147483647&amp;v=beta&amp;t=AicGyHarUA5eqvn5i0I4Q_OqcmPpnxzosPn7VGu4IAs","View Creative")</f>
        <v>View Creative</v>
      </c>
      <c r="L2840" s="4" t="s">
        <v>106</v>
      </c>
      <c r="M2840" s="4" t="s">
        <v>5965</v>
      </c>
      <c r="O2840" s="4" t="s">
        <v>63</v>
      </c>
      <c r="P2840" s="4" t="s">
        <v>64</v>
      </c>
    </row>
    <row r="2841">
      <c r="A2841" s="4" t="s">
        <v>5965</v>
      </c>
      <c r="B2841" s="4" t="s">
        <v>5965</v>
      </c>
      <c r="C2841" s="4">
        <v>1230.0</v>
      </c>
      <c r="D2841" s="5" t="str">
        <f>HYPERLINK("https://www.linkedin.com/ad-library/detail/1404660066","Open Ad")</f>
        <v>Open Ad</v>
      </c>
      <c r="E2841" s="4" t="s">
        <v>121</v>
      </c>
      <c r="F2841" s="4" t="s">
        <v>54</v>
      </c>
      <c r="G2841" s="4" t="s">
        <v>6512</v>
      </c>
      <c r="H2841" s="4" t="s">
        <v>49</v>
      </c>
      <c r="I2841" s="4" t="s">
        <v>6005</v>
      </c>
      <c r="J2841" s="4" t="s">
        <v>121</v>
      </c>
      <c r="K2841" s="5" t="str">
        <f>HYPERLINK("https://dms.licdn.com/playlist/vid/v2/D4E05AQGl0lURo3DPDg/mp4-720p-30fp-crf28/B4EZ3ktxRxIgCA-/0/1777658724211?e=2147483647&amp;v=beta&amp;t=d1gj5X5Pl0qnerbgsPRO7UPwUmTzBcevaeMgwbXvvfE","View Creative")</f>
        <v>View Creative</v>
      </c>
      <c r="L2841" s="4" t="s">
        <v>106</v>
      </c>
      <c r="M2841" s="4" t="s">
        <v>5965</v>
      </c>
      <c r="O2841" s="4" t="s">
        <v>63</v>
      </c>
      <c r="P2841" s="4" t="s">
        <v>64</v>
      </c>
    </row>
    <row r="2842">
      <c r="A2842" s="4" t="s">
        <v>5965</v>
      </c>
      <c r="B2842" s="4" t="s">
        <v>5965</v>
      </c>
      <c r="C2842" s="4">
        <v>1231.0</v>
      </c>
      <c r="D2842" s="5" t="str">
        <f>HYPERLINK("https://www.linkedin.com/ad-library/detail/1404640666","Open Ad")</f>
        <v>Open Ad</v>
      </c>
      <c r="E2842" s="4" t="s">
        <v>78</v>
      </c>
      <c r="F2842" s="4" t="s">
        <v>54</v>
      </c>
      <c r="G2842" s="4" t="s">
        <v>6513</v>
      </c>
      <c r="H2842" s="4" t="s">
        <v>49</v>
      </c>
      <c r="I2842" s="4" t="s">
        <v>6005</v>
      </c>
      <c r="J2842" s="4" t="s">
        <v>78</v>
      </c>
      <c r="K2842" s="5" t="str">
        <f>HYPERLINK("https://media.licdn.com/dms/image/v2/D4E22AQHlG462lUp49A/feedshare-image-high-res/B4EZ3qc6x4IMAY-/0/1777754943059?e=2147483647&amp;v=beta&amp;t=3pJwOxLr5VosXkgwd5-CtN4IzO7QpxZpZfM9HluemWs","View Creative")</f>
        <v>View Creative</v>
      </c>
      <c r="L2842" s="4" t="s">
        <v>106</v>
      </c>
      <c r="M2842" s="4" t="s">
        <v>5965</v>
      </c>
      <c r="O2842" s="4" t="s">
        <v>63</v>
      </c>
      <c r="P2842" s="4" t="s">
        <v>64</v>
      </c>
    </row>
    <row r="2843">
      <c r="A2843" s="4" t="s">
        <v>5965</v>
      </c>
      <c r="B2843" s="4" t="s">
        <v>5965</v>
      </c>
      <c r="C2843" s="4">
        <v>1232.0</v>
      </c>
      <c r="D2843" s="5" t="str">
        <f>HYPERLINK("https://www.linkedin.com/ad-library/detail/1405722736","Open Ad")</f>
        <v>Open Ad</v>
      </c>
      <c r="E2843" s="4" t="s">
        <v>121</v>
      </c>
      <c r="F2843" s="4" t="s">
        <v>54</v>
      </c>
      <c r="G2843" s="4" t="s">
        <v>6492</v>
      </c>
      <c r="H2843" s="4" t="s">
        <v>49</v>
      </c>
      <c r="I2843" s="4" t="s">
        <v>6005</v>
      </c>
      <c r="J2843" s="4" t="s">
        <v>121</v>
      </c>
      <c r="K2843" s="5" t="str">
        <f t="shared" ref="K2843:K2844" si="136">HYPERLINK("https://dms.licdn.com/playlist/vid/v2/D4E10AQG2UpRhHOuMCw/mp4-360p-30fp-crf28/B4EZ3gFVQtKQBc-/0/1777580992778?e=2147483647&amp;v=beta&amp;t=f4WJja1TUP7dpfZlQSH5mijwN80xWRScl9vgdNUiVYY","View Creative")</f>
        <v>View Creative</v>
      </c>
      <c r="L2843" s="4" t="s">
        <v>106</v>
      </c>
      <c r="M2843" s="4" t="s">
        <v>5965</v>
      </c>
      <c r="O2843" s="4" t="s">
        <v>63</v>
      </c>
      <c r="P2843" s="4" t="s">
        <v>64</v>
      </c>
    </row>
    <row r="2844">
      <c r="A2844" s="4" t="s">
        <v>5965</v>
      </c>
      <c r="B2844" s="4" t="s">
        <v>5965</v>
      </c>
      <c r="C2844" s="4">
        <v>1233.0</v>
      </c>
      <c r="D2844" s="5" t="str">
        <f>HYPERLINK("https://www.linkedin.com/ad-library/detail/1405682876","Open Ad")</f>
        <v>Open Ad</v>
      </c>
      <c r="E2844" s="4" t="s">
        <v>121</v>
      </c>
      <c r="F2844" s="4" t="s">
        <v>54</v>
      </c>
      <c r="G2844" s="4" t="s">
        <v>6492</v>
      </c>
      <c r="H2844" s="4" t="s">
        <v>49</v>
      </c>
      <c r="I2844" s="4" t="s">
        <v>6005</v>
      </c>
      <c r="J2844" s="4" t="s">
        <v>121</v>
      </c>
      <c r="K2844" s="5" t="str">
        <f t="shared" si="136"/>
        <v>View Creative</v>
      </c>
      <c r="L2844" s="4" t="s">
        <v>106</v>
      </c>
      <c r="M2844" s="4" t="s">
        <v>5965</v>
      </c>
      <c r="O2844" s="4" t="s">
        <v>63</v>
      </c>
      <c r="P2844" s="4" t="s">
        <v>64</v>
      </c>
    </row>
    <row r="2845">
      <c r="A2845" s="4" t="s">
        <v>5965</v>
      </c>
      <c r="B2845" s="4" t="s">
        <v>5965</v>
      </c>
      <c r="C2845" s="4">
        <v>1234.0</v>
      </c>
      <c r="D2845" s="5" t="str">
        <f>HYPERLINK("https://www.linkedin.com/ad-library/detail/1404640826","Open Ad")</f>
        <v>Open Ad</v>
      </c>
      <c r="E2845" s="4" t="s">
        <v>121</v>
      </c>
      <c r="F2845" s="4" t="s">
        <v>54</v>
      </c>
      <c r="G2845" s="4" t="s">
        <v>6497</v>
      </c>
      <c r="H2845" s="4" t="s">
        <v>49</v>
      </c>
      <c r="I2845" s="4" t="s">
        <v>6005</v>
      </c>
      <c r="J2845" s="4" t="s">
        <v>121</v>
      </c>
      <c r="K2845" s="5" t="str">
        <f>HYPERLINK("https://dms.licdn.com/playlist/vid/v2/D4E10AQHUrI2j9Xlm-g/mp4-360p-30fp-crf28/B4EZ3gCy9GHUBc-/0/1777580327951?e=2147483647&amp;v=beta&amp;t=o0Yf6I3v44oAb3XWlcouRtGT8_n1n1Q3iyFdqJ3i4ew","View Creative")</f>
        <v>View Creative</v>
      </c>
      <c r="L2845" s="4" t="s">
        <v>106</v>
      </c>
      <c r="M2845" s="4" t="s">
        <v>5965</v>
      </c>
      <c r="O2845" s="4" t="s">
        <v>63</v>
      </c>
      <c r="P2845" s="4" t="s">
        <v>64</v>
      </c>
    </row>
    <row r="2846">
      <c r="A2846" s="4" t="s">
        <v>5965</v>
      </c>
      <c r="B2846" s="4" t="s">
        <v>5965</v>
      </c>
      <c r="C2846" s="4">
        <v>1235.0</v>
      </c>
      <c r="D2846" s="5" t="str">
        <f>HYPERLINK("https://www.linkedin.com/ad-library/detail/1404640806","Open Ad")</f>
        <v>Open Ad</v>
      </c>
      <c r="E2846" s="4" t="s">
        <v>121</v>
      </c>
      <c r="F2846" s="4" t="s">
        <v>54</v>
      </c>
      <c r="G2846" s="4" t="s">
        <v>6511</v>
      </c>
      <c r="H2846" s="4" t="s">
        <v>49</v>
      </c>
      <c r="I2846" s="4" t="s">
        <v>6005</v>
      </c>
      <c r="J2846" s="4" t="s">
        <v>121</v>
      </c>
      <c r="K2846" s="5" t="str">
        <f t="shared" ref="K2846:K2847" si="137">HYPERLINK("https://dms.licdn.com/playlist/vid/v2/D4E10AQGqT5ObIDsu_A/mp4-720p-30fp-crf28/B4EZ30vMt_HcBg-/0/1777927509646?e=2147483647&amp;v=beta&amp;t=AicGyHarUA5eqvn5i0I4Q_OqcmPpnxzosPn7VGu4IAs","View Creative")</f>
        <v>View Creative</v>
      </c>
      <c r="L2846" s="4" t="s">
        <v>106</v>
      </c>
      <c r="M2846" s="4" t="s">
        <v>5965</v>
      </c>
      <c r="O2846" s="4" t="s">
        <v>63</v>
      </c>
      <c r="P2846" s="4" t="s">
        <v>64</v>
      </c>
    </row>
    <row r="2847">
      <c r="A2847" s="4" t="s">
        <v>5965</v>
      </c>
      <c r="B2847" s="4" t="s">
        <v>5965</v>
      </c>
      <c r="C2847" s="4">
        <v>1236.0</v>
      </c>
      <c r="D2847" s="5" t="str">
        <f>HYPERLINK("https://www.linkedin.com/ad-library/detail/1404542346","Open Ad")</f>
        <v>Open Ad</v>
      </c>
      <c r="E2847" s="4" t="s">
        <v>121</v>
      </c>
      <c r="F2847" s="4" t="s">
        <v>54</v>
      </c>
      <c r="G2847" s="4" t="s">
        <v>6511</v>
      </c>
      <c r="H2847" s="4" t="s">
        <v>49</v>
      </c>
      <c r="I2847" s="4" t="s">
        <v>6005</v>
      </c>
      <c r="J2847" s="4" t="s">
        <v>121</v>
      </c>
      <c r="K2847" s="5" t="str">
        <f t="shared" si="137"/>
        <v>View Creative</v>
      </c>
      <c r="L2847" s="4" t="s">
        <v>106</v>
      </c>
      <c r="M2847" s="4" t="s">
        <v>5965</v>
      </c>
      <c r="O2847" s="4" t="s">
        <v>63</v>
      </c>
      <c r="P2847" s="4" t="s">
        <v>64</v>
      </c>
    </row>
    <row r="2848">
      <c r="A2848" s="4" t="s">
        <v>5965</v>
      </c>
      <c r="B2848" s="4" t="s">
        <v>5965</v>
      </c>
      <c r="C2848" s="4">
        <v>1237.0</v>
      </c>
      <c r="D2848" s="5" t="str">
        <f>HYPERLINK("https://www.linkedin.com/ad-library/detail/1405673056","Open Ad")</f>
        <v>Open Ad</v>
      </c>
      <c r="E2848" s="4" t="s">
        <v>121</v>
      </c>
      <c r="F2848" s="4" t="s">
        <v>54</v>
      </c>
      <c r="G2848" s="4" t="s">
        <v>6492</v>
      </c>
      <c r="H2848" s="4" t="s">
        <v>49</v>
      </c>
      <c r="I2848" s="4" t="s">
        <v>6005</v>
      </c>
      <c r="J2848" s="4" t="s">
        <v>121</v>
      </c>
      <c r="K2848" s="5" t="str">
        <f>HYPERLINK("https://dms.licdn.com/playlist/vid/v2/D4E10AQG2UpRhHOuMCw/mp4-360p-30fp-crf28/B4EZ3gFVQtKQBc-/0/1777580992778?e=2147483647&amp;v=beta&amp;t=f4WJja1TUP7dpfZlQSH5mijwN80xWRScl9vgdNUiVYY","View Creative")</f>
        <v>View Creative</v>
      </c>
      <c r="L2848" s="4" t="s">
        <v>106</v>
      </c>
      <c r="M2848" s="4" t="s">
        <v>5965</v>
      </c>
      <c r="O2848" s="4" t="s">
        <v>63</v>
      </c>
      <c r="P2848" s="4" t="s">
        <v>64</v>
      </c>
    </row>
    <row r="2849">
      <c r="A2849" s="4" t="s">
        <v>5965</v>
      </c>
      <c r="B2849" s="4" t="s">
        <v>5965</v>
      </c>
      <c r="C2849" s="4">
        <v>1238.0</v>
      </c>
      <c r="D2849" s="5" t="str">
        <f>HYPERLINK("https://www.linkedin.com/ad-library/detail/1404670006","Open Ad")</f>
        <v>Open Ad</v>
      </c>
      <c r="E2849" s="4" t="s">
        <v>121</v>
      </c>
      <c r="F2849" s="4" t="s">
        <v>54</v>
      </c>
      <c r="G2849" s="4" t="s">
        <v>6511</v>
      </c>
      <c r="H2849" s="4" t="s">
        <v>49</v>
      </c>
      <c r="I2849" s="4" t="s">
        <v>6005</v>
      </c>
      <c r="J2849" s="4" t="s">
        <v>121</v>
      </c>
      <c r="K2849" s="5" t="str">
        <f>HYPERLINK("https://dms.licdn.com/playlist/vid/v2/D4E10AQGqT5ObIDsu_A/mp4-720p-30fp-crf28/B4EZ30vMt_HcBg-/0/1777927509646?e=2147483647&amp;v=beta&amp;t=AicGyHarUA5eqvn5i0I4Q_OqcmPpnxzosPn7VGu4IAs","View Creative")</f>
        <v>View Creative</v>
      </c>
      <c r="L2849" s="4" t="s">
        <v>106</v>
      </c>
      <c r="M2849" s="4" t="s">
        <v>5965</v>
      </c>
      <c r="O2849" s="4" t="s">
        <v>63</v>
      </c>
      <c r="P2849" s="4" t="s">
        <v>64</v>
      </c>
    </row>
    <row r="2850">
      <c r="A2850" s="4" t="s">
        <v>5965</v>
      </c>
      <c r="B2850" s="4" t="s">
        <v>5965</v>
      </c>
      <c r="C2850" s="4">
        <v>1239.0</v>
      </c>
      <c r="D2850" s="5" t="str">
        <f>HYPERLINK("https://www.linkedin.com/ad-library/detail/1404601356","Open Ad")</f>
        <v>Open Ad</v>
      </c>
      <c r="E2850" s="4" t="s">
        <v>121</v>
      </c>
      <c r="F2850" s="4" t="s">
        <v>54</v>
      </c>
      <c r="G2850" s="4" t="s">
        <v>6497</v>
      </c>
      <c r="H2850" s="4" t="s">
        <v>49</v>
      </c>
      <c r="I2850" s="4" t="s">
        <v>6005</v>
      </c>
      <c r="J2850" s="4" t="s">
        <v>121</v>
      </c>
      <c r="K2850" s="5" t="str">
        <f>HYPERLINK("https://dms.licdn.com/playlist/vid/v2/D4E10AQHUrI2j9Xlm-g/mp4-360p-30fp-crf28/B4EZ3gCy9GHUBc-/0/1777580327951?e=2147483647&amp;v=beta&amp;t=o0Yf6I3v44oAb3XWlcouRtGT8_n1n1Q3iyFdqJ3i4ew","View Creative")</f>
        <v>View Creative</v>
      </c>
      <c r="L2850" s="4" t="s">
        <v>106</v>
      </c>
      <c r="M2850" s="4" t="s">
        <v>5965</v>
      </c>
      <c r="O2850" s="4" t="s">
        <v>63</v>
      </c>
      <c r="P2850" s="4" t="s">
        <v>64</v>
      </c>
    </row>
    <row r="2851">
      <c r="A2851" s="4" t="s">
        <v>5965</v>
      </c>
      <c r="B2851" s="4" t="s">
        <v>5965</v>
      </c>
      <c r="C2851" s="4">
        <v>1240.0</v>
      </c>
      <c r="D2851" s="5" t="str">
        <f>HYPERLINK("https://www.linkedin.com/ad-library/detail/1405712516","Open Ad")</f>
        <v>Open Ad</v>
      </c>
      <c r="E2851" s="4" t="s">
        <v>121</v>
      </c>
      <c r="F2851" s="4" t="s">
        <v>54</v>
      </c>
      <c r="G2851" s="4" t="s">
        <v>6492</v>
      </c>
      <c r="H2851" s="4" t="s">
        <v>49</v>
      </c>
      <c r="I2851" s="4" t="s">
        <v>6005</v>
      </c>
      <c r="J2851" s="4" t="s">
        <v>121</v>
      </c>
      <c r="K2851" s="5" t="str">
        <f>HYPERLINK("https://dms.licdn.com/playlist/vid/v2/D4E10AQG2UpRhHOuMCw/mp4-360p-30fp-crf28/B4EZ3gFVQtKQBc-/0/1777580992778?e=2147483647&amp;v=beta&amp;t=f4WJja1TUP7dpfZlQSH5mijwN80xWRScl9vgdNUiVYY","View Creative")</f>
        <v>View Creative</v>
      </c>
      <c r="L2851" s="4" t="s">
        <v>106</v>
      </c>
      <c r="M2851" s="4" t="s">
        <v>5965</v>
      </c>
      <c r="O2851" s="4" t="s">
        <v>63</v>
      </c>
      <c r="P2851" s="4" t="s">
        <v>64</v>
      </c>
    </row>
    <row r="2852">
      <c r="A2852" s="4" t="s">
        <v>5965</v>
      </c>
      <c r="B2852" s="4" t="s">
        <v>5965</v>
      </c>
      <c r="C2852" s="4">
        <v>1241.0</v>
      </c>
      <c r="D2852" s="5" t="str">
        <f>HYPERLINK("https://www.linkedin.com/ad-library/detail/1404542396","Open Ad")</f>
        <v>Open Ad</v>
      </c>
      <c r="E2852" s="4" t="s">
        <v>121</v>
      </c>
      <c r="F2852" s="4" t="s">
        <v>54</v>
      </c>
      <c r="G2852" s="4" t="s">
        <v>6497</v>
      </c>
      <c r="H2852" s="4" t="s">
        <v>49</v>
      </c>
      <c r="I2852" s="4" t="s">
        <v>6005</v>
      </c>
      <c r="J2852" s="4" t="s">
        <v>121</v>
      </c>
      <c r="K2852" s="5" t="str">
        <f>HYPERLINK("https://dms.licdn.com/playlist/vid/v2/D4E10AQHUrI2j9Xlm-g/mp4-360p-30fp-crf28/B4EZ3gCy9GHUBc-/0/1777580327951?e=2147483647&amp;v=beta&amp;t=o0Yf6I3v44oAb3XWlcouRtGT8_n1n1Q3iyFdqJ3i4ew","View Creative")</f>
        <v>View Creative</v>
      </c>
      <c r="L2852" s="4" t="s">
        <v>106</v>
      </c>
      <c r="M2852" s="4" t="s">
        <v>5965</v>
      </c>
      <c r="O2852" s="4" t="s">
        <v>63</v>
      </c>
      <c r="P2852" s="4" t="s">
        <v>64</v>
      </c>
    </row>
    <row r="2853">
      <c r="A2853" s="4" t="s">
        <v>5965</v>
      </c>
      <c r="B2853" s="4" t="s">
        <v>5965</v>
      </c>
      <c r="C2853" s="4">
        <v>1242.0</v>
      </c>
      <c r="D2853" s="5" t="str">
        <f>HYPERLINK("https://www.linkedin.com/ad-library/detail/1404591686","Open Ad")</f>
        <v>Open Ad</v>
      </c>
      <c r="E2853" s="4" t="s">
        <v>78</v>
      </c>
      <c r="F2853" s="4" t="s">
        <v>54</v>
      </c>
      <c r="G2853" s="4" t="s">
        <v>6513</v>
      </c>
      <c r="H2853" s="4" t="s">
        <v>49</v>
      </c>
      <c r="I2853" s="4" t="s">
        <v>6005</v>
      </c>
      <c r="J2853" s="4" t="s">
        <v>78</v>
      </c>
      <c r="K2853" s="5" t="str">
        <f>HYPERLINK("https://media.licdn.com/dms/image/v2/D4E22AQHlG462lUp49A/feedshare-image-high-res/B4EZ3qc6x4IMAY-/0/1777754943059?e=2147483647&amp;v=beta&amp;t=3pJwOxLr5VosXkgwd5-CtN4IzO7QpxZpZfM9HluemWs","View Creative")</f>
        <v>View Creative</v>
      </c>
      <c r="L2853" s="4" t="s">
        <v>106</v>
      </c>
      <c r="M2853" s="4" t="s">
        <v>5965</v>
      </c>
      <c r="O2853" s="4" t="s">
        <v>63</v>
      </c>
      <c r="P2853" s="4" t="s">
        <v>64</v>
      </c>
    </row>
    <row r="2854">
      <c r="A2854" s="4" t="s">
        <v>5965</v>
      </c>
      <c r="B2854" s="4" t="s">
        <v>5965</v>
      </c>
      <c r="C2854" s="4">
        <v>1243.0</v>
      </c>
      <c r="D2854" s="5" t="str">
        <f>HYPERLINK("https://www.linkedin.com/ad-library/detail/1404680046","Open Ad")</f>
        <v>Open Ad</v>
      </c>
      <c r="E2854" s="4" t="s">
        <v>121</v>
      </c>
      <c r="F2854" s="4" t="s">
        <v>54</v>
      </c>
      <c r="G2854" s="4" t="s">
        <v>6497</v>
      </c>
      <c r="H2854" s="4" t="s">
        <v>49</v>
      </c>
      <c r="I2854" s="4" t="s">
        <v>6005</v>
      </c>
      <c r="J2854" s="4" t="s">
        <v>121</v>
      </c>
      <c r="K2854" s="5" t="str">
        <f>HYPERLINK("https://dms.licdn.com/playlist/vid/v2/D4E10AQHUrI2j9Xlm-g/mp4-360p-30fp-crf28/B4EZ3gCy9GHUBc-/0/1777580327951?e=2147483647&amp;v=beta&amp;t=o0Yf6I3v44oAb3XWlcouRtGT8_n1n1Q3iyFdqJ3i4ew","View Creative")</f>
        <v>View Creative</v>
      </c>
      <c r="L2854" s="4" t="s">
        <v>106</v>
      </c>
      <c r="M2854" s="4" t="s">
        <v>5965</v>
      </c>
      <c r="O2854" s="4" t="s">
        <v>63</v>
      </c>
      <c r="P2854" s="4" t="s">
        <v>64</v>
      </c>
    </row>
    <row r="2855">
      <c r="A2855" s="4" t="s">
        <v>5965</v>
      </c>
      <c r="B2855" s="4" t="s">
        <v>5965</v>
      </c>
      <c r="C2855" s="4">
        <v>1244.0</v>
      </c>
      <c r="D2855" s="5" t="str">
        <f>HYPERLINK("https://www.linkedin.com/ad-library/detail/1404680326","Open Ad")</f>
        <v>Open Ad</v>
      </c>
      <c r="E2855" s="4" t="s">
        <v>78</v>
      </c>
      <c r="F2855" s="4" t="s">
        <v>54</v>
      </c>
      <c r="G2855" s="4" t="s">
        <v>6115</v>
      </c>
      <c r="H2855" s="4" t="s">
        <v>49</v>
      </c>
      <c r="I2855" s="4" t="s">
        <v>6005</v>
      </c>
      <c r="J2855" s="4" t="s">
        <v>78</v>
      </c>
      <c r="K2855" s="5" t="str">
        <f>HYPERLINK("https://media.licdn.com/dms/image/v2/D5610AQHboNfHfdoMGg/image-shrink_1280/B56Z39lJVLH4Ag-/0/1778075866691/Ad13png?e=2147483647&amp;v=beta&amp;t=w47eH2aNcVt5nGxpOUSqt9WGlOcn-OqTBTg2vMGSkLA","View Creative")</f>
        <v>View Creative</v>
      </c>
      <c r="L2855" s="4" t="s">
        <v>106</v>
      </c>
      <c r="M2855" s="4" t="s">
        <v>5965</v>
      </c>
      <c r="O2855" s="4" t="s">
        <v>63</v>
      </c>
      <c r="P2855" s="4" t="s">
        <v>64</v>
      </c>
    </row>
    <row r="2856">
      <c r="A2856" s="4" t="s">
        <v>5965</v>
      </c>
      <c r="B2856" s="4" t="s">
        <v>5965</v>
      </c>
      <c r="C2856" s="4">
        <v>1245.0</v>
      </c>
      <c r="D2856" s="5" t="str">
        <f>HYPERLINK("https://www.linkedin.com/ad-library/detail/1404621296","Open Ad")</f>
        <v>Open Ad</v>
      </c>
      <c r="E2856" s="4" t="s">
        <v>78</v>
      </c>
      <c r="F2856" s="4" t="s">
        <v>54</v>
      </c>
      <c r="G2856" s="4" t="s">
        <v>6115</v>
      </c>
      <c r="H2856" s="4" t="s">
        <v>49</v>
      </c>
      <c r="I2856" s="4" t="s">
        <v>6005</v>
      </c>
      <c r="J2856" s="4" t="s">
        <v>78</v>
      </c>
      <c r="K2856" s="5" t="str">
        <f>HYPERLINK("https://media.licdn.com/dms/image/v2/D5610AQFwlPh9OuqQ4A/image-shrink_1280/B56Z39k5SxIkAc-/0/1778075801026/Ad10png?e=2147483647&amp;v=beta&amp;t=LZdF-LfuEKTiB836HBLNFhI94910PU_-tRMjp3lZxJE","View Creative")</f>
        <v>View Creative</v>
      </c>
      <c r="L2856" s="4" t="s">
        <v>106</v>
      </c>
      <c r="M2856" s="4" t="s">
        <v>5965</v>
      </c>
      <c r="O2856" s="4" t="s">
        <v>63</v>
      </c>
      <c r="P2856" s="4" t="s">
        <v>64</v>
      </c>
    </row>
    <row r="2857">
      <c r="A2857" s="4" t="s">
        <v>5965</v>
      </c>
      <c r="B2857" s="4" t="s">
        <v>5965</v>
      </c>
      <c r="C2857" s="4">
        <v>1246.0</v>
      </c>
      <c r="D2857" s="5" t="str">
        <f>HYPERLINK("https://www.linkedin.com/ad-library/detail/1404532316","Open Ad")</f>
        <v>Open Ad</v>
      </c>
      <c r="E2857" s="4" t="s">
        <v>121</v>
      </c>
      <c r="F2857" s="4" t="s">
        <v>54</v>
      </c>
      <c r="G2857" s="4" t="s">
        <v>6514</v>
      </c>
      <c r="H2857" s="4" t="s">
        <v>49</v>
      </c>
      <c r="I2857" s="4" t="s">
        <v>6005</v>
      </c>
      <c r="J2857" s="4" t="s">
        <v>121</v>
      </c>
      <c r="K2857" s="5" t="str">
        <f>HYPERLINK("https://dms.licdn.com/playlist/vid/v2/D4E10AQGDL0HoA5roFA/mp4-720p-30fp-crf28/B4EZ30bd20JIBo-/0/1777922352228?e=2147483647&amp;v=beta&amp;t=vb3TOsJxHAPUKrsO9BNgPm1nI9TLucXbQlNtgv9d72s","View Creative")</f>
        <v>View Creative</v>
      </c>
      <c r="L2857" s="4" t="s">
        <v>106</v>
      </c>
      <c r="M2857" s="4" t="s">
        <v>5965</v>
      </c>
      <c r="O2857" s="4" t="s">
        <v>63</v>
      </c>
      <c r="P2857" s="4" t="s">
        <v>64</v>
      </c>
    </row>
    <row r="2858">
      <c r="A2858" s="4" t="s">
        <v>5965</v>
      </c>
      <c r="B2858" s="4" t="s">
        <v>5965</v>
      </c>
      <c r="C2858" s="4">
        <v>1247.0</v>
      </c>
      <c r="D2858" s="5" t="str">
        <f>HYPERLINK("https://www.linkedin.com/ad-library/detail/1404660346","Open Ad")</f>
        <v>Open Ad</v>
      </c>
      <c r="E2858" s="4" t="s">
        <v>78</v>
      </c>
      <c r="F2858" s="4" t="s">
        <v>54</v>
      </c>
      <c r="G2858" s="4" t="s">
        <v>6115</v>
      </c>
      <c r="H2858" s="4" t="s">
        <v>49</v>
      </c>
      <c r="I2858" s="4" t="s">
        <v>6005</v>
      </c>
      <c r="J2858" s="4" t="s">
        <v>78</v>
      </c>
      <c r="K2858" s="5" t="str">
        <f>HYPERLINK("https://media.licdn.com/dms/image/v2/D5610AQFwlPh9OuqQ4A/image-shrink_1280/B56Z39k5SxIkAc-/0/1778075801026/Ad10png?e=2147483647&amp;v=beta&amp;t=LZdF-LfuEKTiB836HBLNFhI94910PU_-tRMjp3lZxJE","View Creative")</f>
        <v>View Creative</v>
      </c>
      <c r="L2858" s="4" t="s">
        <v>106</v>
      </c>
      <c r="M2858" s="4" t="s">
        <v>5965</v>
      </c>
      <c r="O2858" s="4" t="s">
        <v>63</v>
      </c>
      <c r="P2858" s="4" t="s">
        <v>64</v>
      </c>
    </row>
    <row r="2859">
      <c r="A2859" s="4" t="s">
        <v>5965</v>
      </c>
      <c r="B2859" s="4" t="s">
        <v>5965</v>
      </c>
      <c r="C2859" s="4">
        <v>1248.0</v>
      </c>
      <c r="D2859" s="5" t="str">
        <f>HYPERLINK("https://www.linkedin.com/ad-library/detail/1404601176","Open Ad")</f>
        <v>Open Ad</v>
      </c>
      <c r="E2859" s="4" t="s">
        <v>78</v>
      </c>
      <c r="F2859" s="4" t="s">
        <v>54</v>
      </c>
      <c r="G2859" s="4" t="s">
        <v>6513</v>
      </c>
      <c r="H2859" s="4" t="s">
        <v>49</v>
      </c>
      <c r="I2859" s="4" t="s">
        <v>6005</v>
      </c>
      <c r="J2859" s="4" t="s">
        <v>78</v>
      </c>
      <c r="K2859" s="5" t="str">
        <f>HYPERLINK("https://media.licdn.com/dms/image/v2/D4E22AQHlG462lUp49A/feedshare-image-high-res/B4EZ3qc6x4IMAY-/0/1777754943059?e=2147483647&amp;v=beta&amp;t=3pJwOxLr5VosXkgwd5-CtN4IzO7QpxZpZfM9HluemWs","View Creative")</f>
        <v>View Creative</v>
      </c>
      <c r="L2859" s="4" t="s">
        <v>106</v>
      </c>
      <c r="M2859" s="4" t="s">
        <v>5965</v>
      </c>
      <c r="O2859" s="4" t="s">
        <v>63</v>
      </c>
      <c r="P2859" s="4" t="s">
        <v>64</v>
      </c>
    </row>
    <row r="2860">
      <c r="A2860" s="4" t="s">
        <v>5965</v>
      </c>
      <c r="B2860" s="4" t="s">
        <v>5965</v>
      </c>
      <c r="C2860" s="4">
        <v>1249.0</v>
      </c>
      <c r="D2860" s="5" t="str">
        <f>HYPERLINK("https://www.linkedin.com/ad-library/detail/1403177246","Open Ad")</f>
        <v>Open Ad</v>
      </c>
      <c r="E2860" s="4" t="s">
        <v>78</v>
      </c>
      <c r="F2860" s="4" t="s">
        <v>54</v>
      </c>
      <c r="G2860" s="4" t="s">
        <v>6115</v>
      </c>
      <c r="H2860" s="4" t="s">
        <v>49</v>
      </c>
      <c r="I2860" s="4" t="s">
        <v>6005</v>
      </c>
      <c r="J2860" s="4" t="s">
        <v>78</v>
      </c>
      <c r="K2860" s="5" t="str">
        <f>HYPERLINK("https://media.licdn.com/dms/image/v2/D5610AQGMVMBywOZTRA/image-shrink_1280/B56Z3WD4I4GsAc-/0/1777412834072/Ad11png?e=2147483647&amp;v=beta&amp;t=wEwvt57CmhCwh8mjwxDAOwifwJjctZBli8J_4VPqXQ0","View Creative")</f>
        <v>View Creative</v>
      </c>
      <c r="L2860" s="4" t="s">
        <v>106</v>
      </c>
      <c r="M2860" s="4" t="s">
        <v>5965</v>
      </c>
      <c r="O2860" s="4" t="s">
        <v>63</v>
      </c>
      <c r="P2860" s="4" t="s">
        <v>64</v>
      </c>
    </row>
    <row r="2861">
      <c r="A2861" s="4" t="s">
        <v>5965</v>
      </c>
      <c r="B2861" s="4" t="s">
        <v>5965</v>
      </c>
      <c r="C2861" s="4">
        <v>1250.0</v>
      </c>
      <c r="D2861" s="5" t="str">
        <f>HYPERLINK("https://www.linkedin.com/ad-library/detail/1400931666","Open Ad")</f>
        <v>Open Ad</v>
      </c>
      <c r="E2861" s="4" t="s">
        <v>78</v>
      </c>
      <c r="F2861" s="4" t="s">
        <v>54</v>
      </c>
      <c r="G2861" s="4" t="s">
        <v>6515</v>
      </c>
      <c r="H2861" s="4" t="s">
        <v>49</v>
      </c>
      <c r="I2861" s="4" t="s">
        <v>6005</v>
      </c>
      <c r="J2861" s="4" t="s">
        <v>78</v>
      </c>
      <c r="K2861" s="5" t="str">
        <f>HYPERLINK("https://media.licdn.com/dms/image/v2/D4E22AQFbZdh1J833Sw/feedshare-shrink_1280/B4EZ3aSAC5K0AM-/0/1777483646260?e=2147483647&amp;v=beta&amp;t=HhMtq4oLbTwE0fFZgK8aU7SDdpg7qKmF75R02gDmHxk","View Creative")</f>
        <v>View Creative</v>
      </c>
      <c r="L2861" s="4" t="s">
        <v>106</v>
      </c>
      <c r="M2861" s="4" t="s">
        <v>5965</v>
      </c>
      <c r="O2861" s="4" t="s">
        <v>63</v>
      </c>
      <c r="P2861" s="4" t="s">
        <v>64</v>
      </c>
    </row>
    <row r="2862">
      <c r="A2862" s="4" t="s">
        <v>5965</v>
      </c>
      <c r="B2862" s="4" t="s">
        <v>5965</v>
      </c>
      <c r="C2862" s="4">
        <v>1251.0</v>
      </c>
      <c r="D2862" s="5" t="str">
        <f>HYPERLINK("https://www.linkedin.com/ad-library/detail/1288881104","Open Ad")</f>
        <v>Open Ad</v>
      </c>
      <c r="E2862" s="4" t="s">
        <v>78</v>
      </c>
      <c r="F2862" s="4" t="s">
        <v>54</v>
      </c>
      <c r="G2862" s="8" t="s">
        <v>6516</v>
      </c>
      <c r="H2862" s="4" t="s">
        <v>49</v>
      </c>
      <c r="I2862" s="4" t="s">
        <v>6005</v>
      </c>
      <c r="J2862" s="4" t="s">
        <v>78</v>
      </c>
      <c r="K2862" s="5" t="str">
        <f>HYPERLINK("https://media.licdn.com/dms/image/v2/D4E22AQGwLUtS3PtxRw/feedshare-image-high-res/B4EZ3paMFaJUAY-/0/1777737450184?e=2147483647&amp;v=beta&amp;t=qtKj5KXW7gSByiImS-5G0rgWPaOjKgGEgA0G7lRdY3s","View Creative")</f>
        <v>View Creative</v>
      </c>
      <c r="L2862" s="4" t="s">
        <v>106</v>
      </c>
      <c r="M2862" s="4" t="s">
        <v>5965</v>
      </c>
      <c r="O2862" s="4" t="s">
        <v>63</v>
      </c>
      <c r="P2862" s="4" t="s">
        <v>64</v>
      </c>
    </row>
    <row r="2863">
      <c r="A2863" s="4" t="s">
        <v>5965</v>
      </c>
      <c r="B2863" s="4" t="s">
        <v>6517</v>
      </c>
      <c r="C2863" s="4">
        <v>1252.0</v>
      </c>
      <c r="D2863" s="5" t="str">
        <f>HYPERLINK("https://www.linkedin.com/ad-library/detail/1289381194","Open Ad")</f>
        <v>Open Ad</v>
      </c>
      <c r="E2863" s="4" t="s">
        <v>78</v>
      </c>
      <c r="F2863" s="4" t="s">
        <v>54</v>
      </c>
      <c r="G2863" s="8" t="s">
        <v>6518</v>
      </c>
      <c r="H2863" s="4" t="s">
        <v>49</v>
      </c>
      <c r="I2863" s="4" t="s">
        <v>6427</v>
      </c>
      <c r="J2863" s="4" t="s">
        <v>78</v>
      </c>
      <c r="K2863" s="5" t="str">
        <f>HYPERLINK("https://media.licdn.com/dms/image/v2/D4E22AQFHEGTlC8h0lQ/feedshare-image-high-res/B4EZ3VULsnJEAU-/0/1777400331349?e=2147483647&amp;v=beta&amp;t=NMYCZu9Sg5D-Xy-3J6RjTCBxqPW9zaqTzyenIrpUmqU","View Creative")</f>
        <v>View Creative</v>
      </c>
      <c r="L2863" s="4" t="s">
        <v>106</v>
      </c>
      <c r="M2863" s="4" t="s">
        <v>6519</v>
      </c>
      <c r="O2863" s="4" t="s">
        <v>74</v>
      </c>
      <c r="P2863" s="4" t="s">
        <v>6520</v>
      </c>
    </row>
    <row r="2864">
      <c r="A2864" s="4" t="s">
        <v>5965</v>
      </c>
      <c r="B2864" s="4" t="s">
        <v>5965</v>
      </c>
      <c r="C2864" s="4">
        <v>1253.0</v>
      </c>
      <c r="D2864" s="5" t="str">
        <f>HYPERLINK("https://www.linkedin.com/ad-library/detail/1398797856","Open Ad")</f>
        <v>Open Ad</v>
      </c>
      <c r="E2864" s="4" t="s">
        <v>78</v>
      </c>
      <c r="F2864" s="4" t="s">
        <v>54</v>
      </c>
      <c r="G2864" s="4" t="s">
        <v>6115</v>
      </c>
      <c r="H2864" s="4" t="s">
        <v>49</v>
      </c>
      <c r="I2864" s="4" t="s">
        <v>6005</v>
      </c>
      <c r="J2864" s="4" t="s">
        <v>78</v>
      </c>
      <c r="K2864" s="5" t="str">
        <f>HYPERLINK("https://media.licdn.com/dms/image/v2/D5610AQH-q8Kfz-YVbQ/image-shrink_1280/B56Z3WDoOFKgAc-/0/1777412768916/Adpng?e=2147483647&amp;v=beta&amp;t=Lvt6Go03KIs4rRA12hIMu8l80ejL9dzwHdp0rAwmuTM","View Creative")</f>
        <v>View Creative</v>
      </c>
      <c r="L2864" s="4" t="s">
        <v>106</v>
      </c>
      <c r="M2864" s="4" t="s">
        <v>5965</v>
      </c>
      <c r="O2864" s="4" t="s">
        <v>63</v>
      </c>
      <c r="P2864" s="4" t="s">
        <v>64</v>
      </c>
    </row>
    <row r="2865">
      <c r="A2865" s="4" t="s">
        <v>5965</v>
      </c>
      <c r="B2865" s="4" t="s">
        <v>5965</v>
      </c>
      <c r="C2865" s="4">
        <v>1254.0</v>
      </c>
      <c r="D2865" s="5" t="str">
        <f>HYPERLINK("https://www.linkedin.com/ad-library/detail/1400873566","Open Ad")</f>
        <v>Open Ad</v>
      </c>
      <c r="E2865" s="4" t="s">
        <v>78</v>
      </c>
      <c r="F2865" s="4" t="s">
        <v>54</v>
      </c>
      <c r="G2865" s="4" t="s">
        <v>6515</v>
      </c>
      <c r="H2865" s="4" t="s">
        <v>49</v>
      </c>
      <c r="I2865" s="4" t="s">
        <v>6005</v>
      </c>
      <c r="J2865" s="4" t="s">
        <v>78</v>
      </c>
      <c r="K2865" s="5" t="str">
        <f>HYPERLINK("https://media.licdn.com/dms/image/v2/D4E22AQFbZdh1J833Sw/feedshare-shrink_1280/B4EZ3aSAC5K0AM-/0/1777483646260?e=2147483647&amp;v=beta&amp;t=HhMtq4oLbTwE0fFZgK8aU7SDdpg7qKmF75R02gDmHxk","View Creative")</f>
        <v>View Creative</v>
      </c>
      <c r="L2865" s="4" t="s">
        <v>106</v>
      </c>
      <c r="M2865" s="4" t="s">
        <v>5965</v>
      </c>
      <c r="O2865" s="4" t="s">
        <v>63</v>
      </c>
      <c r="P2865" s="4" t="s">
        <v>64</v>
      </c>
    </row>
    <row r="2866">
      <c r="A2866" s="4" t="s">
        <v>5965</v>
      </c>
      <c r="B2866" s="4" t="s">
        <v>5965</v>
      </c>
      <c r="C2866" s="4">
        <v>1255.0</v>
      </c>
      <c r="D2866" s="5" t="str">
        <f>HYPERLINK("https://www.linkedin.com/ad-library/detail/1405420986","Open Ad")</f>
        <v>Open Ad</v>
      </c>
      <c r="E2866" s="4" t="s">
        <v>5970</v>
      </c>
      <c r="F2866" s="4" t="s">
        <v>54</v>
      </c>
      <c r="G2866" s="4" t="s">
        <v>6268</v>
      </c>
      <c r="H2866" s="4" t="s">
        <v>49</v>
      </c>
      <c r="I2866" s="4" t="s">
        <v>6005</v>
      </c>
      <c r="J2866" s="4" t="s">
        <v>5973</v>
      </c>
      <c r="K2866" s="4" t="s">
        <v>59</v>
      </c>
      <c r="L2866" s="4" t="s">
        <v>106</v>
      </c>
      <c r="M2866" s="4" t="s">
        <v>5965</v>
      </c>
      <c r="O2866" s="4" t="s">
        <v>63</v>
      </c>
      <c r="P2866" s="4" t="s">
        <v>64</v>
      </c>
    </row>
    <row r="2867">
      <c r="A2867" s="4" t="s">
        <v>5965</v>
      </c>
      <c r="B2867" s="4" t="s">
        <v>5965</v>
      </c>
      <c r="C2867" s="4">
        <v>1256.0</v>
      </c>
      <c r="D2867" s="5" t="str">
        <f>HYPERLINK("https://www.linkedin.com/ad-library/detail/1401080636","Open Ad")</f>
        <v>Open Ad</v>
      </c>
      <c r="E2867" s="4" t="s">
        <v>78</v>
      </c>
      <c r="F2867" s="4" t="s">
        <v>54</v>
      </c>
      <c r="G2867" s="4" t="s">
        <v>6515</v>
      </c>
      <c r="H2867" s="4" t="s">
        <v>49</v>
      </c>
      <c r="I2867" s="4" t="s">
        <v>6005</v>
      </c>
      <c r="J2867" s="4" t="s">
        <v>78</v>
      </c>
      <c r="K2867" s="5" t="str">
        <f>HYPERLINK("https://media.licdn.com/dms/image/v2/D4E22AQFbZdh1J833Sw/feedshare-shrink_1280/B4EZ3aSAC5K0AM-/0/1777483646260?e=2147483647&amp;v=beta&amp;t=HhMtq4oLbTwE0fFZgK8aU7SDdpg7qKmF75R02gDmHxk","View Creative")</f>
        <v>View Creative</v>
      </c>
      <c r="L2867" s="4" t="s">
        <v>106</v>
      </c>
      <c r="M2867" s="4" t="s">
        <v>5965</v>
      </c>
      <c r="O2867" s="4" t="s">
        <v>63</v>
      </c>
      <c r="P2867" s="4" t="s">
        <v>64</v>
      </c>
    </row>
    <row r="2868">
      <c r="A2868" s="4" t="s">
        <v>5965</v>
      </c>
      <c r="B2868" s="4" t="s">
        <v>5965</v>
      </c>
      <c r="C2868" s="4">
        <v>1257.0</v>
      </c>
      <c r="D2868" s="5" t="str">
        <f>HYPERLINK("https://www.linkedin.com/ad-library/detail/1403187666","Open Ad")</f>
        <v>Open Ad</v>
      </c>
      <c r="E2868" s="4" t="s">
        <v>78</v>
      </c>
      <c r="F2868" s="4" t="s">
        <v>54</v>
      </c>
      <c r="G2868" s="4" t="s">
        <v>6115</v>
      </c>
      <c r="H2868" s="4" t="s">
        <v>49</v>
      </c>
      <c r="I2868" s="4" t="s">
        <v>6005</v>
      </c>
      <c r="J2868" s="4" t="s">
        <v>78</v>
      </c>
      <c r="K2868" s="5" t="str">
        <f>HYPERLINK("https://media.licdn.com/dms/image/v2/D5610AQH-q8Kfz-YVbQ/image-shrink_1280/B56Z3WDoOFKgAc-/0/1777412768916/Adpng?e=2147483647&amp;v=beta&amp;t=Lvt6Go03KIs4rRA12hIMu8l80ejL9dzwHdp0rAwmuTM","View Creative")</f>
        <v>View Creative</v>
      </c>
      <c r="L2868" s="4" t="s">
        <v>106</v>
      </c>
      <c r="M2868" s="4" t="s">
        <v>5965</v>
      </c>
      <c r="O2868" s="4" t="s">
        <v>63</v>
      </c>
      <c r="P2868" s="4" t="s">
        <v>64</v>
      </c>
    </row>
    <row r="2869">
      <c r="A2869" s="4" t="s">
        <v>5965</v>
      </c>
      <c r="B2869" s="4" t="s">
        <v>5965</v>
      </c>
      <c r="C2869" s="4">
        <v>1258.0</v>
      </c>
      <c r="D2869" s="5" t="str">
        <f>HYPERLINK("https://www.linkedin.com/ad-library/detail/1401100006","Open Ad")</f>
        <v>Open Ad</v>
      </c>
      <c r="E2869" s="4" t="s">
        <v>78</v>
      </c>
      <c r="F2869" s="4" t="s">
        <v>54</v>
      </c>
      <c r="G2869" s="4" t="s">
        <v>6515</v>
      </c>
      <c r="H2869" s="4" t="s">
        <v>49</v>
      </c>
      <c r="I2869" s="4" t="s">
        <v>6005</v>
      </c>
      <c r="J2869" s="4" t="s">
        <v>78</v>
      </c>
      <c r="K2869" s="5" t="str">
        <f>HYPERLINK("https://media.licdn.com/dms/image/v2/D4E22AQFbZdh1J833Sw/feedshare-shrink_1280/B4EZ3aSAC5K0AM-/0/1777483646260?e=2147483647&amp;v=beta&amp;t=HhMtq4oLbTwE0fFZgK8aU7SDdpg7qKmF75R02gDmHxk","View Creative")</f>
        <v>View Creative</v>
      </c>
      <c r="L2869" s="4" t="s">
        <v>106</v>
      </c>
      <c r="M2869" s="4" t="s">
        <v>5965</v>
      </c>
      <c r="O2869" s="4" t="s">
        <v>63</v>
      </c>
      <c r="P2869" s="4" t="s">
        <v>64</v>
      </c>
    </row>
    <row r="2870">
      <c r="A2870" s="4" t="s">
        <v>5965</v>
      </c>
      <c r="B2870" s="4" t="s">
        <v>5965</v>
      </c>
      <c r="C2870" s="4">
        <v>1259.0</v>
      </c>
      <c r="D2870" s="5" t="str">
        <f>HYPERLINK("https://www.linkedin.com/ad-library/detail/1287388504","Open Ad")</f>
        <v>Open Ad</v>
      </c>
      <c r="E2870" s="4" t="s">
        <v>78</v>
      </c>
      <c r="F2870" s="4" t="s">
        <v>54</v>
      </c>
      <c r="G2870" s="8" t="s">
        <v>6282</v>
      </c>
      <c r="H2870" s="4" t="s">
        <v>49</v>
      </c>
      <c r="I2870" s="4" t="s">
        <v>6005</v>
      </c>
      <c r="J2870" s="4" t="s">
        <v>78</v>
      </c>
      <c r="K2870" s="5" t="str">
        <f>HYPERLINK("https://media.licdn.com/dms/image/v2/D4E22AQHqQ5H73IKatQ/feedshare-image-high-res/B4EZ3zzSFiHMAU-/0/1777911800529?e=2147483647&amp;v=beta&amp;t=qblordAcoyQ1q4SnwDGV-PHk-smYhZECyzWyulo8f9s","View Creative")</f>
        <v>View Creative</v>
      </c>
      <c r="L2870" s="4" t="s">
        <v>106</v>
      </c>
      <c r="M2870" s="4" t="s">
        <v>5965</v>
      </c>
      <c r="O2870" s="4" t="s">
        <v>63</v>
      </c>
      <c r="P2870" s="4" t="s">
        <v>64</v>
      </c>
    </row>
    <row r="2871">
      <c r="A2871" s="4" t="s">
        <v>5965</v>
      </c>
      <c r="B2871" s="4" t="s">
        <v>5965</v>
      </c>
      <c r="C2871" s="4">
        <v>1260.0</v>
      </c>
      <c r="D2871" s="5" t="str">
        <f>HYPERLINK("https://www.linkedin.com/ad-library/detail/1400971416","Open Ad")</f>
        <v>Open Ad</v>
      </c>
      <c r="E2871" s="4" t="s">
        <v>78</v>
      </c>
      <c r="F2871" s="4" t="s">
        <v>54</v>
      </c>
      <c r="G2871" s="4" t="s">
        <v>6515</v>
      </c>
      <c r="H2871" s="4" t="s">
        <v>49</v>
      </c>
      <c r="I2871" s="4" t="s">
        <v>6005</v>
      </c>
      <c r="J2871" s="4" t="s">
        <v>78</v>
      </c>
      <c r="K2871" s="5" t="str">
        <f>HYPERLINK("https://media.licdn.com/dms/image/v2/D4E22AQFbZdh1J833Sw/feedshare-shrink_1280/B4EZ3aSAC5K0AM-/0/1777483646260?e=2147483647&amp;v=beta&amp;t=HhMtq4oLbTwE0fFZgK8aU7SDdpg7qKmF75R02gDmHxk","View Creative")</f>
        <v>View Creative</v>
      </c>
      <c r="L2871" s="4" t="s">
        <v>106</v>
      </c>
      <c r="M2871" s="4" t="s">
        <v>5965</v>
      </c>
      <c r="O2871" s="4" t="s">
        <v>63</v>
      </c>
      <c r="P2871" s="4" t="s">
        <v>64</v>
      </c>
    </row>
    <row r="2872">
      <c r="A2872" s="4" t="s">
        <v>5965</v>
      </c>
      <c r="B2872" s="4" t="s">
        <v>5965</v>
      </c>
      <c r="C2872" s="4">
        <v>1261.0</v>
      </c>
      <c r="D2872" s="5" t="str">
        <f>HYPERLINK("https://www.linkedin.com/ad-library/detail/1403078366","Open Ad")</f>
        <v>Open Ad</v>
      </c>
      <c r="E2872" s="4" t="s">
        <v>78</v>
      </c>
      <c r="F2872" s="4" t="s">
        <v>54</v>
      </c>
      <c r="G2872" s="4" t="s">
        <v>6115</v>
      </c>
      <c r="H2872" s="4" t="s">
        <v>49</v>
      </c>
      <c r="I2872" s="4" t="s">
        <v>6005</v>
      </c>
      <c r="J2872" s="4" t="s">
        <v>78</v>
      </c>
      <c r="K2872" s="5" t="str">
        <f>HYPERLINK("https://media.licdn.com/dms/image/v2/D5610AQEaAP2ePthrkg/image-shrink_1280/B56Z3WEHN.KkAc-/0/1777412895878/Ad12png?e=2147483647&amp;v=beta&amp;t=T2wKzNoxIXKU0UU_eFAjRvI7gkBs3J8l1XJINIpnIvs","View Creative")</f>
        <v>View Creative</v>
      </c>
      <c r="L2872" s="4" t="s">
        <v>106</v>
      </c>
      <c r="M2872" s="4" t="s">
        <v>5965</v>
      </c>
      <c r="O2872" s="4" t="s">
        <v>63</v>
      </c>
      <c r="P2872" s="4" t="s">
        <v>64</v>
      </c>
    </row>
    <row r="2873">
      <c r="A2873" s="4" t="s">
        <v>5965</v>
      </c>
      <c r="B2873" s="4" t="s">
        <v>5965</v>
      </c>
      <c r="C2873" s="4">
        <v>1262.0</v>
      </c>
      <c r="D2873" s="5" t="str">
        <f>HYPERLINK("https://www.linkedin.com/ad-library/detail/1400921736","Open Ad")</f>
        <v>Open Ad</v>
      </c>
      <c r="E2873" s="4" t="s">
        <v>78</v>
      </c>
      <c r="F2873" s="4" t="s">
        <v>54</v>
      </c>
      <c r="G2873" s="4" t="s">
        <v>6515</v>
      </c>
      <c r="H2873" s="4" t="s">
        <v>49</v>
      </c>
      <c r="I2873" s="4" t="s">
        <v>6005</v>
      </c>
      <c r="J2873" s="4" t="s">
        <v>78</v>
      </c>
      <c r="K2873" s="5" t="str">
        <f>HYPERLINK("https://media.licdn.com/dms/image/v2/D4E22AQFbZdh1J833Sw/feedshare-shrink_1280/B4EZ3aSAC5K0AM-/0/1777483646260?e=2147483647&amp;v=beta&amp;t=HhMtq4oLbTwE0fFZgK8aU7SDdpg7qKmF75R02gDmHxk","View Creative")</f>
        <v>View Creative</v>
      </c>
      <c r="L2873" s="4" t="s">
        <v>106</v>
      </c>
      <c r="M2873" s="4" t="s">
        <v>5965</v>
      </c>
      <c r="O2873" s="4" t="s">
        <v>63</v>
      </c>
      <c r="P2873" s="4" t="s">
        <v>64</v>
      </c>
    </row>
    <row r="2874">
      <c r="A2874" s="4" t="s">
        <v>5965</v>
      </c>
      <c r="B2874" s="4" t="s">
        <v>5965</v>
      </c>
      <c r="C2874" s="4">
        <v>1263.0</v>
      </c>
      <c r="D2874" s="5" t="str">
        <f>HYPERLINK("https://www.linkedin.com/ad-library/detail/1399064466","Open Ad")</f>
        <v>Open Ad</v>
      </c>
      <c r="E2874" s="4" t="s">
        <v>121</v>
      </c>
      <c r="F2874" s="4" t="s">
        <v>54</v>
      </c>
      <c r="G2874" s="4" t="s">
        <v>6521</v>
      </c>
      <c r="H2874" s="4" t="s">
        <v>49</v>
      </c>
      <c r="I2874" s="4" t="s">
        <v>6005</v>
      </c>
      <c r="J2874" s="4" t="s">
        <v>121</v>
      </c>
      <c r="K2874" s="5" t="str">
        <f>HYPERLINK("https://dms.licdn.com/playlist/vid/v2/D4E10AQH7Ah3PBS3CEw/mp4-640p-30fp-crf28/B4EZ3VrWG7KcBE-/0/1777406408678?e=2147483647&amp;v=beta&amp;t=ATqwIaFuE8_AtfpFv8Cd9L809ZqySevNr2XI5SYcjLM","View Creative")</f>
        <v>View Creative</v>
      </c>
      <c r="L2874" s="4" t="s">
        <v>106</v>
      </c>
      <c r="M2874" s="4" t="s">
        <v>5965</v>
      </c>
      <c r="O2874" s="4" t="s">
        <v>63</v>
      </c>
      <c r="P2874" s="4" t="s">
        <v>64</v>
      </c>
    </row>
    <row r="2875">
      <c r="A2875" s="4" t="s">
        <v>5965</v>
      </c>
      <c r="B2875" s="4" t="s">
        <v>5965</v>
      </c>
      <c r="C2875" s="4">
        <v>1264.0</v>
      </c>
      <c r="D2875" s="5" t="str">
        <f>HYPERLINK("https://www.linkedin.com/ad-library/detail/1405332436","Open Ad")</f>
        <v>Open Ad</v>
      </c>
      <c r="E2875" s="4" t="s">
        <v>5970</v>
      </c>
      <c r="F2875" s="4" t="s">
        <v>54</v>
      </c>
      <c r="G2875" s="4" t="s">
        <v>6268</v>
      </c>
      <c r="H2875" s="4" t="s">
        <v>49</v>
      </c>
      <c r="I2875" s="4" t="s">
        <v>5972</v>
      </c>
      <c r="J2875" s="4" t="s">
        <v>5973</v>
      </c>
      <c r="K2875" s="4" t="s">
        <v>59</v>
      </c>
      <c r="L2875" s="4" t="s">
        <v>106</v>
      </c>
      <c r="M2875" s="4" t="s">
        <v>5965</v>
      </c>
      <c r="O2875" s="4" t="s">
        <v>63</v>
      </c>
      <c r="P2875" s="4" t="s">
        <v>64</v>
      </c>
    </row>
    <row r="2876">
      <c r="A2876" s="4" t="s">
        <v>5965</v>
      </c>
      <c r="B2876" s="4" t="s">
        <v>5965</v>
      </c>
      <c r="C2876" s="4">
        <v>1265.0</v>
      </c>
      <c r="D2876" s="5" t="str">
        <f>HYPERLINK("https://www.linkedin.com/ad-library/detail/1398699056","Open Ad")</f>
        <v>Open Ad</v>
      </c>
      <c r="E2876" s="4" t="s">
        <v>78</v>
      </c>
      <c r="F2876" s="4" t="s">
        <v>54</v>
      </c>
      <c r="G2876" s="4" t="s">
        <v>6115</v>
      </c>
      <c r="H2876" s="4" t="s">
        <v>49</v>
      </c>
      <c r="I2876" s="4" t="s">
        <v>6005</v>
      </c>
      <c r="J2876" s="4" t="s">
        <v>78</v>
      </c>
      <c r="K2876" s="5" t="str">
        <f>HYPERLINK("https://media.licdn.com/dms/image/v2/D5610AQHwfvEneIqQpg/image-shrink_1280/B56Z3WDTp1G0Ac-/0/1777412684628/Ad9png?e=2147483647&amp;v=beta&amp;t=aYxtFLgpOksdc2sW2JhFfLdBL1lU2G76XPJ-90sIZlk","View Creative")</f>
        <v>View Creative</v>
      </c>
      <c r="L2876" s="4" t="s">
        <v>106</v>
      </c>
      <c r="M2876" s="4" t="s">
        <v>5965</v>
      </c>
      <c r="O2876" s="4" t="s">
        <v>63</v>
      </c>
      <c r="P2876" s="4" t="s">
        <v>64</v>
      </c>
    </row>
    <row r="2877">
      <c r="A2877" s="4" t="s">
        <v>5965</v>
      </c>
      <c r="B2877" s="4" t="s">
        <v>5965</v>
      </c>
      <c r="C2877" s="4">
        <v>1266.0</v>
      </c>
      <c r="D2877" s="5" t="str">
        <f>HYPERLINK("https://www.linkedin.com/ad-library/detail/1405288936","Open Ad")</f>
        <v>Open Ad</v>
      </c>
      <c r="E2877" s="4" t="s">
        <v>5970</v>
      </c>
      <c r="F2877" s="4" t="s">
        <v>54</v>
      </c>
      <c r="G2877" s="4" t="s">
        <v>6268</v>
      </c>
      <c r="H2877" s="4" t="s">
        <v>49</v>
      </c>
      <c r="I2877" s="4" t="s">
        <v>6005</v>
      </c>
      <c r="J2877" s="4" t="s">
        <v>5973</v>
      </c>
      <c r="K2877" s="4" t="s">
        <v>59</v>
      </c>
      <c r="L2877" s="4" t="s">
        <v>106</v>
      </c>
      <c r="M2877" s="4" t="s">
        <v>5965</v>
      </c>
      <c r="O2877" s="4" t="s">
        <v>63</v>
      </c>
      <c r="P2877" s="4" t="s">
        <v>64</v>
      </c>
    </row>
    <row r="2878">
      <c r="A2878" s="4" t="s">
        <v>5965</v>
      </c>
      <c r="B2878" s="4" t="s">
        <v>5965</v>
      </c>
      <c r="C2878" s="4">
        <v>1267.0</v>
      </c>
      <c r="D2878" s="5" t="str">
        <f>HYPERLINK("https://www.linkedin.com/ad-library/detail/1287781134","Open Ad")</f>
        <v>Open Ad</v>
      </c>
      <c r="E2878" s="4" t="s">
        <v>78</v>
      </c>
      <c r="F2878" s="4" t="s">
        <v>54</v>
      </c>
      <c r="G2878" s="8" t="s">
        <v>6522</v>
      </c>
      <c r="H2878" s="4" t="s">
        <v>49</v>
      </c>
      <c r="I2878" s="4" t="s">
        <v>6005</v>
      </c>
      <c r="J2878" s="4" t="s">
        <v>78</v>
      </c>
      <c r="K2878" s="5" t="str">
        <f>HYPERLINK("https://media.licdn.com/dms/image/v2/D4E22AQEqPcVW8MafAw/feedshare-shrink_1280/B4EZ3pFNDNIoAQ-/0/1777731948991?e=2147483647&amp;v=beta&amp;t=a5RTTD7tQQrlO_RJAqBhC9Gm2seWtxeqJ3QztT--OLk","View Creative")</f>
        <v>View Creative</v>
      </c>
      <c r="L2878" s="4" t="s">
        <v>106</v>
      </c>
      <c r="M2878" s="4" t="s">
        <v>5965</v>
      </c>
      <c r="O2878" s="4" t="s">
        <v>63</v>
      </c>
      <c r="P2878" s="4" t="s">
        <v>64</v>
      </c>
    </row>
    <row r="2879">
      <c r="A2879" s="4" t="s">
        <v>5965</v>
      </c>
      <c r="B2879" s="4" t="s">
        <v>5965</v>
      </c>
      <c r="C2879" s="4">
        <v>1268.0</v>
      </c>
      <c r="D2879" s="5" t="str">
        <f>HYPERLINK("https://www.linkedin.com/ad-library/detail/1405391546","Open Ad")</f>
        <v>Open Ad</v>
      </c>
      <c r="E2879" s="4" t="s">
        <v>5970</v>
      </c>
      <c r="F2879" s="4" t="s">
        <v>54</v>
      </c>
      <c r="G2879" s="4" t="s">
        <v>6268</v>
      </c>
      <c r="H2879" s="4" t="s">
        <v>49</v>
      </c>
      <c r="I2879" s="4" t="s">
        <v>6005</v>
      </c>
      <c r="J2879" s="4" t="s">
        <v>5973</v>
      </c>
      <c r="K2879" s="4" t="s">
        <v>59</v>
      </c>
      <c r="L2879" s="4" t="s">
        <v>106</v>
      </c>
      <c r="M2879" s="4" t="s">
        <v>5965</v>
      </c>
      <c r="O2879" s="4" t="s">
        <v>63</v>
      </c>
      <c r="P2879" s="4" t="s">
        <v>64</v>
      </c>
    </row>
    <row r="2880">
      <c r="A2880" s="4" t="s">
        <v>5965</v>
      </c>
      <c r="B2880" s="4" t="s">
        <v>5965</v>
      </c>
      <c r="C2880" s="4">
        <v>1269.0</v>
      </c>
      <c r="D2880" s="5" t="str">
        <f>HYPERLINK("https://www.linkedin.com/ad-library/detail/1403246086","Open Ad")</f>
        <v>Open Ad</v>
      </c>
      <c r="E2880" s="4" t="s">
        <v>78</v>
      </c>
      <c r="F2880" s="4" t="s">
        <v>54</v>
      </c>
      <c r="G2880" s="4" t="s">
        <v>6115</v>
      </c>
      <c r="H2880" s="4" t="s">
        <v>49</v>
      </c>
      <c r="I2880" s="4" t="s">
        <v>6005</v>
      </c>
      <c r="J2880" s="4" t="s">
        <v>78</v>
      </c>
      <c r="K2880" s="5" t="str">
        <f>HYPERLINK("https://media.licdn.com/dms/image/v2/D5610AQHwfvEneIqQpg/image-shrink_1280/B56Z3WDTp1G0Ac-/0/1777412684628/Ad9png?e=2147483647&amp;v=beta&amp;t=aYxtFLgpOksdc2sW2JhFfLdBL1lU2G76XPJ-90sIZlk","View Creative")</f>
        <v>View Creative</v>
      </c>
      <c r="L2880" s="4" t="s">
        <v>106</v>
      </c>
      <c r="M2880" s="4" t="s">
        <v>5965</v>
      </c>
      <c r="O2880" s="4" t="s">
        <v>63</v>
      </c>
      <c r="P2880" s="4" t="s">
        <v>64</v>
      </c>
    </row>
    <row r="2881">
      <c r="A2881" s="4" t="s">
        <v>5965</v>
      </c>
      <c r="B2881" s="4" t="s">
        <v>5965</v>
      </c>
      <c r="C2881" s="4">
        <v>1270.0</v>
      </c>
      <c r="D2881" s="5" t="str">
        <f>HYPERLINK("https://www.linkedin.com/ad-library/detail/1398699026","Open Ad")</f>
        <v>Open Ad</v>
      </c>
      <c r="E2881" s="4" t="s">
        <v>78</v>
      </c>
      <c r="F2881" s="4" t="s">
        <v>54</v>
      </c>
      <c r="G2881" s="4" t="s">
        <v>6115</v>
      </c>
      <c r="H2881" s="4" t="s">
        <v>49</v>
      </c>
      <c r="I2881" s="4" t="s">
        <v>6005</v>
      </c>
      <c r="J2881" s="4" t="s">
        <v>78</v>
      </c>
      <c r="K2881" s="5" t="str">
        <f t="shared" ref="K2881:K2882" si="138">HYPERLINK("https://media.licdn.com/dms/image/v2/D5610AQGMVMBywOZTRA/image-shrink_1280/B56Z3WD4I4GsAc-/0/1777412834072/Ad11png?e=2147483647&amp;v=beta&amp;t=wEwvt57CmhCwh8mjwxDAOwifwJjctZBli8J_4VPqXQ0","View Creative")</f>
        <v>View Creative</v>
      </c>
      <c r="L2881" s="4" t="s">
        <v>106</v>
      </c>
      <c r="M2881" s="4" t="s">
        <v>5965</v>
      </c>
      <c r="O2881" s="4" t="s">
        <v>63</v>
      </c>
      <c r="P2881" s="4" t="s">
        <v>64</v>
      </c>
    </row>
    <row r="2882">
      <c r="A2882" s="4" t="s">
        <v>5965</v>
      </c>
      <c r="B2882" s="4" t="s">
        <v>5965</v>
      </c>
      <c r="C2882" s="4">
        <v>1271.0</v>
      </c>
      <c r="D2882" s="5" t="str">
        <f>HYPERLINK("https://www.linkedin.com/ad-library/detail/1398718326","Open Ad")</f>
        <v>Open Ad</v>
      </c>
      <c r="E2882" s="4" t="s">
        <v>78</v>
      </c>
      <c r="F2882" s="4" t="s">
        <v>54</v>
      </c>
      <c r="G2882" s="4" t="s">
        <v>6115</v>
      </c>
      <c r="H2882" s="4" t="s">
        <v>49</v>
      </c>
      <c r="I2882" s="4" t="s">
        <v>6005</v>
      </c>
      <c r="J2882" s="4" t="s">
        <v>78</v>
      </c>
      <c r="K2882" s="5" t="str">
        <f t="shared" si="138"/>
        <v>View Creative</v>
      </c>
      <c r="L2882" s="4" t="s">
        <v>106</v>
      </c>
      <c r="M2882" s="4" t="s">
        <v>5965</v>
      </c>
      <c r="O2882" s="4" t="s">
        <v>63</v>
      </c>
      <c r="P2882" s="4" t="s">
        <v>64</v>
      </c>
    </row>
    <row r="2883">
      <c r="A2883" s="4" t="s">
        <v>5965</v>
      </c>
      <c r="B2883" s="4" t="s">
        <v>5965</v>
      </c>
      <c r="C2883" s="4">
        <v>1272.0</v>
      </c>
      <c r="D2883" s="5" t="str">
        <f>HYPERLINK("https://www.linkedin.com/ad-library/detail/1398866006","Open Ad")</f>
        <v>Open Ad</v>
      </c>
      <c r="E2883" s="4" t="s">
        <v>78</v>
      </c>
      <c r="F2883" s="4" t="s">
        <v>54</v>
      </c>
      <c r="G2883" s="4" t="s">
        <v>6115</v>
      </c>
      <c r="H2883" s="4" t="s">
        <v>49</v>
      </c>
      <c r="I2883" s="4" t="s">
        <v>6005</v>
      </c>
      <c r="J2883" s="4" t="s">
        <v>78</v>
      </c>
      <c r="K2883" s="5" t="str">
        <f>HYPERLINK("https://media.licdn.com/dms/image/v2/D5610AQEaAP2ePthrkg/image-shrink_1280/B56Z3WEHN.KkAc-/0/1777412895878/Ad12png?e=2147483647&amp;v=beta&amp;t=T2wKzNoxIXKU0UU_eFAjRvI7gkBs3J8l1XJINIpnIvs","View Creative")</f>
        <v>View Creative</v>
      </c>
      <c r="L2883" s="4" t="s">
        <v>106</v>
      </c>
      <c r="M2883" s="4" t="s">
        <v>5965</v>
      </c>
      <c r="O2883" s="4" t="s">
        <v>63</v>
      </c>
      <c r="P2883" s="4" t="s">
        <v>64</v>
      </c>
    </row>
    <row r="2884">
      <c r="A2884" s="4" t="s">
        <v>5965</v>
      </c>
      <c r="B2884" s="4" t="s">
        <v>5965</v>
      </c>
      <c r="C2884" s="4">
        <v>1273.0</v>
      </c>
      <c r="D2884" s="5" t="str">
        <f>HYPERLINK("https://www.linkedin.com/ad-library/detail/1252288953","Open Ad")</f>
        <v>Open Ad</v>
      </c>
      <c r="E2884" s="4" t="s">
        <v>5970</v>
      </c>
      <c r="F2884" s="4" t="s">
        <v>54</v>
      </c>
      <c r="G2884" s="4" t="s">
        <v>6523</v>
      </c>
      <c r="H2884" s="4" t="s">
        <v>49</v>
      </c>
      <c r="I2884" s="4" t="s">
        <v>6005</v>
      </c>
      <c r="J2884" s="4" t="s">
        <v>5973</v>
      </c>
      <c r="K2884" s="4" t="s">
        <v>59</v>
      </c>
      <c r="L2884" s="4" t="s">
        <v>106</v>
      </c>
      <c r="M2884" s="4" t="s">
        <v>5965</v>
      </c>
      <c r="O2884" s="4" t="s">
        <v>63</v>
      </c>
      <c r="P2884" s="4" t="s">
        <v>64</v>
      </c>
    </row>
    <row r="2885">
      <c r="A2885" s="4" t="s">
        <v>5965</v>
      </c>
      <c r="B2885" s="4" t="s">
        <v>5965</v>
      </c>
      <c r="C2885" s="4">
        <v>1274.0</v>
      </c>
      <c r="D2885" s="5" t="str">
        <f>HYPERLINK("https://www.linkedin.com/ad-library/detail/1398767676","Open Ad")</f>
        <v>Open Ad</v>
      </c>
      <c r="E2885" s="4" t="s">
        <v>78</v>
      </c>
      <c r="F2885" s="4" t="s">
        <v>54</v>
      </c>
      <c r="G2885" s="4" t="s">
        <v>6115</v>
      </c>
      <c r="H2885" s="4" t="s">
        <v>49</v>
      </c>
      <c r="I2885" s="4" t="s">
        <v>6005</v>
      </c>
      <c r="J2885" s="4" t="s">
        <v>78</v>
      </c>
      <c r="K2885" s="5" t="str">
        <f>HYPERLINK("https://media.licdn.com/dms/image/v2/D5610AQHwfvEneIqQpg/image-shrink_1280/B56Z3WDTp1G0Ac-/0/1777412684628/Ad9png?e=2147483647&amp;v=beta&amp;t=aYxtFLgpOksdc2sW2JhFfLdBL1lU2G76XPJ-90sIZlk","View Creative")</f>
        <v>View Creative</v>
      </c>
      <c r="L2885" s="4" t="s">
        <v>106</v>
      </c>
      <c r="M2885" s="4" t="s">
        <v>5965</v>
      </c>
      <c r="O2885" s="4" t="s">
        <v>63</v>
      </c>
      <c r="P2885" s="4" t="s">
        <v>64</v>
      </c>
    </row>
    <row r="2886">
      <c r="A2886" s="4" t="s">
        <v>5965</v>
      </c>
      <c r="B2886" s="4" t="s">
        <v>5965</v>
      </c>
      <c r="C2886" s="4">
        <v>1275.0</v>
      </c>
      <c r="D2886" s="5" t="str">
        <f>HYPERLINK("https://www.linkedin.com/ad-library/detail/1398744796","Open Ad")</f>
        <v>Open Ad</v>
      </c>
      <c r="E2886" s="4" t="s">
        <v>78</v>
      </c>
      <c r="F2886" s="4" t="s">
        <v>54</v>
      </c>
      <c r="G2886" s="4" t="s">
        <v>6069</v>
      </c>
      <c r="H2886" s="4" t="s">
        <v>49</v>
      </c>
      <c r="I2886" s="4" t="s">
        <v>6005</v>
      </c>
      <c r="J2886" s="4" t="s">
        <v>78</v>
      </c>
      <c r="K2886" s="5" t="str">
        <f>HYPERLINK("https://media.licdn.com/dms/image/v2/D4E10AQEqECWLz8eLfg/image-shrink_1280/B4EZ3UsZ.CGkAc-/0/1777389904287?e=2147483647&amp;v=beta&amp;t=0Mbfqk_hLfichGIBXrMjoO2DeoHez5SeK866pI13xWU","View Creative")</f>
        <v>View Creative</v>
      </c>
      <c r="L2886" s="4" t="s">
        <v>106</v>
      </c>
      <c r="M2886" s="4" t="s">
        <v>5965</v>
      </c>
      <c r="O2886" s="4" t="s">
        <v>63</v>
      </c>
      <c r="P2886" s="4" t="s">
        <v>64</v>
      </c>
    </row>
    <row r="2887">
      <c r="A2887" s="4" t="s">
        <v>5965</v>
      </c>
      <c r="B2887" s="4" t="s">
        <v>5965</v>
      </c>
      <c r="C2887" s="4">
        <v>1276.0</v>
      </c>
      <c r="D2887" s="5" t="str">
        <f>HYPERLINK("https://www.linkedin.com/ad-library/detail/1396582696","Open Ad")</f>
        <v>Open Ad</v>
      </c>
      <c r="E2887" s="4" t="s">
        <v>78</v>
      </c>
      <c r="F2887" s="4" t="s">
        <v>54</v>
      </c>
      <c r="G2887" s="4" t="s">
        <v>6524</v>
      </c>
      <c r="H2887" s="4" t="s">
        <v>49</v>
      </c>
      <c r="I2887" s="4" t="s">
        <v>6005</v>
      </c>
      <c r="J2887" s="4" t="s">
        <v>78</v>
      </c>
      <c r="K2887" s="5" t="str">
        <f>HYPERLINK("https://media.licdn.com/dms/image/v2/D4E22AQEe7iJPRpwRfA/feedshare-shrink_1280/B4EZ2xCizFJkAM-/0/1776791727952?e=2147483647&amp;v=beta&amp;t=24jH5c0XWlb1ellVmLE-5jyB-0PykN9AAhWfYlIevKs","View Creative")</f>
        <v>View Creative</v>
      </c>
      <c r="L2887" s="4" t="s">
        <v>106</v>
      </c>
      <c r="M2887" s="4" t="s">
        <v>5965</v>
      </c>
      <c r="O2887" s="4" t="s">
        <v>63</v>
      </c>
      <c r="P2887" s="4" t="s">
        <v>64</v>
      </c>
    </row>
    <row r="2888">
      <c r="A2888" s="4" t="s">
        <v>5965</v>
      </c>
      <c r="B2888" s="4" t="s">
        <v>5965</v>
      </c>
      <c r="C2888" s="4">
        <v>1277.0</v>
      </c>
      <c r="D2888" s="5" t="str">
        <f>HYPERLINK("https://www.linkedin.com/ad-library/detail/1398824566","Open Ad")</f>
        <v>Open Ad</v>
      </c>
      <c r="E2888" s="4" t="s">
        <v>121</v>
      </c>
      <c r="F2888" s="4" t="s">
        <v>54</v>
      </c>
      <c r="G2888" s="4" t="s">
        <v>6525</v>
      </c>
      <c r="H2888" s="4" t="s">
        <v>49</v>
      </c>
      <c r="I2888" s="4" t="s">
        <v>6005</v>
      </c>
      <c r="J2888" s="4" t="s">
        <v>121</v>
      </c>
      <c r="K2888" s="5" t="str">
        <f>HYPERLINK("https://dms.licdn.com/playlist/vid/v2/D4D05AQHh70RChnM0SA/mp4-640p-30fp-crf28/B4DZ3AZ_B5HUBg-/0/1777049540511?e=2147483647&amp;v=beta&amp;t=asnZbc5MfLW0XV-wbqR7YtAvoIGsBExTsIWW1WLCiZo","View Creative")</f>
        <v>View Creative</v>
      </c>
      <c r="L2888" s="4" t="s">
        <v>106</v>
      </c>
      <c r="M2888" s="4" t="s">
        <v>5965</v>
      </c>
      <c r="O2888" s="4" t="s">
        <v>63</v>
      </c>
      <c r="P2888" s="4" t="s">
        <v>64</v>
      </c>
    </row>
    <row r="2889">
      <c r="A2889" s="4" t="s">
        <v>5965</v>
      </c>
      <c r="B2889" s="4" t="s">
        <v>5965</v>
      </c>
      <c r="C2889" s="4">
        <v>1278.0</v>
      </c>
      <c r="D2889" s="5" t="str">
        <f>HYPERLINK("https://www.linkedin.com/ad-library/detail/1396562576","Open Ad")</f>
        <v>Open Ad</v>
      </c>
      <c r="E2889" s="4" t="s">
        <v>121</v>
      </c>
      <c r="F2889" s="4" t="s">
        <v>54</v>
      </c>
      <c r="G2889" s="4" t="s">
        <v>6526</v>
      </c>
      <c r="H2889" s="4" t="s">
        <v>49</v>
      </c>
      <c r="I2889" s="4" t="s">
        <v>6005</v>
      </c>
      <c r="J2889" s="4" t="s">
        <v>121</v>
      </c>
      <c r="K2889" s="5" t="str">
        <f>HYPERLINK("https://dms.licdn.com/playlist/vid/v2/D4E10AQFckv7gmjD1ow/mp4-360p-30fp-crf28/B4EZ2xBlN9JUCA-/0/1776791479385?e=2147483647&amp;v=beta&amp;t=EVZD1ZdkhhsEPYEG6ZS7tCaaj2IxibK3iiniIzHQWrU","View Creative")</f>
        <v>View Creative</v>
      </c>
      <c r="L2889" s="4" t="s">
        <v>106</v>
      </c>
      <c r="M2889" s="4" t="s">
        <v>5965</v>
      </c>
      <c r="O2889" s="4" t="s">
        <v>63</v>
      </c>
      <c r="P2889" s="4" t="s">
        <v>64</v>
      </c>
    </row>
    <row r="2890">
      <c r="A2890" s="4" t="s">
        <v>5965</v>
      </c>
      <c r="B2890" s="4" t="s">
        <v>5965</v>
      </c>
      <c r="C2890" s="4">
        <v>1279.0</v>
      </c>
      <c r="D2890" s="5" t="str">
        <f>HYPERLINK("https://www.linkedin.com/ad-library/detail/1396532566","Open Ad")</f>
        <v>Open Ad</v>
      </c>
      <c r="E2890" s="4" t="s">
        <v>78</v>
      </c>
      <c r="F2890" s="4" t="s">
        <v>54</v>
      </c>
      <c r="G2890" s="4" t="s">
        <v>6524</v>
      </c>
      <c r="H2890" s="4" t="s">
        <v>49</v>
      </c>
      <c r="I2890" s="4" t="s">
        <v>6005</v>
      </c>
      <c r="J2890" s="4" t="s">
        <v>78</v>
      </c>
      <c r="K2890" s="5" t="str">
        <f>HYPERLINK("https://media.licdn.com/dms/image/v2/D4E22AQEe7iJPRpwRfA/feedshare-shrink_1280/B4EZ2xCizFJkAM-/0/1776791727952?e=2147483647&amp;v=beta&amp;t=24jH5c0XWlb1ellVmLE-5jyB-0PykN9AAhWfYlIevKs","View Creative")</f>
        <v>View Creative</v>
      </c>
      <c r="L2890" s="4" t="s">
        <v>106</v>
      </c>
      <c r="M2890" s="4" t="s">
        <v>5965</v>
      </c>
      <c r="O2890" s="4" t="s">
        <v>63</v>
      </c>
      <c r="P2890" s="4" t="s">
        <v>64</v>
      </c>
    </row>
    <row r="2891">
      <c r="A2891" s="4" t="s">
        <v>5965</v>
      </c>
      <c r="B2891" s="4" t="s">
        <v>5965</v>
      </c>
      <c r="C2891" s="4">
        <v>1280.0</v>
      </c>
      <c r="D2891" s="5" t="str">
        <f>HYPERLINK("https://www.linkedin.com/ad-library/detail/1398834456","Open Ad")</f>
        <v>Open Ad</v>
      </c>
      <c r="E2891" s="4" t="s">
        <v>78</v>
      </c>
      <c r="F2891" s="4" t="s">
        <v>54</v>
      </c>
      <c r="G2891" s="4" t="s">
        <v>6069</v>
      </c>
      <c r="H2891" s="4" t="s">
        <v>49</v>
      </c>
      <c r="I2891" s="4" t="s">
        <v>6005</v>
      </c>
      <c r="J2891" s="4" t="s">
        <v>78</v>
      </c>
      <c r="K2891" s="5" t="str">
        <f>HYPERLINK("https://media.licdn.com/dms/image/v2/D4E10AQEqECWLz8eLfg/image-shrink_1280/B4EZ3UsZ.CGkAc-/0/1777389904287?e=2147483647&amp;v=beta&amp;t=0Mbfqk_hLfichGIBXrMjoO2DeoHez5SeK866pI13xWU","View Creative")</f>
        <v>View Creative</v>
      </c>
      <c r="L2891" s="4" t="s">
        <v>106</v>
      </c>
      <c r="M2891" s="4" t="s">
        <v>5965</v>
      </c>
      <c r="O2891" s="4" t="s">
        <v>63</v>
      </c>
      <c r="P2891" s="4" t="s">
        <v>64</v>
      </c>
    </row>
    <row r="2892">
      <c r="A2892" s="4" t="s">
        <v>5965</v>
      </c>
      <c r="B2892" s="4" t="s">
        <v>5965</v>
      </c>
      <c r="C2892" s="4">
        <v>1281.0</v>
      </c>
      <c r="D2892" s="5" t="str">
        <f>HYPERLINK("https://www.linkedin.com/ad-library/detail/1396492996","Open Ad")</f>
        <v>Open Ad</v>
      </c>
      <c r="E2892" s="4" t="s">
        <v>78</v>
      </c>
      <c r="F2892" s="4" t="s">
        <v>54</v>
      </c>
      <c r="G2892" s="4" t="s">
        <v>6524</v>
      </c>
      <c r="H2892" s="4" t="s">
        <v>49</v>
      </c>
      <c r="I2892" s="4" t="s">
        <v>6005</v>
      </c>
      <c r="J2892" s="4" t="s">
        <v>78</v>
      </c>
      <c r="K2892" s="5" t="str">
        <f t="shared" ref="K2892:K2893" si="139">HYPERLINK("https://media.licdn.com/dms/image/v2/D4E22AQEe7iJPRpwRfA/feedshare-shrink_1280/B4EZ2xCizFJkAM-/0/1776791727952?e=2147483647&amp;v=beta&amp;t=24jH5c0XWlb1ellVmLE-5jyB-0PykN9AAhWfYlIevKs","View Creative")</f>
        <v>View Creative</v>
      </c>
      <c r="L2892" s="4" t="s">
        <v>106</v>
      </c>
      <c r="M2892" s="4" t="s">
        <v>5965</v>
      </c>
      <c r="O2892" s="4" t="s">
        <v>63</v>
      </c>
      <c r="P2892" s="4" t="s">
        <v>64</v>
      </c>
    </row>
    <row r="2893">
      <c r="A2893" s="4" t="s">
        <v>5965</v>
      </c>
      <c r="B2893" s="4" t="s">
        <v>5965</v>
      </c>
      <c r="C2893" s="4">
        <v>1282.0</v>
      </c>
      <c r="D2893" s="5" t="str">
        <f>HYPERLINK("https://www.linkedin.com/ad-library/detail/1396622006","Open Ad")</f>
        <v>Open Ad</v>
      </c>
      <c r="E2893" s="4" t="s">
        <v>78</v>
      </c>
      <c r="F2893" s="4" t="s">
        <v>54</v>
      </c>
      <c r="G2893" s="4" t="s">
        <v>6524</v>
      </c>
      <c r="H2893" s="4" t="s">
        <v>49</v>
      </c>
      <c r="I2893" s="4" t="s">
        <v>6005</v>
      </c>
      <c r="J2893" s="4" t="s">
        <v>78</v>
      </c>
      <c r="K2893" s="5" t="str">
        <f t="shared" si="139"/>
        <v>View Creative</v>
      </c>
      <c r="L2893" s="4" t="s">
        <v>106</v>
      </c>
      <c r="M2893" s="4" t="s">
        <v>5965</v>
      </c>
      <c r="O2893" s="4" t="s">
        <v>63</v>
      </c>
      <c r="P2893" s="4" t="s">
        <v>64</v>
      </c>
    </row>
    <row r="2894">
      <c r="A2894" s="4" t="s">
        <v>5965</v>
      </c>
      <c r="B2894" s="4" t="s">
        <v>5965</v>
      </c>
      <c r="C2894" s="4">
        <v>1283.0</v>
      </c>
      <c r="D2894" s="5" t="str">
        <f>HYPERLINK("https://www.linkedin.com/ad-library/detail/1396572676","Open Ad")</f>
        <v>Open Ad</v>
      </c>
      <c r="E2894" s="4" t="s">
        <v>121</v>
      </c>
      <c r="F2894" s="4" t="s">
        <v>54</v>
      </c>
      <c r="G2894" s="4" t="s">
        <v>6526</v>
      </c>
      <c r="H2894" s="4" t="s">
        <v>49</v>
      </c>
      <c r="I2894" s="4" t="s">
        <v>6005</v>
      </c>
      <c r="J2894" s="4" t="s">
        <v>121</v>
      </c>
      <c r="K2894" s="5" t="str">
        <f>HYPERLINK("https://dms.licdn.com/playlist/vid/v2/D4E10AQFckv7gmjD1ow/mp4-360p-30fp-crf28/B4EZ2xBlN9JUCA-/0/1776791479385?e=2147483647&amp;v=beta&amp;t=EVZD1ZdkhhsEPYEG6ZS7tCaaj2IxibK3iiniIzHQWrU","View Creative")</f>
        <v>View Creative</v>
      </c>
      <c r="L2894" s="4" t="s">
        <v>106</v>
      </c>
      <c r="M2894" s="4" t="s">
        <v>5965</v>
      </c>
      <c r="O2894" s="4" t="s">
        <v>63</v>
      </c>
      <c r="P2894" s="4" t="s">
        <v>64</v>
      </c>
    </row>
    <row r="2895">
      <c r="A2895" s="4" t="s">
        <v>5965</v>
      </c>
      <c r="B2895" s="4" t="s">
        <v>5965</v>
      </c>
      <c r="C2895" s="4">
        <v>1284.0</v>
      </c>
      <c r="D2895" s="5" t="str">
        <f>HYPERLINK("https://www.linkedin.com/ad-library/detail/1398734836","Open Ad")</f>
        <v>Open Ad</v>
      </c>
      <c r="E2895" s="4" t="s">
        <v>78</v>
      </c>
      <c r="F2895" s="4" t="s">
        <v>54</v>
      </c>
      <c r="G2895" s="4" t="s">
        <v>6069</v>
      </c>
      <c r="H2895" s="4" t="s">
        <v>49</v>
      </c>
      <c r="I2895" s="4" t="s">
        <v>6005</v>
      </c>
      <c r="J2895" s="4" t="s">
        <v>78</v>
      </c>
      <c r="K2895" s="5" t="str">
        <f>HYPERLINK("https://media.licdn.com/dms/image/v2/D4E10AQEqECWLz8eLfg/image-shrink_1280/B4EZ3UsZ.CGkAc-/0/1777389904287?e=2147483647&amp;v=beta&amp;t=0Mbfqk_hLfichGIBXrMjoO2DeoHez5SeK866pI13xWU","View Creative")</f>
        <v>View Creative</v>
      </c>
      <c r="L2895" s="4" t="s">
        <v>106</v>
      </c>
      <c r="M2895" s="4" t="s">
        <v>5965</v>
      </c>
      <c r="O2895" s="4" t="s">
        <v>63</v>
      </c>
      <c r="P2895" s="4" t="s">
        <v>64</v>
      </c>
    </row>
    <row r="2896">
      <c r="A2896" s="4" t="s">
        <v>5965</v>
      </c>
      <c r="B2896" s="4" t="s">
        <v>5965</v>
      </c>
      <c r="C2896" s="4">
        <v>1285.0</v>
      </c>
      <c r="D2896" s="5" t="str">
        <f>HYPERLINK("https://www.linkedin.com/ad-library/detail/1251388813","Open Ad")</f>
        <v>Open Ad</v>
      </c>
      <c r="E2896" s="4" t="s">
        <v>5970</v>
      </c>
      <c r="F2896" s="4" t="s">
        <v>54</v>
      </c>
      <c r="G2896" s="4" t="s">
        <v>6481</v>
      </c>
      <c r="H2896" s="4" t="s">
        <v>49</v>
      </c>
      <c r="I2896" s="4" t="s">
        <v>6005</v>
      </c>
      <c r="J2896" s="4" t="s">
        <v>5973</v>
      </c>
      <c r="K2896" s="4" t="s">
        <v>59</v>
      </c>
      <c r="L2896" s="4" t="s">
        <v>106</v>
      </c>
      <c r="M2896" s="4" t="s">
        <v>5965</v>
      </c>
      <c r="O2896" s="4" t="s">
        <v>63</v>
      </c>
      <c r="P2896" s="4" t="s">
        <v>64</v>
      </c>
    </row>
    <row r="2897">
      <c r="A2897" s="4" t="s">
        <v>5965</v>
      </c>
      <c r="B2897" s="4" t="s">
        <v>5965</v>
      </c>
      <c r="C2897" s="4">
        <v>1286.0</v>
      </c>
      <c r="D2897" s="5" t="str">
        <f>HYPERLINK("https://www.linkedin.com/ad-library/detail/1398715206","Open Ad")</f>
        <v>Open Ad</v>
      </c>
      <c r="E2897" s="4" t="s">
        <v>121</v>
      </c>
      <c r="F2897" s="4" t="s">
        <v>54</v>
      </c>
      <c r="G2897" s="4" t="s">
        <v>6525</v>
      </c>
      <c r="H2897" s="4" t="s">
        <v>49</v>
      </c>
      <c r="I2897" s="4" t="s">
        <v>6005</v>
      </c>
      <c r="J2897" s="4" t="s">
        <v>121</v>
      </c>
      <c r="K2897" s="5" t="str">
        <f t="shared" ref="K2897:K2898" si="140">HYPERLINK("https://dms.licdn.com/playlist/vid/v2/D4D05AQHh70RChnM0SA/mp4-640p-30fp-crf28/B4DZ3AZ_B5HUBg-/0/1777049540511?e=2147483647&amp;v=beta&amp;t=asnZbc5MfLW0XV-wbqR7YtAvoIGsBExTsIWW1WLCiZo","View Creative")</f>
        <v>View Creative</v>
      </c>
      <c r="L2897" s="4" t="s">
        <v>106</v>
      </c>
      <c r="M2897" s="4" t="s">
        <v>5965</v>
      </c>
      <c r="O2897" s="4" t="s">
        <v>63</v>
      </c>
      <c r="P2897" s="4" t="s">
        <v>64</v>
      </c>
    </row>
    <row r="2898">
      <c r="A2898" s="4" t="s">
        <v>5965</v>
      </c>
      <c r="B2898" s="4" t="s">
        <v>5965</v>
      </c>
      <c r="C2898" s="4">
        <v>1287.0</v>
      </c>
      <c r="D2898" s="5" t="str">
        <f>HYPERLINK("https://www.linkedin.com/ad-library/detail/1398862616","Open Ad")</f>
        <v>Open Ad</v>
      </c>
      <c r="E2898" s="4" t="s">
        <v>121</v>
      </c>
      <c r="F2898" s="4" t="s">
        <v>54</v>
      </c>
      <c r="G2898" s="4" t="s">
        <v>6525</v>
      </c>
      <c r="H2898" s="4" t="s">
        <v>49</v>
      </c>
      <c r="I2898" s="4" t="s">
        <v>6005</v>
      </c>
      <c r="J2898" s="4" t="s">
        <v>121</v>
      </c>
      <c r="K2898" s="5" t="str">
        <f t="shared" si="140"/>
        <v>View Creative</v>
      </c>
      <c r="L2898" s="4" t="s">
        <v>106</v>
      </c>
      <c r="M2898" s="4" t="s">
        <v>5965</v>
      </c>
      <c r="O2898" s="4" t="s">
        <v>63</v>
      </c>
      <c r="P2898" s="4" t="s">
        <v>64</v>
      </c>
    </row>
    <row r="2899">
      <c r="A2899" s="4" t="s">
        <v>5965</v>
      </c>
      <c r="B2899" s="4" t="s">
        <v>5965</v>
      </c>
      <c r="C2899" s="4">
        <v>1288.0</v>
      </c>
      <c r="D2899" s="5" t="str">
        <f>HYPERLINK("https://www.linkedin.com/ad-library/detail/1398869886","Open Ad")</f>
        <v>Open Ad</v>
      </c>
      <c r="E2899" s="4" t="s">
        <v>78</v>
      </c>
      <c r="F2899" s="4" t="s">
        <v>54</v>
      </c>
      <c r="G2899" s="4" t="s">
        <v>6069</v>
      </c>
      <c r="H2899" s="4" t="s">
        <v>49</v>
      </c>
      <c r="I2899" s="4" t="s">
        <v>6005</v>
      </c>
      <c r="J2899" s="4" t="s">
        <v>78</v>
      </c>
      <c r="K2899" s="5" t="str">
        <f>HYPERLINK("https://media.licdn.com/dms/image/v2/D4E10AQEqECWLz8eLfg/image-shrink_1280/B4EZ3UsZ.CGkAc-/0/1777389904287?e=2147483647&amp;v=beta&amp;t=0Mbfqk_hLfichGIBXrMjoO2DeoHez5SeK866pI13xWU","View Creative")</f>
        <v>View Creative</v>
      </c>
      <c r="L2899" s="4" t="s">
        <v>106</v>
      </c>
      <c r="M2899" s="4" t="s">
        <v>5965</v>
      </c>
      <c r="O2899" s="4" t="s">
        <v>63</v>
      </c>
      <c r="P2899" s="4" t="s">
        <v>64</v>
      </c>
    </row>
    <row r="2900">
      <c r="A2900" s="4" t="s">
        <v>5965</v>
      </c>
      <c r="B2900" s="4" t="s">
        <v>5965</v>
      </c>
      <c r="C2900" s="4">
        <v>1289.0</v>
      </c>
      <c r="D2900" s="5" t="str">
        <f>HYPERLINK("https://www.linkedin.com/ad-library/detail/1398754706","Open Ad")</f>
        <v>Open Ad</v>
      </c>
      <c r="E2900" s="4" t="s">
        <v>121</v>
      </c>
      <c r="F2900" s="4" t="s">
        <v>54</v>
      </c>
      <c r="G2900" s="4" t="s">
        <v>6525</v>
      </c>
      <c r="H2900" s="4" t="s">
        <v>49</v>
      </c>
      <c r="I2900" s="4" t="s">
        <v>6005</v>
      </c>
      <c r="J2900" s="4" t="s">
        <v>121</v>
      </c>
      <c r="K2900" s="5" t="str">
        <f>HYPERLINK("https://dms.licdn.com/playlist/vid/v2/D4D05AQHh70RChnM0SA/mp4-640p-30fp-crf28/B4DZ3AZ_B5HUBg-/0/1777049540511?e=2147483647&amp;v=beta&amp;t=asnZbc5MfLW0XV-wbqR7YtAvoIGsBExTsIWW1WLCiZo","View Creative")</f>
        <v>View Creative</v>
      </c>
      <c r="L2900" s="4" t="s">
        <v>106</v>
      </c>
      <c r="M2900" s="4" t="s">
        <v>5965</v>
      </c>
      <c r="O2900" s="4" t="s">
        <v>63</v>
      </c>
      <c r="P2900" s="4" t="s">
        <v>64</v>
      </c>
    </row>
    <row r="2901">
      <c r="A2901" s="4" t="s">
        <v>5965</v>
      </c>
      <c r="B2901" s="4" t="s">
        <v>5965</v>
      </c>
      <c r="C2901" s="4">
        <v>1290.0</v>
      </c>
      <c r="D2901" s="5" t="str">
        <f>HYPERLINK("https://www.linkedin.com/ad-library/detail/1396542656","Open Ad")</f>
        <v>Open Ad</v>
      </c>
      <c r="E2901" s="4" t="s">
        <v>78</v>
      </c>
      <c r="F2901" s="4" t="s">
        <v>54</v>
      </c>
      <c r="G2901" s="4" t="s">
        <v>6524</v>
      </c>
      <c r="H2901" s="4" t="s">
        <v>49</v>
      </c>
      <c r="I2901" s="4" t="s">
        <v>6005</v>
      </c>
      <c r="J2901" s="4" t="s">
        <v>78</v>
      </c>
      <c r="K2901" s="5" t="str">
        <f>HYPERLINK("https://media.licdn.com/dms/image/v2/D4E22AQEe7iJPRpwRfA/feedshare-shrink_1280/B4EZ2xCizFJkAM-/0/1776791727952?e=2147483647&amp;v=beta&amp;t=24jH5c0XWlb1ellVmLE-5jyB-0PykN9AAhWfYlIevKs","View Creative")</f>
        <v>View Creative</v>
      </c>
      <c r="L2901" s="4" t="s">
        <v>106</v>
      </c>
      <c r="M2901" s="4" t="s">
        <v>5965</v>
      </c>
      <c r="O2901" s="4" t="s">
        <v>63</v>
      </c>
      <c r="P2901" s="4" t="s">
        <v>64</v>
      </c>
    </row>
    <row r="2902">
      <c r="A2902" s="4" t="s">
        <v>5965</v>
      </c>
      <c r="B2902" s="4" t="s">
        <v>5965</v>
      </c>
      <c r="C2902" s="4">
        <v>1291.0</v>
      </c>
      <c r="D2902" s="5" t="str">
        <f>HYPERLINK("https://www.linkedin.com/ad-library/detail/1398808116","Open Ad")</f>
        <v>Open Ad</v>
      </c>
      <c r="E2902" s="4" t="s">
        <v>78</v>
      </c>
      <c r="F2902" s="4" t="s">
        <v>54</v>
      </c>
      <c r="G2902" s="4" t="s">
        <v>6115</v>
      </c>
      <c r="H2902" s="4" t="s">
        <v>49</v>
      </c>
      <c r="I2902" s="4" t="s">
        <v>6005</v>
      </c>
      <c r="J2902" s="4" t="s">
        <v>78</v>
      </c>
      <c r="K2902" s="5" t="str">
        <f>HYPERLINK("https://media.licdn.com/dms/image/v2/D5610AQH-q8Kfz-YVbQ/image-shrink_1280/B56Z3WDoOFKgAc-/0/1777412768916/Adpng?e=2147483647&amp;v=beta&amp;t=Lvt6Go03KIs4rRA12hIMu8l80ejL9dzwHdp0rAwmuTM","View Creative")</f>
        <v>View Creative</v>
      </c>
      <c r="L2902" s="4" t="s">
        <v>106</v>
      </c>
      <c r="M2902" s="4" t="s">
        <v>5965</v>
      </c>
      <c r="O2902" s="4" t="s">
        <v>63</v>
      </c>
      <c r="P2902" s="4" t="s">
        <v>64</v>
      </c>
    </row>
    <row r="2903">
      <c r="A2903" s="4" t="s">
        <v>5965</v>
      </c>
      <c r="B2903" s="4" t="s">
        <v>5965</v>
      </c>
      <c r="C2903" s="4">
        <v>1292.0</v>
      </c>
      <c r="D2903" s="5" t="str">
        <f>HYPERLINK("https://www.linkedin.com/ad-library/detail/1396592236","Open Ad")</f>
        <v>Open Ad</v>
      </c>
      <c r="E2903" s="4" t="s">
        <v>121</v>
      </c>
      <c r="F2903" s="4" t="s">
        <v>54</v>
      </c>
      <c r="G2903" s="4" t="s">
        <v>6526</v>
      </c>
      <c r="H2903" s="4" t="s">
        <v>49</v>
      </c>
      <c r="I2903" s="4" t="s">
        <v>6005</v>
      </c>
      <c r="J2903" s="4" t="s">
        <v>121</v>
      </c>
      <c r="K2903" s="5" t="str">
        <f>HYPERLINK("https://dms.licdn.com/playlist/vid/v2/D4E10AQFckv7gmjD1ow/mp4-360p-30fp-crf28/B4EZ2xBlN9JUCA-/0/1776791479385?e=2147483647&amp;v=beta&amp;t=EVZD1ZdkhhsEPYEG6ZS7tCaaj2IxibK3iiniIzHQWrU","View Creative")</f>
        <v>View Creative</v>
      </c>
      <c r="L2903" s="4" t="s">
        <v>106</v>
      </c>
      <c r="M2903" s="4" t="s">
        <v>5965</v>
      </c>
      <c r="O2903" s="4" t="s">
        <v>63</v>
      </c>
      <c r="P2903" s="4" t="s">
        <v>64</v>
      </c>
    </row>
    <row r="2904">
      <c r="A2904" s="4" t="s">
        <v>5965</v>
      </c>
      <c r="B2904" s="4" t="s">
        <v>5965</v>
      </c>
      <c r="C2904" s="4">
        <v>1293.0</v>
      </c>
      <c r="D2904" s="5" t="str">
        <f>HYPERLINK("https://www.linkedin.com/ad-library/detail/1398794726","Open Ad")</f>
        <v>Open Ad</v>
      </c>
      <c r="E2904" s="4" t="s">
        <v>121</v>
      </c>
      <c r="F2904" s="4" t="s">
        <v>54</v>
      </c>
      <c r="G2904" s="4" t="s">
        <v>6525</v>
      </c>
      <c r="H2904" s="4" t="s">
        <v>49</v>
      </c>
      <c r="I2904" s="4" t="s">
        <v>6005</v>
      </c>
      <c r="J2904" s="4" t="s">
        <v>121</v>
      </c>
      <c r="K2904" s="5" t="str">
        <f>HYPERLINK("https://dms.licdn.com/playlist/vid/v2/D4D05AQHh70RChnM0SA/mp4-640p-30fp-crf28/B4DZ3AZ_B5HUBg-/0/1777049540511?e=2147483647&amp;v=beta&amp;t=asnZbc5MfLW0XV-wbqR7YtAvoIGsBExTsIWW1WLCiZo","View Creative")</f>
        <v>View Creative</v>
      </c>
      <c r="L2904" s="4" t="s">
        <v>106</v>
      </c>
      <c r="M2904" s="4" t="s">
        <v>5965</v>
      </c>
      <c r="O2904" s="4" t="s">
        <v>63</v>
      </c>
      <c r="P2904" s="4" t="s">
        <v>64</v>
      </c>
    </row>
    <row r="2905">
      <c r="A2905" s="4" t="s">
        <v>5965</v>
      </c>
      <c r="B2905" s="4" t="s">
        <v>5965</v>
      </c>
      <c r="C2905" s="4">
        <v>1294.0</v>
      </c>
      <c r="D2905" s="5" t="str">
        <f>HYPERLINK("https://www.linkedin.com/ad-library/detail/1398774536","Open Ad")</f>
        <v>Open Ad</v>
      </c>
      <c r="E2905" s="4" t="s">
        <v>78</v>
      </c>
      <c r="F2905" s="4" t="s">
        <v>54</v>
      </c>
      <c r="G2905" s="4" t="s">
        <v>6069</v>
      </c>
      <c r="H2905" s="4" t="s">
        <v>49</v>
      </c>
      <c r="I2905" s="4" t="s">
        <v>6005</v>
      </c>
      <c r="J2905" s="4" t="s">
        <v>78</v>
      </c>
      <c r="K2905" s="5" t="str">
        <f t="shared" ref="K2905:K2907" si="141">HYPERLINK("https://media.licdn.com/dms/image/v2/D4E10AQEqECWLz8eLfg/image-shrink_1280/B4EZ3UsZ.CGkAc-/0/1777389904287?e=2147483647&amp;v=beta&amp;t=0Mbfqk_hLfichGIBXrMjoO2DeoHez5SeK866pI13xWU","View Creative")</f>
        <v>View Creative</v>
      </c>
      <c r="L2905" s="4" t="s">
        <v>106</v>
      </c>
      <c r="M2905" s="4" t="s">
        <v>5965</v>
      </c>
      <c r="O2905" s="4" t="s">
        <v>63</v>
      </c>
      <c r="P2905" s="4" t="s">
        <v>64</v>
      </c>
    </row>
    <row r="2906">
      <c r="A2906" s="4" t="s">
        <v>5965</v>
      </c>
      <c r="B2906" s="4" t="s">
        <v>5965</v>
      </c>
      <c r="C2906" s="4">
        <v>1295.0</v>
      </c>
      <c r="D2906" s="5" t="str">
        <f>HYPERLINK("https://www.linkedin.com/ad-library/detail/1398715116","Open Ad")</f>
        <v>Open Ad</v>
      </c>
      <c r="E2906" s="4" t="s">
        <v>78</v>
      </c>
      <c r="F2906" s="4" t="s">
        <v>54</v>
      </c>
      <c r="G2906" s="4" t="s">
        <v>6069</v>
      </c>
      <c r="H2906" s="4" t="s">
        <v>49</v>
      </c>
      <c r="I2906" s="4" t="s">
        <v>6005</v>
      </c>
      <c r="J2906" s="4" t="s">
        <v>78</v>
      </c>
      <c r="K2906" s="5" t="str">
        <f t="shared" si="141"/>
        <v>View Creative</v>
      </c>
      <c r="L2906" s="4" t="s">
        <v>106</v>
      </c>
      <c r="M2906" s="4" t="s">
        <v>5965</v>
      </c>
      <c r="O2906" s="4" t="s">
        <v>63</v>
      </c>
      <c r="P2906" s="4" t="s">
        <v>64</v>
      </c>
    </row>
    <row r="2907">
      <c r="A2907" s="4" t="s">
        <v>5965</v>
      </c>
      <c r="B2907" s="4" t="s">
        <v>5965</v>
      </c>
      <c r="C2907" s="4">
        <v>1296.0</v>
      </c>
      <c r="D2907" s="5" t="str">
        <f>HYPERLINK("https://www.linkedin.com/ad-library/detail/1398824496","Open Ad")</f>
        <v>Open Ad</v>
      </c>
      <c r="E2907" s="4" t="s">
        <v>78</v>
      </c>
      <c r="F2907" s="4" t="s">
        <v>54</v>
      </c>
      <c r="G2907" s="4" t="s">
        <v>6069</v>
      </c>
      <c r="H2907" s="4" t="s">
        <v>49</v>
      </c>
      <c r="I2907" s="4" t="s">
        <v>6005</v>
      </c>
      <c r="J2907" s="4" t="s">
        <v>78</v>
      </c>
      <c r="K2907" s="5" t="str">
        <f t="shared" si="141"/>
        <v>View Creative</v>
      </c>
      <c r="L2907" s="4" t="s">
        <v>106</v>
      </c>
      <c r="M2907" s="4" t="s">
        <v>5965</v>
      </c>
      <c r="O2907" s="4" t="s">
        <v>63</v>
      </c>
      <c r="P2907" s="4" t="s">
        <v>64</v>
      </c>
    </row>
    <row r="2908">
      <c r="A2908" s="4" t="s">
        <v>5965</v>
      </c>
      <c r="B2908" s="4" t="s">
        <v>5965</v>
      </c>
      <c r="C2908" s="4">
        <v>1297.0</v>
      </c>
      <c r="D2908" s="5" t="str">
        <f>HYPERLINK("https://www.linkedin.com/ad-library/detail/1396601816","Open Ad")</f>
        <v>Open Ad</v>
      </c>
      <c r="E2908" s="4" t="s">
        <v>78</v>
      </c>
      <c r="F2908" s="4" t="s">
        <v>54</v>
      </c>
      <c r="G2908" s="4" t="s">
        <v>6527</v>
      </c>
      <c r="H2908" s="4" t="s">
        <v>49</v>
      </c>
      <c r="I2908" s="4" t="s">
        <v>6005</v>
      </c>
      <c r="J2908" s="4" t="s">
        <v>78</v>
      </c>
      <c r="K2908" s="5" t="str">
        <f>HYPERLINK("https://media.licdn.com/dms/image/v2/D4E10AQGTxEY7NmmocQ/image-shrink_1280/B4EZ22V4ajKcAc-/0/1776880683291?e=2147483647&amp;v=beta&amp;t=2EWAlCdodiuKZ1Zz5fQh1m--uCfWV663gqZsMKZkfd8","View Creative")</f>
        <v>View Creative</v>
      </c>
      <c r="L2908" s="4" t="s">
        <v>106</v>
      </c>
      <c r="M2908" s="4" t="s">
        <v>5965</v>
      </c>
      <c r="O2908" s="4" t="s">
        <v>63</v>
      </c>
      <c r="P2908" s="4" t="s">
        <v>64</v>
      </c>
    </row>
    <row r="2909">
      <c r="A2909" s="4" t="s">
        <v>5965</v>
      </c>
      <c r="B2909" s="4" t="s">
        <v>5965</v>
      </c>
      <c r="C2909" s="4">
        <v>1298.0</v>
      </c>
      <c r="D2909" s="5" t="str">
        <f>HYPERLINK("https://www.linkedin.com/ad-library/detail/1393844276","Open Ad")</f>
        <v>Open Ad</v>
      </c>
      <c r="E2909" s="4" t="s">
        <v>78</v>
      </c>
      <c r="F2909" s="4" t="s">
        <v>54</v>
      </c>
      <c r="G2909" s="4" t="s">
        <v>6528</v>
      </c>
      <c r="H2909" s="4" t="s">
        <v>49</v>
      </c>
      <c r="I2909" s="4" t="s">
        <v>6005</v>
      </c>
      <c r="J2909" s="4" t="s">
        <v>78</v>
      </c>
      <c r="K2909" s="5" t="str">
        <f>HYPERLINK("https://media.licdn.com/dms/image/v2/D4E10AQF6tZoeAz8HmA/image-shrink_1280/B4EZ2s5a_1JEAc-/0/1776722227812?e=2147483647&amp;v=beta&amp;t=1By_bdoC5sQppZbvJniWDmRrjsvOVc-ZigNKnM63Eeo","View Creative")</f>
        <v>View Creative</v>
      </c>
      <c r="L2909" s="4" t="s">
        <v>106</v>
      </c>
      <c r="M2909" s="4" t="s">
        <v>5965</v>
      </c>
      <c r="O2909" s="4" t="s">
        <v>63</v>
      </c>
      <c r="P2909" s="4" t="s">
        <v>64</v>
      </c>
    </row>
    <row r="2910">
      <c r="A2910" s="4" t="s">
        <v>5965</v>
      </c>
      <c r="B2910" s="4" t="s">
        <v>5965</v>
      </c>
      <c r="C2910" s="4">
        <v>1299.0</v>
      </c>
      <c r="D2910" s="5" t="str">
        <f>HYPERLINK("https://www.linkedin.com/ad-library/detail/1396512896","Open Ad")</f>
        <v>Open Ad</v>
      </c>
      <c r="E2910" s="4" t="s">
        <v>78</v>
      </c>
      <c r="F2910" s="4" t="s">
        <v>54</v>
      </c>
      <c r="G2910" s="4" t="s">
        <v>6527</v>
      </c>
      <c r="H2910" s="4" t="s">
        <v>49</v>
      </c>
      <c r="I2910" s="4" t="s">
        <v>6005</v>
      </c>
      <c r="J2910" s="4" t="s">
        <v>78</v>
      </c>
      <c r="K2910" s="5" t="str">
        <f>HYPERLINK("https://media.licdn.com/dms/image/v2/D4E10AQGTxEY7NmmocQ/image-shrink_1280/B4EZ22V4ajKcAc-/0/1776880683291?e=2147483647&amp;v=beta&amp;t=2EWAlCdodiuKZ1Zz5fQh1m--uCfWV663gqZsMKZkfd8","View Creative")</f>
        <v>View Creative</v>
      </c>
      <c r="L2910" s="4" t="s">
        <v>106</v>
      </c>
      <c r="M2910" s="4" t="s">
        <v>5965</v>
      </c>
      <c r="O2910" s="4" t="s">
        <v>63</v>
      </c>
      <c r="P2910" s="4" t="s">
        <v>64</v>
      </c>
    </row>
    <row r="2911">
      <c r="A2911" s="4" t="s">
        <v>5965</v>
      </c>
      <c r="B2911" s="4" t="s">
        <v>5965</v>
      </c>
      <c r="C2911" s="4">
        <v>1300.0</v>
      </c>
      <c r="D2911" s="5" t="str">
        <f>HYPERLINK("https://www.linkedin.com/ad-library/detail/1393911426","Open Ad")</f>
        <v>Open Ad</v>
      </c>
      <c r="E2911" s="4" t="s">
        <v>78</v>
      </c>
      <c r="F2911" s="4" t="s">
        <v>54</v>
      </c>
      <c r="G2911" s="4" t="s">
        <v>6528</v>
      </c>
      <c r="H2911" s="4" t="s">
        <v>49</v>
      </c>
      <c r="I2911" s="4" t="s">
        <v>6005</v>
      </c>
      <c r="J2911" s="4" t="s">
        <v>78</v>
      </c>
      <c r="K2911" s="5" t="str">
        <f t="shared" ref="K2911:K2912" si="142">HYPERLINK("https://media.licdn.com/dms/image/v2/D4E10AQF6tZoeAz8HmA/image-shrink_1280/B4EZ2s5a_1JEAc-/0/1776722227812?e=2147483647&amp;v=beta&amp;t=1By_bdoC5sQppZbvJniWDmRrjsvOVc-ZigNKnM63Eeo","View Creative")</f>
        <v>View Creative</v>
      </c>
      <c r="L2911" s="4" t="s">
        <v>106</v>
      </c>
      <c r="M2911" s="4" t="s">
        <v>5965</v>
      </c>
      <c r="O2911" s="4" t="s">
        <v>63</v>
      </c>
      <c r="P2911" s="4" t="s">
        <v>64</v>
      </c>
    </row>
    <row r="2912">
      <c r="A2912" s="4" t="s">
        <v>5965</v>
      </c>
      <c r="B2912" s="4" t="s">
        <v>5965</v>
      </c>
      <c r="C2912" s="4">
        <v>1301.0</v>
      </c>
      <c r="D2912" s="5" t="str">
        <f>HYPERLINK("https://www.linkedin.com/ad-library/detail/1393911416","Open Ad")</f>
        <v>Open Ad</v>
      </c>
      <c r="E2912" s="4" t="s">
        <v>78</v>
      </c>
      <c r="F2912" s="4" t="s">
        <v>54</v>
      </c>
      <c r="G2912" s="4" t="s">
        <v>6528</v>
      </c>
      <c r="H2912" s="4" t="s">
        <v>49</v>
      </c>
      <c r="I2912" s="4" t="s">
        <v>6427</v>
      </c>
      <c r="J2912" s="4" t="s">
        <v>78</v>
      </c>
      <c r="K2912" s="5" t="str">
        <f t="shared" si="142"/>
        <v>View Creative</v>
      </c>
      <c r="L2912" s="4" t="s">
        <v>60</v>
      </c>
      <c r="M2912" s="4" t="s">
        <v>5965</v>
      </c>
      <c r="N2912" s="4" t="s">
        <v>6529</v>
      </c>
      <c r="O2912" s="4" t="s">
        <v>74</v>
      </c>
      <c r="P2912" s="4" t="s">
        <v>6530</v>
      </c>
    </row>
    <row r="2913">
      <c r="A2913" s="4" t="s">
        <v>5965</v>
      </c>
      <c r="B2913" s="4" t="s">
        <v>5965</v>
      </c>
      <c r="C2913" s="4">
        <v>1302.0</v>
      </c>
      <c r="D2913" s="5" t="str">
        <f>HYPERLINK("https://www.linkedin.com/ad-library/detail/1393911446","Open Ad")</f>
        <v>Open Ad</v>
      </c>
      <c r="E2913" s="4" t="s">
        <v>121</v>
      </c>
      <c r="F2913" s="4" t="s">
        <v>54</v>
      </c>
      <c r="G2913" s="4" t="s">
        <v>6531</v>
      </c>
      <c r="H2913" s="4" t="s">
        <v>49</v>
      </c>
      <c r="I2913" s="4" t="s">
        <v>6005</v>
      </c>
      <c r="J2913" s="4" t="s">
        <v>121</v>
      </c>
      <c r="K2913" s="5" t="str">
        <f>HYPERLINK("https://dms.licdn.com/playlist/vid/v2/D4E10AQF2MK-zXYPWZw/mp4-360p-30fp-crf28/B4EZ2rNdSUG0CE-/0/1776693935287?e=2147483647&amp;v=beta&amp;t=_wjRjBS96m9VybftcOv4_RvAQaU1zxtA8xeJI4NsGdo","View Creative")</f>
        <v>View Creative</v>
      </c>
      <c r="L2913" s="4" t="s">
        <v>106</v>
      </c>
      <c r="M2913" s="4" t="s">
        <v>5965</v>
      </c>
      <c r="O2913" s="4" t="s">
        <v>63</v>
      </c>
      <c r="P2913" s="4" t="s">
        <v>64</v>
      </c>
    </row>
    <row r="2914">
      <c r="A2914" s="4" t="s">
        <v>5965</v>
      </c>
      <c r="B2914" s="4" t="s">
        <v>5965</v>
      </c>
      <c r="C2914" s="4">
        <v>1303.0</v>
      </c>
      <c r="D2914" s="5" t="str">
        <f>HYPERLINK("https://www.linkedin.com/ad-library/detail/1393705296","Open Ad")</f>
        <v>Open Ad</v>
      </c>
      <c r="E2914" s="4" t="s">
        <v>78</v>
      </c>
      <c r="F2914" s="4" t="s">
        <v>54</v>
      </c>
      <c r="G2914" s="4" t="s">
        <v>6532</v>
      </c>
      <c r="H2914" s="4" t="s">
        <v>49</v>
      </c>
      <c r="I2914" s="4" t="s">
        <v>6005</v>
      </c>
      <c r="J2914" s="4" t="s">
        <v>78</v>
      </c>
      <c r="K2914" s="5" t="str">
        <f>HYPERLINK("https://media.licdn.com/dms/image/v2/D4E10AQF3yhpV3-ZqQQ/image-shrink_1280/B4EZ2wb_wAJkAc-/0/1776781622820?e=2147483647&amp;v=beta&amp;t=aRU09d6N-6B8b6ZqMWanBKtEoMHuNAKcB75w9MMhKGM","View Creative")</f>
        <v>View Creative</v>
      </c>
      <c r="L2914" s="4" t="s">
        <v>106</v>
      </c>
      <c r="M2914" s="4" t="s">
        <v>5965</v>
      </c>
      <c r="O2914" s="4" t="s">
        <v>63</v>
      </c>
      <c r="P2914" s="4" t="s">
        <v>64</v>
      </c>
    </row>
    <row r="2915">
      <c r="A2915" s="4" t="s">
        <v>5965</v>
      </c>
      <c r="B2915" s="4" t="s">
        <v>5965</v>
      </c>
      <c r="C2915" s="4">
        <v>1304.0</v>
      </c>
      <c r="D2915" s="5" t="str">
        <f>HYPERLINK("https://www.linkedin.com/ad-library/detail/1393745236","Open Ad")</f>
        <v>Open Ad</v>
      </c>
      <c r="E2915" s="4" t="s">
        <v>78</v>
      </c>
      <c r="F2915" s="4" t="s">
        <v>54</v>
      </c>
      <c r="G2915" s="4" t="s">
        <v>6528</v>
      </c>
      <c r="H2915" s="4" t="s">
        <v>49</v>
      </c>
      <c r="I2915" s="4" t="s">
        <v>6005</v>
      </c>
      <c r="J2915" s="4" t="s">
        <v>78</v>
      </c>
      <c r="K2915" s="5" t="str">
        <f>HYPERLINK("https://media.licdn.com/dms/image/v2/D4E10AQF6tZoeAz8HmA/image-shrink_1280/B4EZ2s5a_1JEAc-/0/1776722227812?e=2147483647&amp;v=beta&amp;t=1By_bdoC5sQppZbvJniWDmRrjsvOVc-ZigNKnM63Eeo","View Creative")</f>
        <v>View Creative</v>
      </c>
      <c r="L2915" s="4" t="s">
        <v>106</v>
      </c>
      <c r="M2915" s="4" t="s">
        <v>5965</v>
      </c>
      <c r="O2915" s="4" t="s">
        <v>63</v>
      </c>
      <c r="P2915" s="4" t="s">
        <v>64</v>
      </c>
    </row>
    <row r="2916">
      <c r="A2916" s="4" t="s">
        <v>5965</v>
      </c>
      <c r="B2916" s="4" t="s">
        <v>5965</v>
      </c>
      <c r="C2916" s="4">
        <v>1305.0</v>
      </c>
      <c r="D2916" s="5" t="str">
        <f>HYPERLINK("https://www.linkedin.com/ad-library/detail/1396532546","Open Ad")</f>
        <v>Open Ad</v>
      </c>
      <c r="E2916" s="4" t="s">
        <v>78</v>
      </c>
      <c r="F2916" s="4" t="s">
        <v>54</v>
      </c>
      <c r="G2916" s="4" t="s">
        <v>6524</v>
      </c>
      <c r="H2916" s="4" t="s">
        <v>49</v>
      </c>
      <c r="I2916" s="4" t="s">
        <v>6005</v>
      </c>
      <c r="J2916" s="4" t="s">
        <v>78</v>
      </c>
      <c r="K2916" s="5" t="str">
        <f>HYPERLINK("https://media.licdn.com/dms/image/v2/D4E22AQEe7iJPRpwRfA/feedshare-shrink_1280/B4EZ2xCizFJkAM-/0/1776791727952?e=2147483647&amp;v=beta&amp;t=24jH5c0XWlb1ellVmLE-5jyB-0PykN9AAhWfYlIevKs","View Creative")</f>
        <v>View Creative</v>
      </c>
      <c r="L2916" s="4" t="s">
        <v>106</v>
      </c>
      <c r="M2916" s="4" t="s">
        <v>5965</v>
      </c>
      <c r="O2916" s="4" t="s">
        <v>63</v>
      </c>
      <c r="P2916" s="4" t="s">
        <v>64</v>
      </c>
    </row>
    <row r="2917">
      <c r="A2917" s="4" t="s">
        <v>5965</v>
      </c>
      <c r="B2917" s="4" t="s">
        <v>5965</v>
      </c>
      <c r="C2917" s="4">
        <v>1306.0</v>
      </c>
      <c r="D2917" s="5" t="str">
        <f>HYPERLINK("https://www.linkedin.com/ad-library/detail/1393774366","Open Ad")</f>
        <v>Open Ad</v>
      </c>
      <c r="E2917" s="4" t="s">
        <v>78</v>
      </c>
      <c r="F2917" s="4" t="s">
        <v>54</v>
      </c>
      <c r="G2917" s="4" t="s">
        <v>6532</v>
      </c>
      <c r="H2917" s="4" t="s">
        <v>49</v>
      </c>
      <c r="I2917" s="4" t="s">
        <v>6005</v>
      </c>
      <c r="J2917" s="4" t="s">
        <v>78</v>
      </c>
      <c r="K2917" s="5" t="str">
        <f>HYPERLINK("https://media.licdn.com/dms/image/v2/D4E10AQF3yhpV3-ZqQQ/image-shrink_1280/B4EZ2wb_wAJkAc-/0/1776781622820?e=2147483647&amp;v=beta&amp;t=aRU09d6N-6B8b6ZqMWanBKtEoMHuNAKcB75w9MMhKGM","View Creative")</f>
        <v>View Creative</v>
      </c>
      <c r="L2917" s="4" t="s">
        <v>106</v>
      </c>
      <c r="M2917" s="4" t="s">
        <v>5965</v>
      </c>
      <c r="O2917" s="4" t="s">
        <v>63</v>
      </c>
      <c r="P2917" s="4" t="s">
        <v>64</v>
      </c>
    </row>
    <row r="2918">
      <c r="A2918" s="4" t="s">
        <v>5965</v>
      </c>
      <c r="B2918" s="4" t="s">
        <v>5965</v>
      </c>
      <c r="C2918" s="4">
        <v>1307.0</v>
      </c>
      <c r="D2918" s="5" t="str">
        <f>HYPERLINK("https://www.linkedin.com/ad-library/detail/1396631486","Open Ad")</f>
        <v>Open Ad</v>
      </c>
      <c r="E2918" s="4" t="s">
        <v>78</v>
      </c>
      <c r="F2918" s="4" t="s">
        <v>54</v>
      </c>
      <c r="G2918" s="4" t="s">
        <v>6527</v>
      </c>
      <c r="H2918" s="4" t="s">
        <v>49</v>
      </c>
      <c r="I2918" s="4" t="s">
        <v>6005</v>
      </c>
      <c r="J2918" s="4" t="s">
        <v>78</v>
      </c>
      <c r="K2918" s="5" t="str">
        <f>HYPERLINK("https://media.licdn.com/dms/image/v2/D4E10AQGTxEY7NmmocQ/image-shrink_1280/B4EZ22V4ajKcAc-/0/1776880683291?e=2147483647&amp;v=beta&amp;t=2EWAlCdodiuKZ1Zz5fQh1m--uCfWV663gqZsMKZkfd8","View Creative")</f>
        <v>View Creative</v>
      </c>
      <c r="L2918" s="4" t="s">
        <v>106</v>
      </c>
      <c r="M2918" s="4" t="s">
        <v>5965</v>
      </c>
      <c r="O2918" s="4" t="s">
        <v>63</v>
      </c>
      <c r="P2918" s="4" t="s">
        <v>64</v>
      </c>
    </row>
    <row r="2919">
      <c r="A2919" s="4" t="s">
        <v>5965</v>
      </c>
      <c r="B2919" s="4" t="s">
        <v>5965</v>
      </c>
      <c r="C2919" s="4">
        <v>1308.0</v>
      </c>
      <c r="D2919" s="5" t="str">
        <f>HYPERLINK("https://www.linkedin.com/ad-library/detail/1393814536","Open Ad")</f>
        <v>Open Ad</v>
      </c>
      <c r="E2919" s="4" t="s">
        <v>121</v>
      </c>
      <c r="F2919" s="4" t="s">
        <v>54</v>
      </c>
      <c r="G2919" s="4" t="s">
        <v>6531</v>
      </c>
      <c r="H2919" s="4" t="s">
        <v>49</v>
      </c>
      <c r="I2919" s="4" t="s">
        <v>6005</v>
      </c>
      <c r="J2919" s="4" t="s">
        <v>121</v>
      </c>
      <c r="K2919" s="5" t="str">
        <f t="shared" ref="K2919:K2921" si="143">HYPERLINK("https://dms.licdn.com/playlist/vid/v2/D4E10AQF2MK-zXYPWZw/mp4-360p-30fp-crf28/B4EZ2rNdSUG0CE-/0/1776693935287?e=2147483647&amp;v=beta&amp;t=_wjRjBS96m9VybftcOv4_RvAQaU1zxtA8xeJI4NsGdo","View Creative")</f>
        <v>View Creative</v>
      </c>
      <c r="L2919" s="4" t="s">
        <v>106</v>
      </c>
      <c r="M2919" s="4" t="s">
        <v>5965</v>
      </c>
      <c r="O2919" s="4" t="s">
        <v>63</v>
      </c>
      <c r="P2919" s="4" t="s">
        <v>64</v>
      </c>
    </row>
    <row r="2920">
      <c r="A2920" s="4" t="s">
        <v>5965</v>
      </c>
      <c r="B2920" s="4" t="s">
        <v>5965</v>
      </c>
      <c r="C2920" s="4">
        <v>1309.0</v>
      </c>
      <c r="D2920" s="5" t="str">
        <f>HYPERLINK("https://www.linkedin.com/ad-library/detail/1393814526","Open Ad")</f>
        <v>Open Ad</v>
      </c>
      <c r="E2920" s="4" t="s">
        <v>121</v>
      </c>
      <c r="F2920" s="4" t="s">
        <v>54</v>
      </c>
      <c r="G2920" s="4" t="s">
        <v>6531</v>
      </c>
      <c r="H2920" s="4" t="s">
        <v>49</v>
      </c>
      <c r="I2920" s="4" t="s">
        <v>6005</v>
      </c>
      <c r="J2920" s="4" t="s">
        <v>121</v>
      </c>
      <c r="K2920" s="5" t="str">
        <f t="shared" si="143"/>
        <v>View Creative</v>
      </c>
      <c r="L2920" s="4" t="s">
        <v>106</v>
      </c>
      <c r="M2920" s="4" t="s">
        <v>5965</v>
      </c>
      <c r="O2920" s="4" t="s">
        <v>63</v>
      </c>
      <c r="P2920" s="4" t="s">
        <v>64</v>
      </c>
    </row>
    <row r="2921">
      <c r="A2921" s="4" t="s">
        <v>5965</v>
      </c>
      <c r="B2921" s="4" t="s">
        <v>5965</v>
      </c>
      <c r="C2921" s="4">
        <v>1310.0</v>
      </c>
      <c r="D2921" s="5" t="str">
        <f>HYPERLINK("https://www.linkedin.com/ad-library/detail/1393863816","Open Ad")</f>
        <v>Open Ad</v>
      </c>
      <c r="E2921" s="4" t="s">
        <v>121</v>
      </c>
      <c r="F2921" s="4" t="s">
        <v>54</v>
      </c>
      <c r="G2921" s="4" t="s">
        <v>6531</v>
      </c>
      <c r="H2921" s="4" t="s">
        <v>49</v>
      </c>
      <c r="I2921" s="4" t="s">
        <v>6533</v>
      </c>
      <c r="J2921" s="4" t="s">
        <v>121</v>
      </c>
      <c r="K2921" s="5" t="str">
        <f t="shared" si="143"/>
        <v>View Creative</v>
      </c>
      <c r="L2921" s="4" t="s">
        <v>106</v>
      </c>
      <c r="M2921" s="4" t="s">
        <v>5965</v>
      </c>
      <c r="O2921" s="4" t="s">
        <v>74</v>
      </c>
      <c r="P2921" s="4" t="s">
        <v>6534</v>
      </c>
    </row>
    <row r="2922">
      <c r="A2922" s="4" t="s">
        <v>5965</v>
      </c>
      <c r="B2922" s="4" t="s">
        <v>5965</v>
      </c>
      <c r="C2922" s="4">
        <v>1311.0</v>
      </c>
      <c r="D2922" s="5" t="str">
        <f>HYPERLINK("https://www.linkedin.com/ad-library/detail/1393863806","Open Ad")</f>
        <v>Open Ad</v>
      </c>
      <c r="E2922" s="4" t="s">
        <v>78</v>
      </c>
      <c r="F2922" s="4" t="s">
        <v>54</v>
      </c>
      <c r="G2922" s="4" t="s">
        <v>6528</v>
      </c>
      <c r="H2922" s="4" t="s">
        <v>49</v>
      </c>
      <c r="I2922" s="4" t="s">
        <v>6005</v>
      </c>
      <c r="J2922" s="4" t="s">
        <v>78</v>
      </c>
      <c r="K2922" s="5" t="str">
        <f>HYPERLINK("https://media.licdn.com/dms/image/v2/D4E10AQF6tZoeAz8HmA/image-shrink_1280/B4EZ2s5a_1JEAc-/0/1776722227812?e=2147483647&amp;v=beta&amp;t=1By_bdoC5sQppZbvJniWDmRrjsvOVc-ZigNKnM63Eeo","View Creative")</f>
        <v>View Creative</v>
      </c>
      <c r="L2922" s="4" t="s">
        <v>106</v>
      </c>
      <c r="M2922" s="4" t="s">
        <v>5965</v>
      </c>
      <c r="O2922" s="4" t="s">
        <v>63</v>
      </c>
      <c r="P2922" s="4" t="s">
        <v>64</v>
      </c>
    </row>
    <row r="2923">
      <c r="A2923" s="4" t="s">
        <v>5965</v>
      </c>
      <c r="B2923" s="4" t="s">
        <v>5965</v>
      </c>
      <c r="C2923" s="4">
        <v>1312.0</v>
      </c>
      <c r="D2923" s="5" t="str">
        <f>HYPERLINK("https://www.linkedin.com/ad-library/detail/1280493044","Open Ad")</f>
        <v>Open Ad</v>
      </c>
      <c r="E2923" s="4" t="s">
        <v>121</v>
      </c>
      <c r="F2923" s="4" t="s">
        <v>54</v>
      </c>
      <c r="G2923" s="4" t="s">
        <v>6535</v>
      </c>
      <c r="H2923" s="4" t="s">
        <v>49</v>
      </c>
      <c r="I2923" s="4" t="s">
        <v>6005</v>
      </c>
      <c r="J2923" s="4" t="s">
        <v>121</v>
      </c>
      <c r="K2923" s="5" t="str">
        <f>HYPERLINK("https://dms.licdn.com/playlist/vid/v2/D4D05AQGfTb8lJN-XAw/mp4-720p-30fp-crf28/B4DZ2fLSD5HcCM-/0/1776492108956?e=2147483647&amp;v=beta&amp;t=uIPYjGppZXZO16Nq64Zt_cNW6L2kJW_ptbO4Gzs0Ir8","View Creative")</f>
        <v>View Creative</v>
      </c>
      <c r="L2923" s="4" t="s">
        <v>106</v>
      </c>
      <c r="M2923" s="4" t="s">
        <v>5965</v>
      </c>
      <c r="O2923" s="4" t="s">
        <v>63</v>
      </c>
      <c r="P2923" s="4" t="s">
        <v>64</v>
      </c>
    </row>
    <row r="2924">
      <c r="A2924" s="4" t="s">
        <v>5965</v>
      </c>
      <c r="B2924" s="4" t="s">
        <v>5965</v>
      </c>
      <c r="C2924" s="4">
        <v>1313.0</v>
      </c>
      <c r="D2924" s="5" t="str">
        <f>HYPERLINK("https://www.linkedin.com/ad-library/detail/1393754996","Open Ad")</f>
        <v>Open Ad</v>
      </c>
      <c r="E2924" s="4" t="s">
        <v>78</v>
      </c>
      <c r="F2924" s="4" t="s">
        <v>54</v>
      </c>
      <c r="G2924" s="4" t="s">
        <v>6528</v>
      </c>
      <c r="H2924" s="4" t="s">
        <v>49</v>
      </c>
      <c r="I2924" s="4" t="s">
        <v>6005</v>
      </c>
      <c r="J2924" s="4" t="s">
        <v>78</v>
      </c>
      <c r="K2924" s="5" t="str">
        <f>HYPERLINK("https://media.licdn.com/dms/image/v2/D4E10AQF6tZoeAz8HmA/image-shrink_1280/B4EZ2s5a_1JEAc-/0/1776722227812?e=2147483647&amp;v=beta&amp;t=1By_bdoC5sQppZbvJniWDmRrjsvOVc-ZigNKnM63Eeo","View Creative")</f>
        <v>View Creative</v>
      </c>
      <c r="L2924" s="4" t="s">
        <v>106</v>
      </c>
      <c r="M2924" s="4" t="s">
        <v>5965</v>
      </c>
      <c r="O2924" s="4" t="s">
        <v>63</v>
      </c>
      <c r="P2924" s="4" t="s">
        <v>64</v>
      </c>
    </row>
    <row r="2925">
      <c r="A2925" s="4" t="s">
        <v>5965</v>
      </c>
      <c r="B2925" s="4" t="s">
        <v>5965</v>
      </c>
      <c r="C2925" s="4">
        <v>1314.0</v>
      </c>
      <c r="D2925" s="5" t="str">
        <f>HYPERLINK("https://www.linkedin.com/ad-library/detail/1396443756","Open Ad")</f>
        <v>Open Ad</v>
      </c>
      <c r="E2925" s="4" t="s">
        <v>78</v>
      </c>
      <c r="F2925" s="4" t="s">
        <v>54</v>
      </c>
      <c r="G2925" s="4" t="s">
        <v>6527</v>
      </c>
      <c r="H2925" s="4" t="s">
        <v>49</v>
      </c>
      <c r="I2925" s="4" t="s">
        <v>6005</v>
      </c>
      <c r="J2925" s="4" t="s">
        <v>78</v>
      </c>
      <c r="K2925" s="5" t="str">
        <f t="shared" ref="K2925:K2926" si="144">HYPERLINK("https://media.licdn.com/dms/image/v2/D4E10AQGTxEY7NmmocQ/image-shrink_1280/B4EZ22V4ajKcAc-/0/1776880683291?e=2147483647&amp;v=beta&amp;t=2EWAlCdodiuKZ1Zz5fQh1m--uCfWV663gqZsMKZkfd8","View Creative")</f>
        <v>View Creative</v>
      </c>
      <c r="L2925" s="4" t="s">
        <v>106</v>
      </c>
      <c r="M2925" s="4" t="s">
        <v>5965</v>
      </c>
      <c r="O2925" s="4" t="s">
        <v>63</v>
      </c>
      <c r="P2925" s="4" t="s">
        <v>64</v>
      </c>
    </row>
    <row r="2926">
      <c r="A2926" s="4" t="s">
        <v>5965</v>
      </c>
      <c r="B2926" s="4" t="s">
        <v>5965</v>
      </c>
      <c r="C2926" s="4">
        <v>1315.0</v>
      </c>
      <c r="D2926" s="5" t="str">
        <f>HYPERLINK("https://www.linkedin.com/ad-library/detail/1396582526","Open Ad")</f>
        <v>Open Ad</v>
      </c>
      <c r="E2926" s="4" t="s">
        <v>78</v>
      </c>
      <c r="F2926" s="4" t="s">
        <v>54</v>
      </c>
      <c r="G2926" s="4" t="s">
        <v>6527</v>
      </c>
      <c r="H2926" s="4" t="s">
        <v>49</v>
      </c>
      <c r="I2926" s="4" t="s">
        <v>6005</v>
      </c>
      <c r="J2926" s="4" t="s">
        <v>78</v>
      </c>
      <c r="K2926" s="5" t="str">
        <f t="shared" si="144"/>
        <v>View Creative</v>
      </c>
      <c r="L2926" s="4" t="s">
        <v>106</v>
      </c>
      <c r="M2926" s="4" t="s">
        <v>5965</v>
      </c>
      <c r="O2926" s="4" t="s">
        <v>63</v>
      </c>
      <c r="P2926" s="4" t="s">
        <v>64</v>
      </c>
    </row>
    <row r="2927">
      <c r="A2927" s="4" t="s">
        <v>5965</v>
      </c>
      <c r="B2927" s="4" t="s">
        <v>5965</v>
      </c>
      <c r="C2927" s="4">
        <v>1316.0</v>
      </c>
      <c r="D2927" s="5" t="str">
        <f>HYPERLINK("https://www.linkedin.com/ad-library/detail/1393804656","Open Ad")</f>
        <v>Open Ad</v>
      </c>
      <c r="E2927" s="4" t="s">
        <v>78</v>
      </c>
      <c r="F2927" s="4" t="s">
        <v>54</v>
      </c>
      <c r="G2927" s="4" t="s">
        <v>6532</v>
      </c>
      <c r="H2927" s="4" t="s">
        <v>49</v>
      </c>
      <c r="I2927" s="4" t="s">
        <v>6005</v>
      </c>
      <c r="J2927" s="4" t="s">
        <v>78</v>
      </c>
      <c r="K2927" s="5" t="str">
        <f>HYPERLINK("https://media.licdn.com/dms/image/v2/D4E10AQF3yhpV3-ZqQQ/image-shrink_1280/B4EZ2wb_wAJkAc-/0/1776781622820?e=2147483647&amp;v=beta&amp;t=aRU09d6N-6B8b6ZqMWanBKtEoMHuNAKcB75w9MMhKGM","View Creative")</f>
        <v>View Creative</v>
      </c>
      <c r="L2927" s="4" t="s">
        <v>106</v>
      </c>
      <c r="M2927" s="4" t="s">
        <v>5965</v>
      </c>
      <c r="O2927" s="4" t="s">
        <v>63</v>
      </c>
      <c r="P2927" s="4" t="s">
        <v>64</v>
      </c>
    </row>
    <row r="2928">
      <c r="A2928" s="4" t="s">
        <v>5965</v>
      </c>
      <c r="B2928" s="4" t="s">
        <v>5965</v>
      </c>
      <c r="C2928" s="4">
        <v>1317.0</v>
      </c>
      <c r="D2928" s="5" t="str">
        <f>HYPERLINK("https://www.linkedin.com/ad-library/detail/1396542636","Open Ad")</f>
        <v>Open Ad</v>
      </c>
      <c r="E2928" s="4" t="s">
        <v>78</v>
      </c>
      <c r="F2928" s="4" t="s">
        <v>54</v>
      </c>
      <c r="G2928" s="4" t="s">
        <v>6524</v>
      </c>
      <c r="H2928" s="4" t="s">
        <v>49</v>
      </c>
      <c r="I2928" s="4" t="s">
        <v>6005</v>
      </c>
      <c r="J2928" s="4" t="s">
        <v>78</v>
      </c>
      <c r="K2928" s="5" t="str">
        <f>HYPERLINK("https://media.licdn.com/dms/image/v2/D4E22AQEe7iJPRpwRfA/feedshare-shrink_1280/B4EZ2xCizFJkAM-/0/1776791727952?e=2147483647&amp;v=beta&amp;t=24jH5c0XWlb1ellVmLE-5jyB-0PykN9AAhWfYlIevKs","View Creative")</f>
        <v>View Creative</v>
      </c>
      <c r="L2928" s="4" t="s">
        <v>106</v>
      </c>
      <c r="M2928" s="4" t="s">
        <v>5965</v>
      </c>
      <c r="O2928" s="4" t="s">
        <v>63</v>
      </c>
      <c r="P2928" s="4" t="s">
        <v>64</v>
      </c>
    </row>
    <row r="2929">
      <c r="A2929" s="4" t="s">
        <v>5965</v>
      </c>
      <c r="B2929" s="4" t="s">
        <v>5965</v>
      </c>
      <c r="C2929" s="4">
        <v>1318.0</v>
      </c>
      <c r="D2929" s="5" t="str">
        <f>HYPERLINK("https://www.linkedin.com/ad-library/detail/1393824476","Open Ad")</f>
        <v>Open Ad</v>
      </c>
      <c r="E2929" s="4" t="s">
        <v>78</v>
      </c>
      <c r="F2929" s="4" t="s">
        <v>54</v>
      </c>
      <c r="G2929" s="4" t="s">
        <v>6532</v>
      </c>
      <c r="H2929" s="4" t="s">
        <v>49</v>
      </c>
      <c r="I2929" s="4" t="s">
        <v>6005</v>
      </c>
      <c r="J2929" s="4" t="s">
        <v>78</v>
      </c>
      <c r="K2929" s="5" t="str">
        <f>HYPERLINK("https://media.licdn.com/dms/image/v2/D4E10AQF3yhpV3-ZqQQ/image-shrink_1280/B4EZ2wb_wAJkAc-/0/1776781622820?e=2147483647&amp;v=beta&amp;t=aRU09d6N-6B8b6ZqMWanBKtEoMHuNAKcB75w9MMhKGM","View Creative")</f>
        <v>View Creative</v>
      </c>
      <c r="L2929" s="4" t="s">
        <v>106</v>
      </c>
      <c r="M2929" s="4" t="s">
        <v>5965</v>
      </c>
      <c r="O2929" s="4" t="s">
        <v>63</v>
      </c>
      <c r="P2929" s="4" t="s">
        <v>64</v>
      </c>
    </row>
    <row r="2930">
      <c r="A2930" s="4" t="s">
        <v>5965</v>
      </c>
      <c r="B2930" s="4" t="s">
        <v>5965</v>
      </c>
      <c r="C2930" s="4">
        <v>1319.0</v>
      </c>
      <c r="D2930" s="5" t="str">
        <f>HYPERLINK("https://www.linkedin.com/ad-library/detail/1393844316","Open Ad")</f>
        <v>Open Ad</v>
      </c>
      <c r="E2930" s="4" t="s">
        <v>121</v>
      </c>
      <c r="F2930" s="4" t="s">
        <v>54</v>
      </c>
      <c r="G2930" s="4" t="s">
        <v>6531</v>
      </c>
      <c r="H2930" s="4" t="s">
        <v>49</v>
      </c>
      <c r="I2930" s="4" t="s">
        <v>6005</v>
      </c>
      <c r="J2930" s="4" t="s">
        <v>121</v>
      </c>
      <c r="K2930" s="5" t="str">
        <f>HYPERLINK("https://dms.licdn.com/playlist/vid/v2/D4E10AQF2MK-zXYPWZw/mp4-360p-30fp-crf28/B4EZ2rNdSUG0CE-/0/1776693935287?e=2147483647&amp;v=beta&amp;t=_wjRjBS96m9VybftcOv4_RvAQaU1zxtA8xeJI4NsGdo","View Creative")</f>
        <v>View Creative</v>
      </c>
      <c r="L2930" s="4" t="s">
        <v>106</v>
      </c>
      <c r="M2930" s="4" t="s">
        <v>5965</v>
      </c>
      <c r="O2930" s="4" t="s">
        <v>63</v>
      </c>
      <c r="P2930" s="4" t="s">
        <v>64</v>
      </c>
    </row>
    <row r="2931">
      <c r="A2931" s="4" t="s">
        <v>5965</v>
      </c>
      <c r="B2931" s="4" t="s">
        <v>5965</v>
      </c>
      <c r="C2931" s="4">
        <v>1320.0</v>
      </c>
      <c r="D2931" s="5" t="str">
        <f>HYPERLINK("https://www.linkedin.com/ad-library/detail/1393678016","Open Ad")</f>
        <v>Open Ad</v>
      </c>
      <c r="E2931" s="4" t="s">
        <v>78</v>
      </c>
      <c r="F2931" s="4" t="s">
        <v>54</v>
      </c>
      <c r="G2931" s="4" t="s">
        <v>6528</v>
      </c>
      <c r="H2931" s="4" t="s">
        <v>49</v>
      </c>
      <c r="I2931" s="4" t="s">
        <v>6005</v>
      </c>
      <c r="J2931" s="4" t="s">
        <v>78</v>
      </c>
      <c r="K2931" s="5" t="str">
        <f>HYPERLINK("https://media.licdn.com/dms/image/v2/D4E10AQF6tZoeAz8HmA/image-shrink_1280/B4EZ2s5a_1JEAc-/0/1776722227812?e=2147483647&amp;v=beta&amp;t=1By_bdoC5sQppZbvJniWDmRrjsvOVc-ZigNKnM63Eeo","View Creative")</f>
        <v>View Creative</v>
      </c>
      <c r="L2931" s="4" t="s">
        <v>106</v>
      </c>
      <c r="M2931" s="4" t="s">
        <v>5965</v>
      </c>
      <c r="O2931" s="4" t="s">
        <v>63</v>
      </c>
      <c r="P2931" s="4" t="s">
        <v>64</v>
      </c>
    </row>
    <row r="2932">
      <c r="A2932" s="4" t="s">
        <v>5965</v>
      </c>
      <c r="B2932" s="4" t="s">
        <v>5965</v>
      </c>
      <c r="C2932" s="4">
        <v>1321.0</v>
      </c>
      <c r="D2932" s="5" t="str">
        <f>HYPERLINK("https://www.linkedin.com/ad-library/detail/1392064736","Open Ad")</f>
        <v>Open Ad</v>
      </c>
      <c r="E2932" s="4" t="s">
        <v>121</v>
      </c>
      <c r="F2932" s="4" t="s">
        <v>54</v>
      </c>
      <c r="G2932" s="4" t="s">
        <v>6490</v>
      </c>
      <c r="H2932" s="4" t="s">
        <v>49</v>
      </c>
      <c r="I2932" s="4" t="s">
        <v>6005</v>
      </c>
      <c r="J2932" s="4" t="s">
        <v>121</v>
      </c>
      <c r="K2932" s="5" t="str">
        <f t="shared" ref="K2932:K2933" si="145">HYPERLINK("https://dms.licdn.com/playlist/vid/v2/D4E05AQGgDq87Idj5yQ/mp4-720p-30fp-crf28/B4EZ2SOfNBIkCI-/0/1776274785729?e=2147483647&amp;v=beta&amp;t=GlzWHH2t1SJHcYYhlaMPGa_26MZmEbr1GAGR0HyZh70","View Creative")</f>
        <v>View Creative</v>
      </c>
      <c r="L2932" s="4" t="s">
        <v>106</v>
      </c>
      <c r="M2932" s="4" t="s">
        <v>5965</v>
      </c>
      <c r="O2932" s="4" t="s">
        <v>63</v>
      </c>
      <c r="P2932" s="4" t="s">
        <v>64</v>
      </c>
    </row>
    <row r="2933">
      <c r="A2933" s="4" t="s">
        <v>5965</v>
      </c>
      <c r="B2933" s="4" t="s">
        <v>5965</v>
      </c>
      <c r="C2933" s="4">
        <v>1322.0</v>
      </c>
      <c r="D2933" s="5" t="str">
        <f>HYPERLINK("https://www.linkedin.com/ad-library/detail/1392094706","Open Ad")</f>
        <v>Open Ad</v>
      </c>
      <c r="E2933" s="4" t="s">
        <v>121</v>
      </c>
      <c r="F2933" s="4" t="s">
        <v>54</v>
      </c>
      <c r="G2933" s="4" t="s">
        <v>6490</v>
      </c>
      <c r="H2933" s="4" t="s">
        <v>49</v>
      </c>
      <c r="I2933" s="4" t="s">
        <v>6005</v>
      </c>
      <c r="J2933" s="4" t="s">
        <v>121</v>
      </c>
      <c r="K2933" s="5" t="str">
        <f t="shared" si="145"/>
        <v>View Creative</v>
      </c>
      <c r="L2933" s="4" t="s">
        <v>106</v>
      </c>
      <c r="M2933" s="4" t="s">
        <v>5965</v>
      </c>
      <c r="O2933" s="4" t="s">
        <v>63</v>
      </c>
      <c r="P2933" s="4" t="s">
        <v>64</v>
      </c>
    </row>
    <row r="2934">
      <c r="A2934" s="4" t="s">
        <v>5965</v>
      </c>
      <c r="B2934" s="4" t="s">
        <v>5965</v>
      </c>
      <c r="C2934" s="4">
        <v>1323.0</v>
      </c>
      <c r="D2934" s="5" t="str">
        <f>HYPERLINK("https://www.linkedin.com/ad-library/detail/1391851596","Open Ad")</f>
        <v>Open Ad</v>
      </c>
      <c r="E2934" s="4" t="s">
        <v>121</v>
      </c>
      <c r="F2934" s="4" t="s">
        <v>54</v>
      </c>
      <c r="G2934" s="4" t="s">
        <v>6536</v>
      </c>
      <c r="H2934" s="4" t="s">
        <v>49</v>
      </c>
      <c r="I2934" s="4" t="s">
        <v>6005</v>
      </c>
      <c r="J2934" s="4" t="s">
        <v>121</v>
      </c>
      <c r="K2934" s="5" t="str">
        <f t="shared" ref="K2934:K2936" si="146">HYPERLINK("https://dms.licdn.com/playlist/vid/v2/D4E10AQFq3P9mF0z2qw/mp4-640p-30fp-crf28/B4EZ2Wmsb1J4Bk-/0/1776348230865?e=2147483647&amp;v=beta&amp;t=0h98gI9dhX4mpz76sO4Y7nJtI5FsokHK0j3aJzS8-xA","View Creative")</f>
        <v>View Creative</v>
      </c>
      <c r="L2934" s="4" t="s">
        <v>106</v>
      </c>
      <c r="M2934" s="4" t="s">
        <v>5965</v>
      </c>
      <c r="O2934" s="4" t="s">
        <v>63</v>
      </c>
      <c r="P2934" s="4" t="s">
        <v>64</v>
      </c>
    </row>
    <row r="2935">
      <c r="A2935" s="4" t="s">
        <v>5965</v>
      </c>
      <c r="B2935" s="4" t="s">
        <v>5965</v>
      </c>
      <c r="C2935" s="4">
        <v>1324.0</v>
      </c>
      <c r="D2935" s="5" t="str">
        <f>HYPERLINK("https://www.linkedin.com/ad-library/detail/1391793376","Open Ad")</f>
        <v>Open Ad</v>
      </c>
      <c r="E2935" s="4" t="s">
        <v>121</v>
      </c>
      <c r="F2935" s="4" t="s">
        <v>54</v>
      </c>
      <c r="G2935" s="4" t="s">
        <v>6536</v>
      </c>
      <c r="H2935" s="4" t="s">
        <v>49</v>
      </c>
      <c r="I2935" s="4" t="s">
        <v>6005</v>
      </c>
      <c r="J2935" s="4" t="s">
        <v>121</v>
      </c>
      <c r="K2935" s="5" t="str">
        <f t="shared" si="146"/>
        <v>View Creative</v>
      </c>
      <c r="L2935" s="4" t="s">
        <v>106</v>
      </c>
      <c r="M2935" s="4" t="s">
        <v>5965</v>
      </c>
      <c r="O2935" s="4" t="s">
        <v>63</v>
      </c>
      <c r="P2935" s="4" t="s">
        <v>64</v>
      </c>
    </row>
    <row r="2936">
      <c r="A2936" s="4" t="s">
        <v>5965</v>
      </c>
      <c r="B2936" s="4" t="s">
        <v>5965</v>
      </c>
      <c r="C2936" s="4">
        <v>1325.0</v>
      </c>
      <c r="D2936" s="5" t="str">
        <f>HYPERLINK("https://www.linkedin.com/ad-library/detail/1391687546","Open Ad")</f>
        <v>Open Ad</v>
      </c>
      <c r="E2936" s="4" t="s">
        <v>121</v>
      </c>
      <c r="F2936" s="4" t="s">
        <v>54</v>
      </c>
      <c r="G2936" s="4" t="s">
        <v>6536</v>
      </c>
      <c r="H2936" s="4" t="s">
        <v>49</v>
      </c>
      <c r="I2936" s="4" t="s">
        <v>6005</v>
      </c>
      <c r="J2936" s="4" t="s">
        <v>121</v>
      </c>
      <c r="K2936" s="5" t="str">
        <f t="shared" si="146"/>
        <v>View Creative</v>
      </c>
      <c r="L2936" s="4" t="s">
        <v>106</v>
      </c>
      <c r="M2936" s="4" t="s">
        <v>5965</v>
      </c>
      <c r="O2936" s="4" t="s">
        <v>63</v>
      </c>
      <c r="P2936" s="4" t="s">
        <v>64</v>
      </c>
    </row>
    <row r="2937">
      <c r="A2937" s="4" t="s">
        <v>5965</v>
      </c>
      <c r="B2937" s="4" t="s">
        <v>5965</v>
      </c>
      <c r="C2937" s="4">
        <v>1326.0</v>
      </c>
      <c r="D2937" s="5" t="str">
        <f>HYPERLINK("https://www.linkedin.com/ad-library/detail/1393764566","Open Ad")</f>
        <v>Open Ad</v>
      </c>
      <c r="E2937" s="4" t="s">
        <v>78</v>
      </c>
      <c r="F2937" s="4" t="s">
        <v>54</v>
      </c>
      <c r="G2937" s="4" t="s">
        <v>6537</v>
      </c>
      <c r="H2937" s="4" t="s">
        <v>49</v>
      </c>
      <c r="I2937" s="4" t="s">
        <v>6005</v>
      </c>
      <c r="J2937" s="4" t="s">
        <v>78</v>
      </c>
      <c r="K2937" s="5" t="str">
        <f>HYPERLINK("https://media.licdn.com/dms/image/v2/D4E22AQGB-oNAFIABTg/feedshare-shrink_1280/B4EZ2wojXCJoAU-/0/1776784914633?e=2147483647&amp;v=beta&amp;t=cSxtOSHWF1Zgp6LLVfHOYKmb0hYvnE0BHCL_A9noPlQ","View Creative")</f>
        <v>View Creative</v>
      </c>
      <c r="L2937" s="4" t="s">
        <v>106</v>
      </c>
      <c r="M2937" s="4" t="s">
        <v>5965</v>
      </c>
      <c r="O2937" s="4" t="s">
        <v>63</v>
      </c>
      <c r="P2937" s="4" t="s">
        <v>64</v>
      </c>
    </row>
    <row r="2938">
      <c r="A2938" s="4" t="s">
        <v>5965</v>
      </c>
      <c r="B2938" s="4" t="s">
        <v>5965</v>
      </c>
      <c r="C2938" s="4">
        <v>1327.0</v>
      </c>
      <c r="D2938" s="5" t="str">
        <f>HYPERLINK("https://www.linkedin.com/ad-library/detail/1392104536","Open Ad")</f>
        <v>Open Ad</v>
      </c>
      <c r="E2938" s="4" t="s">
        <v>121</v>
      </c>
      <c r="F2938" s="4" t="s">
        <v>54</v>
      </c>
      <c r="G2938" s="4" t="s">
        <v>6490</v>
      </c>
      <c r="H2938" s="4" t="s">
        <v>49</v>
      </c>
      <c r="I2938" s="4" t="s">
        <v>6005</v>
      </c>
      <c r="J2938" s="4" t="s">
        <v>121</v>
      </c>
      <c r="K2938" s="5" t="str">
        <f>HYPERLINK("https://dms.licdn.com/playlist/vid/v2/D4E05AQGgDq87Idj5yQ/mp4-720p-30fp-crf28/B4EZ2SOfNBIkCI-/0/1776274785729?e=2147483647&amp;v=beta&amp;t=GlzWHH2t1SJHcYYhlaMPGa_26MZmEbr1GAGR0HyZh70","View Creative")</f>
        <v>View Creative</v>
      </c>
      <c r="L2938" s="4" t="s">
        <v>106</v>
      </c>
      <c r="M2938" s="4" t="s">
        <v>5965</v>
      </c>
      <c r="O2938" s="4" t="s">
        <v>63</v>
      </c>
      <c r="P2938" s="4" t="s">
        <v>64</v>
      </c>
    </row>
    <row r="2939">
      <c r="A2939" s="4" t="s">
        <v>5965</v>
      </c>
      <c r="B2939" s="4" t="s">
        <v>5965</v>
      </c>
      <c r="C2939" s="4">
        <v>1328.0</v>
      </c>
      <c r="D2939" s="5" t="str">
        <f>HYPERLINK("https://www.linkedin.com/ad-library/detail/1393695516","Open Ad")</f>
        <v>Open Ad</v>
      </c>
      <c r="E2939" s="4" t="s">
        <v>78</v>
      </c>
      <c r="F2939" s="4" t="s">
        <v>54</v>
      </c>
      <c r="G2939" s="4" t="s">
        <v>6537</v>
      </c>
      <c r="H2939" s="4" t="s">
        <v>49</v>
      </c>
      <c r="I2939" s="4" t="s">
        <v>6005</v>
      </c>
      <c r="J2939" s="4" t="s">
        <v>78</v>
      </c>
      <c r="K2939" s="5" t="str">
        <f>HYPERLINK("https://media.licdn.com/dms/image/v2/D4E22AQGB-oNAFIABTg/feedshare-shrink_1280/B4EZ2wojXCJoAU-/0/1776784914633?e=2147483647&amp;v=beta&amp;t=cSxtOSHWF1Zgp6LLVfHOYKmb0hYvnE0BHCL_A9noPlQ","View Creative")</f>
        <v>View Creative</v>
      </c>
      <c r="L2939" s="4" t="s">
        <v>106</v>
      </c>
      <c r="M2939" s="4" t="s">
        <v>5965</v>
      </c>
      <c r="O2939" s="4" t="s">
        <v>63</v>
      </c>
      <c r="P2939" s="4" t="s">
        <v>64</v>
      </c>
    </row>
    <row r="2940">
      <c r="A2940" s="4" t="s">
        <v>5965</v>
      </c>
      <c r="B2940" s="4" t="s">
        <v>5965</v>
      </c>
      <c r="C2940" s="4">
        <v>1329.0</v>
      </c>
      <c r="D2940" s="5" t="str">
        <f>HYPERLINK("https://www.linkedin.com/ad-library/detail/1390824416","Open Ad")</f>
        <v>Open Ad</v>
      </c>
      <c r="E2940" s="4" t="s">
        <v>121</v>
      </c>
      <c r="F2940" s="4" t="s">
        <v>54</v>
      </c>
      <c r="G2940" s="4" t="s">
        <v>6538</v>
      </c>
      <c r="H2940" s="4" t="s">
        <v>49</v>
      </c>
      <c r="I2940" s="4" t="s">
        <v>6005</v>
      </c>
      <c r="J2940" s="4" t="s">
        <v>121</v>
      </c>
      <c r="K2940" s="5" t="str">
        <f>HYPERLINK("https://dms.licdn.com/playlist/vid/v2/D4E05AQG7DCo9hQGa4g/mp4-640p-30fp-crf28/B4EZ2Svo2KI0Bs-/0/1776283469130?e=2147483647&amp;v=beta&amp;t=Ufw_Um2AI1hLn93zKBI7gcd7GeX3lcS0eirwUgTjuyQ","View Creative")</f>
        <v>View Creative</v>
      </c>
      <c r="L2940" s="4" t="s">
        <v>106</v>
      </c>
      <c r="M2940" s="4" t="s">
        <v>5965</v>
      </c>
      <c r="O2940" s="4" t="s">
        <v>63</v>
      </c>
      <c r="P2940" s="4" t="s">
        <v>64</v>
      </c>
    </row>
    <row r="2941">
      <c r="A2941" s="4" t="s">
        <v>5965</v>
      </c>
      <c r="B2941" s="4" t="s">
        <v>5965</v>
      </c>
      <c r="C2941" s="4">
        <v>1330.0</v>
      </c>
      <c r="D2941" s="5" t="str">
        <f>HYPERLINK("https://www.linkedin.com/ad-library/detail/1391934806","Open Ad")</f>
        <v>Open Ad</v>
      </c>
      <c r="E2941" s="4" t="s">
        <v>121</v>
      </c>
      <c r="F2941" s="4" t="s">
        <v>54</v>
      </c>
      <c r="G2941" s="4" t="s">
        <v>6490</v>
      </c>
      <c r="H2941" s="4" t="s">
        <v>49</v>
      </c>
      <c r="I2941" s="4" t="s">
        <v>6005</v>
      </c>
      <c r="J2941" s="4" t="s">
        <v>121</v>
      </c>
      <c r="K2941" s="5" t="str">
        <f>HYPERLINK("https://dms.licdn.com/playlist/vid/v2/D4E05AQGgDq87Idj5yQ/mp4-720p-30fp-crf28/B4EZ2SOfNBIkCI-/0/1776274785729?e=2147483647&amp;v=beta&amp;t=GlzWHH2t1SJHcYYhlaMPGa_26MZmEbr1GAGR0HyZh70","View Creative")</f>
        <v>View Creative</v>
      </c>
      <c r="L2941" s="4" t="s">
        <v>106</v>
      </c>
      <c r="M2941" s="4" t="s">
        <v>5965</v>
      </c>
      <c r="O2941" s="4" t="s">
        <v>63</v>
      </c>
      <c r="P2941" s="4" t="s">
        <v>64</v>
      </c>
    </row>
    <row r="2942">
      <c r="A2942" s="4" t="s">
        <v>5965</v>
      </c>
      <c r="B2942" s="4" t="s">
        <v>5965</v>
      </c>
      <c r="C2942" s="4">
        <v>1331.0</v>
      </c>
      <c r="D2942" s="5" t="str">
        <f>HYPERLINK("https://www.linkedin.com/ad-library/detail/1393677926","Open Ad")</f>
        <v>Open Ad</v>
      </c>
      <c r="E2942" s="4" t="s">
        <v>78</v>
      </c>
      <c r="F2942" s="4" t="s">
        <v>54</v>
      </c>
      <c r="G2942" s="4" t="s">
        <v>6537</v>
      </c>
      <c r="H2942" s="4" t="s">
        <v>49</v>
      </c>
      <c r="I2942" s="4" t="s">
        <v>6005</v>
      </c>
      <c r="J2942" s="4" t="s">
        <v>78</v>
      </c>
      <c r="K2942" s="5" t="str">
        <f t="shared" ref="K2942:K2943" si="147">HYPERLINK("https://media.licdn.com/dms/image/v2/D4E22AQGB-oNAFIABTg/feedshare-shrink_1280/B4EZ2wojXCJoAU-/0/1776784914633?e=2147483647&amp;v=beta&amp;t=cSxtOSHWF1Zgp6LLVfHOYKmb0hYvnE0BHCL_A9noPlQ","View Creative")</f>
        <v>View Creative</v>
      </c>
      <c r="L2942" s="4" t="s">
        <v>106</v>
      </c>
      <c r="M2942" s="4" t="s">
        <v>5965</v>
      </c>
      <c r="O2942" s="4" t="s">
        <v>63</v>
      </c>
      <c r="P2942" s="4" t="s">
        <v>64</v>
      </c>
    </row>
    <row r="2943">
      <c r="A2943" s="4" t="s">
        <v>5965</v>
      </c>
      <c r="B2943" s="4" t="s">
        <v>5965</v>
      </c>
      <c r="C2943" s="4">
        <v>1332.0</v>
      </c>
      <c r="D2943" s="5" t="str">
        <f>HYPERLINK("https://www.linkedin.com/ad-library/detail/1393677936","Open Ad")</f>
        <v>Open Ad</v>
      </c>
      <c r="E2943" s="4" t="s">
        <v>78</v>
      </c>
      <c r="F2943" s="4" t="s">
        <v>54</v>
      </c>
      <c r="G2943" s="4" t="s">
        <v>6537</v>
      </c>
      <c r="H2943" s="4" t="s">
        <v>49</v>
      </c>
      <c r="I2943" s="4" t="s">
        <v>6005</v>
      </c>
      <c r="J2943" s="4" t="s">
        <v>78</v>
      </c>
      <c r="K2943" s="5" t="str">
        <f t="shared" si="147"/>
        <v>View Creative</v>
      </c>
      <c r="L2943" s="4" t="s">
        <v>106</v>
      </c>
      <c r="M2943" s="4" t="s">
        <v>5965</v>
      </c>
      <c r="O2943" s="4" t="s">
        <v>63</v>
      </c>
      <c r="P2943" s="4" t="s">
        <v>64</v>
      </c>
    </row>
    <row r="2944">
      <c r="A2944" s="4" t="s">
        <v>5965</v>
      </c>
      <c r="B2944" s="4" t="s">
        <v>5965</v>
      </c>
      <c r="C2944" s="4">
        <v>1333.0</v>
      </c>
      <c r="D2944" s="5" t="str">
        <f>HYPERLINK("https://www.linkedin.com/ad-library/detail/1390970496","Open Ad")</f>
        <v>Open Ad</v>
      </c>
      <c r="E2944" s="4" t="s">
        <v>121</v>
      </c>
      <c r="F2944" s="4" t="s">
        <v>54</v>
      </c>
      <c r="G2944" s="4" t="s">
        <v>6538</v>
      </c>
      <c r="H2944" s="4" t="s">
        <v>49</v>
      </c>
      <c r="I2944" s="4" t="s">
        <v>6005</v>
      </c>
      <c r="J2944" s="4" t="s">
        <v>121</v>
      </c>
      <c r="K2944" s="5" t="str">
        <f>HYPERLINK("https://dms.licdn.com/playlist/vid/v2/D4E05AQG7DCo9hQGa4g/mp4-640p-30fp-crf28/B4EZ2Svo2KI0Bs-/0/1776283469130?e=2147483647&amp;v=beta&amp;t=Ufw_Um2AI1hLn93zKBI7gcd7GeX3lcS0eirwUgTjuyQ","View Creative")</f>
        <v>View Creative</v>
      </c>
      <c r="L2944" s="4" t="s">
        <v>106</v>
      </c>
      <c r="M2944" s="4" t="s">
        <v>5965</v>
      </c>
      <c r="O2944" s="4" t="s">
        <v>63</v>
      </c>
      <c r="P2944" s="4" t="s">
        <v>64</v>
      </c>
    </row>
    <row r="2945">
      <c r="A2945" s="4" t="s">
        <v>5965</v>
      </c>
      <c r="B2945" s="4" t="s">
        <v>5965</v>
      </c>
      <c r="C2945" s="4">
        <v>1334.0</v>
      </c>
      <c r="D2945" s="5" t="str">
        <f>HYPERLINK("https://www.linkedin.com/ad-library/detail/1393139976","Open Ad")</f>
        <v>Open Ad</v>
      </c>
      <c r="E2945" s="4" t="s">
        <v>5970</v>
      </c>
      <c r="F2945" s="4" t="s">
        <v>54</v>
      </c>
      <c r="G2945" s="4" t="s">
        <v>6523</v>
      </c>
      <c r="H2945" s="4" t="s">
        <v>49</v>
      </c>
      <c r="I2945" s="4" t="s">
        <v>6005</v>
      </c>
      <c r="J2945" s="4" t="s">
        <v>5973</v>
      </c>
      <c r="K2945" s="4" t="s">
        <v>59</v>
      </c>
      <c r="L2945" s="4" t="s">
        <v>106</v>
      </c>
      <c r="M2945" s="4" t="s">
        <v>5965</v>
      </c>
      <c r="O2945" s="4" t="s">
        <v>63</v>
      </c>
      <c r="P2945" s="4" t="s">
        <v>64</v>
      </c>
    </row>
    <row r="2946">
      <c r="A2946" s="4" t="s">
        <v>5965</v>
      </c>
      <c r="B2946" s="4" t="s">
        <v>5965</v>
      </c>
      <c r="C2946" s="4">
        <v>1335.0</v>
      </c>
      <c r="D2946" s="5" t="str">
        <f>HYPERLINK("https://www.linkedin.com/ad-library/detail/1391776156","Open Ad")</f>
        <v>Open Ad</v>
      </c>
      <c r="E2946" s="4" t="s">
        <v>121</v>
      </c>
      <c r="F2946" s="4" t="s">
        <v>54</v>
      </c>
      <c r="G2946" s="4" t="s">
        <v>6536</v>
      </c>
      <c r="H2946" s="4" t="s">
        <v>49</v>
      </c>
      <c r="I2946" s="4" t="s">
        <v>6005</v>
      </c>
      <c r="J2946" s="4" t="s">
        <v>121</v>
      </c>
      <c r="K2946" s="5" t="str">
        <f>HYPERLINK("https://dms.licdn.com/playlist/vid/v2/D4E10AQFq3P9mF0z2qw/mp4-640p-30fp-crf28/B4EZ2Wmsb1J4Bk-/0/1776348230865?e=2147483647&amp;v=beta&amp;t=0h98gI9dhX4mpz76sO4Y7nJtI5FsokHK0j3aJzS8-xA","View Creative")</f>
        <v>View Creative</v>
      </c>
      <c r="L2946" s="4" t="s">
        <v>106</v>
      </c>
      <c r="M2946" s="4" t="s">
        <v>5965</v>
      </c>
      <c r="O2946" s="4" t="s">
        <v>63</v>
      </c>
      <c r="P2946" s="4" t="s">
        <v>64</v>
      </c>
    </row>
    <row r="2947">
      <c r="A2947" s="4" t="s">
        <v>5965</v>
      </c>
      <c r="B2947" s="4" t="s">
        <v>5965</v>
      </c>
      <c r="C2947" s="4">
        <v>1336.0</v>
      </c>
      <c r="D2947" s="5" t="str">
        <f>HYPERLINK("https://www.linkedin.com/ad-library/detail/1393695566","Open Ad")</f>
        <v>Open Ad</v>
      </c>
      <c r="E2947" s="4" t="s">
        <v>78</v>
      </c>
      <c r="F2947" s="4" t="s">
        <v>54</v>
      </c>
      <c r="G2947" s="4" t="s">
        <v>6532</v>
      </c>
      <c r="H2947" s="4" t="s">
        <v>49</v>
      </c>
      <c r="I2947" s="4" t="s">
        <v>6005</v>
      </c>
      <c r="J2947" s="4" t="s">
        <v>78</v>
      </c>
      <c r="K2947" s="5" t="str">
        <f t="shared" ref="K2947:K2948" si="148">HYPERLINK("https://media.licdn.com/dms/image/v2/D4E10AQF3yhpV3-ZqQQ/image-shrink_1280/B4EZ2wb_wAJkAc-/0/1776781622820?e=2147483647&amp;v=beta&amp;t=aRU09d6N-6B8b6ZqMWanBKtEoMHuNAKcB75w9MMhKGM","View Creative")</f>
        <v>View Creative</v>
      </c>
      <c r="L2947" s="4" t="s">
        <v>106</v>
      </c>
      <c r="M2947" s="4" t="s">
        <v>5965</v>
      </c>
      <c r="O2947" s="4" t="s">
        <v>63</v>
      </c>
      <c r="P2947" s="4" t="s">
        <v>64</v>
      </c>
    </row>
    <row r="2948">
      <c r="A2948" s="4" t="s">
        <v>5965</v>
      </c>
      <c r="B2948" s="4" t="s">
        <v>5965</v>
      </c>
      <c r="C2948" s="4">
        <v>1337.0</v>
      </c>
      <c r="D2948" s="5" t="str">
        <f>HYPERLINK("https://www.linkedin.com/ad-library/detail/1393883416","Open Ad")</f>
        <v>Open Ad</v>
      </c>
      <c r="E2948" s="4" t="s">
        <v>78</v>
      </c>
      <c r="F2948" s="4" t="s">
        <v>54</v>
      </c>
      <c r="G2948" s="4" t="s">
        <v>6532</v>
      </c>
      <c r="H2948" s="4" t="s">
        <v>49</v>
      </c>
      <c r="I2948" s="4" t="s">
        <v>6005</v>
      </c>
      <c r="J2948" s="4" t="s">
        <v>78</v>
      </c>
      <c r="K2948" s="5" t="str">
        <f t="shared" si="148"/>
        <v>View Creative</v>
      </c>
      <c r="L2948" s="4" t="s">
        <v>106</v>
      </c>
      <c r="M2948" s="4" t="s">
        <v>5965</v>
      </c>
      <c r="O2948" s="4" t="s">
        <v>63</v>
      </c>
      <c r="P2948" s="4" t="s">
        <v>64</v>
      </c>
    </row>
    <row r="2949">
      <c r="A2949" s="4" t="s">
        <v>5965</v>
      </c>
      <c r="B2949" s="4" t="s">
        <v>5965</v>
      </c>
      <c r="C2949" s="4">
        <v>1338.0</v>
      </c>
      <c r="D2949" s="5" t="str">
        <f>HYPERLINK("https://www.linkedin.com/ad-library/detail/1390665666","Open Ad")</f>
        <v>Open Ad</v>
      </c>
      <c r="E2949" s="4" t="s">
        <v>78</v>
      </c>
      <c r="F2949" s="4" t="s">
        <v>54</v>
      </c>
      <c r="G2949" s="4" t="s">
        <v>6539</v>
      </c>
      <c r="H2949" s="4" t="s">
        <v>49</v>
      </c>
      <c r="I2949" s="4" t="s">
        <v>6005</v>
      </c>
      <c r="J2949" s="4" t="s">
        <v>78</v>
      </c>
      <c r="K2949" s="5" t="str">
        <f t="shared" ref="K2949:K2950" si="149">HYPERLINK("https://media.licdn.com/dms/image/v2/D5622AQEFv6WlRxyLlQ/feedshare-shrink_1280/B56Z2SNOuQKoAM-/0/1776274435180?e=2147483647&amp;v=beta&amp;t=_ZMqNRCPm-QhmyBvxAEsBc6Kv8FYud5e2Yclcldd5VM","View Creative")</f>
        <v>View Creative</v>
      </c>
      <c r="L2949" s="4" t="s">
        <v>106</v>
      </c>
      <c r="M2949" s="4" t="s">
        <v>5965</v>
      </c>
      <c r="O2949" s="4" t="s">
        <v>63</v>
      </c>
      <c r="P2949" s="4" t="s">
        <v>64</v>
      </c>
    </row>
    <row r="2950">
      <c r="A2950" s="4" t="s">
        <v>5965</v>
      </c>
      <c r="B2950" s="4" t="s">
        <v>5965</v>
      </c>
      <c r="C2950" s="4">
        <v>1339.0</v>
      </c>
      <c r="D2950" s="5" t="str">
        <f>HYPERLINK("https://www.linkedin.com/ad-library/detail/1390646236","Open Ad")</f>
        <v>Open Ad</v>
      </c>
      <c r="E2950" s="4" t="s">
        <v>78</v>
      </c>
      <c r="F2950" s="4" t="s">
        <v>54</v>
      </c>
      <c r="G2950" s="4" t="s">
        <v>6539</v>
      </c>
      <c r="H2950" s="4" t="s">
        <v>49</v>
      </c>
      <c r="I2950" s="4" t="s">
        <v>6005</v>
      </c>
      <c r="J2950" s="4" t="s">
        <v>78</v>
      </c>
      <c r="K2950" s="5" t="str">
        <f t="shared" si="149"/>
        <v>View Creative</v>
      </c>
      <c r="L2950" s="4" t="s">
        <v>106</v>
      </c>
      <c r="M2950" s="4" t="s">
        <v>5965</v>
      </c>
      <c r="O2950" s="4" t="s">
        <v>63</v>
      </c>
      <c r="P2950" s="4" t="s">
        <v>64</v>
      </c>
    </row>
    <row r="2951">
      <c r="A2951" s="4" t="s">
        <v>5965</v>
      </c>
      <c r="B2951" s="4" t="s">
        <v>5965</v>
      </c>
      <c r="C2951" s="4">
        <v>1340.0</v>
      </c>
      <c r="D2951" s="5" t="str">
        <f>HYPERLINK("https://www.linkedin.com/ad-library/detail/1393824466","Open Ad")</f>
        <v>Open Ad</v>
      </c>
      <c r="E2951" s="4" t="s">
        <v>78</v>
      </c>
      <c r="F2951" s="4" t="s">
        <v>54</v>
      </c>
      <c r="G2951" s="4" t="s">
        <v>6532</v>
      </c>
      <c r="H2951" s="4" t="s">
        <v>49</v>
      </c>
      <c r="I2951" s="4" t="s">
        <v>6005</v>
      </c>
      <c r="J2951" s="4" t="s">
        <v>78</v>
      </c>
      <c r="K2951" s="5" t="str">
        <f>HYPERLINK("https://media.licdn.com/dms/image/v2/D4E10AQF3yhpV3-ZqQQ/image-shrink_1280/B4EZ2wb_wAJkAc-/0/1776781622820?e=2147483647&amp;v=beta&amp;t=aRU09d6N-6B8b6ZqMWanBKtEoMHuNAKcB75w9MMhKGM","View Creative")</f>
        <v>View Creative</v>
      </c>
      <c r="L2951" s="4" t="s">
        <v>106</v>
      </c>
      <c r="M2951" s="4" t="s">
        <v>5965</v>
      </c>
      <c r="O2951" s="4" t="s">
        <v>63</v>
      </c>
      <c r="P2951" s="4" t="s">
        <v>64</v>
      </c>
    </row>
    <row r="2952">
      <c r="A2952" s="4" t="s">
        <v>5965</v>
      </c>
      <c r="B2952" s="4" t="s">
        <v>5965</v>
      </c>
      <c r="C2952" s="4">
        <v>1341.0</v>
      </c>
      <c r="D2952" s="5" t="str">
        <f>HYPERLINK("https://www.linkedin.com/ad-library/detail/1393824456","Open Ad")</f>
        <v>Open Ad</v>
      </c>
      <c r="E2952" s="4" t="s">
        <v>78</v>
      </c>
      <c r="F2952" s="4" t="s">
        <v>54</v>
      </c>
      <c r="G2952" s="4" t="s">
        <v>6537</v>
      </c>
      <c r="H2952" s="4" t="s">
        <v>49</v>
      </c>
      <c r="I2952" s="4" t="s">
        <v>6005</v>
      </c>
      <c r="J2952" s="4" t="s">
        <v>78</v>
      </c>
      <c r="K2952" s="5" t="str">
        <f t="shared" ref="K2952:K2953" si="150">HYPERLINK("https://media.licdn.com/dms/image/v2/D4E22AQGB-oNAFIABTg/feedshare-shrink_1280/B4EZ2wojXCJoAU-/0/1776784914633?e=2147483647&amp;v=beta&amp;t=cSxtOSHWF1Zgp6LLVfHOYKmb0hYvnE0BHCL_A9noPlQ","View Creative")</f>
        <v>View Creative</v>
      </c>
      <c r="L2952" s="4" t="s">
        <v>106</v>
      </c>
      <c r="M2952" s="4" t="s">
        <v>5965</v>
      </c>
      <c r="O2952" s="4" t="s">
        <v>63</v>
      </c>
      <c r="P2952" s="4" t="s">
        <v>64</v>
      </c>
    </row>
    <row r="2953">
      <c r="A2953" s="4" t="s">
        <v>5965</v>
      </c>
      <c r="B2953" s="4" t="s">
        <v>5965</v>
      </c>
      <c r="C2953" s="4">
        <v>1342.0</v>
      </c>
      <c r="D2953" s="5" t="str">
        <f>HYPERLINK("https://www.linkedin.com/ad-library/detail/1393881426","Open Ad")</f>
        <v>Open Ad</v>
      </c>
      <c r="E2953" s="4" t="s">
        <v>78</v>
      </c>
      <c r="F2953" s="4" t="s">
        <v>54</v>
      </c>
      <c r="G2953" s="4" t="s">
        <v>6537</v>
      </c>
      <c r="H2953" s="4" t="s">
        <v>49</v>
      </c>
      <c r="I2953" s="4" t="s">
        <v>6005</v>
      </c>
      <c r="J2953" s="4" t="s">
        <v>78</v>
      </c>
      <c r="K2953" s="5" t="str">
        <f t="shared" si="150"/>
        <v>View Creative</v>
      </c>
      <c r="L2953" s="4" t="s">
        <v>106</v>
      </c>
      <c r="M2953" s="4" t="s">
        <v>5965</v>
      </c>
      <c r="O2953" s="4" t="s">
        <v>63</v>
      </c>
      <c r="P2953" s="4" t="s">
        <v>64</v>
      </c>
    </row>
    <row r="2954">
      <c r="A2954" s="4" t="s">
        <v>5965</v>
      </c>
      <c r="B2954" s="4" t="s">
        <v>5965</v>
      </c>
      <c r="C2954" s="4">
        <v>1343.0</v>
      </c>
      <c r="D2954" s="5" t="str">
        <f>HYPERLINK("https://www.linkedin.com/ad-library/detail/1393080216","Open Ad")</f>
        <v>Open Ad</v>
      </c>
      <c r="E2954" s="4" t="s">
        <v>78</v>
      </c>
      <c r="F2954" s="4" t="s">
        <v>54</v>
      </c>
      <c r="G2954" s="4" t="s">
        <v>6421</v>
      </c>
      <c r="H2954" s="4" t="s">
        <v>49</v>
      </c>
      <c r="I2954" s="4" t="s">
        <v>6005</v>
      </c>
      <c r="J2954" s="4" t="s">
        <v>78</v>
      </c>
      <c r="K2954" s="4" t="s">
        <v>59</v>
      </c>
      <c r="L2954" s="4" t="s">
        <v>106</v>
      </c>
      <c r="M2954" s="4" t="s">
        <v>5965</v>
      </c>
      <c r="O2954" s="4" t="s">
        <v>63</v>
      </c>
      <c r="P2954" s="4" t="s">
        <v>64</v>
      </c>
    </row>
    <row r="2955">
      <c r="A2955" s="4" t="s">
        <v>5965</v>
      </c>
      <c r="B2955" s="4" t="s">
        <v>5965</v>
      </c>
      <c r="C2955" s="4">
        <v>1344.0</v>
      </c>
      <c r="D2955" s="5" t="str">
        <f>HYPERLINK("https://www.linkedin.com/ad-library/detail/1390901246","Open Ad")</f>
        <v>Open Ad</v>
      </c>
      <c r="E2955" s="4" t="s">
        <v>121</v>
      </c>
      <c r="F2955" s="4" t="s">
        <v>54</v>
      </c>
      <c r="G2955" s="4" t="s">
        <v>6538</v>
      </c>
      <c r="H2955" s="4" t="s">
        <v>49</v>
      </c>
      <c r="I2955" s="4" t="s">
        <v>6005</v>
      </c>
      <c r="J2955" s="4" t="s">
        <v>121</v>
      </c>
      <c r="K2955" s="5" t="str">
        <f>HYPERLINK("https://dms.licdn.com/playlist/vid/v2/D4E05AQG7DCo9hQGa4g/mp4-640p-30fp-crf28/B4EZ2Svo2KI0Bs-/0/1776283469130?e=2147483647&amp;v=beta&amp;t=Ufw_Um2AI1hLn93zKBI7gcd7GeX3lcS0eirwUgTjuyQ","View Creative")</f>
        <v>View Creative</v>
      </c>
      <c r="L2955" s="4" t="s">
        <v>106</v>
      </c>
      <c r="M2955" s="4" t="s">
        <v>5965</v>
      </c>
      <c r="O2955" s="4" t="s">
        <v>63</v>
      </c>
      <c r="P2955" s="4" t="s">
        <v>64</v>
      </c>
    </row>
    <row r="2956">
      <c r="A2956" s="4" t="s">
        <v>5965</v>
      </c>
      <c r="B2956" s="4" t="s">
        <v>5965</v>
      </c>
      <c r="C2956" s="4">
        <v>1345.0</v>
      </c>
      <c r="D2956" s="5" t="str">
        <f>HYPERLINK("https://www.linkedin.com/ad-library/detail/1390105336","Open Ad")</f>
        <v>Open Ad</v>
      </c>
      <c r="E2956" s="4" t="s">
        <v>121</v>
      </c>
      <c r="F2956" s="4" t="s">
        <v>54</v>
      </c>
      <c r="G2956" s="4" t="s">
        <v>6540</v>
      </c>
      <c r="H2956" s="4" t="s">
        <v>49</v>
      </c>
      <c r="I2956" s="4" t="s">
        <v>6005</v>
      </c>
      <c r="J2956" s="4" t="s">
        <v>121</v>
      </c>
      <c r="K2956" s="5" t="str">
        <f>HYPERLINK("https://dms.licdn.com/playlist/vid/v2/D4E10AQEQAs4Pr8sSuQ/mp4-640p-30fp-crf28/B4EZ14_0ZMJEBo-/0/1775851501505?e=2147483647&amp;v=beta&amp;t=x4pTQ1IPJo-aNV1VYb1xJKqFUPzGcFgJuRNq1fLjdxc","View Creative")</f>
        <v>View Creative</v>
      </c>
      <c r="L2956" s="4" t="s">
        <v>106</v>
      </c>
      <c r="M2956" s="4" t="s">
        <v>5965</v>
      </c>
      <c r="O2956" s="4" t="s">
        <v>63</v>
      </c>
      <c r="P2956" s="4" t="s">
        <v>64</v>
      </c>
    </row>
    <row r="2957">
      <c r="A2957" s="4" t="s">
        <v>5965</v>
      </c>
      <c r="B2957" s="4" t="s">
        <v>5965</v>
      </c>
      <c r="C2957" s="4">
        <v>1346.0</v>
      </c>
      <c r="D2957" s="5" t="str">
        <f>HYPERLINK("https://www.linkedin.com/ad-library/detail/1390095216","Open Ad")</f>
        <v>Open Ad</v>
      </c>
      <c r="E2957" s="4" t="s">
        <v>78</v>
      </c>
      <c r="F2957" s="4" t="s">
        <v>54</v>
      </c>
      <c r="G2957" s="4" t="s">
        <v>6541</v>
      </c>
      <c r="H2957" s="4" t="s">
        <v>49</v>
      </c>
      <c r="I2957" s="4" t="s">
        <v>6005</v>
      </c>
      <c r="J2957" s="4" t="s">
        <v>78</v>
      </c>
      <c r="K2957" s="5" t="str">
        <f>HYPERLINK("https://media.licdn.com/dms/image/v2/D4E10AQHY7P_NmZX3dw/image-shrink_1280/B4EZ2MV5L8JMAc-/0/1776176043876?e=2147483647&amp;v=beta&amp;t=CbEkzOw5pd1MG9-TKX-hEPQfJyyW5RN8oosemCfaSOg","View Creative")</f>
        <v>View Creative</v>
      </c>
      <c r="L2957" s="4" t="s">
        <v>106</v>
      </c>
      <c r="M2957" s="4" t="s">
        <v>5965</v>
      </c>
      <c r="O2957" s="4" t="s">
        <v>63</v>
      </c>
      <c r="P2957" s="4" t="s">
        <v>64</v>
      </c>
    </row>
    <row r="2958">
      <c r="A2958" s="4" t="s">
        <v>5965</v>
      </c>
      <c r="B2958" s="4" t="s">
        <v>5965</v>
      </c>
      <c r="C2958" s="4">
        <v>1347.0</v>
      </c>
      <c r="D2958" s="5" t="str">
        <f>HYPERLINK("https://www.linkedin.com/ad-library/detail/1217202633","Open Ad")</f>
        <v>Open Ad</v>
      </c>
      <c r="E2958" s="4" t="s">
        <v>78</v>
      </c>
      <c r="F2958" s="4" t="s">
        <v>54</v>
      </c>
      <c r="G2958" s="4" t="s">
        <v>6542</v>
      </c>
      <c r="H2958" s="4" t="s">
        <v>49</v>
      </c>
      <c r="I2958" s="4" t="s">
        <v>6005</v>
      </c>
      <c r="J2958" s="4" t="s">
        <v>78</v>
      </c>
      <c r="K2958" s="5" t="str">
        <f>HYPERLINK("https://media.licdn.com/dms/image/v2/D4D10AQEBiqrJr8lDZw/image-shrink_1280/B4DZ2PvCtxKIAc-/0/1776232967318/PF-TaxAd1-14426png?e=2147483647&amp;v=beta&amp;t=VcsCJvuAZXKw4nYoFN6lptkvt_wkBPww-mqQ2Q2TPaw","View Creative")</f>
        <v>View Creative</v>
      </c>
      <c r="L2958" s="4" t="s">
        <v>106</v>
      </c>
      <c r="M2958" s="4" t="s">
        <v>5965</v>
      </c>
      <c r="O2958" s="4" t="s">
        <v>63</v>
      </c>
      <c r="P2958" s="4" t="s">
        <v>64</v>
      </c>
    </row>
    <row r="2959">
      <c r="A2959" s="4" t="s">
        <v>5965</v>
      </c>
      <c r="B2959" s="4" t="s">
        <v>5965</v>
      </c>
      <c r="C2959" s="4">
        <v>1348.0</v>
      </c>
      <c r="D2959" s="5" t="str">
        <f>HYPERLINK("https://www.linkedin.com/ad-library/detail/1390095246","Open Ad")</f>
        <v>Open Ad</v>
      </c>
      <c r="E2959" s="4" t="s">
        <v>121</v>
      </c>
      <c r="F2959" s="4" t="s">
        <v>54</v>
      </c>
      <c r="G2959" s="4" t="s">
        <v>6540</v>
      </c>
      <c r="H2959" s="4" t="s">
        <v>49</v>
      </c>
      <c r="I2959" s="4" t="s">
        <v>6005</v>
      </c>
      <c r="J2959" s="4" t="s">
        <v>121</v>
      </c>
      <c r="K2959" s="5" t="str">
        <f>HYPERLINK("https://dms.licdn.com/playlist/vid/v2/D4E10AQEQAs4Pr8sSuQ/mp4-640p-30fp-crf28/B4EZ14_0ZMJEBo-/0/1775851501505?e=2147483647&amp;v=beta&amp;t=x4pTQ1IPJo-aNV1VYb1xJKqFUPzGcFgJuRNq1fLjdxc","View Creative")</f>
        <v>View Creative</v>
      </c>
      <c r="L2959" s="4" t="s">
        <v>106</v>
      </c>
      <c r="M2959" s="4" t="s">
        <v>5965</v>
      </c>
      <c r="O2959" s="4" t="s">
        <v>63</v>
      </c>
      <c r="P2959" s="4" t="s">
        <v>64</v>
      </c>
    </row>
    <row r="2960">
      <c r="A2960" s="4" t="s">
        <v>5965</v>
      </c>
      <c r="B2960" s="4" t="s">
        <v>5965</v>
      </c>
      <c r="C2960" s="4">
        <v>1349.0</v>
      </c>
      <c r="D2960" s="5" t="str">
        <f>HYPERLINK("https://www.linkedin.com/ad-library/detail/1390105316","Open Ad")</f>
        <v>Open Ad</v>
      </c>
      <c r="E2960" s="4" t="s">
        <v>121</v>
      </c>
      <c r="F2960" s="4" t="s">
        <v>54</v>
      </c>
      <c r="G2960" s="4" t="s">
        <v>6543</v>
      </c>
      <c r="H2960" s="4" t="s">
        <v>49</v>
      </c>
      <c r="I2960" s="4" t="s">
        <v>6005</v>
      </c>
      <c r="J2960" s="4" t="s">
        <v>121</v>
      </c>
      <c r="K2960" s="5" t="str">
        <f>HYPERLINK("https://dms.licdn.com/playlist/vid/v2/D4E10AQE2kMZ23AVteg/mp4-640p-30fp-crf28/B4EZ2HMdlpKEBw-/0/1776089701595?e=2147483647&amp;v=beta&amp;t=bLl0zgUXWRYnWsVIsO05hIFFlse1U03tKYjV6-P8FFA","View Creative")</f>
        <v>View Creative</v>
      </c>
      <c r="L2960" s="4" t="s">
        <v>106</v>
      </c>
      <c r="M2960" s="4" t="s">
        <v>5965</v>
      </c>
      <c r="O2960" s="4" t="s">
        <v>63</v>
      </c>
      <c r="P2960" s="4" t="s">
        <v>64</v>
      </c>
    </row>
    <row r="2961">
      <c r="A2961" s="4" t="s">
        <v>5965</v>
      </c>
      <c r="B2961" s="4" t="s">
        <v>5965</v>
      </c>
      <c r="C2961" s="4">
        <v>1350.0</v>
      </c>
      <c r="D2961" s="5" t="str">
        <f>HYPERLINK("https://www.linkedin.com/ad-library/detail/1390254076","Open Ad")</f>
        <v>Open Ad</v>
      </c>
      <c r="E2961" s="4" t="s">
        <v>121</v>
      </c>
      <c r="F2961" s="4" t="s">
        <v>54</v>
      </c>
      <c r="G2961" s="4" t="s">
        <v>6540</v>
      </c>
      <c r="H2961" s="4" t="s">
        <v>49</v>
      </c>
      <c r="I2961" s="4" t="s">
        <v>6005</v>
      </c>
      <c r="J2961" s="4" t="s">
        <v>121</v>
      </c>
      <c r="K2961" s="5" t="str">
        <f>HYPERLINK("https://dms.licdn.com/playlist/vid/v2/D4E10AQEQAs4Pr8sSuQ/mp4-640p-30fp-crf28/B4EZ14_0ZMJEBo-/0/1775851501505?e=2147483647&amp;v=beta&amp;t=x4pTQ1IPJo-aNV1VYb1xJKqFUPzGcFgJuRNq1fLjdxc","View Creative")</f>
        <v>View Creative</v>
      </c>
      <c r="L2961" s="4" t="s">
        <v>106</v>
      </c>
      <c r="M2961" s="4" t="s">
        <v>5965</v>
      </c>
      <c r="O2961" s="4" t="s">
        <v>63</v>
      </c>
      <c r="P2961" s="4" t="s">
        <v>64</v>
      </c>
    </row>
    <row r="2962">
      <c r="A2962" s="4" t="s">
        <v>5965</v>
      </c>
      <c r="B2962" s="4" t="s">
        <v>5965</v>
      </c>
      <c r="C2962" s="4">
        <v>1351.0</v>
      </c>
      <c r="D2962" s="5" t="str">
        <f>HYPERLINK("https://www.linkedin.com/ad-library/detail/1390095206","Open Ad")</f>
        <v>Open Ad</v>
      </c>
      <c r="E2962" s="4" t="s">
        <v>78</v>
      </c>
      <c r="F2962" s="4" t="s">
        <v>54</v>
      </c>
      <c r="G2962" s="4" t="s">
        <v>6487</v>
      </c>
      <c r="H2962" s="4" t="s">
        <v>49</v>
      </c>
      <c r="I2962" s="4" t="s">
        <v>6005</v>
      </c>
      <c r="J2962" s="4" t="s">
        <v>78</v>
      </c>
      <c r="K2962" s="5" t="str">
        <f>HYPERLINK("https://media.licdn.com/dms/image/v2/D5622AQEEgLlTMdzorw/feedshare-image-high-res/B56Z2My4h9KwAU-/0/1776183644784?e=2147483647&amp;v=beta&amp;t=UnX_74qXI_CDX3CCDjND1x0Ikckb3vCRMxgfEkG-fvM","View Creative")</f>
        <v>View Creative</v>
      </c>
      <c r="L2962" s="4" t="s">
        <v>106</v>
      </c>
      <c r="M2962" s="4" t="s">
        <v>5965</v>
      </c>
      <c r="O2962" s="4" t="s">
        <v>63</v>
      </c>
      <c r="P2962" s="4" t="s">
        <v>64</v>
      </c>
    </row>
    <row r="2963">
      <c r="A2963" s="4" t="s">
        <v>5965</v>
      </c>
      <c r="B2963" s="4" t="s">
        <v>5965</v>
      </c>
      <c r="C2963" s="4">
        <v>1352.0</v>
      </c>
      <c r="D2963" s="5" t="str">
        <f>HYPERLINK("https://www.linkedin.com/ad-library/detail/1390655506","Open Ad")</f>
        <v>Open Ad</v>
      </c>
      <c r="E2963" s="4" t="s">
        <v>78</v>
      </c>
      <c r="F2963" s="4" t="s">
        <v>54</v>
      </c>
      <c r="G2963" s="4" t="s">
        <v>6539</v>
      </c>
      <c r="H2963" s="4" t="s">
        <v>49</v>
      </c>
      <c r="I2963" s="4" t="s">
        <v>6005</v>
      </c>
      <c r="J2963" s="4" t="s">
        <v>78</v>
      </c>
      <c r="K2963" s="5" t="str">
        <f>HYPERLINK("https://media.licdn.com/dms/image/v2/D5622AQEFv6WlRxyLlQ/feedshare-shrink_1280/B56Z2SNOuQKoAM-/0/1776274435180?e=2147483647&amp;v=beta&amp;t=_ZMqNRCPm-QhmyBvxAEsBc6Kv8FYud5e2Yclcldd5VM","View Creative")</f>
        <v>View Creative</v>
      </c>
      <c r="L2963" s="4" t="s">
        <v>106</v>
      </c>
      <c r="M2963" s="4" t="s">
        <v>5965</v>
      </c>
      <c r="O2963" s="4" t="s">
        <v>63</v>
      </c>
      <c r="P2963" s="4" t="s">
        <v>64</v>
      </c>
    </row>
    <row r="2964">
      <c r="A2964" s="4" t="s">
        <v>5965</v>
      </c>
      <c r="B2964" s="4" t="s">
        <v>5965</v>
      </c>
      <c r="C2964" s="4">
        <v>1353.0</v>
      </c>
      <c r="D2964" s="5" t="str">
        <f>HYPERLINK("https://www.linkedin.com/ad-library/detail/1390224296","Open Ad")</f>
        <v>Open Ad</v>
      </c>
      <c r="E2964" s="4" t="s">
        <v>78</v>
      </c>
      <c r="F2964" s="4" t="s">
        <v>54</v>
      </c>
      <c r="G2964" s="4" t="s">
        <v>6487</v>
      </c>
      <c r="H2964" s="4" t="s">
        <v>49</v>
      </c>
      <c r="I2964" s="4" t="s">
        <v>6005</v>
      </c>
      <c r="J2964" s="4" t="s">
        <v>78</v>
      </c>
      <c r="K2964" s="5" t="str">
        <f>HYPERLINK("https://media.licdn.com/dms/image/v2/D5622AQEEgLlTMdzorw/feedshare-image-high-res/B56Z2My4h9KwAU-/0/1776183644784?e=2147483647&amp;v=beta&amp;t=UnX_74qXI_CDX3CCDjND1x0Ikckb3vCRMxgfEkG-fvM","View Creative")</f>
        <v>View Creative</v>
      </c>
      <c r="L2964" s="4" t="s">
        <v>106</v>
      </c>
      <c r="M2964" s="4" t="s">
        <v>5965</v>
      </c>
      <c r="O2964" s="4" t="s">
        <v>63</v>
      </c>
      <c r="P2964" s="4" t="s">
        <v>64</v>
      </c>
    </row>
    <row r="2965">
      <c r="A2965" s="4" t="s">
        <v>5965</v>
      </c>
      <c r="B2965" s="4" t="s">
        <v>5965</v>
      </c>
      <c r="C2965" s="4">
        <v>1354.0</v>
      </c>
      <c r="D2965" s="5" t="str">
        <f>HYPERLINK("https://www.linkedin.com/ad-library/detail/1390115016","Open Ad")</f>
        <v>Open Ad</v>
      </c>
      <c r="E2965" s="4" t="s">
        <v>121</v>
      </c>
      <c r="F2965" s="4" t="s">
        <v>54</v>
      </c>
      <c r="G2965" s="4" t="s">
        <v>6543</v>
      </c>
      <c r="H2965" s="4" t="s">
        <v>49</v>
      </c>
      <c r="I2965" s="4" t="s">
        <v>6005</v>
      </c>
      <c r="J2965" s="4" t="s">
        <v>121</v>
      </c>
      <c r="K2965" s="5" t="str">
        <f>HYPERLINK("https://dms.licdn.com/playlist/vid/v2/D4E10AQE2kMZ23AVteg/mp4-640p-30fp-crf28/B4EZ2HMdlpKEBw-/0/1776089701595?e=2147483647&amp;v=beta&amp;t=bLl0zgUXWRYnWsVIsO05hIFFlse1U03tKYjV6-P8FFA","View Creative")</f>
        <v>View Creative</v>
      </c>
      <c r="L2965" s="4" t="s">
        <v>106</v>
      </c>
      <c r="M2965" s="4" t="s">
        <v>5965</v>
      </c>
      <c r="O2965" s="4" t="s">
        <v>63</v>
      </c>
      <c r="P2965" s="4" t="s">
        <v>64</v>
      </c>
    </row>
    <row r="2966">
      <c r="A2966" s="4" t="s">
        <v>5965</v>
      </c>
      <c r="B2966" s="4" t="s">
        <v>5965</v>
      </c>
      <c r="C2966" s="4">
        <v>1355.0</v>
      </c>
      <c r="D2966" s="5" t="str">
        <f>HYPERLINK("https://www.linkedin.com/ad-library/detail/1390058176","Open Ad")</f>
        <v>Open Ad</v>
      </c>
      <c r="E2966" s="4" t="s">
        <v>78</v>
      </c>
      <c r="F2966" s="4" t="s">
        <v>54</v>
      </c>
      <c r="G2966" s="4" t="s">
        <v>6487</v>
      </c>
      <c r="H2966" s="4" t="s">
        <v>49</v>
      </c>
      <c r="I2966" s="4" t="s">
        <v>6005</v>
      </c>
      <c r="J2966" s="4" t="s">
        <v>78</v>
      </c>
      <c r="K2966" s="5" t="str">
        <f>HYPERLINK("https://media.licdn.com/dms/image/v2/D5622AQEEgLlTMdzorw/feedshare-image-high-res/B56Z2My4h9KwAU-/0/1776183644784?e=2147483647&amp;v=beta&amp;t=UnX_74qXI_CDX3CCDjND1x0Ikckb3vCRMxgfEkG-fvM","View Creative")</f>
        <v>View Creative</v>
      </c>
      <c r="L2966" s="4" t="s">
        <v>106</v>
      </c>
      <c r="M2966" s="4" t="s">
        <v>5965</v>
      </c>
      <c r="O2966" s="4" t="s">
        <v>63</v>
      </c>
      <c r="P2966" s="4" t="s">
        <v>64</v>
      </c>
    </row>
    <row r="2967">
      <c r="A2967" s="4" t="s">
        <v>5965</v>
      </c>
      <c r="B2967" s="4" t="s">
        <v>5965</v>
      </c>
      <c r="C2967" s="4">
        <v>1356.0</v>
      </c>
      <c r="D2967" s="5" t="str">
        <f>HYPERLINK("https://www.linkedin.com/ad-library/detail/1390715676","Open Ad")</f>
        <v>Open Ad</v>
      </c>
      <c r="E2967" s="4" t="s">
        <v>78</v>
      </c>
      <c r="F2967" s="4" t="s">
        <v>54</v>
      </c>
      <c r="G2967" s="4" t="s">
        <v>6539</v>
      </c>
      <c r="H2967" s="4" t="s">
        <v>49</v>
      </c>
      <c r="I2967" s="4" t="s">
        <v>6005</v>
      </c>
      <c r="J2967" s="4" t="s">
        <v>78</v>
      </c>
      <c r="K2967" s="5" t="str">
        <f>HYPERLINK("https://media.licdn.com/dms/image/v2/D5622AQEFv6WlRxyLlQ/feedshare-shrink_1280/B56Z2SNOuQKoAM-/0/1776274435180?e=2147483647&amp;v=beta&amp;t=_ZMqNRCPm-QhmyBvxAEsBc6Kv8FYud5e2Yclcldd5VM","View Creative")</f>
        <v>View Creative</v>
      </c>
      <c r="L2967" s="4" t="s">
        <v>106</v>
      </c>
      <c r="M2967" s="4" t="s">
        <v>5965</v>
      </c>
      <c r="O2967" s="4" t="s">
        <v>63</v>
      </c>
      <c r="P2967" s="4" t="s">
        <v>64</v>
      </c>
    </row>
    <row r="2968">
      <c r="A2968" s="4" t="s">
        <v>5965</v>
      </c>
      <c r="B2968" s="4" t="s">
        <v>5965</v>
      </c>
      <c r="C2968" s="4">
        <v>1357.0</v>
      </c>
      <c r="D2968" s="5" t="str">
        <f>HYPERLINK("https://www.linkedin.com/ad-library/detail/1390084996","Open Ad")</f>
        <v>Open Ad</v>
      </c>
      <c r="E2968" s="4" t="s">
        <v>78</v>
      </c>
      <c r="F2968" s="4" t="s">
        <v>54</v>
      </c>
      <c r="G2968" s="4" t="s">
        <v>6487</v>
      </c>
      <c r="H2968" s="4" t="s">
        <v>49</v>
      </c>
      <c r="I2968" s="4" t="s">
        <v>6005</v>
      </c>
      <c r="J2968" s="4" t="s">
        <v>78</v>
      </c>
      <c r="K2968" s="5" t="str">
        <f>HYPERLINK("https://media.licdn.com/dms/image/v2/D5622AQEEgLlTMdzorw/feedshare-image-high-res/B56Z2My4h9KwAU-/0/1776183644784?e=2147483647&amp;v=beta&amp;t=UnX_74qXI_CDX3CCDjND1x0Ikckb3vCRMxgfEkG-fvM","View Creative")</f>
        <v>View Creative</v>
      </c>
      <c r="L2968" s="4" t="s">
        <v>106</v>
      </c>
      <c r="M2968" s="4" t="s">
        <v>5965</v>
      </c>
      <c r="O2968" s="4" t="s">
        <v>63</v>
      </c>
      <c r="P2968" s="4" t="s">
        <v>64</v>
      </c>
    </row>
    <row r="2969">
      <c r="A2969" s="4" t="s">
        <v>5965</v>
      </c>
      <c r="B2969" s="4" t="s">
        <v>5965</v>
      </c>
      <c r="C2969" s="4">
        <v>1358.0</v>
      </c>
      <c r="D2969" s="5" t="str">
        <f>HYPERLINK("https://www.linkedin.com/ad-library/detail/1390194456","Open Ad")</f>
        <v>Open Ad</v>
      </c>
      <c r="E2969" s="4" t="s">
        <v>121</v>
      </c>
      <c r="F2969" s="4" t="s">
        <v>54</v>
      </c>
      <c r="G2969" s="4" t="s">
        <v>6387</v>
      </c>
      <c r="H2969" s="4" t="s">
        <v>49</v>
      </c>
      <c r="I2969" s="4" t="s">
        <v>6005</v>
      </c>
      <c r="J2969" s="4" t="s">
        <v>121</v>
      </c>
      <c r="K2969" s="5" t="str">
        <f>HYPERLINK("https://dms.licdn.com/playlist/vid/v2/D4E10AQHnB83vIjfNvw/mp4-720p-30fp-crf28/B4EZ2Mv_NUIwCA-/0/1776182899083?e=2147483647&amp;v=beta&amp;t=nwcHAIB3FZdkl9NAtwlYsm_4VdxfPzV34i_gMRpBVio","View Creative")</f>
        <v>View Creative</v>
      </c>
      <c r="L2969" s="4" t="s">
        <v>106</v>
      </c>
      <c r="M2969" s="4" t="s">
        <v>5965</v>
      </c>
      <c r="O2969" s="4" t="s">
        <v>63</v>
      </c>
      <c r="P2969" s="4" t="s">
        <v>64</v>
      </c>
    </row>
    <row r="2970">
      <c r="A2970" s="4" t="s">
        <v>5965</v>
      </c>
      <c r="B2970" s="4" t="s">
        <v>5965</v>
      </c>
      <c r="C2970" s="4">
        <v>1359.0</v>
      </c>
      <c r="D2970" s="5" t="str">
        <f>HYPERLINK("https://www.linkedin.com/ad-library/detail/1390085266","Open Ad")</f>
        <v>Open Ad</v>
      </c>
      <c r="E2970" s="4" t="s">
        <v>121</v>
      </c>
      <c r="F2970" s="4" t="s">
        <v>54</v>
      </c>
      <c r="G2970" s="4" t="s">
        <v>6543</v>
      </c>
      <c r="H2970" s="4" t="s">
        <v>49</v>
      </c>
      <c r="I2970" s="4" t="s">
        <v>6005</v>
      </c>
      <c r="J2970" s="4" t="s">
        <v>121</v>
      </c>
      <c r="K2970" s="5" t="str">
        <f>HYPERLINK("https://dms.licdn.com/playlist/vid/v2/D4E10AQE2kMZ23AVteg/mp4-640p-30fp-crf28/B4EZ2HMdlpKEBw-/0/1776089701595?e=2147483647&amp;v=beta&amp;t=bLl0zgUXWRYnWsVIsO05hIFFlse1U03tKYjV6-P8FFA","View Creative")</f>
        <v>View Creative</v>
      </c>
      <c r="L2970" s="4" t="s">
        <v>106</v>
      </c>
      <c r="M2970" s="4" t="s">
        <v>5965</v>
      </c>
      <c r="O2970" s="4" t="s">
        <v>63</v>
      </c>
      <c r="P2970" s="4" t="s">
        <v>64</v>
      </c>
    </row>
    <row r="2971">
      <c r="A2971" s="4" t="s">
        <v>5965</v>
      </c>
      <c r="B2971" s="4" t="s">
        <v>5965</v>
      </c>
      <c r="C2971" s="4">
        <v>1360.0</v>
      </c>
      <c r="D2971" s="5" t="str">
        <f>HYPERLINK("https://www.linkedin.com/ad-library/detail/1390194696","Open Ad")</f>
        <v>Open Ad</v>
      </c>
      <c r="E2971" s="4" t="s">
        <v>78</v>
      </c>
      <c r="F2971" s="4" t="s">
        <v>54</v>
      </c>
      <c r="G2971" s="4" t="s">
        <v>6541</v>
      </c>
      <c r="H2971" s="4" t="s">
        <v>49</v>
      </c>
      <c r="I2971" s="4" t="s">
        <v>6005</v>
      </c>
      <c r="J2971" s="4" t="s">
        <v>78</v>
      </c>
      <c r="K2971" s="5" t="str">
        <f>HYPERLINK("https://media.licdn.com/dms/image/v2/D4E10AQHY7P_NmZX3dw/image-shrink_1280/B4EZ2MV5L8JMAc-/0/1776176043876?e=2147483647&amp;v=beta&amp;t=CbEkzOw5pd1MG9-TKX-hEPQfJyyW5RN8oosemCfaSOg","View Creative")</f>
        <v>View Creative</v>
      </c>
      <c r="L2971" s="4" t="s">
        <v>106</v>
      </c>
      <c r="M2971" s="4" t="s">
        <v>5965</v>
      </c>
      <c r="O2971" s="4" t="s">
        <v>63</v>
      </c>
      <c r="P2971" s="4" t="s">
        <v>64</v>
      </c>
    </row>
    <row r="2972">
      <c r="A2972" s="4" t="s">
        <v>5965</v>
      </c>
      <c r="B2972" s="4" t="s">
        <v>5965</v>
      </c>
      <c r="C2972" s="4">
        <v>1361.0</v>
      </c>
      <c r="D2972" s="5" t="str">
        <f>HYPERLINK("https://www.linkedin.com/ad-library/detail/1390234216","Open Ad")</f>
        <v>Open Ad</v>
      </c>
      <c r="E2972" s="4" t="s">
        <v>121</v>
      </c>
      <c r="F2972" s="4" t="s">
        <v>54</v>
      </c>
      <c r="G2972" s="4" t="s">
        <v>6543</v>
      </c>
      <c r="H2972" s="4" t="s">
        <v>49</v>
      </c>
      <c r="I2972" s="4" t="s">
        <v>6005</v>
      </c>
      <c r="J2972" s="4" t="s">
        <v>121</v>
      </c>
      <c r="K2972" s="5" t="str">
        <f>HYPERLINK("https://dms.licdn.com/playlist/vid/v2/D4E10AQE2kMZ23AVteg/mp4-640p-30fp-crf28/B4EZ2HMdlpKEBw-/0/1776089701595?e=2147483647&amp;v=beta&amp;t=bLl0zgUXWRYnWsVIsO05hIFFlse1U03tKYjV6-P8FFA","View Creative")</f>
        <v>View Creative</v>
      </c>
      <c r="L2972" s="4" t="s">
        <v>106</v>
      </c>
      <c r="M2972" s="4" t="s">
        <v>5965</v>
      </c>
      <c r="O2972" s="4" t="s">
        <v>63</v>
      </c>
      <c r="P2972" s="4" t="s">
        <v>64</v>
      </c>
    </row>
    <row r="2973">
      <c r="A2973" s="4" t="s">
        <v>5965</v>
      </c>
      <c r="B2973" s="4" t="s">
        <v>5965</v>
      </c>
      <c r="C2973" s="4">
        <v>1362.0</v>
      </c>
      <c r="D2973" s="5" t="str">
        <f>HYPERLINK("https://www.linkedin.com/ad-library/detail/1390164916","Open Ad")</f>
        <v>Open Ad</v>
      </c>
      <c r="E2973" s="4" t="s">
        <v>78</v>
      </c>
      <c r="F2973" s="4" t="s">
        <v>54</v>
      </c>
      <c r="G2973" s="4" t="s">
        <v>6541</v>
      </c>
      <c r="H2973" s="4" t="s">
        <v>49</v>
      </c>
      <c r="I2973" s="4" t="s">
        <v>6005</v>
      </c>
      <c r="J2973" s="4" t="s">
        <v>78</v>
      </c>
      <c r="K2973" s="5" t="str">
        <f>HYPERLINK("https://media.licdn.com/dms/image/v2/D4E10AQHY7P_NmZX3dw/image-shrink_1280/B4EZ2MV5L8JMAc-/0/1776176043876?e=2147483647&amp;v=beta&amp;t=CbEkzOw5pd1MG9-TKX-hEPQfJyyW5RN8oosemCfaSOg","View Creative")</f>
        <v>View Creative</v>
      </c>
      <c r="L2973" s="4" t="s">
        <v>106</v>
      </c>
      <c r="M2973" s="4" t="s">
        <v>5965</v>
      </c>
      <c r="O2973" s="4" t="s">
        <v>63</v>
      </c>
      <c r="P2973" s="4" t="s">
        <v>64</v>
      </c>
    </row>
    <row r="2974">
      <c r="A2974" s="4" t="s">
        <v>5965</v>
      </c>
      <c r="B2974" s="4" t="s">
        <v>5965</v>
      </c>
      <c r="C2974" s="4">
        <v>1363.0</v>
      </c>
      <c r="D2974" s="5" t="str">
        <f>HYPERLINK("https://www.linkedin.com/ad-library/detail/1390685536","Open Ad")</f>
        <v>Open Ad</v>
      </c>
      <c r="E2974" s="4" t="s">
        <v>78</v>
      </c>
      <c r="F2974" s="4" t="s">
        <v>54</v>
      </c>
      <c r="G2974" s="4" t="s">
        <v>6539</v>
      </c>
      <c r="H2974" s="4" t="s">
        <v>49</v>
      </c>
      <c r="I2974" s="4" t="s">
        <v>6005</v>
      </c>
      <c r="J2974" s="4" t="s">
        <v>78</v>
      </c>
      <c r="K2974" s="5" t="str">
        <f>HYPERLINK("https://media.licdn.com/dms/image/v2/D5622AQEFv6WlRxyLlQ/feedshare-shrink_1280/B56Z2SNOuQKoAM-/0/1776274435180?e=2147483647&amp;v=beta&amp;t=_ZMqNRCPm-QhmyBvxAEsBc6Kv8FYud5e2Yclcldd5VM","View Creative")</f>
        <v>View Creative</v>
      </c>
      <c r="L2974" s="4" t="s">
        <v>106</v>
      </c>
      <c r="M2974" s="4" t="s">
        <v>5965</v>
      </c>
      <c r="O2974" s="4" t="s">
        <v>63</v>
      </c>
      <c r="P2974" s="4" t="s">
        <v>64</v>
      </c>
    </row>
    <row r="2975">
      <c r="A2975" s="4" t="s">
        <v>5965</v>
      </c>
      <c r="B2975" s="4" t="s">
        <v>5965</v>
      </c>
      <c r="C2975" s="4">
        <v>1364.0</v>
      </c>
      <c r="D2975" s="5" t="str">
        <f>HYPERLINK("https://www.linkedin.com/ad-library/detail/1390184626","Open Ad")</f>
        <v>Open Ad</v>
      </c>
      <c r="E2975" s="4" t="s">
        <v>121</v>
      </c>
      <c r="F2975" s="4" t="s">
        <v>54</v>
      </c>
      <c r="G2975" s="4" t="s">
        <v>6540</v>
      </c>
      <c r="H2975" s="4" t="s">
        <v>49</v>
      </c>
      <c r="I2975" s="4" t="s">
        <v>6005</v>
      </c>
      <c r="J2975" s="4" t="s">
        <v>121</v>
      </c>
      <c r="K2975" s="5" t="str">
        <f t="shared" ref="K2975:K2976" si="151">HYPERLINK("https://dms.licdn.com/playlist/vid/v2/D4E10AQEQAs4Pr8sSuQ/mp4-640p-30fp-crf28/B4EZ14_0ZMJEBo-/0/1775851501505?e=2147483647&amp;v=beta&amp;t=x4pTQ1IPJo-aNV1VYb1xJKqFUPzGcFgJuRNq1fLjdxc","View Creative")</f>
        <v>View Creative</v>
      </c>
      <c r="L2975" s="4" t="s">
        <v>106</v>
      </c>
      <c r="M2975" s="4" t="s">
        <v>5965</v>
      </c>
      <c r="O2975" s="4" t="s">
        <v>63</v>
      </c>
      <c r="P2975" s="4" t="s">
        <v>64</v>
      </c>
    </row>
    <row r="2976">
      <c r="A2976" s="4" t="s">
        <v>5965</v>
      </c>
      <c r="B2976" s="4" t="s">
        <v>5965</v>
      </c>
      <c r="C2976" s="4">
        <v>1365.0</v>
      </c>
      <c r="D2976" s="5" t="str">
        <f>HYPERLINK("https://www.linkedin.com/ad-library/detail/1390144776","Open Ad")</f>
        <v>Open Ad</v>
      </c>
      <c r="E2976" s="4" t="s">
        <v>121</v>
      </c>
      <c r="F2976" s="4" t="s">
        <v>54</v>
      </c>
      <c r="G2976" s="4" t="s">
        <v>6540</v>
      </c>
      <c r="H2976" s="4" t="s">
        <v>49</v>
      </c>
      <c r="I2976" s="4" t="s">
        <v>6005</v>
      </c>
      <c r="J2976" s="4" t="s">
        <v>121</v>
      </c>
      <c r="K2976" s="5" t="str">
        <f t="shared" si="151"/>
        <v>View Creative</v>
      </c>
      <c r="L2976" s="4" t="s">
        <v>106</v>
      </c>
      <c r="M2976" s="4" t="s">
        <v>5965</v>
      </c>
      <c r="O2976" s="4" t="s">
        <v>63</v>
      </c>
      <c r="P2976" s="4" t="s">
        <v>64</v>
      </c>
    </row>
    <row r="2977">
      <c r="A2977" s="4" t="s">
        <v>5965</v>
      </c>
      <c r="B2977" s="4" t="s">
        <v>5965</v>
      </c>
      <c r="C2977" s="4">
        <v>1366.0</v>
      </c>
      <c r="D2977" s="5" t="str">
        <f>HYPERLINK("https://www.linkedin.com/ad-library/detail/1390754586","Open Ad")</f>
        <v>Open Ad</v>
      </c>
      <c r="E2977" s="4" t="s">
        <v>78</v>
      </c>
      <c r="F2977" s="4" t="s">
        <v>54</v>
      </c>
      <c r="G2977" s="4" t="s">
        <v>6539</v>
      </c>
      <c r="H2977" s="4" t="s">
        <v>49</v>
      </c>
      <c r="I2977" s="4" t="s">
        <v>6005</v>
      </c>
      <c r="J2977" s="4" t="s">
        <v>78</v>
      </c>
      <c r="K2977" s="5" t="str">
        <f>HYPERLINK("https://media.licdn.com/dms/image/v2/D5622AQEFv6WlRxyLlQ/feedshare-shrink_1280/B56Z2SNOuQKoAM-/0/1776274435180?e=2147483647&amp;v=beta&amp;t=_ZMqNRCPm-QhmyBvxAEsBc6Kv8FYud5e2Yclcldd5VM","View Creative")</f>
        <v>View Creative</v>
      </c>
      <c r="L2977" s="4" t="s">
        <v>106</v>
      </c>
      <c r="M2977" s="4" t="s">
        <v>5965</v>
      </c>
      <c r="O2977" s="4" t="s">
        <v>63</v>
      </c>
      <c r="P2977" s="4" t="s">
        <v>64</v>
      </c>
    </row>
    <row r="2978">
      <c r="A2978" s="4" t="s">
        <v>5965</v>
      </c>
      <c r="B2978" s="4" t="s">
        <v>5965</v>
      </c>
      <c r="C2978" s="4">
        <v>1367.0</v>
      </c>
      <c r="D2978" s="5" t="str">
        <f>HYPERLINK("https://www.linkedin.com/ad-library/detail/1390124456","Open Ad")</f>
        <v>Open Ad</v>
      </c>
      <c r="E2978" s="4" t="s">
        <v>78</v>
      </c>
      <c r="F2978" s="4" t="s">
        <v>54</v>
      </c>
      <c r="G2978" s="4" t="s">
        <v>6541</v>
      </c>
      <c r="H2978" s="4" t="s">
        <v>49</v>
      </c>
      <c r="I2978" s="4" t="s">
        <v>6005</v>
      </c>
      <c r="J2978" s="4" t="s">
        <v>78</v>
      </c>
      <c r="K2978" s="5" t="str">
        <f>HYPERLINK("https://media.licdn.com/dms/image/v2/D4E10AQHY7P_NmZX3dw/image-shrink_1280/B4EZ2MV5L8JMAc-/0/1776176043876?e=2147483647&amp;v=beta&amp;t=CbEkzOw5pd1MG9-TKX-hEPQfJyyW5RN8oosemCfaSOg","View Creative")</f>
        <v>View Creative</v>
      </c>
      <c r="L2978" s="4" t="s">
        <v>106</v>
      </c>
      <c r="M2978" s="4" t="s">
        <v>5965</v>
      </c>
      <c r="O2978" s="4" t="s">
        <v>63</v>
      </c>
      <c r="P2978" s="4" t="s">
        <v>64</v>
      </c>
    </row>
    <row r="2979">
      <c r="A2979" s="4" t="s">
        <v>5965</v>
      </c>
      <c r="B2979" s="4" t="s">
        <v>5965</v>
      </c>
      <c r="C2979" s="4">
        <v>1368.0</v>
      </c>
      <c r="D2979" s="5" t="str">
        <f>HYPERLINK("https://www.linkedin.com/ad-library/detail/1390253786","Open Ad")</f>
        <v>Open Ad</v>
      </c>
      <c r="E2979" s="4" t="s">
        <v>78</v>
      </c>
      <c r="F2979" s="4" t="s">
        <v>54</v>
      </c>
      <c r="G2979" s="4" t="s">
        <v>6487</v>
      </c>
      <c r="H2979" s="4" t="s">
        <v>49</v>
      </c>
      <c r="I2979" s="4" t="s">
        <v>6005</v>
      </c>
      <c r="J2979" s="4" t="s">
        <v>78</v>
      </c>
      <c r="K2979" s="5" t="str">
        <f>HYPERLINK("https://media.licdn.com/dms/image/v2/D5622AQEEgLlTMdzorw/feedshare-image-high-res/B56Z2My4h9KwAU-/0/1776183644784?e=2147483647&amp;v=beta&amp;t=UnX_74qXI_CDX3CCDjND1x0Ikckb3vCRMxgfEkG-fvM","View Creative")</f>
        <v>View Creative</v>
      </c>
      <c r="L2979" s="4" t="s">
        <v>106</v>
      </c>
      <c r="M2979" s="4" t="s">
        <v>5965</v>
      </c>
      <c r="O2979" s="4" t="s">
        <v>63</v>
      </c>
      <c r="P2979" s="4" t="s">
        <v>64</v>
      </c>
    </row>
    <row r="2980">
      <c r="A2980" s="4" t="s">
        <v>5965</v>
      </c>
      <c r="B2980" s="4" t="s">
        <v>5965</v>
      </c>
      <c r="C2980" s="4">
        <v>1369.0</v>
      </c>
      <c r="D2980" s="5" t="str">
        <f>HYPERLINK("https://www.linkedin.com/ad-library/detail/1389635646","Open Ad")</f>
        <v>Open Ad</v>
      </c>
      <c r="E2980" s="4" t="s">
        <v>78</v>
      </c>
      <c r="F2980" s="4" t="s">
        <v>54</v>
      </c>
      <c r="G2980" s="4" t="s">
        <v>6544</v>
      </c>
      <c r="H2980" s="4" t="s">
        <v>49</v>
      </c>
      <c r="I2980" s="4" t="s">
        <v>6005</v>
      </c>
      <c r="J2980" s="4" t="s">
        <v>78</v>
      </c>
      <c r="K2980" s="5" t="str">
        <f>HYPERLINK("https://media.licdn.com/dms/image/v2/D4E10AQHh8QXsUTwTLQ/image-shrink_1280/B4EZzj8CgOKQAc-/0/1773350693435?e=2147483647&amp;v=beta&amp;t=oOeNo28sJ1rA9BvUwJALGKNmBemHszGNk9sT0ZhnDIw","View Creative")</f>
        <v>View Creative</v>
      </c>
      <c r="L2980" s="4" t="s">
        <v>106</v>
      </c>
      <c r="M2980" s="4" t="s">
        <v>5965</v>
      </c>
      <c r="O2980" s="4" t="s">
        <v>63</v>
      </c>
      <c r="P2980" s="4" t="s">
        <v>64</v>
      </c>
    </row>
    <row r="2981">
      <c r="A2981" s="4" t="s">
        <v>5965</v>
      </c>
      <c r="B2981" s="4" t="s">
        <v>5965</v>
      </c>
      <c r="C2981" s="4">
        <v>1370.0</v>
      </c>
      <c r="D2981" s="5" t="str">
        <f>HYPERLINK("https://www.linkedin.com/ad-library/detail/1389715576","Open Ad")</f>
        <v>Open Ad</v>
      </c>
      <c r="E2981" s="4" t="s">
        <v>121</v>
      </c>
      <c r="F2981" s="4" t="s">
        <v>54</v>
      </c>
      <c r="G2981" s="4" t="s">
        <v>6545</v>
      </c>
      <c r="H2981" s="4" t="s">
        <v>49</v>
      </c>
      <c r="I2981" s="4" t="s">
        <v>6005</v>
      </c>
      <c r="J2981" s="4" t="s">
        <v>121</v>
      </c>
      <c r="K2981" s="5" t="str">
        <f>HYPERLINK("https://dms.licdn.com/playlist/vid/v2/D4E10AQHFU1k453OYrA/mp4-640p-30fp-crf28/B4EZ1T2oaIGoBk-/0/1775228339149?e=2147483647&amp;v=beta&amp;t=kBnW5fM4ijMUPneQ4OMxjdJ5g1DIFxIn44cnT0Y2FNs","View Creative")</f>
        <v>View Creative</v>
      </c>
      <c r="L2981" s="4" t="s">
        <v>106</v>
      </c>
      <c r="M2981" s="4" t="s">
        <v>5965</v>
      </c>
      <c r="O2981" s="4" t="s">
        <v>63</v>
      </c>
      <c r="P2981" s="4" t="s">
        <v>64</v>
      </c>
    </row>
    <row r="2982">
      <c r="A2982" s="4" t="s">
        <v>5965</v>
      </c>
      <c r="B2982" s="4" t="s">
        <v>5965</v>
      </c>
      <c r="C2982" s="4">
        <v>1371.0</v>
      </c>
      <c r="D2982" s="5" t="str">
        <f>HYPERLINK("https://www.linkedin.com/ad-library/detail/1389795416","Open Ad")</f>
        <v>Open Ad</v>
      </c>
      <c r="E2982" s="4" t="s">
        <v>121</v>
      </c>
      <c r="F2982" s="4" t="s">
        <v>54</v>
      </c>
      <c r="G2982" s="4" t="s">
        <v>6546</v>
      </c>
      <c r="H2982" s="4" t="s">
        <v>49</v>
      </c>
      <c r="I2982" s="4" t="s">
        <v>6005</v>
      </c>
      <c r="J2982" s="4" t="s">
        <v>121</v>
      </c>
      <c r="K2982" s="5" t="str">
        <f>HYPERLINK("https://dms.licdn.com/playlist/vid/v2/D5605AQGvYPFvEJ845w/mp4-720p-30fp-crf28/B56ZyQoFy0KgCE-/0/1771952959206?e=2147483647&amp;v=beta&amp;t=cEPXbjJcEy4sIJu9RapE6jzqf1jVlAKK-4rBPLfuq3I","View Creative")</f>
        <v>View Creative</v>
      </c>
      <c r="L2982" s="4" t="s">
        <v>106</v>
      </c>
      <c r="M2982" s="4" t="s">
        <v>5965</v>
      </c>
      <c r="O2982" s="4" t="s">
        <v>63</v>
      </c>
      <c r="P2982" s="4" t="s">
        <v>64</v>
      </c>
    </row>
    <row r="2983">
      <c r="A2983" s="4" t="s">
        <v>5965</v>
      </c>
      <c r="B2983" s="4" t="s">
        <v>5965</v>
      </c>
      <c r="C2983" s="4">
        <v>1372.0</v>
      </c>
      <c r="D2983" s="5" t="str">
        <f>HYPERLINK("https://www.linkedin.com/ad-library/detail/1390094956","Open Ad")</f>
        <v>Open Ad</v>
      </c>
      <c r="E2983" s="4" t="s">
        <v>121</v>
      </c>
      <c r="F2983" s="4" t="s">
        <v>54</v>
      </c>
      <c r="G2983" s="4" t="s">
        <v>6387</v>
      </c>
      <c r="H2983" s="4" t="s">
        <v>49</v>
      </c>
      <c r="I2983" s="4" t="s">
        <v>6005</v>
      </c>
      <c r="J2983" s="4" t="s">
        <v>121</v>
      </c>
      <c r="K2983" s="5" t="str">
        <f>HYPERLINK("https://dms.licdn.com/playlist/vid/v2/D4E10AQHnB83vIjfNvw/mp4-720p-30fp-crf28/B4EZ2Mv_NUIwCA-/0/1776182899083?e=2147483647&amp;v=beta&amp;t=nwcHAIB3FZdkl9NAtwlYsm_4VdxfPzV34i_gMRpBVio","View Creative")</f>
        <v>View Creative</v>
      </c>
      <c r="L2983" s="4" t="s">
        <v>106</v>
      </c>
      <c r="M2983" s="4" t="s">
        <v>5965</v>
      </c>
      <c r="O2983" s="4" t="s">
        <v>63</v>
      </c>
      <c r="P2983" s="4" t="s">
        <v>64</v>
      </c>
    </row>
    <row r="2984">
      <c r="A2984" s="4" t="s">
        <v>5965</v>
      </c>
      <c r="B2984" s="4" t="s">
        <v>5965</v>
      </c>
      <c r="C2984" s="4">
        <v>1373.0</v>
      </c>
      <c r="D2984" s="5" t="str">
        <f>HYPERLINK("https://www.linkedin.com/ad-library/detail/1389715566","Open Ad")</f>
        <v>Open Ad</v>
      </c>
      <c r="E2984" s="4" t="s">
        <v>121</v>
      </c>
      <c r="F2984" s="4" t="s">
        <v>54</v>
      </c>
      <c r="G2984" s="4" t="s">
        <v>6547</v>
      </c>
      <c r="H2984" s="4" t="s">
        <v>49</v>
      </c>
      <c r="I2984" s="4" t="s">
        <v>6005</v>
      </c>
      <c r="J2984" s="4" t="s">
        <v>121</v>
      </c>
      <c r="K2984" s="5" t="str">
        <f>HYPERLINK("https://dms.licdn.com/playlist/vid/v2/D5610AQGG1v8LxW2J2Q/mp4-360p-30fp-crf28/B56Z0H6F.wHICA-/0/1773954175177?e=2147483647&amp;v=beta&amp;t=s4GCVN-Klk_yVFXAFC0Vw3E19Ib0k1_UJT7G4PFeIYI","View Creative")</f>
        <v>View Creative</v>
      </c>
      <c r="L2984" s="4" t="s">
        <v>106</v>
      </c>
      <c r="M2984" s="4" t="s">
        <v>5965</v>
      </c>
      <c r="O2984" s="4" t="s">
        <v>63</v>
      </c>
      <c r="P2984" s="4" t="s">
        <v>64</v>
      </c>
    </row>
    <row r="2985">
      <c r="A2985" s="4" t="s">
        <v>5965</v>
      </c>
      <c r="B2985" s="4" t="s">
        <v>5965</v>
      </c>
      <c r="C2985" s="4">
        <v>1374.0</v>
      </c>
      <c r="D2985" s="5" t="str">
        <f>HYPERLINK("https://www.linkedin.com/ad-library/detail/1389808116","Open Ad")</f>
        <v>Open Ad</v>
      </c>
      <c r="E2985" s="4" t="s">
        <v>5970</v>
      </c>
      <c r="F2985" s="4" t="s">
        <v>54</v>
      </c>
      <c r="G2985" s="4" t="s">
        <v>6548</v>
      </c>
      <c r="H2985" s="4" t="s">
        <v>49</v>
      </c>
      <c r="I2985" s="4" t="s">
        <v>6005</v>
      </c>
      <c r="J2985" s="4" t="s">
        <v>5973</v>
      </c>
      <c r="K2985" s="4" t="s">
        <v>59</v>
      </c>
      <c r="L2985" s="4" t="s">
        <v>106</v>
      </c>
      <c r="M2985" s="4" t="s">
        <v>5965</v>
      </c>
      <c r="O2985" s="4" t="s">
        <v>63</v>
      </c>
      <c r="P2985" s="4" t="s">
        <v>64</v>
      </c>
    </row>
    <row r="2986">
      <c r="A2986" s="4" t="s">
        <v>5965</v>
      </c>
      <c r="B2986" s="4" t="s">
        <v>5965</v>
      </c>
      <c r="C2986" s="4">
        <v>1375.0</v>
      </c>
      <c r="D2986" s="5" t="str">
        <f>HYPERLINK("https://www.linkedin.com/ad-library/detail/1389746016","Open Ad")</f>
        <v>Open Ad</v>
      </c>
      <c r="E2986" s="4" t="s">
        <v>121</v>
      </c>
      <c r="F2986" s="4" t="s">
        <v>54</v>
      </c>
      <c r="G2986" s="4" t="s">
        <v>6549</v>
      </c>
      <c r="H2986" s="4" t="s">
        <v>49</v>
      </c>
      <c r="I2986" s="4" t="s">
        <v>6005</v>
      </c>
      <c r="J2986" s="4" t="s">
        <v>121</v>
      </c>
      <c r="K2986" s="5" t="str">
        <f>HYPERLINK("https://dms.licdn.com/playlist/vid/v2/D5605AQHDR1EE1SCFgQ/mp4-640p-30fp-crf28/B56Z0LqvhkKYBw-/0/1774017252150?e=2147483647&amp;v=beta&amp;t=-oLCASX73dlWtk9XBKDc3ik62wW-_HedEFTy3cH5scI","View Creative")</f>
        <v>View Creative</v>
      </c>
      <c r="L2986" s="4" t="s">
        <v>106</v>
      </c>
      <c r="M2986" s="4" t="s">
        <v>5965</v>
      </c>
      <c r="O2986" s="4" t="s">
        <v>63</v>
      </c>
      <c r="P2986" s="4" t="s">
        <v>64</v>
      </c>
    </row>
    <row r="2987">
      <c r="A2987" s="4" t="s">
        <v>5965</v>
      </c>
      <c r="B2987" s="4" t="s">
        <v>5965</v>
      </c>
      <c r="C2987" s="4">
        <v>1376.0</v>
      </c>
      <c r="D2987" s="5" t="str">
        <f>HYPERLINK("https://www.linkedin.com/ad-library/detail/1389705056","Open Ad")</f>
        <v>Open Ad</v>
      </c>
      <c r="E2987" s="4" t="s">
        <v>78</v>
      </c>
      <c r="F2987" s="4" t="s">
        <v>54</v>
      </c>
      <c r="G2987" s="4" t="s">
        <v>6550</v>
      </c>
      <c r="H2987" s="4" t="s">
        <v>49</v>
      </c>
      <c r="I2987" s="4" t="s">
        <v>6005</v>
      </c>
      <c r="J2987" s="4" t="s">
        <v>78</v>
      </c>
      <c r="K2987" s="5" t="str">
        <f>HYPERLINK("https://media.licdn.com/dms/image/v2/D4E10AQHdbrM3G0dcfA/image-shrink_1280/B4EZvmBd80GsAc-/0/1769090704089?e=2147483647&amp;v=beta&amp;t=dlO5yfiP1MV6jnBsM651Qg2abmJfMecqFy-8C9PrRFA","View Creative")</f>
        <v>View Creative</v>
      </c>
      <c r="L2987" s="4" t="s">
        <v>106</v>
      </c>
      <c r="M2987" s="4" t="s">
        <v>5965</v>
      </c>
      <c r="O2987" s="4" t="s">
        <v>63</v>
      </c>
      <c r="P2987" s="4" t="s">
        <v>64</v>
      </c>
    </row>
    <row r="2988">
      <c r="A2988" s="4" t="s">
        <v>5965</v>
      </c>
      <c r="B2988" s="4" t="s">
        <v>5965</v>
      </c>
      <c r="C2988" s="4">
        <v>1377.0</v>
      </c>
      <c r="D2988" s="5" t="str">
        <f>HYPERLINK("https://www.linkedin.com/ad-library/detail/1389765386","Open Ad")</f>
        <v>Open Ad</v>
      </c>
      <c r="E2988" s="4" t="s">
        <v>121</v>
      </c>
      <c r="F2988" s="4" t="s">
        <v>54</v>
      </c>
      <c r="G2988" s="4" t="s">
        <v>6545</v>
      </c>
      <c r="H2988" s="4" t="s">
        <v>49</v>
      </c>
      <c r="I2988" s="4" t="s">
        <v>6005</v>
      </c>
      <c r="J2988" s="4" t="s">
        <v>121</v>
      </c>
      <c r="K2988" s="5" t="str">
        <f>HYPERLINK("https://dms.licdn.com/playlist/vid/v2/D4E10AQHFU1k453OYrA/mp4-640p-30fp-crf28/B4EZ1T2oaIGoBk-/0/1775228339149?e=2147483647&amp;v=beta&amp;t=kBnW5fM4ijMUPneQ4OMxjdJ5g1DIFxIn44cnT0Y2FNs","View Creative")</f>
        <v>View Creative</v>
      </c>
      <c r="L2988" s="4" t="s">
        <v>106</v>
      </c>
      <c r="M2988" s="4" t="s">
        <v>5965</v>
      </c>
      <c r="O2988" s="4" t="s">
        <v>63</v>
      </c>
      <c r="P2988" s="4" t="s">
        <v>64</v>
      </c>
    </row>
    <row r="2989">
      <c r="A2989" s="4" t="s">
        <v>5965</v>
      </c>
      <c r="B2989" s="4" t="s">
        <v>5965</v>
      </c>
      <c r="C2989" s="4">
        <v>1378.0</v>
      </c>
      <c r="D2989" s="5" t="str">
        <f>HYPERLINK("https://www.linkedin.com/ad-library/detail/1389805876","Open Ad")</f>
        <v>Open Ad</v>
      </c>
      <c r="E2989" s="4" t="s">
        <v>121</v>
      </c>
      <c r="F2989" s="4" t="s">
        <v>54</v>
      </c>
      <c r="G2989" s="4" t="s">
        <v>6551</v>
      </c>
      <c r="H2989" s="4" t="s">
        <v>49</v>
      </c>
      <c r="I2989" s="4" t="s">
        <v>6005</v>
      </c>
      <c r="J2989" s="4" t="s">
        <v>121</v>
      </c>
      <c r="K2989" s="5" t="str">
        <f>HYPERLINK("https://dms.licdn.com/playlist/vid/v2/D4E05AQGG9pTneoArWw/mp4-720p-30fp-crf28/B4EZyP31JjGcCE-/0/1771940309947?e=2147483647&amp;v=beta&amp;t=lSy7EwO1JEElxw9V179dp__-TMnTYtNVUoAcpawSboQ","View Creative")</f>
        <v>View Creative</v>
      </c>
      <c r="L2989" s="4" t="s">
        <v>106</v>
      </c>
      <c r="M2989" s="4" t="s">
        <v>5965</v>
      </c>
      <c r="O2989" s="4" t="s">
        <v>63</v>
      </c>
      <c r="P2989" s="4" t="s">
        <v>64</v>
      </c>
    </row>
    <row r="2990">
      <c r="A2990" s="4" t="s">
        <v>5965</v>
      </c>
      <c r="B2990" s="4" t="s">
        <v>5965</v>
      </c>
      <c r="C2990" s="4">
        <v>1379.0</v>
      </c>
      <c r="D2990" s="5" t="str">
        <f>HYPERLINK("https://www.linkedin.com/ad-library/detail/1389615476","Open Ad")</f>
        <v>Open Ad</v>
      </c>
      <c r="E2990" s="4" t="s">
        <v>121</v>
      </c>
      <c r="F2990" s="4" t="s">
        <v>54</v>
      </c>
      <c r="G2990" s="4" t="s">
        <v>6546</v>
      </c>
      <c r="H2990" s="4" t="s">
        <v>49</v>
      </c>
      <c r="I2990" s="4" t="s">
        <v>6005</v>
      </c>
      <c r="J2990" s="4" t="s">
        <v>121</v>
      </c>
      <c r="K2990" s="5" t="str">
        <f>HYPERLINK("https://dms.licdn.com/playlist/vid/v2/D5605AQGvYPFvEJ845w/mp4-720p-30fp-crf28/B56ZyQoFy0KgCE-/0/1771952959206?e=2147483647&amp;v=beta&amp;t=cEPXbjJcEy4sIJu9RapE6jzqf1jVlAKK-4rBPLfuq3I","View Creative")</f>
        <v>View Creative</v>
      </c>
      <c r="L2990" s="4" t="s">
        <v>106</v>
      </c>
      <c r="M2990" s="4" t="s">
        <v>5965</v>
      </c>
      <c r="O2990" s="4" t="s">
        <v>63</v>
      </c>
      <c r="P2990" s="4" t="s">
        <v>64</v>
      </c>
    </row>
    <row r="2991">
      <c r="A2991" s="4" t="s">
        <v>5965</v>
      </c>
      <c r="B2991" s="4" t="s">
        <v>5965</v>
      </c>
      <c r="C2991" s="4">
        <v>1380.0</v>
      </c>
      <c r="D2991" s="5" t="str">
        <f>HYPERLINK("https://www.linkedin.com/ad-library/detail/1389585816","Open Ad")</f>
        <v>Open Ad</v>
      </c>
      <c r="E2991" s="4" t="s">
        <v>78</v>
      </c>
      <c r="F2991" s="4" t="s">
        <v>54</v>
      </c>
      <c r="G2991" s="4" t="s">
        <v>6552</v>
      </c>
      <c r="H2991" s="4" t="s">
        <v>49</v>
      </c>
      <c r="I2991" s="4" t="s">
        <v>6005</v>
      </c>
      <c r="J2991" s="4" t="s">
        <v>78</v>
      </c>
      <c r="K2991" s="5" t="str">
        <f>HYPERLINK("https://media.licdn.com/dms/image/v2/D4E22AQG5OiwEIDONrg/feedshare-image-high-res/B4EZ14ROdsJcAU-/0/1775839275119?e=2147483647&amp;v=beta&amp;t=CDqGebAcF3Q5ziKcbgGOb-hRNl4RQ_TCZwGtjqCHTes","View Creative")</f>
        <v>View Creative</v>
      </c>
      <c r="L2991" s="4" t="s">
        <v>106</v>
      </c>
      <c r="M2991" s="4" t="s">
        <v>5965</v>
      </c>
      <c r="O2991" s="4" t="s">
        <v>63</v>
      </c>
      <c r="P2991" s="4" t="s">
        <v>64</v>
      </c>
    </row>
    <row r="2992">
      <c r="A2992" s="4" t="s">
        <v>5965</v>
      </c>
      <c r="B2992" s="4" t="s">
        <v>5965</v>
      </c>
      <c r="C2992" s="4">
        <v>1381.0</v>
      </c>
      <c r="D2992" s="5" t="str">
        <f>HYPERLINK("https://www.linkedin.com/ad-library/detail/1389615256","Open Ad")</f>
        <v>Open Ad</v>
      </c>
      <c r="E2992" s="4" t="s">
        <v>78</v>
      </c>
      <c r="F2992" s="4" t="s">
        <v>54</v>
      </c>
      <c r="G2992" s="4" t="s">
        <v>6494</v>
      </c>
      <c r="H2992" s="4" t="s">
        <v>49</v>
      </c>
      <c r="I2992" s="4" t="s">
        <v>6005</v>
      </c>
      <c r="J2992" s="4" t="s">
        <v>78</v>
      </c>
      <c r="K2992" s="5" t="str">
        <f>HYPERLINK("https://media.licdn.com/dms/image/v2/D4E22AQHbFCQCDCGG3g/feedshare-image-high-res/B4EZpOeqO1HgAw-/0/1762253252103?e=2147483647&amp;v=beta&amp;t=Br5vflKeqacS-e7vktti7ZfaCAL9Qm6QJloy5pf7CYw","View Creative")</f>
        <v>View Creative</v>
      </c>
      <c r="L2992" s="4" t="s">
        <v>106</v>
      </c>
      <c r="M2992" s="4" t="s">
        <v>5965</v>
      </c>
      <c r="O2992" s="4" t="s">
        <v>63</v>
      </c>
      <c r="P2992" s="4" t="s">
        <v>64</v>
      </c>
    </row>
    <row r="2993">
      <c r="A2993" s="4" t="s">
        <v>5965</v>
      </c>
      <c r="B2993" s="4" t="s">
        <v>5965</v>
      </c>
      <c r="C2993" s="4">
        <v>1382.0</v>
      </c>
      <c r="D2993" s="5" t="str">
        <f>HYPERLINK("https://www.linkedin.com/ad-library/detail/1389604816","Open Ad")</f>
        <v>Open Ad</v>
      </c>
      <c r="E2993" s="4" t="s">
        <v>121</v>
      </c>
      <c r="F2993" s="4" t="s">
        <v>54</v>
      </c>
      <c r="G2993" s="4" t="s">
        <v>6389</v>
      </c>
      <c r="H2993" s="4" t="s">
        <v>49</v>
      </c>
      <c r="I2993" s="4" t="s">
        <v>6005</v>
      </c>
      <c r="J2993" s="4" t="s">
        <v>121</v>
      </c>
      <c r="K2993" s="5" t="str">
        <f>HYPERLINK("https://dms.licdn.com/playlist/vid/v2/D4E05AQEZIBMQ5dvMiw/mp4-640p-30fp-crf28/B4EZq7fWtpGcB0-/0/1764082160741?e=2147483647&amp;v=beta&amp;t=XFL1jBqfg-_iulKKPx99xtiUuPTR1oKXosCHSzSTLSs","View Creative")</f>
        <v>View Creative</v>
      </c>
      <c r="L2993" s="4" t="s">
        <v>106</v>
      </c>
      <c r="M2993" s="4" t="s">
        <v>5965</v>
      </c>
      <c r="O2993" s="4" t="s">
        <v>63</v>
      </c>
      <c r="P2993" s="4" t="s">
        <v>64</v>
      </c>
    </row>
    <row r="2994">
      <c r="A2994" s="4" t="s">
        <v>5965</v>
      </c>
      <c r="B2994" s="4" t="s">
        <v>5965</v>
      </c>
      <c r="C2994" s="4">
        <v>1383.0</v>
      </c>
      <c r="D2994" s="5" t="str">
        <f>HYPERLINK("https://www.linkedin.com/ad-library/detail/1389665496","Open Ad")</f>
        <v>Open Ad</v>
      </c>
      <c r="E2994" s="4" t="s">
        <v>78</v>
      </c>
      <c r="F2994" s="4" t="s">
        <v>54</v>
      </c>
      <c r="G2994" s="4" t="s">
        <v>6553</v>
      </c>
      <c r="H2994" s="4" t="s">
        <v>49</v>
      </c>
      <c r="I2994" s="4" t="s">
        <v>6005</v>
      </c>
      <c r="J2994" s="4" t="s">
        <v>78</v>
      </c>
      <c r="K2994" s="5" t="str">
        <f>HYPERLINK("https://media.licdn.com/dms/image/v2/D4E10AQE02M4AwdIpKg/image-shrink_1280/B4EZzjNoazHgAg-/0/1773338527903?e=2147483647&amp;v=beta&amp;t=M34sdSlaI0Zavq6spWkzXBQYfvzfdv65RLj0E7DPYhc","View Creative")</f>
        <v>View Creative</v>
      </c>
      <c r="L2994" s="4" t="s">
        <v>106</v>
      </c>
      <c r="M2994" s="4" t="s">
        <v>5965</v>
      </c>
      <c r="O2994" s="4" t="s">
        <v>63</v>
      </c>
      <c r="P2994" s="4" t="s">
        <v>64</v>
      </c>
    </row>
    <row r="2995">
      <c r="A2995" s="4" t="s">
        <v>5965</v>
      </c>
      <c r="B2995" s="4" t="s">
        <v>5965</v>
      </c>
      <c r="C2995" s="4">
        <v>1384.0</v>
      </c>
      <c r="D2995" s="5" t="str">
        <f>HYPERLINK("https://www.linkedin.com/ad-library/detail/1390244396","Open Ad")</f>
        <v>Open Ad</v>
      </c>
      <c r="E2995" s="4" t="s">
        <v>121</v>
      </c>
      <c r="F2995" s="4" t="s">
        <v>54</v>
      </c>
      <c r="G2995" s="4" t="s">
        <v>6387</v>
      </c>
      <c r="H2995" s="4" t="s">
        <v>49</v>
      </c>
      <c r="I2995" s="4" t="s">
        <v>6005</v>
      </c>
      <c r="J2995" s="4" t="s">
        <v>121</v>
      </c>
      <c r="K2995" s="5" t="str">
        <f>HYPERLINK("https://dms.licdn.com/playlist/vid/v2/D4E10AQHnB83vIjfNvw/mp4-720p-30fp-crf28/B4EZ2Mv_NUIwCA-/0/1776182899083?e=2147483647&amp;v=beta&amp;t=nwcHAIB3FZdkl9NAtwlYsm_4VdxfPzV34i_gMRpBVio","View Creative")</f>
        <v>View Creative</v>
      </c>
      <c r="L2995" s="4" t="s">
        <v>106</v>
      </c>
      <c r="M2995" s="4" t="s">
        <v>5965</v>
      </c>
      <c r="O2995" s="4" t="s">
        <v>63</v>
      </c>
      <c r="P2995" s="4" t="s">
        <v>64</v>
      </c>
    </row>
    <row r="2996">
      <c r="A2996" s="4" t="s">
        <v>5965</v>
      </c>
      <c r="B2996" s="4" t="s">
        <v>5965</v>
      </c>
      <c r="C2996" s="4">
        <v>1385.0</v>
      </c>
      <c r="D2996" s="5" t="str">
        <f>HYPERLINK("https://www.linkedin.com/ad-library/detail/1389785836","Open Ad")</f>
        <v>Open Ad</v>
      </c>
      <c r="E2996" s="4" t="s">
        <v>121</v>
      </c>
      <c r="F2996" s="4" t="s">
        <v>54</v>
      </c>
      <c r="G2996" s="8" t="s">
        <v>6554</v>
      </c>
      <c r="H2996" s="4" t="s">
        <v>49</v>
      </c>
      <c r="I2996" s="4" t="s">
        <v>6005</v>
      </c>
      <c r="J2996" s="4" t="s">
        <v>121</v>
      </c>
      <c r="K2996" s="5" t="str">
        <f>HYPERLINK("https://dms.licdn.com/playlist/vid/v2/D5605AQF83_DNHS-pdw/mp4-720p-30fp-crf28/B56Z0BfAhmKcCM-/0/1773846401302?e=2147483647&amp;v=beta&amp;t=I2BiW3EDO9MiWAszXKxdAhtpjQUHNoLmO19yGv-3td4","View Creative")</f>
        <v>View Creative</v>
      </c>
      <c r="L2996" s="4" t="s">
        <v>106</v>
      </c>
      <c r="M2996" s="4" t="s">
        <v>5965</v>
      </c>
      <c r="O2996" s="4" t="s">
        <v>63</v>
      </c>
      <c r="P2996" s="4" t="s">
        <v>64</v>
      </c>
    </row>
    <row r="2997">
      <c r="A2997" s="4" t="s">
        <v>5965</v>
      </c>
      <c r="B2997" s="4" t="s">
        <v>5965</v>
      </c>
      <c r="C2997" s="4">
        <v>1386.0</v>
      </c>
      <c r="D2997" s="5" t="str">
        <f>HYPERLINK("https://www.linkedin.com/ad-library/detail/1389785846","Open Ad")</f>
        <v>Open Ad</v>
      </c>
      <c r="E2997" s="4" t="s">
        <v>121</v>
      </c>
      <c r="F2997" s="4" t="s">
        <v>54</v>
      </c>
      <c r="G2997" s="4" t="s">
        <v>6555</v>
      </c>
      <c r="H2997" s="4" t="s">
        <v>49</v>
      </c>
      <c r="I2997" s="4" t="s">
        <v>6005</v>
      </c>
      <c r="J2997" s="4" t="s">
        <v>121</v>
      </c>
      <c r="K2997" s="5" t="str">
        <f>HYPERLINK("https://dms.licdn.com/playlist/vid/v2/D4E10AQHEMWiDNQa5VQ/mp4-640p-30fp-crf28/B4EZ0bOltZIQBo-/0/1774278306504?e=2147483647&amp;v=beta&amp;t=ZhpAXkN8yaIizGZJRhLGj5UJbzxZwVKaj-9Z2QWIL_Y","View Creative")</f>
        <v>View Creative</v>
      </c>
      <c r="L2997" s="4" t="s">
        <v>106</v>
      </c>
      <c r="M2997" s="4" t="s">
        <v>5965</v>
      </c>
      <c r="O2997" s="4" t="s">
        <v>63</v>
      </c>
      <c r="P2997" s="4" t="s">
        <v>64</v>
      </c>
    </row>
    <row r="2998">
      <c r="A2998" s="4" t="s">
        <v>5965</v>
      </c>
      <c r="B2998" s="4" t="s">
        <v>5965</v>
      </c>
      <c r="C2998" s="4">
        <v>1387.0</v>
      </c>
      <c r="D2998" s="5" t="str">
        <f>HYPERLINK("https://www.linkedin.com/ad-library/detail/1389737846","Open Ad")</f>
        <v>Open Ad</v>
      </c>
      <c r="E2998" s="4" t="s">
        <v>5970</v>
      </c>
      <c r="F2998" s="4" t="s">
        <v>54</v>
      </c>
      <c r="G2998" s="4" t="s">
        <v>6548</v>
      </c>
      <c r="H2998" s="4" t="s">
        <v>49</v>
      </c>
      <c r="I2998" s="4" t="s">
        <v>6005</v>
      </c>
      <c r="J2998" s="4" t="s">
        <v>5973</v>
      </c>
      <c r="K2998" s="4" t="s">
        <v>59</v>
      </c>
      <c r="L2998" s="4" t="s">
        <v>106</v>
      </c>
      <c r="M2998" s="4" t="s">
        <v>5965</v>
      </c>
      <c r="O2998" s="4" t="s">
        <v>63</v>
      </c>
      <c r="P2998" s="4" t="s">
        <v>64</v>
      </c>
    </row>
    <row r="2999">
      <c r="A2999" s="4" t="s">
        <v>5965</v>
      </c>
      <c r="B2999" s="4" t="s">
        <v>5965</v>
      </c>
      <c r="C2999" s="4">
        <v>1388.0</v>
      </c>
      <c r="D2999" s="5" t="str">
        <f>HYPERLINK("https://www.linkedin.com/ad-library/detail/1389585896","Open Ad")</f>
        <v>Open Ad</v>
      </c>
      <c r="E2999" s="4" t="s">
        <v>121</v>
      </c>
      <c r="F2999" s="4" t="s">
        <v>54</v>
      </c>
      <c r="G2999" s="4" t="s">
        <v>6556</v>
      </c>
      <c r="H2999" s="4" t="s">
        <v>49</v>
      </c>
      <c r="I2999" s="4" t="s">
        <v>6005</v>
      </c>
      <c r="J2999" s="4" t="s">
        <v>121</v>
      </c>
      <c r="K2999" s="5" t="str">
        <f>HYPERLINK("https://dms.licdn.com/playlist/vid/v2/D4E10AQHb8aBgPz6yrg/mp4-360p-30fp-crf28/B4EZyQma5eHMB8-/0/1771952534337?e=2147483647&amp;v=beta&amp;t=vL255ZZj6UooCMMSuov9TYM4BA5F3J29zDbm5h_CfCY","View Creative")</f>
        <v>View Creative</v>
      </c>
      <c r="L2999" s="4" t="s">
        <v>106</v>
      </c>
      <c r="M2999" s="4" t="s">
        <v>5965</v>
      </c>
      <c r="O2999" s="4" t="s">
        <v>63</v>
      </c>
      <c r="P2999" s="4" t="s">
        <v>64</v>
      </c>
    </row>
    <row r="3000">
      <c r="A3000" s="4" t="s">
        <v>5965</v>
      </c>
      <c r="B3000" s="4" t="s">
        <v>5965</v>
      </c>
      <c r="C3000" s="4">
        <v>1389.0</v>
      </c>
      <c r="D3000" s="5" t="str">
        <f>HYPERLINK("https://www.linkedin.com/ad-library/detail/1390144476","Open Ad")</f>
        <v>Open Ad</v>
      </c>
      <c r="E3000" s="4" t="s">
        <v>121</v>
      </c>
      <c r="F3000" s="4" t="s">
        <v>54</v>
      </c>
      <c r="G3000" s="4" t="s">
        <v>6387</v>
      </c>
      <c r="H3000" s="4" t="s">
        <v>49</v>
      </c>
      <c r="I3000" s="4" t="s">
        <v>6005</v>
      </c>
      <c r="J3000" s="4" t="s">
        <v>121</v>
      </c>
      <c r="K3000" s="5" t="str">
        <f>HYPERLINK("https://dms.licdn.com/playlist/vid/v2/D4E10AQHnB83vIjfNvw/mp4-720p-30fp-crf28/B4EZ2Mv_NUIwCA-/0/1776182899083?e=2147483647&amp;v=beta&amp;t=nwcHAIB3FZdkl9NAtwlYsm_4VdxfPzV34i_gMRpBVio","View Creative")</f>
        <v>View Creative</v>
      </c>
      <c r="L3000" s="4" t="s">
        <v>106</v>
      </c>
      <c r="M3000" s="4" t="s">
        <v>5965</v>
      </c>
      <c r="O3000" s="4" t="s">
        <v>63</v>
      </c>
      <c r="P3000" s="4" t="s">
        <v>64</v>
      </c>
    </row>
    <row r="3001">
      <c r="A3001" s="4" t="s">
        <v>5965</v>
      </c>
      <c r="B3001" s="4" t="s">
        <v>5965</v>
      </c>
      <c r="C3001" s="4">
        <v>1390.0</v>
      </c>
      <c r="D3001" s="5" t="str">
        <f>HYPERLINK("https://www.linkedin.com/ad-library/detail/1389595306","Open Ad")</f>
        <v>Open Ad</v>
      </c>
      <c r="E3001" s="4" t="s">
        <v>121</v>
      </c>
      <c r="F3001" s="4" t="s">
        <v>54</v>
      </c>
      <c r="G3001" s="4" t="s">
        <v>6557</v>
      </c>
      <c r="H3001" s="4" t="s">
        <v>49</v>
      </c>
      <c r="I3001" s="4" t="s">
        <v>6005</v>
      </c>
      <c r="J3001" s="4" t="s">
        <v>121</v>
      </c>
      <c r="K3001" s="5" t="str">
        <f>HYPERLINK("https://dms.licdn.com/playlist/vid/v2/D4E10AQE5DaHYfIW59w/mp4-360p-30fp-crf28/B4EZ0ceEzkKICE-/0/1774299143927?e=2147483647&amp;v=beta&amp;t=KKfp2ber_Nc2aTshrP53eMPh211fJH_IXE1DbI6_3TQ","View Creative")</f>
        <v>View Creative</v>
      </c>
      <c r="L3001" s="4" t="s">
        <v>106</v>
      </c>
      <c r="M3001" s="4" t="s">
        <v>5965</v>
      </c>
      <c r="O3001" s="4" t="s">
        <v>63</v>
      </c>
      <c r="P3001" s="4" t="s">
        <v>64</v>
      </c>
    </row>
    <row r="3002">
      <c r="A3002" s="4" t="s">
        <v>5965</v>
      </c>
      <c r="B3002" s="4" t="s">
        <v>5965</v>
      </c>
      <c r="C3002" s="4">
        <v>1391.0</v>
      </c>
      <c r="D3002" s="5" t="str">
        <f>HYPERLINK("https://www.linkedin.com/ad-library/detail/1389575526","Open Ad")</f>
        <v>Open Ad</v>
      </c>
      <c r="E3002" s="4" t="s">
        <v>78</v>
      </c>
      <c r="F3002" s="4" t="s">
        <v>54</v>
      </c>
      <c r="G3002" s="4" t="s">
        <v>6558</v>
      </c>
      <c r="H3002" s="4" t="s">
        <v>49</v>
      </c>
      <c r="I3002" s="4" t="s">
        <v>6005</v>
      </c>
      <c r="J3002" s="4" t="s">
        <v>78</v>
      </c>
      <c r="K3002" s="5" t="str">
        <f>HYPERLINK("https://media.licdn.com/dms/image/v2/D4E22AQG-isV4QpX2mA/feedshare-shrink_1280/B4EZ1E59koHkAM-/0/1774977538931?e=2147483647&amp;v=beta&amp;t=NfAekifcR1QwSyKCvuS9L8RrJ-nDWkB0zxp7a5zQHX8","View Creative")</f>
        <v>View Creative</v>
      </c>
      <c r="L3002" s="4" t="s">
        <v>106</v>
      </c>
      <c r="M3002" s="4" t="s">
        <v>5965</v>
      </c>
      <c r="O3002" s="4" t="s">
        <v>63</v>
      </c>
      <c r="P3002" s="4" t="s">
        <v>64</v>
      </c>
    </row>
    <row r="3003">
      <c r="A3003" s="4" t="s">
        <v>5965</v>
      </c>
      <c r="B3003" s="4" t="s">
        <v>5965</v>
      </c>
      <c r="C3003" s="4">
        <v>1392.0</v>
      </c>
      <c r="D3003" s="5" t="str">
        <f>HYPERLINK("https://www.linkedin.com/ad-library/detail/1389795556","Open Ad")</f>
        <v>Open Ad</v>
      </c>
      <c r="E3003" s="4" t="s">
        <v>121</v>
      </c>
      <c r="F3003" s="4" t="s">
        <v>54</v>
      </c>
      <c r="G3003" s="4" t="s">
        <v>6559</v>
      </c>
      <c r="H3003" s="4" t="s">
        <v>49</v>
      </c>
      <c r="I3003" s="4" t="s">
        <v>6005</v>
      </c>
      <c r="J3003" s="4" t="s">
        <v>121</v>
      </c>
      <c r="K3003" s="5" t="str">
        <f>HYPERLINK("https://dms.licdn.com/playlist/vid/v2/D4E10AQHeAzMp6wXICg/mp4-720p-30fp-crf28/B4EZznY.k2IUCE-/0/1773408615246?e=2147483647&amp;v=beta&amp;t=8tlPTvtrKX28l-U0kqNlBMpijrCLL5x93WDV620buH4","View Creative")</f>
        <v>View Creative</v>
      </c>
      <c r="L3003" s="4" t="s">
        <v>106</v>
      </c>
      <c r="M3003" s="4" t="s">
        <v>5965</v>
      </c>
      <c r="O3003" s="4" t="s">
        <v>63</v>
      </c>
      <c r="P3003" s="4" t="s">
        <v>64</v>
      </c>
    </row>
    <row r="3004">
      <c r="A3004" s="4" t="s">
        <v>5965</v>
      </c>
      <c r="B3004" s="4" t="s">
        <v>5965</v>
      </c>
      <c r="C3004" s="4">
        <v>1393.0</v>
      </c>
      <c r="D3004" s="5" t="str">
        <f>HYPERLINK("https://www.linkedin.com/ad-library/detail/1389595076","Open Ad")</f>
        <v>Open Ad</v>
      </c>
      <c r="E3004" s="4" t="s">
        <v>78</v>
      </c>
      <c r="F3004" s="4" t="s">
        <v>54</v>
      </c>
      <c r="G3004" s="4" t="s">
        <v>6560</v>
      </c>
      <c r="H3004" s="4" t="s">
        <v>49</v>
      </c>
      <c r="I3004" s="4" t="s">
        <v>6005</v>
      </c>
      <c r="J3004" s="4" t="s">
        <v>78</v>
      </c>
      <c r="K3004" s="5" t="str">
        <f>HYPERLINK("https://media.licdn.com/dms/image/v2/D4E22AQH89hDKeV79KQ/feedshare-image-high-res/B4EZy5vRsAJAAU-/0/1772642704374?e=2147483647&amp;v=beta&amp;t=VBy6klcva4JII_0pR-GTKgB4RWbcJCTANhnpkulS8Sw","View Creative")</f>
        <v>View Creative</v>
      </c>
      <c r="L3004" s="4" t="s">
        <v>106</v>
      </c>
      <c r="M3004" s="4" t="s">
        <v>5965</v>
      </c>
      <c r="O3004" s="4" t="s">
        <v>63</v>
      </c>
      <c r="P3004" s="4" t="s">
        <v>64</v>
      </c>
    </row>
    <row r="3005">
      <c r="A3005" s="4" t="s">
        <v>5965</v>
      </c>
      <c r="B3005" s="4" t="s">
        <v>5965</v>
      </c>
      <c r="C3005" s="4">
        <v>1394.0</v>
      </c>
      <c r="D3005" s="5" t="str">
        <f>HYPERLINK("https://www.linkedin.com/ad-library/detail/1389662726","Open Ad")</f>
        <v>Open Ad</v>
      </c>
      <c r="E3005" s="4" t="s">
        <v>78</v>
      </c>
      <c r="F3005" s="4" t="s">
        <v>54</v>
      </c>
      <c r="G3005" s="4" t="s">
        <v>6552</v>
      </c>
      <c r="H3005" s="4" t="s">
        <v>49</v>
      </c>
      <c r="I3005" s="4" t="s">
        <v>6005</v>
      </c>
      <c r="J3005" s="4" t="s">
        <v>78</v>
      </c>
      <c r="K3005" s="5" t="str">
        <f>HYPERLINK("https://media.licdn.com/dms/image/v2/D4E22AQG5OiwEIDONrg/feedshare-image-high-res/B4EZ14ROdsJcAU-/0/1775839275119?e=2147483647&amp;v=beta&amp;t=CDqGebAcF3Q5ziKcbgGOb-hRNl4RQ_TCZwGtjqCHTes","View Creative")</f>
        <v>View Creative</v>
      </c>
      <c r="L3005" s="4" t="s">
        <v>106</v>
      </c>
      <c r="M3005" s="4" t="s">
        <v>5965</v>
      </c>
      <c r="O3005" s="4" t="s">
        <v>63</v>
      </c>
      <c r="P3005" s="4" t="s">
        <v>64</v>
      </c>
    </row>
    <row r="3006">
      <c r="A3006" s="4" t="s">
        <v>5965</v>
      </c>
      <c r="B3006" s="4" t="s">
        <v>5965</v>
      </c>
      <c r="C3006" s="4">
        <v>1395.0</v>
      </c>
      <c r="D3006" s="5" t="str">
        <f>HYPERLINK("https://www.linkedin.com/ad-library/detail/1389225026","Open Ad")</f>
        <v>Open Ad</v>
      </c>
      <c r="E3006" s="4" t="s">
        <v>78</v>
      </c>
      <c r="F3006" s="4" t="s">
        <v>54</v>
      </c>
      <c r="G3006" s="4" t="s">
        <v>6553</v>
      </c>
      <c r="H3006" s="4" t="s">
        <v>49</v>
      </c>
      <c r="I3006" s="4" t="s">
        <v>6005</v>
      </c>
      <c r="J3006" s="4" t="s">
        <v>78</v>
      </c>
      <c r="K3006" s="5" t="str">
        <f t="shared" ref="K3006:K3008" si="152">HYPERLINK("https://media.licdn.com/dms/image/v2/D4E10AQE02M4AwdIpKg/image-shrink_1280/B4EZzjNoazHgAg-/0/1773338527903?e=2147483647&amp;v=beta&amp;t=M34sdSlaI0Zavq6spWkzXBQYfvzfdv65RLj0E7DPYhc","View Creative")</f>
        <v>View Creative</v>
      </c>
      <c r="L3006" s="4" t="s">
        <v>106</v>
      </c>
      <c r="M3006" s="4" t="s">
        <v>5965</v>
      </c>
      <c r="O3006" s="4" t="s">
        <v>63</v>
      </c>
      <c r="P3006" s="4" t="s">
        <v>64</v>
      </c>
    </row>
    <row r="3007">
      <c r="A3007" s="4" t="s">
        <v>5965</v>
      </c>
      <c r="B3007" s="4" t="s">
        <v>5965</v>
      </c>
      <c r="C3007" s="4">
        <v>1396.0</v>
      </c>
      <c r="D3007" s="5" t="str">
        <f>HYPERLINK("https://www.linkedin.com/ad-library/detail/1389204786","Open Ad")</f>
        <v>Open Ad</v>
      </c>
      <c r="E3007" s="4" t="s">
        <v>78</v>
      </c>
      <c r="F3007" s="4" t="s">
        <v>54</v>
      </c>
      <c r="G3007" s="4" t="s">
        <v>6553</v>
      </c>
      <c r="H3007" s="4" t="s">
        <v>49</v>
      </c>
      <c r="I3007" s="4" t="s">
        <v>6005</v>
      </c>
      <c r="J3007" s="4" t="s">
        <v>78</v>
      </c>
      <c r="K3007" s="5" t="str">
        <f t="shared" si="152"/>
        <v>View Creative</v>
      </c>
      <c r="L3007" s="4" t="s">
        <v>106</v>
      </c>
      <c r="M3007" s="4" t="s">
        <v>5965</v>
      </c>
      <c r="O3007" s="4" t="s">
        <v>63</v>
      </c>
      <c r="P3007" s="4" t="s">
        <v>64</v>
      </c>
    </row>
    <row r="3008">
      <c r="A3008" s="4" t="s">
        <v>5965</v>
      </c>
      <c r="B3008" s="4" t="s">
        <v>5965</v>
      </c>
      <c r="C3008" s="4">
        <v>1397.0</v>
      </c>
      <c r="D3008" s="5" t="str">
        <f>HYPERLINK("https://www.linkedin.com/ad-library/detail/1389275156","Open Ad")</f>
        <v>Open Ad</v>
      </c>
      <c r="E3008" s="4" t="s">
        <v>78</v>
      </c>
      <c r="F3008" s="4" t="s">
        <v>54</v>
      </c>
      <c r="G3008" s="4" t="s">
        <v>6553</v>
      </c>
      <c r="H3008" s="4" t="s">
        <v>49</v>
      </c>
      <c r="I3008" s="4" t="s">
        <v>6005</v>
      </c>
      <c r="J3008" s="4" t="s">
        <v>78</v>
      </c>
      <c r="K3008" s="5" t="str">
        <f t="shared" si="152"/>
        <v>View Creative</v>
      </c>
      <c r="L3008" s="4" t="s">
        <v>106</v>
      </c>
      <c r="M3008" s="4" t="s">
        <v>5965</v>
      </c>
      <c r="O3008" s="4" t="s">
        <v>63</v>
      </c>
      <c r="P3008" s="4" t="s">
        <v>64</v>
      </c>
    </row>
    <row r="3009">
      <c r="A3009" s="4" t="s">
        <v>5965</v>
      </c>
      <c r="B3009" s="4" t="s">
        <v>5965</v>
      </c>
      <c r="C3009" s="4">
        <v>1398.0</v>
      </c>
      <c r="D3009" s="5" t="str">
        <f>HYPERLINK("https://www.linkedin.com/ad-library/detail/1389140046","Open Ad")</f>
        <v>Open Ad</v>
      </c>
      <c r="E3009" s="4" t="s">
        <v>121</v>
      </c>
      <c r="F3009" s="4" t="s">
        <v>54</v>
      </c>
      <c r="G3009" s="4" t="s">
        <v>6561</v>
      </c>
      <c r="H3009" s="4" t="s">
        <v>49</v>
      </c>
      <c r="I3009" s="4" t="s">
        <v>6005</v>
      </c>
      <c r="J3009" s="4" t="s">
        <v>121</v>
      </c>
      <c r="K3009" s="5" t="str">
        <f>HYPERLINK("https://dms.licdn.com/playlist/vid/v2/D4E10AQHjGeSJ9Q02Dw/mp4-640p-30fp-crf28/B4EZ1uho.9IkBo-/0/1775675809624?e=2147483647&amp;v=beta&amp;t=GzEPUH1FWKyyMAnVZj64tNcCeHC03ZrRoPONYCyNAzY","View Creative")</f>
        <v>View Creative</v>
      </c>
      <c r="L3009" s="4" t="s">
        <v>106</v>
      </c>
      <c r="M3009" s="4" t="s">
        <v>5965</v>
      </c>
      <c r="O3009" s="4" t="s">
        <v>63</v>
      </c>
      <c r="P3009" s="4" t="s">
        <v>64</v>
      </c>
    </row>
    <row r="3010">
      <c r="A3010" s="4" t="s">
        <v>5965</v>
      </c>
      <c r="B3010" s="4" t="s">
        <v>5965</v>
      </c>
      <c r="C3010" s="4">
        <v>1399.0</v>
      </c>
      <c r="D3010" s="5" t="str">
        <f>HYPERLINK("https://www.linkedin.com/ad-library/detail/1386707926","Open Ad")</f>
        <v>Open Ad</v>
      </c>
      <c r="E3010" s="4" t="s">
        <v>78</v>
      </c>
      <c r="F3010" s="4" t="s">
        <v>54</v>
      </c>
      <c r="G3010" s="4" t="s">
        <v>6558</v>
      </c>
      <c r="H3010" s="4" t="s">
        <v>49</v>
      </c>
      <c r="I3010" s="4" t="s">
        <v>6005</v>
      </c>
      <c r="J3010" s="4" t="s">
        <v>78</v>
      </c>
      <c r="K3010" s="5" t="str">
        <f t="shared" ref="K3010:K3011" si="153">HYPERLINK("https://media.licdn.com/dms/image/v2/D4E22AQG-isV4QpX2mA/feedshare-shrink_1280/B4EZ1E59koHkAM-/0/1774977538931?e=2147483647&amp;v=beta&amp;t=NfAekifcR1QwSyKCvuS9L8RrJ-nDWkB0zxp7a5zQHX8","View Creative")</f>
        <v>View Creative</v>
      </c>
      <c r="L3010" s="4" t="s">
        <v>106</v>
      </c>
      <c r="M3010" s="4" t="s">
        <v>5965</v>
      </c>
      <c r="O3010" s="4" t="s">
        <v>63</v>
      </c>
      <c r="P3010" s="4" t="s">
        <v>64</v>
      </c>
    </row>
    <row r="3011">
      <c r="A3011" s="4" t="s">
        <v>5965</v>
      </c>
      <c r="B3011" s="4" t="s">
        <v>5965</v>
      </c>
      <c r="C3011" s="4">
        <v>1400.0</v>
      </c>
      <c r="D3011" s="5" t="str">
        <f>HYPERLINK("https://www.linkedin.com/ad-library/detail/1386796446","Open Ad")</f>
        <v>Open Ad</v>
      </c>
      <c r="E3011" s="4" t="s">
        <v>78</v>
      </c>
      <c r="F3011" s="4" t="s">
        <v>54</v>
      </c>
      <c r="G3011" s="4" t="s">
        <v>6558</v>
      </c>
      <c r="H3011" s="4" t="s">
        <v>49</v>
      </c>
      <c r="I3011" s="4" t="s">
        <v>6005</v>
      </c>
      <c r="J3011" s="4" t="s">
        <v>78</v>
      </c>
      <c r="K3011" s="5" t="str">
        <f t="shared" si="153"/>
        <v>View Creative</v>
      </c>
      <c r="L3011" s="4" t="s">
        <v>106</v>
      </c>
      <c r="M3011" s="4" t="s">
        <v>5965</v>
      </c>
      <c r="O3011" s="4" t="s">
        <v>63</v>
      </c>
      <c r="P3011" s="4" t="s">
        <v>64</v>
      </c>
    </row>
    <row r="3012">
      <c r="A3012" s="4" t="s">
        <v>5965</v>
      </c>
      <c r="B3012" s="4" t="s">
        <v>5965</v>
      </c>
      <c r="C3012" s="4">
        <v>1401.0</v>
      </c>
      <c r="D3012" s="5" t="str">
        <f>HYPERLINK("https://www.linkedin.com/ad-library/detail/1212082213","Open Ad")</f>
        <v>Open Ad</v>
      </c>
      <c r="E3012" s="4" t="s">
        <v>78</v>
      </c>
      <c r="F3012" s="4" t="s">
        <v>54</v>
      </c>
      <c r="G3012" s="4" t="s">
        <v>6562</v>
      </c>
      <c r="H3012" s="4" t="s">
        <v>49</v>
      </c>
      <c r="I3012" s="4" t="s">
        <v>6005</v>
      </c>
      <c r="J3012" s="4" t="s">
        <v>78</v>
      </c>
      <c r="K3012" s="5" t="str">
        <f>HYPERLINK("https://media.licdn.com/dms/image/v2/D4D10AQGF-W44AnxRpQ/image-shrink_1280/B4DZ1wzQjNJ0Ac-/0/1775713978842/PF-TaxFilingAd2-13326png?e=2147483647&amp;v=beta&amp;t=XCsqe87hY1-_Vsw8XBfT1KdYXQs3HWX4ljuSFKzZnV8","View Creative")</f>
        <v>View Creative</v>
      </c>
      <c r="L3012" s="4" t="s">
        <v>106</v>
      </c>
      <c r="M3012" s="4" t="s">
        <v>5965</v>
      </c>
      <c r="O3012" s="4" t="s">
        <v>63</v>
      </c>
      <c r="P3012" s="4" t="s">
        <v>64</v>
      </c>
    </row>
    <row r="3013">
      <c r="A3013" s="4" t="s">
        <v>5965</v>
      </c>
      <c r="B3013" s="4" t="s">
        <v>5965</v>
      </c>
      <c r="C3013" s="4">
        <v>1402.0</v>
      </c>
      <c r="D3013" s="5" t="str">
        <f>HYPERLINK("https://www.linkedin.com/ad-library/detail/1389712976","Open Ad")</f>
        <v>Open Ad</v>
      </c>
      <c r="E3013" s="4" t="s">
        <v>78</v>
      </c>
      <c r="F3013" s="4" t="s">
        <v>54</v>
      </c>
      <c r="G3013" s="4" t="s">
        <v>6552</v>
      </c>
      <c r="H3013" s="4" t="s">
        <v>49</v>
      </c>
      <c r="I3013" s="4" t="s">
        <v>6005</v>
      </c>
      <c r="J3013" s="4" t="s">
        <v>78</v>
      </c>
      <c r="K3013" s="5" t="str">
        <f>HYPERLINK("https://media.licdn.com/dms/image/v2/D4E22AQG5OiwEIDONrg/feedshare-image-high-res/B4EZ14ROdsJcAU-/0/1775839275119?e=2147483647&amp;v=beta&amp;t=CDqGebAcF3Q5ziKcbgGOb-hRNl4RQ_TCZwGtjqCHTes","View Creative")</f>
        <v>View Creative</v>
      </c>
      <c r="L3013" s="4" t="s">
        <v>106</v>
      </c>
      <c r="M3013" s="4" t="s">
        <v>5965</v>
      </c>
      <c r="O3013" s="4" t="s">
        <v>63</v>
      </c>
      <c r="P3013" s="4" t="s">
        <v>64</v>
      </c>
    </row>
    <row r="3014">
      <c r="A3014" s="4" t="s">
        <v>5965</v>
      </c>
      <c r="B3014" s="4" t="s">
        <v>5965</v>
      </c>
      <c r="C3014" s="4">
        <v>1403.0</v>
      </c>
      <c r="D3014" s="5" t="str">
        <f>HYPERLINK("https://www.linkedin.com/ad-library/detail/1386717486","Open Ad")</f>
        <v>Open Ad</v>
      </c>
      <c r="E3014" s="4" t="s">
        <v>121</v>
      </c>
      <c r="F3014" s="4" t="s">
        <v>54</v>
      </c>
      <c r="G3014" s="4" t="s">
        <v>6545</v>
      </c>
      <c r="H3014" s="4" t="s">
        <v>49</v>
      </c>
      <c r="I3014" s="4" t="s">
        <v>6005</v>
      </c>
      <c r="J3014" s="4" t="s">
        <v>121</v>
      </c>
      <c r="K3014" s="5" t="str">
        <f>HYPERLINK("https://dms.licdn.com/playlist/vid/v2/D4E10AQHFU1k453OYrA/mp4-640p-30fp-crf28/B4EZ1T2oaIGoBk-/0/1775228339149?e=2147483647&amp;v=beta&amp;t=kBnW5fM4ijMUPneQ4OMxjdJ5g1DIFxIn44cnT0Y2FNs","View Creative")</f>
        <v>View Creative</v>
      </c>
      <c r="L3014" s="4" t="s">
        <v>106</v>
      </c>
      <c r="M3014" s="4" t="s">
        <v>5965</v>
      </c>
      <c r="O3014" s="4" t="s">
        <v>63</v>
      </c>
      <c r="P3014" s="4" t="s">
        <v>64</v>
      </c>
    </row>
    <row r="3015">
      <c r="A3015" s="4" t="s">
        <v>5965</v>
      </c>
      <c r="B3015" s="4" t="s">
        <v>5965</v>
      </c>
      <c r="C3015" s="4">
        <v>1404.0</v>
      </c>
      <c r="D3015" s="5" t="str">
        <f>HYPERLINK("https://www.linkedin.com/ad-library/detail/1386943806","Open Ad")</f>
        <v>Open Ad</v>
      </c>
      <c r="E3015" s="4" t="s">
        <v>78</v>
      </c>
      <c r="F3015" s="4" t="s">
        <v>54</v>
      </c>
      <c r="G3015" s="4" t="s">
        <v>6558</v>
      </c>
      <c r="H3015" s="4" t="s">
        <v>49</v>
      </c>
      <c r="I3015" s="4" t="s">
        <v>6005</v>
      </c>
      <c r="J3015" s="4" t="s">
        <v>78</v>
      </c>
      <c r="K3015" s="5" t="str">
        <f>HYPERLINK("https://media.licdn.com/dms/image/v2/D4E22AQG-isV4QpX2mA/feedshare-shrink_1280/B4EZ1E59koHkAM-/0/1774977538931?e=2147483647&amp;v=beta&amp;t=NfAekifcR1QwSyKCvuS9L8RrJ-nDWkB0zxp7a5zQHX8","View Creative")</f>
        <v>View Creative</v>
      </c>
      <c r="L3015" s="4" t="s">
        <v>106</v>
      </c>
      <c r="M3015" s="4" t="s">
        <v>5965</v>
      </c>
      <c r="O3015" s="4" t="s">
        <v>63</v>
      </c>
      <c r="P3015" s="4" t="s">
        <v>64</v>
      </c>
    </row>
    <row r="3016">
      <c r="A3016" s="4" t="s">
        <v>5965</v>
      </c>
      <c r="B3016" s="4" t="s">
        <v>5965</v>
      </c>
      <c r="C3016" s="4">
        <v>1405.0</v>
      </c>
      <c r="D3016" s="5" t="str">
        <f>HYPERLINK("https://www.linkedin.com/ad-library/detail/1389633046","Open Ad")</f>
        <v>Open Ad</v>
      </c>
      <c r="E3016" s="4" t="s">
        <v>78</v>
      </c>
      <c r="F3016" s="4" t="s">
        <v>54</v>
      </c>
      <c r="G3016" s="4" t="s">
        <v>6552</v>
      </c>
      <c r="H3016" s="4" t="s">
        <v>49</v>
      </c>
      <c r="I3016" s="4" t="s">
        <v>6005</v>
      </c>
      <c r="J3016" s="4" t="s">
        <v>78</v>
      </c>
      <c r="K3016" s="5" t="str">
        <f>HYPERLINK("https://media.licdn.com/dms/image/v2/D4E22AQG5OiwEIDONrg/feedshare-image-high-res/B4EZ14ROdsJcAU-/0/1775839275119?e=2147483647&amp;v=beta&amp;t=CDqGebAcF3Q5ziKcbgGOb-hRNl4RQ_TCZwGtjqCHTes","View Creative")</f>
        <v>View Creative</v>
      </c>
      <c r="L3016" s="4" t="s">
        <v>106</v>
      </c>
      <c r="M3016" s="4" t="s">
        <v>5965</v>
      </c>
      <c r="O3016" s="4" t="s">
        <v>63</v>
      </c>
      <c r="P3016" s="4" t="s">
        <v>64</v>
      </c>
    </row>
    <row r="3017">
      <c r="A3017" s="4" t="s">
        <v>5965</v>
      </c>
      <c r="B3017" s="4" t="s">
        <v>5965</v>
      </c>
      <c r="C3017" s="4">
        <v>1406.0</v>
      </c>
      <c r="D3017" s="5" t="str">
        <f>HYPERLINK("https://www.linkedin.com/ad-library/detail/1389235176","Open Ad")</f>
        <v>Open Ad</v>
      </c>
      <c r="E3017" s="4" t="s">
        <v>78</v>
      </c>
      <c r="F3017" s="4" t="s">
        <v>54</v>
      </c>
      <c r="G3017" s="4" t="s">
        <v>6553</v>
      </c>
      <c r="H3017" s="4" t="s">
        <v>49</v>
      </c>
      <c r="I3017" s="4" t="s">
        <v>6005</v>
      </c>
      <c r="J3017" s="4" t="s">
        <v>78</v>
      </c>
      <c r="K3017" s="5" t="str">
        <f>HYPERLINK("https://media.licdn.com/dms/image/v2/D4E10AQE02M4AwdIpKg/image-shrink_1280/B4EZzjNoazHgAg-/0/1773338527903?e=2147483647&amp;v=beta&amp;t=M34sdSlaI0Zavq6spWkzXBQYfvzfdv65RLj0E7DPYhc","View Creative")</f>
        <v>View Creative</v>
      </c>
      <c r="L3017" s="4" t="s">
        <v>106</v>
      </c>
      <c r="M3017" s="4" t="s">
        <v>5965</v>
      </c>
      <c r="O3017" s="4" t="s">
        <v>63</v>
      </c>
      <c r="P3017" s="4" t="s">
        <v>64</v>
      </c>
    </row>
    <row r="3018">
      <c r="A3018" s="4" t="s">
        <v>5965</v>
      </c>
      <c r="B3018" s="4" t="s">
        <v>5965</v>
      </c>
      <c r="C3018" s="4">
        <v>1407.0</v>
      </c>
      <c r="D3018" s="5" t="str">
        <f>HYPERLINK("https://www.linkedin.com/ad-library/detail/1386876426","Open Ad")</f>
        <v>Open Ad</v>
      </c>
      <c r="E3018" s="4" t="s">
        <v>78</v>
      </c>
      <c r="F3018" s="4" t="s">
        <v>54</v>
      </c>
      <c r="G3018" s="4" t="s">
        <v>6563</v>
      </c>
      <c r="H3018" s="4" t="s">
        <v>49</v>
      </c>
      <c r="I3018" s="4" t="s">
        <v>6005</v>
      </c>
      <c r="J3018" s="4" t="s">
        <v>78</v>
      </c>
      <c r="K3018" s="4" t="s">
        <v>59</v>
      </c>
      <c r="L3018" s="4" t="s">
        <v>106</v>
      </c>
      <c r="M3018" s="4" t="s">
        <v>5965</v>
      </c>
      <c r="O3018" s="4" t="s">
        <v>63</v>
      </c>
      <c r="P3018" s="4" t="s">
        <v>64</v>
      </c>
    </row>
    <row r="3019">
      <c r="A3019" s="4" t="s">
        <v>5965</v>
      </c>
      <c r="B3019" s="4" t="s">
        <v>5965</v>
      </c>
      <c r="C3019" s="4">
        <v>1408.0</v>
      </c>
      <c r="D3019" s="5" t="str">
        <f>HYPERLINK("https://www.linkedin.com/ad-library/detail/1386766436","Open Ad")</f>
        <v>Open Ad</v>
      </c>
      <c r="E3019" s="4" t="s">
        <v>78</v>
      </c>
      <c r="F3019" s="4" t="s">
        <v>54</v>
      </c>
      <c r="G3019" s="4" t="s">
        <v>6558</v>
      </c>
      <c r="H3019" s="4" t="s">
        <v>49</v>
      </c>
      <c r="I3019" s="4" t="s">
        <v>6005</v>
      </c>
      <c r="J3019" s="4" t="s">
        <v>78</v>
      </c>
      <c r="K3019" s="5" t="str">
        <f>HYPERLINK("https://media.licdn.com/dms/image/v2/D4E22AQG-isV4QpX2mA/feedshare-shrink_1280/B4EZ1E59koHkAM-/0/1774977538931?e=2147483647&amp;v=beta&amp;t=NfAekifcR1QwSyKCvuS9L8RrJ-nDWkB0zxp7a5zQHX8","View Creative")</f>
        <v>View Creative</v>
      </c>
      <c r="L3019" s="4" t="s">
        <v>106</v>
      </c>
      <c r="M3019" s="4" t="s">
        <v>5965</v>
      </c>
      <c r="O3019" s="4" t="s">
        <v>63</v>
      </c>
      <c r="P3019" s="4" t="s">
        <v>64</v>
      </c>
    </row>
    <row r="3020">
      <c r="A3020" s="4" t="s">
        <v>5965</v>
      </c>
      <c r="B3020" s="4" t="s">
        <v>5965</v>
      </c>
      <c r="C3020" s="4">
        <v>1409.0</v>
      </c>
      <c r="D3020" s="5" t="str">
        <f>HYPERLINK("https://www.linkedin.com/ad-library/detail/1389045066","Open Ad")</f>
        <v>Open Ad</v>
      </c>
      <c r="E3020" s="4" t="s">
        <v>78</v>
      </c>
      <c r="F3020" s="4" t="s">
        <v>54</v>
      </c>
      <c r="G3020" s="4" t="s">
        <v>6553</v>
      </c>
      <c r="H3020" s="4" t="s">
        <v>49</v>
      </c>
      <c r="I3020" s="4" t="s">
        <v>6005</v>
      </c>
      <c r="J3020" s="4" t="s">
        <v>78</v>
      </c>
      <c r="K3020" s="5" t="str">
        <f>HYPERLINK("https://media.licdn.com/dms/image/v2/D4E10AQE02M4AwdIpKg/image-shrink_1280/B4EZzjNoazHgAg-/0/1773338527903?e=2147483647&amp;v=beta&amp;t=M34sdSlaI0Zavq6spWkzXBQYfvzfdv65RLj0E7DPYhc","View Creative")</f>
        <v>View Creative</v>
      </c>
      <c r="L3020" s="4" t="s">
        <v>106</v>
      </c>
      <c r="M3020" s="4" t="s">
        <v>5965</v>
      </c>
      <c r="O3020" s="4" t="s">
        <v>63</v>
      </c>
      <c r="P3020" s="4" t="s">
        <v>64</v>
      </c>
    </row>
    <row r="3021">
      <c r="A3021" s="4" t="s">
        <v>5965</v>
      </c>
      <c r="B3021" s="4" t="s">
        <v>5965</v>
      </c>
      <c r="C3021" s="4">
        <v>1410.0</v>
      </c>
      <c r="D3021" s="5" t="str">
        <f>HYPERLINK("https://www.linkedin.com/ad-library/detail/1386787336","Open Ad")</f>
        <v>Open Ad</v>
      </c>
      <c r="E3021" s="4" t="s">
        <v>78</v>
      </c>
      <c r="F3021" s="4" t="s">
        <v>54</v>
      </c>
      <c r="G3021" s="4" t="s">
        <v>6564</v>
      </c>
      <c r="H3021" s="4" t="s">
        <v>49</v>
      </c>
      <c r="I3021" s="4" t="s">
        <v>6005</v>
      </c>
      <c r="J3021" s="4" t="s">
        <v>78</v>
      </c>
      <c r="K3021" s="4" t="s">
        <v>59</v>
      </c>
      <c r="L3021" s="4" t="s">
        <v>106</v>
      </c>
      <c r="M3021" s="4" t="s">
        <v>5965</v>
      </c>
      <c r="O3021" s="4" t="s">
        <v>63</v>
      </c>
      <c r="P3021" s="4" t="s">
        <v>64</v>
      </c>
    </row>
    <row r="3022">
      <c r="A3022" s="4" t="s">
        <v>5965</v>
      </c>
      <c r="B3022" s="4" t="s">
        <v>5965</v>
      </c>
      <c r="C3022" s="4">
        <v>1411.0</v>
      </c>
      <c r="D3022" s="5" t="str">
        <f>HYPERLINK("https://www.linkedin.com/ad-library/detail/1389693086","Open Ad")</f>
        <v>Open Ad</v>
      </c>
      <c r="E3022" s="4" t="s">
        <v>78</v>
      </c>
      <c r="F3022" s="4" t="s">
        <v>54</v>
      </c>
      <c r="G3022" s="4" t="s">
        <v>6552</v>
      </c>
      <c r="H3022" s="4" t="s">
        <v>49</v>
      </c>
      <c r="I3022" s="4" t="s">
        <v>6005</v>
      </c>
      <c r="J3022" s="4" t="s">
        <v>78</v>
      </c>
      <c r="K3022" s="5" t="str">
        <f t="shared" ref="K3022:K3023" si="154">HYPERLINK("https://media.licdn.com/dms/image/v2/D4E22AQG5OiwEIDONrg/feedshare-image-high-res/B4EZ14ROdsJcAU-/0/1775839275119?e=2147483647&amp;v=beta&amp;t=CDqGebAcF3Q5ziKcbgGOb-hRNl4RQ_TCZwGtjqCHTes","View Creative")</f>
        <v>View Creative</v>
      </c>
      <c r="L3022" s="4" t="s">
        <v>106</v>
      </c>
      <c r="M3022" s="4" t="s">
        <v>5965</v>
      </c>
      <c r="O3022" s="4" t="s">
        <v>63</v>
      </c>
      <c r="P3022" s="4" t="s">
        <v>64</v>
      </c>
    </row>
    <row r="3023">
      <c r="A3023" s="4" t="s">
        <v>5965</v>
      </c>
      <c r="B3023" s="4" t="s">
        <v>5965</v>
      </c>
      <c r="C3023" s="4">
        <v>1412.0</v>
      </c>
      <c r="D3023" s="5" t="str">
        <f>HYPERLINK("https://www.linkedin.com/ad-library/detail/1389762946","Open Ad")</f>
        <v>Open Ad</v>
      </c>
      <c r="E3023" s="4" t="s">
        <v>78</v>
      </c>
      <c r="F3023" s="4" t="s">
        <v>54</v>
      </c>
      <c r="G3023" s="4" t="s">
        <v>6552</v>
      </c>
      <c r="H3023" s="4" t="s">
        <v>49</v>
      </c>
      <c r="I3023" s="4" t="s">
        <v>6005</v>
      </c>
      <c r="J3023" s="4" t="s">
        <v>78</v>
      </c>
      <c r="K3023" s="5" t="str">
        <f t="shared" si="154"/>
        <v>View Creative</v>
      </c>
      <c r="L3023" s="4" t="s">
        <v>106</v>
      </c>
      <c r="M3023" s="4" t="s">
        <v>5965</v>
      </c>
      <c r="O3023" s="4" t="s">
        <v>63</v>
      </c>
      <c r="P3023" s="4" t="s">
        <v>64</v>
      </c>
    </row>
    <row r="3024">
      <c r="A3024" s="4" t="s">
        <v>5965</v>
      </c>
      <c r="B3024" s="4" t="s">
        <v>5965</v>
      </c>
      <c r="C3024" s="4">
        <v>1413.0</v>
      </c>
      <c r="D3024" s="5" t="str">
        <f>HYPERLINK("https://www.linkedin.com/ad-library/detail/1389625176","Open Ad")</f>
        <v>Open Ad</v>
      </c>
      <c r="E3024" s="4" t="s">
        <v>78</v>
      </c>
      <c r="F3024" s="4" t="s">
        <v>54</v>
      </c>
      <c r="G3024" s="4" t="s">
        <v>6553</v>
      </c>
      <c r="H3024" s="4" t="s">
        <v>49</v>
      </c>
      <c r="I3024" s="4" t="s">
        <v>6005</v>
      </c>
      <c r="J3024" s="4" t="s">
        <v>78</v>
      </c>
      <c r="K3024" s="5" t="str">
        <f>HYPERLINK("https://media.licdn.com/dms/image/v2/D4E10AQE02M4AwdIpKg/image-shrink_1280/B4EZzjNoazHgAg-/0/1773338527903?e=2147483647&amp;v=beta&amp;t=M34sdSlaI0Zavq6spWkzXBQYfvzfdv65RLj0E7DPYhc","View Creative")</f>
        <v>View Creative</v>
      </c>
      <c r="L3024" s="4" t="s">
        <v>106</v>
      </c>
      <c r="M3024" s="4" t="s">
        <v>5965</v>
      </c>
      <c r="O3024" s="4" t="s">
        <v>63</v>
      </c>
      <c r="P3024" s="4" t="s">
        <v>64</v>
      </c>
    </row>
    <row r="3025">
      <c r="A3025" s="4" t="s">
        <v>5965</v>
      </c>
      <c r="B3025" s="4" t="s">
        <v>5965</v>
      </c>
      <c r="C3025" s="4">
        <v>1414.0</v>
      </c>
      <c r="D3025" s="5" t="str">
        <f>HYPERLINK("https://www.linkedin.com/ad-library/detail/1386817456","Open Ad")</f>
        <v>Open Ad</v>
      </c>
      <c r="E3025" s="4" t="s">
        <v>78</v>
      </c>
      <c r="F3025" s="4" t="s">
        <v>54</v>
      </c>
      <c r="G3025" s="4" t="s">
        <v>6422</v>
      </c>
      <c r="H3025" s="4" t="s">
        <v>49</v>
      </c>
      <c r="I3025" s="4" t="s">
        <v>6005</v>
      </c>
      <c r="J3025" s="4" t="s">
        <v>78</v>
      </c>
      <c r="K3025" s="4" t="s">
        <v>59</v>
      </c>
      <c r="L3025" s="4" t="s">
        <v>106</v>
      </c>
      <c r="M3025" s="4" t="s">
        <v>5965</v>
      </c>
      <c r="O3025" s="4" t="s">
        <v>63</v>
      </c>
      <c r="P3025" s="4" t="s">
        <v>64</v>
      </c>
    </row>
    <row r="3026">
      <c r="A3026" s="4" t="s">
        <v>5965</v>
      </c>
      <c r="B3026" s="4" t="s">
        <v>5965</v>
      </c>
      <c r="C3026" s="4">
        <v>1415.0</v>
      </c>
      <c r="D3026" s="5" t="str">
        <f>HYPERLINK("https://www.linkedin.com/ad-library/detail/1389124646","Open Ad")</f>
        <v>Open Ad</v>
      </c>
      <c r="E3026" s="4" t="s">
        <v>78</v>
      </c>
      <c r="F3026" s="4" t="s">
        <v>54</v>
      </c>
      <c r="G3026" s="4" t="s">
        <v>6553</v>
      </c>
      <c r="H3026" s="4" t="s">
        <v>49</v>
      </c>
      <c r="I3026" s="4" t="s">
        <v>6005</v>
      </c>
      <c r="J3026" s="4" t="s">
        <v>78</v>
      </c>
      <c r="K3026" s="5" t="str">
        <f>HYPERLINK("https://media.licdn.com/dms/image/v2/D4E10AQE02M4AwdIpKg/image-shrink_1280/B4EZzjNoazHgAg-/0/1773338527903?e=2147483647&amp;v=beta&amp;t=M34sdSlaI0Zavq6spWkzXBQYfvzfdv65RLj0E7DPYhc","View Creative")</f>
        <v>View Creative</v>
      </c>
      <c r="L3026" s="4" t="s">
        <v>106</v>
      </c>
      <c r="M3026" s="4" t="s">
        <v>5965</v>
      </c>
      <c r="O3026" s="4" t="s">
        <v>63</v>
      </c>
      <c r="P3026" s="4" t="s">
        <v>64</v>
      </c>
    </row>
    <row r="3027">
      <c r="A3027" s="4" t="s">
        <v>5965</v>
      </c>
      <c r="B3027" s="4" t="s">
        <v>5965</v>
      </c>
      <c r="C3027" s="4">
        <v>1416.0</v>
      </c>
      <c r="D3027" s="5" t="str">
        <f>HYPERLINK("https://www.linkedin.com/ad-library/detail/1386766426","Open Ad")</f>
        <v>Open Ad</v>
      </c>
      <c r="E3027" s="4" t="s">
        <v>78</v>
      </c>
      <c r="F3027" s="4" t="s">
        <v>54</v>
      </c>
      <c r="G3027" s="4" t="s">
        <v>6558</v>
      </c>
      <c r="H3027" s="4" t="s">
        <v>49</v>
      </c>
      <c r="I3027" s="4" t="s">
        <v>6005</v>
      </c>
      <c r="J3027" s="4" t="s">
        <v>78</v>
      </c>
      <c r="K3027" s="5" t="str">
        <f>HYPERLINK("https://media.licdn.com/dms/image/v2/D4E22AQG-isV4QpX2mA/feedshare-shrink_1280/B4EZ1E59koHkAM-/0/1774977538931?e=2147483647&amp;v=beta&amp;t=NfAekifcR1QwSyKCvuS9L8RrJ-nDWkB0zxp7a5zQHX8","View Creative")</f>
        <v>View Creative</v>
      </c>
      <c r="L3027" s="4" t="s">
        <v>106</v>
      </c>
      <c r="M3027" s="4" t="s">
        <v>5965</v>
      </c>
      <c r="O3027" s="4" t="s">
        <v>63</v>
      </c>
      <c r="P3027" s="4" t="s">
        <v>64</v>
      </c>
    </row>
    <row r="3028">
      <c r="A3028" s="4" t="s">
        <v>5965</v>
      </c>
      <c r="B3028" s="4" t="s">
        <v>5965</v>
      </c>
      <c r="C3028" s="4">
        <v>1417.0</v>
      </c>
      <c r="D3028" s="5" t="str">
        <f>HYPERLINK("https://www.linkedin.com/ad-library/detail/1386373536","Open Ad")</f>
        <v>Open Ad</v>
      </c>
      <c r="E3028" s="4" t="s">
        <v>121</v>
      </c>
      <c r="F3028" s="4" t="s">
        <v>54</v>
      </c>
      <c r="G3028" s="4" t="s">
        <v>6565</v>
      </c>
      <c r="H3028" s="4" t="s">
        <v>49</v>
      </c>
      <c r="I3028" s="4" t="s">
        <v>6005</v>
      </c>
      <c r="J3028" s="4" t="s">
        <v>121</v>
      </c>
      <c r="K3028" s="5" t="str">
        <f>HYPERLINK("https://dms.licdn.com/playlist/vid/v2/D5605AQE5q9Kn26LzKw/mp4-640p-30fp-crf28/B56Z1UOY8lKMBw-/0/1775234569554?e=2147483647&amp;v=beta&amp;t=zgVpzdGSNmy5mcaa-k7-_IZ-BlvkWSp4DPPJC7oYPrU","View Creative")</f>
        <v>View Creative</v>
      </c>
      <c r="L3028" s="4" t="s">
        <v>106</v>
      </c>
      <c r="M3028" s="4" t="s">
        <v>5965</v>
      </c>
      <c r="O3028" s="4" t="s">
        <v>63</v>
      </c>
      <c r="P3028" s="4" t="s">
        <v>64</v>
      </c>
    </row>
    <row r="3029">
      <c r="A3029" s="4" t="s">
        <v>5965</v>
      </c>
      <c r="B3029" s="4" t="s">
        <v>5965</v>
      </c>
      <c r="C3029" s="4">
        <v>1418.0</v>
      </c>
      <c r="D3029" s="5" t="str">
        <f>HYPERLINK("https://www.linkedin.com/ad-library/detail/1384385916","Open Ad")</f>
        <v>Open Ad</v>
      </c>
      <c r="E3029" s="4" t="s">
        <v>78</v>
      </c>
      <c r="F3029" s="4" t="s">
        <v>54</v>
      </c>
      <c r="G3029" s="4" t="s">
        <v>6566</v>
      </c>
      <c r="H3029" s="4" t="s">
        <v>49</v>
      </c>
      <c r="I3029" s="4" t="s">
        <v>6005</v>
      </c>
      <c r="J3029" s="4" t="s">
        <v>78</v>
      </c>
      <c r="K3029" s="5" t="str">
        <f>HYPERLINK("https://media.licdn.com/dms/image/v2/D5622AQEInAZBmlWqLA/feedshare-shrink_1280/B56Z0v.8HQHEAM-/0/1774626522073?e=2147483647&amp;v=beta&amp;t=i1UxmNQIr7TJE4j57LyP5syoTi1z40rlnBaz77zMsLM","View Creative")</f>
        <v>View Creative</v>
      </c>
      <c r="L3029" s="4" t="s">
        <v>106</v>
      </c>
      <c r="M3029" s="4" t="s">
        <v>5965</v>
      </c>
      <c r="O3029" s="4" t="s">
        <v>63</v>
      </c>
      <c r="P3029" s="4" t="s">
        <v>64</v>
      </c>
    </row>
    <row r="3030">
      <c r="A3030" s="4" t="s">
        <v>5965</v>
      </c>
      <c r="B3030" s="4" t="s">
        <v>5965</v>
      </c>
      <c r="C3030" s="4">
        <v>1419.0</v>
      </c>
      <c r="D3030" s="5" t="str">
        <f>HYPERLINK("https://www.linkedin.com/ad-library/detail/1382082196","Open Ad")</f>
        <v>Open Ad</v>
      </c>
      <c r="E3030" s="4" t="s">
        <v>121</v>
      </c>
      <c r="F3030" s="4" t="s">
        <v>54</v>
      </c>
      <c r="G3030" s="4" t="s">
        <v>6567</v>
      </c>
      <c r="H3030" s="4" t="s">
        <v>49</v>
      </c>
      <c r="I3030" s="4" t="s">
        <v>6005</v>
      </c>
      <c r="J3030" s="4" t="s">
        <v>121</v>
      </c>
      <c r="K3030" s="5" t="str">
        <f>HYPERLINK("https://dms.licdn.com/playlist/vid/v2/D4E05AQHfrsi8WLiiGg/mp4-720p-30fp-crf28/B4EZ0wzt51IgCI-/0/1774640363495?e=2147483647&amp;v=beta&amp;t=WzZ08_I7Ujq4TTuTSqSErEL6J_WQT3SwiKVQL5m00Kw","View Creative")</f>
        <v>View Creative</v>
      </c>
      <c r="L3030" s="4" t="s">
        <v>106</v>
      </c>
      <c r="M3030" s="4" t="s">
        <v>5965</v>
      </c>
      <c r="O3030" s="4" t="s">
        <v>63</v>
      </c>
      <c r="P3030" s="4" t="s">
        <v>64</v>
      </c>
    </row>
    <row r="3031">
      <c r="A3031" s="4" t="s">
        <v>5965</v>
      </c>
      <c r="B3031" s="4" t="s">
        <v>5965</v>
      </c>
      <c r="C3031" s="4">
        <v>1420.0</v>
      </c>
      <c r="D3031" s="5" t="str">
        <f>HYPERLINK("https://www.linkedin.com/ad-library/detail/1386885586","Open Ad")</f>
        <v>Open Ad</v>
      </c>
      <c r="E3031" s="4" t="s">
        <v>121</v>
      </c>
      <c r="F3031" s="4" t="s">
        <v>54</v>
      </c>
      <c r="G3031" s="4" t="s">
        <v>6545</v>
      </c>
      <c r="H3031" s="4" t="s">
        <v>49</v>
      </c>
      <c r="I3031" s="4" t="s">
        <v>6005</v>
      </c>
      <c r="J3031" s="4" t="s">
        <v>121</v>
      </c>
      <c r="K3031" s="5" t="str">
        <f>HYPERLINK("https://dms.licdn.com/playlist/vid/v2/D4E10AQHFU1k453OYrA/mp4-640p-30fp-crf28/B4EZ1T2oaIGoBk-/0/1775228339149?e=2147483647&amp;v=beta&amp;t=kBnW5fM4ijMUPneQ4OMxjdJ5g1DIFxIn44cnT0Y2FNs","View Creative")</f>
        <v>View Creative</v>
      </c>
      <c r="L3031" s="4" t="s">
        <v>106</v>
      </c>
      <c r="M3031" s="4" t="s">
        <v>5965</v>
      </c>
      <c r="O3031" s="4" t="s">
        <v>63</v>
      </c>
      <c r="P3031" s="4" t="s">
        <v>64</v>
      </c>
    </row>
    <row r="3032">
      <c r="A3032" s="4" t="s">
        <v>5965</v>
      </c>
      <c r="B3032" s="4" t="s">
        <v>5965</v>
      </c>
      <c r="C3032" s="4">
        <v>1421.0</v>
      </c>
      <c r="D3032" s="5" t="str">
        <f>HYPERLINK("https://www.linkedin.com/ad-library/detail/1382506676","Open Ad")</f>
        <v>Open Ad</v>
      </c>
      <c r="E3032" s="4" t="s">
        <v>121</v>
      </c>
      <c r="F3032" s="4" t="s">
        <v>54</v>
      </c>
      <c r="G3032" s="4" t="s">
        <v>6568</v>
      </c>
      <c r="H3032" s="4" t="s">
        <v>49</v>
      </c>
      <c r="I3032" s="4" t="s">
        <v>6005</v>
      </c>
      <c r="J3032" s="4" t="s">
        <v>121</v>
      </c>
      <c r="K3032" s="5" t="str">
        <f>HYPERLINK("https://dms.licdn.com/playlist/vid/v2/D4E05AQHGTJQKgeiwTg/mp4-640p-30fp-crf28/B4EZ0vEHRYJcBw-/0/1774611108366?e=2147483647&amp;v=beta&amp;t=wT0DP4iToOMmkr4T3oHIGREwgLctQr6Dy1WrXYa0GWU","View Creative")</f>
        <v>View Creative</v>
      </c>
      <c r="L3032" s="4" t="s">
        <v>106</v>
      </c>
      <c r="M3032" s="4" t="s">
        <v>5965</v>
      </c>
      <c r="O3032" s="4" t="s">
        <v>63</v>
      </c>
      <c r="P3032" s="4" t="s">
        <v>64</v>
      </c>
    </row>
    <row r="3033">
      <c r="A3033" s="4" t="s">
        <v>5965</v>
      </c>
      <c r="B3033" s="4" t="s">
        <v>5965</v>
      </c>
      <c r="C3033" s="4">
        <v>1422.0</v>
      </c>
      <c r="D3033" s="5" t="str">
        <f>HYPERLINK("https://www.linkedin.com/ad-library/detail/1384444716","Open Ad")</f>
        <v>Open Ad</v>
      </c>
      <c r="E3033" s="4" t="s">
        <v>78</v>
      </c>
      <c r="F3033" s="4" t="s">
        <v>54</v>
      </c>
      <c r="G3033" s="4" t="s">
        <v>6569</v>
      </c>
      <c r="H3033" s="4" t="s">
        <v>49</v>
      </c>
      <c r="I3033" s="4" t="s">
        <v>6005</v>
      </c>
      <c r="J3033" s="4" t="s">
        <v>78</v>
      </c>
      <c r="K3033" s="5" t="str">
        <f>HYPERLINK("https://media.licdn.com/dms/image/v2/D5622AQGIj_U-NMkbOw/feedshare-shrink_1280/B56Z0g3OnDGYAM-/0/1774372842822?e=2147483647&amp;v=beta&amp;t=3Cs8-DhElG6aX6I2oASySXrymBEDYXJwR5meh6Vx_oU","View Creative")</f>
        <v>View Creative</v>
      </c>
      <c r="L3033" s="4" t="s">
        <v>106</v>
      </c>
      <c r="M3033" s="4" t="s">
        <v>5965</v>
      </c>
      <c r="O3033" s="4" t="s">
        <v>63</v>
      </c>
      <c r="P3033" s="4" t="s">
        <v>64</v>
      </c>
    </row>
    <row r="3034">
      <c r="A3034" s="4" t="s">
        <v>5965</v>
      </c>
      <c r="B3034" s="4" t="s">
        <v>5965</v>
      </c>
      <c r="C3034" s="4">
        <v>1423.0</v>
      </c>
      <c r="D3034" s="5" t="str">
        <f>HYPERLINK("https://www.linkedin.com/ad-library/detail/1382506686","Open Ad")</f>
        <v>Open Ad</v>
      </c>
      <c r="E3034" s="4" t="s">
        <v>121</v>
      </c>
      <c r="F3034" s="4" t="s">
        <v>54</v>
      </c>
      <c r="G3034" s="4" t="s">
        <v>6570</v>
      </c>
      <c r="H3034" s="4" t="s">
        <v>49</v>
      </c>
      <c r="I3034" s="4" t="s">
        <v>6005</v>
      </c>
      <c r="J3034" s="4" t="s">
        <v>121</v>
      </c>
      <c r="K3034" s="5" t="str">
        <f>HYPERLINK("https://dms.licdn.com/playlist/vid/v2/D4E05AQEARG59OY5jLw/mp4-640p-30fp-crf28/B4EZ0xuhbyG4Bw-/0/1774655779707?e=2147483647&amp;v=beta&amp;t=UBzDipeQ1LEDsjatpxvHFZ8ppy-PxtwtBJ-IdAc2KlU","View Creative")</f>
        <v>View Creative</v>
      </c>
      <c r="L3034" s="4" t="s">
        <v>106</v>
      </c>
      <c r="M3034" s="4" t="s">
        <v>5965</v>
      </c>
      <c r="O3034" s="4" t="s">
        <v>63</v>
      </c>
      <c r="P3034" s="4" t="s">
        <v>64</v>
      </c>
    </row>
    <row r="3035">
      <c r="A3035" s="4" t="s">
        <v>5965</v>
      </c>
      <c r="B3035" s="4" t="s">
        <v>5965</v>
      </c>
      <c r="C3035" s="4">
        <v>1424.0</v>
      </c>
      <c r="D3035" s="5" t="str">
        <f>HYPERLINK("https://www.linkedin.com/ad-library/detail/1382497426","Open Ad")</f>
        <v>Open Ad</v>
      </c>
      <c r="E3035" s="4" t="s">
        <v>121</v>
      </c>
      <c r="F3035" s="4" t="s">
        <v>54</v>
      </c>
      <c r="G3035" s="4" t="s">
        <v>6568</v>
      </c>
      <c r="H3035" s="4" t="s">
        <v>49</v>
      </c>
      <c r="I3035" s="4" t="s">
        <v>6005</v>
      </c>
      <c r="J3035" s="4" t="s">
        <v>121</v>
      </c>
      <c r="K3035" s="5" t="str">
        <f>HYPERLINK("https://dms.licdn.com/playlist/vid/v2/D4E05AQHGTJQKgeiwTg/mp4-640p-30fp-crf28/B4EZ0vEHRYJcBw-/0/1774611108366?e=2147483647&amp;v=beta&amp;t=wT0DP4iToOMmkr4T3oHIGREwgLctQr6Dy1WrXYa0GWU","View Creative")</f>
        <v>View Creative</v>
      </c>
      <c r="L3035" s="4" t="s">
        <v>106</v>
      </c>
      <c r="M3035" s="4" t="s">
        <v>5965</v>
      </c>
      <c r="O3035" s="4" t="s">
        <v>63</v>
      </c>
      <c r="P3035" s="4" t="s">
        <v>64</v>
      </c>
    </row>
    <row r="3036">
      <c r="A3036" s="4" t="s">
        <v>5965</v>
      </c>
      <c r="B3036" s="4" t="s">
        <v>5965</v>
      </c>
      <c r="C3036" s="4">
        <v>1425.0</v>
      </c>
      <c r="D3036" s="5" t="str">
        <f>HYPERLINK("https://www.linkedin.com/ad-library/detail/1382511736","Open Ad")</f>
        <v>Open Ad</v>
      </c>
      <c r="E3036" s="4" t="s">
        <v>121</v>
      </c>
      <c r="F3036" s="4" t="s">
        <v>54</v>
      </c>
      <c r="G3036" s="4" t="s">
        <v>6570</v>
      </c>
      <c r="H3036" s="4" t="s">
        <v>49</v>
      </c>
      <c r="I3036" s="4" t="s">
        <v>6005</v>
      </c>
      <c r="J3036" s="4" t="s">
        <v>121</v>
      </c>
      <c r="K3036" s="5" t="str">
        <f>HYPERLINK("https://dms.licdn.com/playlist/vid/v2/D4E05AQEARG59OY5jLw/mp4-640p-30fp-crf28/B4EZ0xuhbyG4Bw-/0/1774655779707?e=2147483647&amp;v=beta&amp;t=UBzDipeQ1LEDsjatpxvHFZ8ppy-PxtwtBJ-IdAc2KlU","View Creative")</f>
        <v>View Creative</v>
      </c>
      <c r="L3036" s="4" t="s">
        <v>106</v>
      </c>
      <c r="M3036" s="4" t="s">
        <v>5965</v>
      </c>
      <c r="O3036" s="4" t="s">
        <v>63</v>
      </c>
      <c r="P3036" s="4" t="s">
        <v>64</v>
      </c>
    </row>
    <row r="3037">
      <c r="A3037" s="4" t="s">
        <v>5965</v>
      </c>
      <c r="B3037" s="4" t="s">
        <v>5965</v>
      </c>
      <c r="C3037" s="4">
        <v>1426.0</v>
      </c>
      <c r="D3037" s="5" t="str">
        <f>HYPERLINK("https://www.linkedin.com/ad-library/detail/1382151926","Open Ad")</f>
        <v>Open Ad</v>
      </c>
      <c r="E3037" s="4" t="s">
        <v>121</v>
      </c>
      <c r="F3037" s="4" t="s">
        <v>54</v>
      </c>
      <c r="G3037" s="4" t="s">
        <v>6567</v>
      </c>
      <c r="H3037" s="4" t="s">
        <v>49</v>
      </c>
      <c r="I3037" s="4" t="s">
        <v>6005</v>
      </c>
      <c r="J3037" s="4" t="s">
        <v>121</v>
      </c>
      <c r="K3037" s="5" t="str">
        <f>HYPERLINK("https://dms.licdn.com/playlist/vid/v2/D4E05AQHfrsi8WLiiGg/mp4-720p-30fp-crf28/B4EZ0wzt51IgCI-/0/1774640363495?e=2147483647&amp;v=beta&amp;t=WzZ08_I7Ujq4TTuTSqSErEL6J_WQT3SwiKVQL5m00Kw","View Creative")</f>
        <v>View Creative</v>
      </c>
      <c r="L3037" s="4" t="s">
        <v>106</v>
      </c>
      <c r="M3037" s="4" t="s">
        <v>5965</v>
      </c>
      <c r="O3037" s="4" t="s">
        <v>63</v>
      </c>
      <c r="P3037" s="4" t="s">
        <v>64</v>
      </c>
    </row>
    <row r="3038">
      <c r="A3038" s="4" t="s">
        <v>5965</v>
      </c>
      <c r="B3038" s="4" t="s">
        <v>5965</v>
      </c>
      <c r="C3038" s="4">
        <v>1427.0</v>
      </c>
      <c r="D3038" s="5" t="str">
        <f>HYPERLINK("https://www.linkedin.com/ad-library/detail/1384491946","Open Ad")</f>
        <v>Open Ad</v>
      </c>
      <c r="E3038" s="4" t="s">
        <v>78</v>
      </c>
      <c r="F3038" s="4" t="s">
        <v>54</v>
      </c>
      <c r="G3038" s="4" t="s">
        <v>6571</v>
      </c>
      <c r="H3038" s="4" t="s">
        <v>49</v>
      </c>
      <c r="I3038" s="4" t="s">
        <v>6005</v>
      </c>
      <c r="J3038" s="4" t="s">
        <v>78</v>
      </c>
      <c r="K3038" s="5" t="str">
        <f>HYPERLINK("https://media.licdn.com/dms/image/v2/D5622AQFlIG6P2EdjsQ/feedshare-image-high-res/B56Z0.71KjGYAU-/0/1774877365243?e=2147483647&amp;v=beta&amp;t=j_HdhEUM6wI2X4Yu_xRh8yXT_8rFMo09zGWD_3rbUHI","View Creative")</f>
        <v>View Creative</v>
      </c>
      <c r="L3038" s="4" t="s">
        <v>106</v>
      </c>
      <c r="M3038" s="4" t="s">
        <v>5965</v>
      </c>
      <c r="O3038" s="4" t="s">
        <v>63</v>
      </c>
      <c r="P3038" s="4" t="s">
        <v>64</v>
      </c>
    </row>
    <row r="3039">
      <c r="A3039" s="4" t="s">
        <v>5965</v>
      </c>
      <c r="B3039" s="4" t="s">
        <v>5965</v>
      </c>
      <c r="C3039" s="4">
        <v>1428.0</v>
      </c>
      <c r="D3039" s="5" t="str">
        <f>HYPERLINK("https://www.linkedin.com/ad-library/detail/1382620546","Open Ad")</f>
        <v>Open Ad</v>
      </c>
      <c r="E3039" s="4" t="s">
        <v>121</v>
      </c>
      <c r="F3039" s="4" t="s">
        <v>54</v>
      </c>
      <c r="G3039" s="4" t="s">
        <v>6570</v>
      </c>
      <c r="H3039" s="4" t="s">
        <v>49</v>
      </c>
      <c r="I3039" s="4" t="s">
        <v>6005</v>
      </c>
      <c r="J3039" s="4" t="s">
        <v>121</v>
      </c>
      <c r="K3039" s="5" t="str">
        <f t="shared" ref="K3039:K3040" si="155">HYPERLINK("https://dms.licdn.com/playlist/vid/v2/D4E05AQEARG59OY5jLw/mp4-640p-30fp-crf28/B4EZ0xuhbyG4Bw-/0/1774655779707?e=2147483647&amp;v=beta&amp;t=UBzDipeQ1LEDsjatpxvHFZ8ppy-PxtwtBJ-IdAc2KlU","View Creative")</f>
        <v>View Creative</v>
      </c>
      <c r="L3039" s="4" t="s">
        <v>106</v>
      </c>
      <c r="M3039" s="4" t="s">
        <v>5965</v>
      </c>
      <c r="O3039" s="4" t="s">
        <v>63</v>
      </c>
      <c r="P3039" s="4" t="s">
        <v>64</v>
      </c>
    </row>
    <row r="3040">
      <c r="A3040" s="4" t="s">
        <v>5965</v>
      </c>
      <c r="B3040" s="4" t="s">
        <v>5965</v>
      </c>
      <c r="C3040" s="4">
        <v>1429.0</v>
      </c>
      <c r="D3040" s="5" t="str">
        <f>HYPERLINK("https://www.linkedin.com/ad-library/detail/1382620536","Open Ad")</f>
        <v>Open Ad</v>
      </c>
      <c r="E3040" s="4" t="s">
        <v>121</v>
      </c>
      <c r="F3040" s="4" t="s">
        <v>54</v>
      </c>
      <c r="G3040" s="4" t="s">
        <v>6570</v>
      </c>
      <c r="H3040" s="4" t="s">
        <v>49</v>
      </c>
      <c r="I3040" s="4" t="s">
        <v>6005</v>
      </c>
      <c r="J3040" s="4" t="s">
        <v>121</v>
      </c>
      <c r="K3040" s="5" t="str">
        <f t="shared" si="155"/>
        <v>View Creative</v>
      </c>
      <c r="L3040" s="4" t="s">
        <v>106</v>
      </c>
      <c r="M3040" s="4" t="s">
        <v>5965</v>
      </c>
      <c r="O3040" s="4" t="s">
        <v>63</v>
      </c>
      <c r="P3040" s="4" t="s">
        <v>64</v>
      </c>
    </row>
    <row r="3041">
      <c r="A3041" s="4" t="s">
        <v>5965</v>
      </c>
      <c r="B3041" s="4" t="s">
        <v>5965</v>
      </c>
      <c r="C3041" s="4">
        <v>1430.0</v>
      </c>
      <c r="D3041" s="5" t="str">
        <f>HYPERLINK("https://www.linkedin.com/ad-library/detail/1382062186","Open Ad")</f>
        <v>Open Ad</v>
      </c>
      <c r="E3041" s="4" t="s">
        <v>121</v>
      </c>
      <c r="F3041" s="4" t="s">
        <v>54</v>
      </c>
      <c r="G3041" s="4" t="s">
        <v>6567</v>
      </c>
      <c r="H3041" s="4" t="s">
        <v>49</v>
      </c>
      <c r="I3041" s="4" t="s">
        <v>6005</v>
      </c>
      <c r="J3041" s="4" t="s">
        <v>121</v>
      </c>
      <c r="K3041" s="5" t="str">
        <f>HYPERLINK("https://dms.licdn.com/playlist/vid/v2/D4E05AQHfrsi8WLiiGg/mp4-720p-30fp-crf28/B4EZ0wzt51IgCI-/0/1774640363495?e=2147483647&amp;v=beta&amp;t=WzZ08_I7Ujq4TTuTSqSErEL6J_WQT3SwiKVQL5m00Kw","View Creative")</f>
        <v>View Creative</v>
      </c>
      <c r="L3041" s="4" t="s">
        <v>106</v>
      </c>
      <c r="M3041" s="4" t="s">
        <v>5965</v>
      </c>
      <c r="O3041" s="4" t="s">
        <v>63</v>
      </c>
      <c r="P3041" s="4" t="s">
        <v>64</v>
      </c>
    </row>
    <row r="3042">
      <c r="A3042" s="4" t="s">
        <v>5965</v>
      </c>
      <c r="B3042" s="4" t="s">
        <v>5965</v>
      </c>
      <c r="C3042" s="4">
        <v>1431.0</v>
      </c>
      <c r="D3042" s="5" t="str">
        <f>HYPERLINK("https://www.linkedin.com/ad-library/detail/1386717476","Open Ad")</f>
        <v>Open Ad</v>
      </c>
      <c r="E3042" s="4" t="s">
        <v>121</v>
      </c>
      <c r="F3042" s="4" t="s">
        <v>54</v>
      </c>
      <c r="G3042" s="4" t="s">
        <v>6545</v>
      </c>
      <c r="H3042" s="4" t="s">
        <v>49</v>
      </c>
      <c r="I3042" s="4" t="s">
        <v>6005</v>
      </c>
      <c r="J3042" s="4" t="s">
        <v>121</v>
      </c>
      <c r="K3042" s="5" t="str">
        <f>HYPERLINK("https://dms.licdn.com/playlist/vid/v2/D4E10AQHFU1k453OYrA/mp4-640p-30fp-crf28/B4EZ1T2oaIGoBk-/0/1775228339149?e=2147483647&amp;v=beta&amp;t=kBnW5fM4ijMUPneQ4OMxjdJ5g1DIFxIn44cnT0Y2FNs","View Creative")</f>
        <v>View Creative</v>
      </c>
      <c r="L3042" s="4" t="s">
        <v>106</v>
      </c>
      <c r="M3042" s="4" t="s">
        <v>5965</v>
      </c>
      <c r="O3042" s="4" t="s">
        <v>63</v>
      </c>
      <c r="P3042" s="4" t="s">
        <v>64</v>
      </c>
    </row>
    <row r="3043">
      <c r="A3043" s="4" t="s">
        <v>5965</v>
      </c>
      <c r="B3043" s="4" t="s">
        <v>5965</v>
      </c>
      <c r="C3043" s="4">
        <v>1432.0</v>
      </c>
      <c r="D3043" s="5" t="str">
        <f>HYPERLINK("https://www.linkedin.com/ad-library/detail/1382121886","Open Ad")</f>
        <v>Open Ad</v>
      </c>
      <c r="E3043" s="4" t="s">
        <v>121</v>
      </c>
      <c r="F3043" s="4" t="s">
        <v>54</v>
      </c>
      <c r="G3043" s="4" t="s">
        <v>6567</v>
      </c>
      <c r="H3043" s="4" t="s">
        <v>49</v>
      </c>
      <c r="I3043" s="4" t="s">
        <v>6005</v>
      </c>
      <c r="J3043" s="4" t="s">
        <v>121</v>
      </c>
      <c r="K3043" s="5" t="str">
        <f>HYPERLINK("https://dms.licdn.com/playlist/vid/v2/D4E05AQHfrsi8WLiiGg/mp4-720p-30fp-crf28/B4EZ0wzt51IgCI-/0/1774640363495?e=2147483647&amp;v=beta&amp;t=WzZ08_I7Ujq4TTuTSqSErEL6J_WQT3SwiKVQL5m00Kw","View Creative")</f>
        <v>View Creative</v>
      </c>
      <c r="L3043" s="4" t="s">
        <v>106</v>
      </c>
      <c r="M3043" s="4" t="s">
        <v>5965</v>
      </c>
      <c r="O3043" s="4" t="s">
        <v>63</v>
      </c>
      <c r="P3043" s="4" t="s">
        <v>64</v>
      </c>
    </row>
    <row r="3044">
      <c r="A3044" s="4" t="s">
        <v>5965</v>
      </c>
      <c r="B3044" s="4" t="s">
        <v>5965</v>
      </c>
      <c r="C3044" s="4">
        <v>1433.0</v>
      </c>
      <c r="D3044" s="5" t="str">
        <f>HYPERLINK("https://www.linkedin.com/ad-library/detail/1386688956","Open Ad")</f>
        <v>Open Ad</v>
      </c>
      <c r="E3044" s="4" t="s">
        <v>121</v>
      </c>
      <c r="F3044" s="4" t="s">
        <v>54</v>
      </c>
      <c r="G3044" s="4" t="s">
        <v>6545</v>
      </c>
      <c r="H3044" s="4" t="s">
        <v>49</v>
      </c>
      <c r="I3044" s="4" t="s">
        <v>6005</v>
      </c>
      <c r="J3044" s="4" t="s">
        <v>121</v>
      </c>
      <c r="K3044" s="5" t="str">
        <f>HYPERLINK("https://dms.licdn.com/playlist/vid/v2/D4E10AQHFU1k453OYrA/mp4-640p-30fp-crf28/B4EZ1T2oaIGoBk-/0/1775228339149?e=2147483647&amp;v=beta&amp;t=kBnW5fM4ijMUPneQ4OMxjdJ5g1DIFxIn44cnT0Y2FNs","View Creative")</f>
        <v>View Creative</v>
      </c>
      <c r="L3044" s="4" t="s">
        <v>106</v>
      </c>
      <c r="M3044" s="4" t="s">
        <v>5965</v>
      </c>
      <c r="O3044" s="4" t="s">
        <v>63</v>
      </c>
      <c r="P3044" s="4" t="s">
        <v>64</v>
      </c>
    </row>
    <row r="3045">
      <c r="A3045" s="4" t="s">
        <v>5965</v>
      </c>
      <c r="B3045" s="4" t="s">
        <v>5965</v>
      </c>
      <c r="C3045" s="4">
        <v>1434.0</v>
      </c>
      <c r="D3045" s="5" t="str">
        <f>HYPERLINK("https://www.linkedin.com/ad-library/detail/1383924326","Open Ad")</f>
        <v>Open Ad</v>
      </c>
      <c r="E3045" s="4" t="s">
        <v>78</v>
      </c>
      <c r="F3045" s="4" t="s">
        <v>54</v>
      </c>
      <c r="G3045" s="4" t="s">
        <v>6572</v>
      </c>
      <c r="H3045" s="4" t="s">
        <v>49</v>
      </c>
      <c r="I3045" s="4" t="s">
        <v>6005</v>
      </c>
      <c r="J3045" s="4" t="s">
        <v>78</v>
      </c>
      <c r="K3045" s="5" t="str">
        <f>HYPERLINK("https://media.licdn.com/dms/image/v2/D5622AQHymv3jVfVoyQ/feedshare-shrink_1280/B56Z0CaYbmIMAM-/0/1773861963941?e=2147483647&amp;v=beta&amp;t=GhJlbgMohhMZOy9Q5-4V1VAPjwriHqOK0CCUt3ilOzI","View Creative")</f>
        <v>View Creative</v>
      </c>
      <c r="L3045" s="4" t="s">
        <v>106</v>
      </c>
      <c r="M3045" s="4" t="s">
        <v>5965</v>
      </c>
      <c r="O3045" s="4" t="s">
        <v>63</v>
      </c>
      <c r="P3045" s="4" t="s">
        <v>64</v>
      </c>
    </row>
    <row r="3046">
      <c r="A3046" s="4" t="s">
        <v>5965</v>
      </c>
      <c r="B3046" s="4" t="s">
        <v>5965</v>
      </c>
      <c r="C3046" s="4">
        <v>1435.0</v>
      </c>
      <c r="D3046" s="5" t="str">
        <f>HYPERLINK("https://www.linkedin.com/ad-library/detail/1382690396","Open Ad")</f>
        <v>Open Ad</v>
      </c>
      <c r="E3046" s="4" t="s">
        <v>121</v>
      </c>
      <c r="F3046" s="4" t="s">
        <v>54</v>
      </c>
      <c r="G3046" s="4" t="s">
        <v>6568</v>
      </c>
      <c r="H3046" s="4" t="s">
        <v>49</v>
      </c>
      <c r="I3046" s="4" t="s">
        <v>6005</v>
      </c>
      <c r="J3046" s="4" t="s">
        <v>121</v>
      </c>
      <c r="K3046" s="5" t="str">
        <f>HYPERLINK("https://dms.licdn.com/playlist/vid/v2/D4E05AQHGTJQKgeiwTg/mp4-640p-30fp-crf28/B4EZ0vEHRYJcBw-/0/1774611108366?e=2147483647&amp;v=beta&amp;t=wT0DP4iToOMmkr4T3oHIGREwgLctQr6Dy1WrXYa0GWU","View Creative")</f>
        <v>View Creative</v>
      </c>
      <c r="L3046" s="4" t="s">
        <v>106</v>
      </c>
      <c r="M3046" s="4" t="s">
        <v>5965</v>
      </c>
      <c r="O3046" s="4" t="s">
        <v>63</v>
      </c>
      <c r="P3046" s="4" t="s">
        <v>64</v>
      </c>
    </row>
    <row r="3047">
      <c r="A3047" s="4" t="s">
        <v>5965</v>
      </c>
      <c r="B3047" s="4" t="s">
        <v>5965</v>
      </c>
      <c r="C3047" s="4">
        <v>1436.0</v>
      </c>
      <c r="D3047" s="5" t="str">
        <f>HYPERLINK("https://www.linkedin.com/ad-library/detail/1385437496","Open Ad")</f>
        <v>Open Ad</v>
      </c>
      <c r="E3047" s="4" t="s">
        <v>121</v>
      </c>
      <c r="F3047" s="4" t="s">
        <v>54</v>
      </c>
      <c r="G3047" s="4" t="s">
        <v>6545</v>
      </c>
      <c r="H3047" s="4" t="s">
        <v>49</v>
      </c>
      <c r="I3047" s="4" t="s">
        <v>6005</v>
      </c>
      <c r="J3047" s="4" t="s">
        <v>121</v>
      </c>
      <c r="K3047" s="5" t="str">
        <f>HYPERLINK("https://dms.licdn.com/playlist/vid/v2/D4E10AQHFU1k453OYrA/mp4-640p-30fp-crf28/B4EZ1T2oaIGoBk-/0/1775228339149?e=2147483647&amp;v=beta&amp;t=kBnW5fM4ijMUPneQ4OMxjdJ5g1DIFxIn44cnT0Y2FNs","View Creative")</f>
        <v>View Creative</v>
      </c>
      <c r="L3047" s="4" t="s">
        <v>106</v>
      </c>
      <c r="M3047" s="4" t="s">
        <v>5965</v>
      </c>
      <c r="O3047" s="4" t="s">
        <v>63</v>
      </c>
      <c r="P3047" s="4" t="s">
        <v>64</v>
      </c>
    </row>
    <row r="3048">
      <c r="A3048" s="4" t="s">
        <v>5965</v>
      </c>
      <c r="B3048" s="4" t="s">
        <v>5965</v>
      </c>
      <c r="C3048" s="4">
        <v>1437.0</v>
      </c>
      <c r="D3048" s="5" t="str">
        <f>HYPERLINK("https://www.linkedin.com/ad-library/detail/1385406976","Open Ad")</f>
        <v>Open Ad</v>
      </c>
      <c r="E3048" s="4" t="s">
        <v>121</v>
      </c>
      <c r="F3048" s="4" t="s">
        <v>54</v>
      </c>
      <c r="G3048" s="4" t="s">
        <v>6573</v>
      </c>
      <c r="H3048" s="4" t="s">
        <v>49</v>
      </c>
      <c r="I3048" s="4" t="s">
        <v>6005</v>
      </c>
      <c r="J3048" s="4" t="s">
        <v>121</v>
      </c>
      <c r="K3048" s="5" t="str">
        <f>HYPERLINK("https://dms.licdn.com/playlist/vid/v2/D4E10AQFTQFrZ1-023Q/mp4-720p-30fp-crf28/B4EZ0wwjmpIQCA-/0/1774639535357?e=2147483647&amp;v=beta&amp;t=1Kq5dSRwTzNRBP5O_G9O95O8Y6yfbvJLqVMr8Z5_uWI","View Creative")</f>
        <v>View Creative</v>
      </c>
      <c r="L3048" s="4" t="s">
        <v>106</v>
      </c>
      <c r="M3048" s="4" t="s">
        <v>5965</v>
      </c>
      <c r="O3048" s="4" t="s">
        <v>63</v>
      </c>
      <c r="P3048" s="4" t="s">
        <v>64</v>
      </c>
    </row>
    <row r="3049">
      <c r="A3049" s="4" t="s">
        <v>5965</v>
      </c>
      <c r="B3049" s="4" t="s">
        <v>5965</v>
      </c>
      <c r="C3049" s="4">
        <v>1438.0</v>
      </c>
      <c r="D3049" s="5" t="str">
        <f>HYPERLINK("https://www.linkedin.com/ad-library/detail/1384453796","Open Ad")</f>
        <v>Open Ad</v>
      </c>
      <c r="E3049" s="4" t="s">
        <v>78</v>
      </c>
      <c r="F3049" s="4" t="s">
        <v>54</v>
      </c>
      <c r="G3049" s="4" t="s">
        <v>6574</v>
      </c>
      <c r="H3049" s="4" t="s">
        <v>49</v>
      </c>
      <c r="I3049" s="4" t="s">
        <v>6005</v>
      </c>
      <c r="J3049" s="4" t="s">
        <v>78</v>
      </c>
      <c r="K3049" s="5" t="str">
        <f>HYPERLINK("https://media.licdn.com/dms/image/v2/D4E22AQEIlutytlVzAQ/feedshare-shrink_1280/B4EZ0.ZtmvIgAM-/0/1774868422021?e=2147483647&amp;v=beta&amp;t=pmFyrR7qT2PKP1ZxWMjbjZcuU7hLs-zGQkbyHmTVq6M","View Creative")</f>
        <v>View Creative</v>
      </c>
      <c r="L3049" s="4" t="s">
        <v>106</v>
      </c>
      <c r="M3049" s="4" t="s">
        <v>5965</v>
      </c>
      <c r="O3049" s="4" t="s">
        <v>63</v>
      </c>
      <c r="P3049" s="4" t="s">
        <v>64</v>
      </c>
    </row>
    <row r="3050">
      <c r="A3050" s="4" t="s">
        <v>5965</v>
      </c>
      <c r="B3050" s="4" t="s">
        <v>5965</v>
      </c>
      <c r="C3050" s="4">
        <v>1439.0</v>
      </c>
      <c r="D3050" s="5" t="str">
        <f>HYPERLINK("https://www.linkedin.com/ad-library/detail/1385333946","Open Ad")</f>
        <v>Open Ad</v>
      </c>
      <c r="E3050" s="4" t="s">
        <v>78</v>
      </c>
      <c r="F3050" s="4" t="s">
        <v>54</v>
      </c>
      <c r="G3050" s="4" t="s">
        <v>6575</v>
      </c>
      <c r="H3050" s="4" t="s">
        <v>49</v>
      </c>
      <c r="I3050" s="4" t="s">
        <v>6005</v>
      </c>
      <c r="J3050" s="4" t="s">
        <v>78</v>
      </c>
      <c r="K3050" s="5" t="str">
        <f>HYPERLINK("https://media.licdn.com/dms/image/v2/D4E22AQFEqr3tr1ekLA/feedshare-shrink_1280/B4EZ09MkLWIwAM-/0/1774848197631?e=2147483647&amp;v=beta&amp;t=KQ-SfRhoCXmAtMM1FpQaGIUcQS2Z-mfwBODYGikegIE","View Creative")</f>
        <v>View Creative</v>
      </c>
      <c r="L3050" s="4" t="s">
        <v>106</v>
      </c>
      <c r="M3050" s="4" t="s">
        <v>5965</v>
      </c>
      <c r="O3050" s="4" t="s">
        <v>63</v>
      </c>
      <c r="P3050" s="4" t="s">
        <v>64</v>
      </c>
    </row>
    <row r="3051">
      <c r="A3051" s="4" t="s">
        <v>5965</v>
      </c>
      <c r="B3051" s="4" t="s">
        <v>5965</v>
      </c>
      <c r="C3051" s="4">
        <v>1440.0</v>
      </c>
      <c r="D3051" s="5" t="str">
        <f>HYPERLINK("https://www.linkedin.com/ad-library/detail/1382630476","Open Ad")</f>
        <v>Open Ad</v>
      </c>
      <c r="E3051" s="4" t="s">
        <v>121</v>
      </c>
      <c r="F3051" s="4" t="s">
        <v>54</v>
      </c>
      <c r="G3051" s="4" t="s">
        <v>6568</v>
      </c>
      <c r="H3051" s="4" t="s">
        <v>49</v>
      </c>
      <c r="I3051" s="4" t="s">
        <v>6005</v>
      </c>
      <c r="J3051" s="4" t="s">
        <v>121</v>
      </c>
      <c r="K3051" s="5" t="str">
        <f>HYPERLINK("https://dms.licdn.com/playlist/vid/v2/D4E05AQHGTJQKgeiwTg/mp4-640p-30fp-crf28/B4EZ0vEHRYJcBw-/0/1774611108366?e=2147483647&amp;v=beta&amp;t=wT0DP4iToOMmkr4T3oHIGREwgLctQr6Dy1WrXYa0GWU","View Creative")</f>
        <v>View Creative</v>
      </c>
      <c r="L3051" s="4" t="s">
        <v>106</v>
      </c>
      <c r="M3051" s="4" t="s">
        <v>5965</v>
      </c>
      <c r="O3051" s="4" t="s">
        <v>63</v>
      </c>
      <c r="P3051" s="4" t="s">
        <v>64</v>
      </c>
    </row>
    <row r="3052">
      <c r="A3052" s="4" t="s">
        <v>5965</v>
      </c>
      <c r="B3052" s="4" t="s">
        <v>5965</v>
      </c>
      <c r="C3052" s="4">
        <v>1441.0</v>
      </c>
      <c r="D3052" s="5" t="str">
        <f>HYPERLINK("https://www.linkedin.com/ad-library/detail/1382231896","Open Ad")</f>
        <v>Open Ad</v>
      </c>
      <c r="E3052" s="4" t="s">
        <v>121</v>
      </c>
      <c r="F3052" s="4" t="s">
        <v>54</v>
      </c>
      <c r="G3052" s="4" t="s">
        <v>6573</v>
      </c>
      <c r="H3052" s="4" t="s">
        <v>49</v>
      </c>
      <c r="I3052" s="4" t="s">
        <v>6005</v>
      </c>
      <c r="J3052" s="4" t="s">
        <v>121</v>
      </c>
      <c r="K3052" s="5" t="str">
        <f>HYPERLINK("https://dms.licdn.com/playlist/vid/v2/D4E10AQFTQFrZ1-023Q/mp4-720p-30fp-crf28/B4EZ0wwjmpIQCA-/0/1774639535357?e=2147483647&amp;v=beta&amp;t=1Kq5dSRwTzNRBP5O_G9O95O8Y6yfbvJLqVMr8Z5_uWI","View Creative")</f>
        <v>View Creative</v>
      </c>
      <c r="L3052" s="4" t="s">
        <v>106</v>
      </c>
      <c r="M3052" s="4" t="s">
        <v>5965</v>
      </c>
      <c r="O3052" s="4" t="s">
        <v>63</v>
      </c>
      <c r="P3052" s="4" t="s">
        <v>64</v>
      </c>
    </row>
    <row r="3053">
      <c r="A3053" s="4" t="s">
        <v>5965</v>
      </c>
      <c r="B3053" s="4" t="s">
        <v>5965</v>
      </c>
      <c r="C3053" s="4">
        <v>1442.0</v>
      </c>
      <c r="D3053" s="5" t="str">
        <f>HYPERLINK("https://www.linkedin.com/ad-library/detail/1381666976","Open Ad")</f>
        <v>Open Ad</v>
      </c>
      <c r="E3053" s="4" t="s">
        <v>121</v>
      </c>
      <c r="F3053" s="4" t="s">
        <v>54</v>
      </c>
      <c r="G3053" s="4" t="s">
        <v>6576</v>
      </c>
      <c r="H3053" s="4" t="s">
        <v>49</v>
      </c>
      <c r="I3053" s="4" t="s">
        <v>6005</v>
      </c>
      <c r="J3053" s="4" t="s">
        <v>121</v>
      </c>
      <c r="K3053" s="5" t="str">
        <f>HYPERLINK("https://dms.licdn.com/playlist/vid/v2/D4E05AQFN8BvYBir-Uw/mp4-720p-30fp-crf28/B4EZ0lnLUlIgCI-/0/1774452533080?e=2147483647&amp;v=beta&amp;t=y06QEnC1jpo5QszeBYV4UgikBLFER7W7WAwBOyfKm8I","View Creative")</f>
        <v>View Creative</v>
      </c>
      <c r="L3053" s="4" t="s">
        <v>106</v>
      </c>
      <c r="M3053" s="4" t="s">
        <v>5965</v>
      </c>
      <c r="O3053" s="4" t="s">
        <v>63</v>
      </c>
      <c r="P3053" s="4" t="s">
        <v>64</v>
      </c>
    </row>
    <row r="3054">
      <c r="A3054" s="4" t="s">
        <v>5965</v>
      </c>
      <c r="B3054" s="4" t="s">
        <v>5965</v>
      </c>
      <c r="C3054" s="4">
        <v>1443.0</v>
      </c>
      <c r="D3054" s="5" t="str">
        <f>HYPERLINK("https://www.linkedin.com/ad-library/detail/1380394736","Open Ad")</f>
        <v>Open Ad</v>
      </c>
      <c r="E3054" s="4" t="s">
        <v>121</v>
      </c>
      <c r="F3054" s="4" t="s">
        <v>54</v>
      </c>
      <c r="G3054" s="4" t="s">
        <v>6549</v>
      </c>
      <c r="H3054" s="4" t="s">
        <v>49</v>
      </c>
      <c r="I3054" s="4" t="s">
        <v>6005</v>
      </c>
      <c r="J3054" s="4" t="s">
        <v>121</v>
      </c>
      <c r="K3054" s="5" t="str">
        <f>HYPERLINK("https://dms.licdn.com/playlist/vid/v2/D5605AQHDR1EE1SCFgQ/mp4-640p-30fp-crf28/B56Z0LqvhkKYBw-/0/1774017252150?e=2147483647&amp;v=beta&amp;t=-oLCASX73dlWtk9XBKDc3ik62wW-_HedEFTy3cH5scI","View Creative")</f>
        <v>View Creative</v>
      </c>
      <c r="L3054" s="4" t="s">
        <v>106</v>
      </c>
      <c r="M3054" s="4" t="s">
        <v>5965</v>
      </c>
      <c r="O3054" s="4" t="s">
        <v>63</v>
      </c>
      <c r="P3054" s="4" t="s">
        <v>64</v>
      </c>
    </row>
    <row r="3055">
      <c r="A3055" s="4" t="s">
        <v>5965</v>
      </c>
      <c r="B3055" s="4" t="s">
        <v>5965</v>
      </c>
      <c r="C3055" s="4">
        <v>1444.0</v>
      </c>
      <c r="D3055" s="5" t="str">
        <f>HYPERLINK("https://www.linkedin.com/ad-library/detail/1381477716","Open Ad")</f>
        <v>Open Ad</v>
      </c>
      <c r="E3055" s="4" t="s">
        <v>121</v>
      </c>
      <c r="F3055" s="4" t="s">
        <v>54</v>
      </c>
      <c r="G3055" s="4" t="s">
        <v>6577</v>
      </c>
      <c r="H3055" s="4" t="s">
        <v>49</v>
      </c>
      <c r="I3055" s="4" t="s">
        <v>6005</v>
      </c>
      <c r="J3055" s="4" t="s">
        <v>121</v>
      </c>
      <c r="K3055" s="5" t="str">
        <f>HYPERLINK("https://dms.licdn.com/playlist/vid/v2/D4E10AQGb7OlQ8J1lXA/mp4-640p-30fp-crf28/B4EZ0rbiD.HABo-/0/1774550145558?e=2147483647&amp;v=beta&amp;t=udTrEVVanqx-25BqUAgYlh5NRRLU4V-b3rd9JoKaIFY","View Creative")</f>
        <v>View Creative</v>
      </c>
      <c r="L3055" s="4" t="s">
        <v>106</v>
      </c>
      <c r="M3055" s="4" t="s">
        <v>5965</v>
      </c>
      <c r="O3055" s="4" t="s">
        <v>63</v>
      </c>
      <c r="P3055" s="4" t="s">
        <v>64</v>
      </c>
    </row>
    <row r="3056">
      <c r="A3056" s="4" t="s">
        <v>5965</v>
      </c>
      <c r="B3056" s="4" t="s">
        <v>5965</v>
      </c>
      <c r="C3056" s="4">
        <v>1445.0</v>
      </c>
      <c r="D3056" s="5" t="str">
        <f>HYPERLINK("https://www.linkedin.com/ad-library/detail/1382082186","Open Ad")</f>
        <v>Open Ad</v>
      </c>
      <c r="E3056" s="4" t="s">
        <v>121</v>
      </c>
      <c r="F3056" s="4" t="s">
        <v>54</v>
      </c>
      <c r="G3056" s="4" t="s">
        <v>6573</v>
      </c>
      <c r="H3056" s="4" t="s">
        <v>49</v>
      </c>
      <c r="I3056" s="4" t="s">
        <v>6005</v>
      </c>
      <c r="J3056" s="4" t="s">
        <v>121</v>
      </c>
      <c r="K3056" s="5" t="str">
        <f>HYPERLINK("https://dms.licdn.com/playlist/vid/v2/D4E10AQFTQFrZ1-023Q/mp4-720p-30fp-crf28/B4EZ0wwjmpIQCA-/0/1774639535357?e=2147483647&amp;v=beta&amp;t=1Kq5dSRwTzNRBP5O_G9O95O8Y6yfbvJLqVMr8Z5_uWI","View Creative")</f>
        <v>View Creative</v>
      </c>
      <c r="L3056" s="4" t="s">
        <v>106</v>
      </c>
      <c r="M3056" s="4" t="s">
        <v>5965</v>
      </c>
      <c r="O3056" s="4" t="s">
        <v>63</v>
      </c>
      <c r="P3056" s="4" t="s">
        <v>64</v>
      </c>
    </row>
    <row r="3057">
      <c r="A3057" s="4" t="s">
        <v>5965</v>
      </c>
      <c r="B3057" s="4" t="s">
        <v>5965</v>
      </c>
      <c r="C3057" s="4">
        <v>1446.0</v>
      </c>
      <c r="D3057" s="5" t="str">
        <f>HYPERLINK("https://www.linkedin.com/ad-library/detail/1380443096","Open Ad")</f>
        <v>Open Ad</v>
      </c>
      <c r="E3057" s="4" t="s">
        <v>121</v>
      </c>
      <c r="F3057" s="4" t="s">
        <v>54</v>
      </c>
      <c r="G3057" s="4" t="s">
        <v>6578</v>
      </c>
      <c r="H3057" s="4" t="s">
        <v>49</v>
      </c>
      <c r="I3057" s="4" t="s">
        <v>6005</v>
      </c>
      <c r="J3057" s="4" t="s">
        <v>121</v>
      </c>
      <c r="K3057" s="5" t="str">
        <f>HYPERLINK("https://dms.licdn.com/playlist/vid/v2/D5610AQEGGDf4GMZ9nQ/mp4-640p-30fp-crf28/B56Z0buyEeGYBo-/0/1774286746303?e=2147483647&amp;v=beta&amp;t=OIZ0mvOqAF5L4OnrqQEj4e5H2fp8ZGmAnoEo915_8PA","View Creative")</f>
        <v>View Creative</v>
      </c>
      <c r="L3057" s="4" t="s">
        <v>106</v>
      </c>
      <c r="M3057" s="4" t="s">
        <v>5965</v>
      </c>
      <c r="O3057" s="4" t="s">
        <v>63</v>
      </c>
      <c r="P3057" s="4" t="s">
        <v>64</v>
      </c>
    </row>
    <row r="3058">
      <c r="A3058" s="4" t="s">
        <v>5965</v>
      </c>
      <c r="B3058" s="4" t="s">
        <v>5965</v>
      </c>
      <c r="C3058" s="4">
        <v>1447.0</v>
      </c>
      <c r="D3058" s="5" t="str">
        <f>HYPERLINK("https://www.linkedin.com/ad-library/detail/1381507176","Open Ad")</f>
        <v>Open Ad</v>
      </c>
      <c r="E3058" s="4" t="s">
        <v>121</v>
      </c>
      <c r="F3058" s="4" t="s">
        <v>54</v>
      </c>
      <c r="G3058" s="4" t="s">
        <v>6577</v>
      </c>
      <c r="H3058" s="4" t="s">
        <v>49</v>
      </c>
      <c r="I3058" s="4" t="s">
        <v>6005</v>
      </c>
      <c r="J3058" s="4" t="s">
        <v>121</v>
      </c>
      <c r="K3058" s="5" t="str">
        <f>HYPERLINK("https://dms.licdn.com/playlist/vid/v2/D4E10AQGb7OlQ8J1lXA/mp4-640p-30fp-crf28/B4EZ0rbiD.HABo-/0/1774550145558?e=2147483647&amp;v=beta&amp;t=udTrEVVanqx-25BqUAgYlh5NRRLU4V-b3rd9JoKaIFY","View Creative")</f>
        <v>View Creative</v>
      </c>
      <c r="L3058" s="4" t="s">
        <v>106</v>
      </c>
      <c r="M3058" s="4" t="s">
        <v>5965</v>
      </c>
      <c r="O3058" s="4" t="s">
        <v>63</v>
      </c>
      <c r="P3058" s="4" t="s">
        <v>64</v>
      </c>
    </row>
    <row r="3059">
      <c r="A3059" s="4" t="s">
        <v>5965</v>
      </c>
      <c r="B3059" s="4" t="s">
        <v>5965</v>
      </c>
      <c r="C3059" s="4">
        <v>1448.0</v>
      </c>
      <c r="D3059" s="5" t="str">
        <f>HYPERLINK("https://www.linkedin.com/ad-library/detail/1380375356","Open Ad")</f>
        <v>Open Ad</v>
      </c>
      <c r="E3059" s="4" t="s">
        <v>121</v>
      </c>
      <c r="F3059" s="4" t="s">
        <v>54</v>
      </c>
      <c r="G3059" s="4" t="s">
        <v>6549</v>
      </c>
      <c r="H3059" s="4" t="s">
        <v>49</v>
      </c>
      <c r="I3059" s="4" t="s">
        <v>6005</v>
      </c>
      <c r="J3059" s="4" t="s">
        <v>121</v>
      </c>
      <c r="K3059" s="5" t="str">
        <f>HYPERLINK("https://dms.licdn.com/playlist/vid/v2/D5605AQHDR1EE1SCFgQ/mp4-640p-30fp-crf28/B56Z0LqvhkKYBw-/0/1774017252150?e=2147483647&amp;v=beta&amp;t=-oLCASX73dlWtk9XBKDc3ik62wW-_HedEFTy3cH5scI","View Creative")</f>
        <v>View Creative</v>
      </c>
      <c r="L3059" s="4" t="s">
        <v>106</v>
      </c>
      <c r="M3059" s="4" t="s">
        <v>5965</v>
      </c>
      <c r="O3059" s="4" t="s">
        <v>63</v>
      </c>
      <c r="P3059" s="4" t="s">
        <v>64</v>
      </c>
    </row>
    <row r="3060">
      <c r="A3060" s="4" t="s">
        <v>5965</v>
      </c>
      <c r="B3060" s="4" t="s">
        <v>5965</v>
      </c>
      <c r="C3060" s="4">
        <v>1449.0</v>
      </c>
      <c r="D3060" s="5" t="str">
        <f>HYPERLINK("https://www.linkedin.com/ad-library/detail/1381437246","Open Ad")</f>
        <v>Open Ad</v>
      </c>
      <c r="E3060" s="4" t="s">
        <v>121</v>
      </c>
      <c r="F3060" s="4" t="s">
        <v>54</v>
      </c>
      <c r="G3060" s="4" t="s">
        <v>6557</v>
      </c>
      <c r="H3060" s="4" t="s">
        <v>49</v>
      </c>
      <c r="I3060" s="4" t="s">
        <v>6005</v>
      </c>
      <c r="J3060" s="4" t="s">
        <v>121</v>
      </c>
      <c r="K3060" s="5" t="str">
        <f>HYPERLINK("https://dms.licdn.com/playlist/vid/v2/D4E10AQE5DaHYfIW59w/mp4-360p-30fp-crf28/B4EZ0ceEzkKICE-/0/1774299143927?e=2147483647&amp;v=beta&amp;t=KKfp2ber_Nc2aTshrP53eMPh211fJH_IXE1DbI6_3TQ","View Creative")</f>
        <v>View Creative</v>
      </c>
      <c r="L3060" s="4" t="s">
        <v>106</v>
      </c>
      <c r="M3060" s="4" t="s">
        <v>5965</v>
      </c>
      <c r="O3060" s="4" t="s">
        <v>63</v>
      </c>
      <c r="P3060" s="4" t="s">
        <v>64</v>
      </c>
    </row>
    <row r="3061">
      <c r="A3061" s="4" t="s">
        <v>5965</v>
      </c>
      <c r="B3061" s="4" t="s">
        <v>5965</v>
      </c>
      <c r="C3061" s="4">
        <v>1450.0</v>
      </c>
      <c r="D3061" s="5" t="str">
        <f>HYPERLINK("https://www.linkedin.com/ad-library/detail/1237795334","Open Ad")</f>
        <v>Open Ad</v>
      </c>
      <c r="E3061" s="4" t="s">
        <v>78</v>
      </c>
      <c r="F3061" s="4" t="s">
        <v>54</v>
      </c>
      <c r="G3061" s="4" t="s">
        <v>6579</v>
      </c>
      <c r="H3061" s="4" t="s">
        <v>49</v>
      </c>
      <c r="I3061" s="4" t="s">
        <v>6005</v>
      </c>
      <c r="J3061" s="4" t="s">
        <v>78</v>
      </c>
      <c r="K3061" s="5" t="str">
        <f>HYPERLINK("https://media.licdn.com/dms/image/v2/D5622AQEkxd1lcTFFUg/feedshare-image-high-res/B56Zz4tyw7JMAU-/0/1773699280180?e=2147483647&amp;v=beta&amp;t=ppGxFFOoMGpuu1MDr9avzowazqourgLIqiPjDR1DwmU","View Creative")</f>
        <v>View Creative</v>
      </c>
      <c r="L3061" s="4" t="s">
        <v>106</v>
      </c>
      <c r="M3061" s="4" t="s">
        <v>5965</v>
      </c>
      <c r="O3061" s="4" t="s">
        <v>63</v>
      </c>
      <c r="P3061" s="4" t="s">
        <v>64</v>
      </c>
    </row>
    <row r="3062">
      <c r="A3062" s="4" t="s">
        <v>5965</v>
      </c>
      <c r="B3062" s="4" t="s">
        <v>5965</v>
      </c>
      <c r="C3062" s="4">
        <v>1451.0</v>
      </c>
      <c r="D3062" s="5" t="str">
        <f>HYPERLINK("https://www.linkedin.com/ad-library/detail/1380490376","Open Ad")</f>
        <v>Open Ad</v>
      </c>
      <c r="E3062" s="4" t="s">
        <v>121</v>
      </c>
      <c r="F3062" s="4" t="s">
        <v>54</v>
      </c>
      <c r="G3062" s="4" t="s">
        <v>6578</v>
      </c>
      <c r="H3062" s="4" t="s">
        <v>49</v>
      </c>
      <c r="I3062" s="4" t="s">
        <v>6005</v>
      </c>
      <c r="J3062" s="4" t="s">
        <v>121</v>
      </c>
      <c r="K3062" s="5" t="str">
        <f t="shared" ref="K3062:K3063" si="156">HYPERLINK("https://dms.licdn.com/playlist/vid/v2/D5610AQEGGDf4GMZ9nQ/mp4-640p-30fp-crf28/B56Z0buyEeGYBo-/0/1774286746303?e=2147483647&amp;v=beta&amp;t=OIZ0mvOqAF5L4OnrqQEj4e5H2fp8ZGmAnoEo915_8PA","View Creative")</f>
        <v>View Creative</v>
      </c>
      <c r="L3062" s="4" t="s">
        <v>106</v>
      </c>
      <c r="M3062" s="4" t="s">
        <v>5965</v>
      </c>
      <c r="O3062" s="4" t="s">
        <v>63</v>
      </c>
      <c r="P3062" s="4" t="s">
        <v>64</v>
      </c>
    </row>
    <row r="3063">
      <c r="A3063" s="4" t="s">
        <v>5965</v>
      </c>
      <c r="B3063" s="4" t="s">
        <v>5965</v>
      </c>
      <c r="C3063" s="4">
        <v>1452.0</v>
      </c>
      <c r="D3063" s="5" t="str">
        <f>HYPERLINK("https://www.linkedin.com/ad-library/detail/1380423806","Open Ad")</f>
        <v>Open Ad</v>
      </c>
      <c r="E3063" s="4" t="s">
        <v>121</v>
      </c>
      <c r="F3063" s="4" t="s">
        <v>54</v>
      </c>
      <c r="G3063" s="4" t="s">
        <v>6578</v>
      </c>
      <c r="H3063" s="4" t="s">
        <v>49</v>
      </c>
      <c r="I3063" s="4" t="s">
        <v>6005</v>
      </c>
      <c r="J3063" s="4" t="s">
        <v>121</v>
      </c>
      <c r="K3063" s="5" t="str">
        <f t="shared" si="156"/>
        <v>View Creative</v>
      </c>
      <c r="L3063" s="4" t="s">
        <v>106</v>
      </c>
      <c r="M3063" s="4" t="s">
        <v>5965</v>
      </c>
      <c r="O3063" s="4" t="s">
        <v>63</v>
      </c>
      <c r="P3063" s="4" t="s">
        <v>64</v>
      </c>
    </row>
    <row r="3064">
      <c r="A3064" s="4" t="s">
        <v>5965</v>
      </c>
      <c r="B3064" s="4" t="s">
        <v>5965</v>
      </c>
      <c r="C3064" s="4">
        <v>1453.0</v>
      </c>
      <c r="D3064" s="5" t="str">
        <f>HYPERLINK("https://www.linkedin.com/ad-library/detail/1381588056","Open Ad")</f>
        <v>Open Ad</v>
      </c>
      <c r="E3064" s="4" t="s">
        <v>121</v>
      </c>
      <c r="F3064" s="4" t="s">
        <v>54</v>
      </c>
      <c r="G3064" s="4" t="s">
        <v>6557</v>
      </c>
      <c r="H3064" s="4" t="s">
        <v>49</v>
      </c>
      <c r="I3064" s="4" t="s">
        <v>6005</v>
      </c>
      <c r="J3064" s="4" t="s">
        <v>121</v>
      </c>
      <c r="K3064" s="5" t="str">
        <f>HYPERLINK("https://dms.licdn.com/playlist/vid/v2/D4E10AQE5DaHYfIW59w/mp4-360p-30fp-crf28/B4EZ0ceEzkKICE-/0/1774299143927?e=2147483647&amp;v=beta&amp;t=KKfp2ber_Nc2aTshrP53eMPh211fJH_IXE1DbI6_3TQ","View Creative")</f>
        <v>View Creative</v>
      </c>
      <c r="L3064" s="4" t="s">
        <v>106</v>
      </c>
      <c r="M3064" s="4" t="s">
        <v>5965</v>
      </c>
      <c r="O3064" s="4" t="s">
        <v>63</v>
      </c>
      <c r="P3064" s="4" t="s">
        <v>64</v>
      </c>
    </row>
    <row r="3065">
      <c r="A3065" s="4" t="s">
        <v>5965</v>
      </c>
      <c r="B3065" s="4" t="s">
        <v>5965</v>
      </c>
      <c r="C3065" s="4">
        <v>1454.0</v>
      </c>
      <c r="D3065" s="5" t="str">
        <f>HYPERLINK("https://www.linkedin.com/ad-library/detail/1381587276","Open Ad")</f>
        <v>Open Ad</v>
      </c>
      <c r="E3065" s="4" t="s">
        <v>121</v>
      </c>
      <c r="F3065" s="4" t="s">
        <v>54</v>
      </c>
      <c r="G3065" s="4" t="s">
        <v>6577</v>
      </c>
      <c r="H3065" s="4" t="s">
        <v>49</v>
      </c>
      <c r="I3065" s="4" t="s">
        <v>6005</v>
      </c>
      <c r="J3065" s="4" t="s">
        <v>121</v>
      </c>
      <c r="K3065" s="5" t="str">
        <f>HYPERLINK("https://dms.licdn.com/playlist/vid/v2/D4E10AQGb7OlQ8J1lXA/mp4-640p-30fp-crf28/B4EZ0rbiD.HABo-/0/1774550145558?e=2147483647&amp;v=beta&amp;t=udTrEVVanqx-25BqUAgYlh5NRRLU4V-b3rd9JoKaIFY","View Creative")</f>
        <v>View Creative</v>
      </c>
      <c r="L3065" s="4" t="s">
        <v>106</v>
      </c>
      <c r="M3065" s="4" t="s">
        <v>5965</v>
      </c>
      <c r="O3065" s="4" t="s">
        <v>63</v>
      </c>
      <c r="P3065" s="4" t="s">
        <v>64</v>
      </c>
    </row>
    <row r="3066">
      <c r="A3066" s="4" t="s">
        <v>5965</v>
      </c>
      <c r="B3066" s="4" t="s">
        <v>5965</v>
      </c>
      <c r="C3066" s="4">
        <v>1455.0</v>
      </c>
      <c r="D3066" s="5" t="str">
        <f>HYPERLINK("https://www.linkedin.com/ad-library/detail/1381547736","Open Ad")</f>
        <v>Open Ad</v>
      </c>
      <c r="E3066" s="4" t="s">
        <v>121</v>
      </c>
      <c r="F3066" s="4" t="s">
        <v>54</v>
      </c>
      <c r="G3066" s="4" t="s">
        <v>6557</v>
      </c>
      <c r="H3066" s="4" t="s">
        <v>49</v>
      </c>
      <c r="I3066" s="4" t="s">
        <v>6005</v>
      </c>
      <c r="J3066" s="4" t="s">
        <v>121</v>
      </c>
      <c r="K3066" s="5" t="str">
        <f>HYPERLINK("https://dms.licdn.com/playlist/vid/v2/D4E10AQE5DaHYfIW59w/mp4-360p-30fp-crf28/B4EZ0ceEzkKICE-/0/1774299143927?e=2147483647&amp;v=beta&amp;t=KKfp2ber_Nc2aTshrP53eMPh211fJH_IXE1DbI6_3TQ","View Creative")</f>
        <v>View Creative</v>
      </c>
      <c r="L3066" s="4" t="s">
        <v>106</v>
      </c>
      <c r="M3066" s="4" t="s">
        <v>5965</v>
      </c>
      <c r="O3066" s="4" t="s">
        <v>63</v>
      </c>
      <c r="P3066" s="4" t="s">
        <v>64</v>
      </c>
    </row>
    <row r="3067">
      <c r="A3067" s="4" t="s">
        <v>5965</v>
      </c>
      <c r="B3067" s="4" t="s">
        <v>5965</v>
      </c>
      <c r="C3067" s="4">
        <v>1456.0</v>
      </c>
      <c r="D3067" s="5" t="str">
        <f>HYPERLINK("https://www.linkedin.com/ad-library/detail/1381606376","Open Ad")</f>
        <v>Open Ad</v>
      </c>
      <c r="E3067" s="4" t="s">
        <v>121</v>
      </c>
      <c r="F3067" s="4" t="s">
        <v>54</v>
      </c>
      <c r="G3067" s="4" t="s">
        <v>6577</v>
      </c>
      <c r="H3067" s="4" t="s">
        <v>49</v>
      </c>
      <c r="I3067" s="4" t="s">
        <v>6005</v>
      </c>
      <c r="J3067" s="4" t="s">
        <v>121</v>
      </c>
      <c r="K3067" s="5" t="str">
        <f>HYPERLINK("https://dms.licdn.com/playlist/vid/v2/D4E10AQGb7OlQ8J1lXA/mp4-640p-30fp-crf28/B4EZ0rbiD.HABo-/0/1774550145558?e=2147483647&amp;v=beta&amp;t=udTrEVVanqx-25BqUAgYlh5NRRLU4V-b3rd9JoKaIFY","View Creative")</f>
        <v>View Creative</v>
      </c>
      <c r="L3067" s="4" t="s">
        <v>106</v>
      </c>
      <c r="M3067" s="4" t="s">
        <v>5965</v>
      </c>
      <c r="O3067" s="4" t="s">
        <v>63</v>
      </c>
      <c r="P3067" s="4" t="s">
        <v>64</v>
      </c>
    </row>
    <row r="3068">
      <c r="A3068" s="4" t="s">
        <v>5965</v>
      </c>
      <c r="B3068" s="4" t="s">
        <v>5965</v>
      </c>
      <c r="C3068" s="4">
        <v>1457.0</v>
      </c>
      <c r="D3068" s="5" t="str">
        <f>HYPERLINK("https://www.linkedin.com/ad-library/detail/1380509906","Open Ad")</f>
        <v>Open Ad</v>
      </c>
      <c r="E3068" s="4" t="s">
        <v>121</v>
      </c>
      <c r="F3068" s="4" t="s">
        <v>54</v>
      </c>
      <c r="G3068" s="4" t="s">
        <v>6555</v>
      </c>
      <c r="H3068" s="4" t="s">
        <v>49</v>
      </c>
      <c r="I3068" s="4" t="s">
        <v>6005</v>
      </c>
      <c r="J3068" s="4" t="s">
        <v>121</v>
      </c>
      <c r="K3068" s="5" t="str">
        <f>HYPERLINK("https://dms.licdn.com/playlist/vid/v2/D4E10AQHEMWiDNQa5VQ/mp4-640p-30fp-crf28/B4EZ0bOltZIQBo-/0/1774278306504?e=2147483647&amp;v=beta&amp;t=ZhpAXkN8yaIizGZJRhLGj5UJbzxZwVKaj-9Z2QWIL_Y","View Creative")</f>
        <v>View Creative</v>
      </c>
      <c r="L3068" s="4" t="s">
        <v>106</v>
      </c>
      <c r="M3068" s="4" t="s">
        <v>5965</v>
      </c>
      <c r="O3068" s="4" t="s">
        <v>63</v>
      </c>
      <c r="P3068" s="4" t="s">
        <v>64</v>
      </c>
    </row>
    <row r="3069">
      <c r="A3069" s="4" t="s">
        <v>5965</v>
      </c>
      <c r="B3069" s="4" t="s">
        <v>5965</v>
      </c>
      <c r="C3069" s="4">
        <v>1458.0</v>
      </c>
      <c r="D3069" s="5" t="str">
        <f>HYPERLINK("https://www.linkedin.com/ad-library/detail/1381607466","Open Ad")</f>
        <v>Open Ad</v>
      </c>
      <c r="E3069" s="4" t="s">
        <v>121</v>
      </c>
      <c r="F3069" s="4" t="s">
        <v>54</v>
      </c>
      <c r="G3069" s="4" t="s">
        <v>6557</v>
      </c>
      <c r="H3069" s="4" t="s">
        <v>49</v>
      </c>
      <c r="I3069" s="4" t="s">
        <v>6005</v>
      </c>
      <c r="J3069" s="4" t="s">
        <v>121</v>
      </c>
      <c r="K3069" s="5" t="str">
        <f>HYPERLINK("https://dms.licdn.com/playlist/vid/v2/D4E10AQE5DaHYfIW59w/mp4-360p-30fp-crf28/B4EZ0ceEzkKICE-/0/1774299143927?e=2147483647&amp;v=beta&amp;t=KKfp2ber_Nc2aTshrP53eMPh211fJH_IXE1DbI6_3TQ","View Creative")</f>
        <v>View Creative</v>
      </c>
      <c r="L3069" s="4" t="s">
        <v>106</v>
      </c>
      <c r="M3069" s="4" t="s">
        <v>5965</v>
      </c>
      <c r="O3069" s="4" t="s">
        <v>63</v>
      </c>
      <c r="P3069" s="4" t="s">
        <v>64</v>
      </c>
    </row>
    <row r="3070">
      <c r="A3070" s="4" t="s">
        <v>5965</v>
      </c>
      <c r="B3070" s="4" t="s">
        <v>5965</v>
      </c>
      <c r="C3070" s="4">
        <v>1459.0</v>
      </c>
      <c r="D3070" s="5" t="str">
        <f>HYPERLINK("https://www.linkedin.com/ad-library/detail/1380433156","Open Ad")</f>
        <v>Open Ad</v>
      </c>
      <c r="E3070" s="4" t="s">
        <v>121</v>
      </c>
      <c r="F3070" s="4" t="s">
        <v>54</v>
      </c>
      <c r="G3070" s="4" t="s">
        <v>6549</v>
      </c>
      <c r="H3070" s="4" t="s">
        <v>49</v>
      </c>
      <c r="I3070" s="4" t="s">
        <v>6005</v>
      </c>
      <c r="J3070" s="4" t="s">
        <v>121</v>
      </c>
      <c r="K3070" s="5" t="str">
        <f t="shared" ref="K3070:K3071" si="157">HYPERLINK("https://dms.licdn.com/playlist/vid/v2/D5605AQHDR1EE1SCFgQ/mp4-640p-30fp-crf28/B56Z0LqvhkKYBw-/0/1774017252150?e=2147483647&amp;v=beta&amp;t=-oLCASX73dlWtk9XBKDc3ik62wW-_HedEFTy3cH5scI","View Creative")</f>
        <v>View Creative</v>
      </c>
      <c r="L3070" s="4" t="s">
        <v>106</v>
      </c>
      <c r="M3070" s="4" t="s">
        <v>5965</v>
      </c>
      <c r="O3070" s="4" t="s">
        <v>63</v>
      </c>
      <c r="P3070" s="4" t="s">
        <v>64</v>
      </c>
    </row>
    <row r="3071">
      <c r="A3071" s="4" t="s">
        <v>5965</v>
      </c>
      <c r="B3071" s="4" t="s">
        <v>5965</v>
      </c>
      <c r="C3071" s="4">
        <v>1460.0</v>
      </c>
      <c r="D3071" s="5" t="str">
        <f>HYPERLINK("https://www.linkedin.com/ad-library/detail/1380433166","Open Ad")</f>
        <v>Open Ad</v>
      </c>
      <c r="E3071" s="4" t="s">
        <v>121</v>
      </c>
      <c r="F3071" s="4" t="s">
        <v>54</v>
      </c>
      <c r="G3071" s="4" t="s">
        <v>6549</v>
      </c>
      <c r="H3071" s="4" t="s">
        <v>49</v>
      </c>
      <c r="I3071" s="4" t="s">
        <v>6005</v>
      </c>
      <c r="J3071" s="4" t="s">
        <v>121</v>
      </c>
      <c r="K3071" s="5" t="str">
        <f t="shared" si="157"/>
        <v>View Creative</v>
      </c>
      <c r="L3071" s="4" t="s">
        <v>106</v>
      </c>
      <c r="M3071" s="4" t="s">
        <v>5965</v>
      </c>
      <c r="O3071" s="4" t="s">
        <v>63</v>
      </c>
      <c r="P3071" s="4" t="s">
        <v>64</v>
      </c>
    </row>
    <row r="3072">
      <c r="A3072" s="4" t="s">
        <v>5965</v>
      </c>
      <c r="B3072" s="4" t="s">
        <v>5965</v>
      </c>
      <c r="C3072" s="4">
        <v>1461.0</v>
      </c>
      <c r="D3072" s="5" t="str">
        <f>HYPERLINK("https://www.linkedin.com/ad-library/detail/1198098743","Open Ad")</f>
        <v>Open Ad</v>
      </c>
      <c r="E3072" s="4" t="s">
        <v>78</v>
      </c>
      <c r="F3072" s="4" t="s">
        <v>54</v>
      </c>
      <c r="G3072" s="4" t="s">
        <v>6562</v>
      </c>
      <c r="H3072" s="4" t="s">
        <v>49</v>
      </c>
      <c r="I3072" s="4" t="s">
        <v>6005</v>
      </c>
      <c r="J3072" s="4" t="s">
        <v>78</v>
      </c>
      <c r="K3072" s="5" t="str">
        <f>HYPERLINK("https://media.licdn.com/dms/image/v2/D4D10AQHFGRVBM8WoaQ/image-shrink_1280/B4DZ0uxcCRKMAc-/0/1774606205374/PF-TaxFilingAd1-13326png?e=2147483647&amp;v=beta&amp;t=qsM3fuxqztHYAsNS2xEXc_a6yEWz4uRpknUL5h3yvVg","View Creative")</f>
        <v>View Creative</v>
      </c>
      <c r="L3072" s="4" t="s">
        <v>106</v>
      </c>
      <c r="M3072" s="4" t="s">
        <v>5965</v>
      </c>
      <c r="O3072" s="4" t="s">
        <v>63</v>
      </c>
      <c r="P3072" s="4" t="s">
        <v>64</v>
      </c>
    </row>
    <row r="3073">
      <c r="A3073" s="4" t="s">
        <v>5965</v>
      </c>
      <c r="B3073" s="4" t="s">
        <v>5965</v>
      </c>
      <c r="C3073" s="4">
        <v>1462.0</v>
      </c>
      <c r="D3073" s="5" t="str">
        <f>HYPERLINK("https://www.linkedin.com/ad-library/detail/1382162186","Open Ad")</f>
        <v>Open Ad</v>
      </c>
      <c r="E3073" s="4" t="s">
        <v>121</v>
      </c>
      <c r="F3073" s="4" t="s">
        <v>54</v>
      </c>
      <c r="G3073" s="4" t="s">
        <v>6573</v>
      </c>
      <c r="H3073" s="4" t="s">
        <v>49</v>
      </c>
      <c r="I3073" s="4" t="s">
        <v>6005</v>
      </c>
      <c r="J3073" s="4" t="s">
        <v>121</v>
      </c>
      <c r="K3073" s="5" t="str">
        <f>HYPERLINK("https://dms.licdn.com/playlist/vid/v2/D4E10AQFTQFrZ1-023Q/mp4-720p-30fp-crf28/B4EZ0wwjmpIQCA-/0/1774639535357?e=2147483647&amp;v=beta&amp;t=1Kq5dSRwTzNRBP5O_G9O95O8Y6yfbvJLqVMr8Z5_uWI","View Creative")</f>
        <v>View Creative</v>
      </c>
      <c r="L3073" s="4" t="s">
        <v>106</v>
      </c>
      <c r="M3073" s="4" t="s">
        <v>5965</v>
      </c>
      <c r="O3073" s="4" t="s">
        <v>63</v>
      </c>
      <c r="P3073" s="4" t="s">
        <v>64</v>
      </c>
    </row>
    <row r="3074">
      <c r="A3074" s="4" t="s">
        <v>5965</v>
      </c>
      <c r="B3074" s="4" t="s">
        <v>5965</v>
      </c>
      <c r="C3074" s="4">
        <v>1463.0</v>
      </c>
      <c r="D3074" s="5" t="str">
        <f>HYPERLINK("https://www.linkedin.com/ad-library/detail/1381703246","Open Ad")</f>
        <v>Open Ad</v>
      </c>
      <c r="E3074" s="4" t="s">
        <v>121</v>
      </c>
      <c r="F3074" s="4" t="s">
        <v>54</v>
      </c>
      <c r="G3074" s="4" t="s">
        <v>6577</v>
      </c>
      <c r="H3074" s="4" t="s">
        <v>49</v>
      </c>
      <c r="I3074" s="4" t="s">
        <v>6005</v>
      </c>
      <c r="J3074" s="4" t="s">
        <v>121</v>
      </c>
      <c r="K3074" s="5" t="str">
        <f>HYPERLINK("https://dms.licdn.com/playlist/vid/v2/D4E10AQGb7OlQ8J1lXA/mp4-640p-30fp-crf28/B4EZ0rbiD.HABo-/0/1774550145558?e=2147483647&amp;v=beta&amp;t=udTrEVVanqx-25BqUAgYlh5NRRLU4V-b3rd9JoKaIFY","View Creative")</f>
        <v>View Creative</v>
      </c>
      <c r="L3074" s="4" t="s">
        <v>106</v>
      </c>
      <c r="M3074" s="4" t="s">
        <v>5965</v>
      </c>
      <c r="O3074" s="4" t="s">
        <v>63</v>
      </c>
      <c r="P3074" s="4" t="s">
        <v>64</v>
      </c>
    </row>
    <row r="3075">
      <c r="A3075" s="4" t="s">
        <v>5965</v>
      </c>
      <c r="B3075" s="4" t="s">
        <v>5965</v>
      </c>
      <c r="C3075" s="4">
        <v>1464.0</v>
      </c>
      <c r="D3075" s="5" t="str">
        <f>HYPERLINK("https://www.linkedin.com/ad-library/detail/1380298956","Open Ad")</f>
        <v>Open Ad</v>
      </c>
      <c r="E3075" s="4" t="s">
        <v>121</v>
      </c>
      <c r="F3075" s="4" t="s">
        <v>54</v>
      </c>
      <c r="G3075" s="4" t="s">
        <v>6555</v>
      </c>
      <c r="H3075" s="4" t="s">
        <v>49</v>
      </c>
      <c r="I3075" s="4" t="s">
        <v>6005</v>
      </c>
      <c r="J3075" s="4" t="s">
        <v>121</v>
      </c>
      <c r="K3075" s="5" t="str">
        <f>HYPERLINK("https://dms.licdn.com/playlist/vid/v2/D4E10AQHEMWiDNQa5VQ/mp4-640p-30fp-crf28/B4EZ0bOltZIQBo-/0/1774278306504?e=2147483647&amp;v=beta&amp;t=ZhpAXkN8yaIizGZJRhLGj5UJbzxZwVKaj-9Z2QWIL_Y","View Creative")</f>
        <v>View Creative</v>
      </c>
      <c r="L3075" s="4" t="s">
        <v>106</v>
      </c>
      <c r="M3075" s="4" t="s">
        <v>5965</v>
      </c>
      <c r="O3075" s="4" t="s">
        <v>63</v>
      </c>
      <c r="P3075" s="4" t="s">
        <v>64</v>
      </c>
    </row>
    <row r="3076">
      <c r="A3076" s="4" t="s">
        <v>5965</v>
      </c>
      <c r="B3076" s="4" t="s">
        <v>5965</v>
      </c>
      <c r="C3076" s="4">
        <v>1465.0</v>
      </c>
      <c r="D3076" s="5" t="str">
        <f>HYPERLINK("https://www.linkedin.com/ad-library/detail/1376699956","Open Ad")</f>
        <v>Open Ad</v>
      </c>
      <c r="E3076" s="4" t="s">
        <v>78</v>
      </c>
      <c r="F3076" s="4" t="s">
        <v>54</v>
      </c>
      <c r="G3076" s="4" t="s">
        <v>6580</v>
      </c>
      <c r="H3076" s="4" t="s">
        <v>49</v>
      </c>
      <c r="I3076" s="4" t="s">
        <v>6005</v>
      </c>
      <c r="J3076" s="4" t="s">
        <v>78</v>
      </c>
      <c r="K3076" s="5" t="str">
        <f>HYPERLINK("https://media.licdn.com/dms/image/v2/D4E10AQGY22FAQCO5ng/image-shrink_1280/B4EZ0IF2gZG8Ag-/0/1773957245603?e=2147483647&amp;v=beta&amp;t=1vDXAP-1eibkzbEY9usOeyFZZ7kFaEalz2CsnX2EaAA","View Creative")</f>
        <v>View Creative</v>
      </c>
      <c r="L3076" s="4" t="s">
        <v>106</v>
      </c>
      <c r="M3076" s="4" t="s">
        <v>5965</v>
      </c>
      <c r="O3076" s="4" t="s">
        <v>63</v>
      </c>
      <c r="P3076" s="4" t="s">
        <v>64</v>
      </c>
    </row>
    <row r="3077">
      <c r="A3077" s="4" t="s">
        <v>5965</v>
      </c>
      <c r="B3077" s="4" t="s">
        <v>5965</v>
      </c>
      <c r="C3077" s="4">
        <v>1466.0</v>
      </c>
      <c r="D3077" s="5" t="str">
        <f>HYPERLINK("https://www.linkedin.com/ad-library/detail/1378106916","Open Ad")</f>
        <v>Open Ad</v>
      </c>
      <c r="E3077" s="4" t="s">
        <v>78</v>
      </c>
      <c r="F3077" s="4" t="s">
        <v>54</v>
      </c>
      <c r="G3077" s="4" t="s">
        <v>6564</v>
      </c>
      <c r="H3077" s="4" t="s">
        <v>49</v>
      </c>
      <c r="I3077" s="4" t="s">
        <v>6005</v>
      </c>
      <c r="J3077" s="4" t="s">
        <v>78</v>
      </c>
      <c r="K3077" s="4" t="s">
        <v>59</v>
      </c>
      <c r="L3077" s="4" t="s">
        <v>106</v>
      </c>
      <c r="M3077" s="4" t="s">
        <v>5965</v>
      </c>
      <c r="O3077" s="4" t="s">
        <v>63</v>
      </c>
      <c r="P3077" s="4" t="s">
        <v>64</v>
      </c>
    </row>
    <row r="3078">
      <c r="A3078" s="4" t="s">
        <v>5965</v>
      </c>
      <c r="B3078" s="4" t="s">
        <v>5965</v>
      </c>
      <c r="C3078" s="4">
        <v>1467.0</v>
      </c>
      <c r="D3078" s="5" t="str">
        <f>HYPERLINK("https://www.linkedin.com/ad-library/detail/1376592726","Open Ad")</f>
        <v>Open Ad</v>
      </c>
      <c r="E3078" s="4" t="s">
        <v>78</v>
      </c>
      <c r="F3078" s="4" t="s">
        <v>54</v>
      </c>
      <c r="G3078" s="4" t="s">
        <v>6580</v>
      </c>
      <c r="H3078" s="4" t="s">
        <v>49</v>
      </c>
      <c r="I3078" s="4" t="s">
        <v>6005</v>
      </c>
      <c r="J3078" s="4" t="s">
        <v>78</v>
      </c>
      <c r="K3078" s="5" t="str">
        <f>HYPERLINK("https://media.licdn.com/dms/image/v2/D4E10AQGY22FAQCO5ng/image-shrink_1280/B4EZ0IF2gZG8Ag-/0/1773957245603?e=2147483647&amp;v=beta&amp;t=1vDXAP-1eibkzbEY9usOeyFZZ7kFaEalz2CsnX2EaAA","View Creative")</f>
        <v>View Creative</v>
      </c>
      <c r="L3078" s="4" t="s">
        <v>106</v>
      </c>
      <c r="M3078" s="4" t="s">
        <v>5965</v>
      </c>
      <c r="O3078" s="4" t="s">
        <v>63</v>
      </c>
      <c r="P3078" s="4" t="s">
        <v>64</v>
      </c>
    </row>
    <row r="3079">
      <c r="A3079" s="4" t="s">
        <v>5965</v>
      </c>
      <c r="B3079" s="4" t="s">
        <v>5965</v>
      </c>
      <c r="C3079" s="4">
        <v>1468.0</v>
      </c>
      <c r="D3079" s="5" t="str">
        <f>HYPERLINK("https://www.linkedin.com/ad-library/detail/1380327716","Open Ad")</f>
        <v>Open Ad</v>
      </c>
      <c r="E3079" s="4" t="s">
        <v>121</v>
      </c>
      <c r="F3079" s="4" t="s">
        <v>54</v>
      </c>
      <c r="G3079" s="4" t="s">
        <v>6557</v>
      </c>
      <c r="H3079" s="4" t="s">
        <v>49</v>
      </c>
      <c r="I3079" s="4" t="s">
        <v>6005</v>
      </c>
      <c r="J3079" s="4" t="s">
        <v>121</v>
      </c>
      <c r="K3079" s="5" t="str">
        <f>HYPERLINK("https://dms.licdn.com/playlist/vid/v2/D4E10AQE5DaHYfIW59w/mp4-360p-30fp-crf28/B4EZ0ceEzkKICE-/0/1774299143927?e=2147483647&amp;v=beta&amp;t=KKfp2ber_Nc2aTshrP53eMPh211fJH_IXE1DbI6_3TQ","View Creative")</f>
        <v>View Creative</v>
      </c>
      <c r="L3079" s="4" t="s">
        <v>106</v>
      </c>
      <c r="M3079" s="4" t="s">
        <v>5965</v>
      </c>
      <c r="O3079" s="4" t="s">
        <v>63</v>
      </c>
      <c r="P3079" s="4" t="s">
        <v>64</v>
      </c>
    </row>
    <row r="3080">
      <c r="A3080" s="4" t="s">
        <v>5965</v>
      </c>
      <c r="B3080" s="4" t="s">
        <v>5965</v>
      </c>
      <c r="C3080" s="4">
        <v>1469.0</v>
      </c>
      <c r="D3080" s="5" t="str">
        <f>HYPERLINK("https://www.linkedin.com/ad-library/detail/1380452876","Open Ad")</f>
        <v>Open Ad</v>
      </c>
      <c r="E3080" s="4" t="s">
        <v>121</v>
      </c>
      <c r="F3080" s="4" t="s">
        <v>54</v>
      </c>
      <c r="G3080" s="4" t="s">
        <v>6555</v>
      </c>
      <c r="H3080" s="4" t="s">
        <v>49</v>
      </c>
      <c r="I3080" s="4" t="s">
        <v>6005</v>
      </c>
      <c r="J3080" s="4" t="s">
        <v>121</v>
      </c>
      <c r="K3080" s="5" t="str">
        <f>HYPERLINK("https://dms.licdn.com/playlist/vid/v2/D4E10AQHEMWiDNQa5VQ/mp4-640p-30fp-crf28/B4EZ0bOltZIQBo-/0/1774278306504?e=2147483647&amp;v=beta&amp;t=ZhpAXkN8yaIizGZJRhLGj5UJbzxZwVKaj-9Z2QWIL_Y","View Creative")</f>
        <v>View Creative</v>
      </c>
      <c r="L3080" s="4" t="s">
        <v>106</v>
      </c>
      <c r="M3080" s="4" t="s">
        <v>5965</v>
      </c>
      <c r="O3080" s="4" t="s">
        <v>63</v>
      </c>
      <c r="P3080" s="4" t="s">
        <v>64</v>
      </c>
    </row>
    <row r="3081">
      <c r="A3081" s="4" t="s">
        <v>5965</v>
      </c>
      <c r="B3081" s="4" t="s">
        <v>5965</v>
      </c>
      <c r="C3081" s="4">
        <v>1470.0</v>
      </c>
      <c r="D3081" s="5" t="str">
        <f>HYPERLINK("https://www.linkedin.com/ad-library/detail/1376621616","Open Ad")</f>
        <v>Open Ad</v>
      </c>
      <c r="E3081" s="4" t="s">
        <v>121</v>
      </c>
      <c r="F3081" s="4" t="s">
        <v>54</v>
      </c>
      <c r="G3081" s="8" t="s">
        <v>6554</v>
      </c>
      <c r="H3081" s="4" t="s">
        <v>49</v>
      </c>
      <c r="I3081" s="4" t="s">
        <v>6005</v>
      </c>
      <c r="J3081" s="4" t="s">
        <v>121</v>
      </c>
      <c r="K3081" s="5" t="str">
        <f>HYPERLINK("https://dms.licdn.com/playlist/vid/v2/D5605AQF83_DNHS-pdw/mp4-720p-30fp-crf28/B56Z0BfAhmKcCM-/0/1773846401302?e=2147483647&amp;v=beta&amp;t=I2BiW3EDO9MiWAszXKxdAhtpjQUHNoLmO19yGv-3td4","View Creative")</f>
        <v>View Creative</v>
      </c>
      <c r="L3081" s="4" t="s">
        <v>106</v>
      </c>
      <c r="M3081" s="4" t="s">
        <v>5965</v>
      </c>
      <c r="O3081" s="4" t="s">
        <v>63</v>
      </c>
      <c r="P3081" s="4" t="s">
        <v>64</v>
      </c>
    </row>
    <row r="3082">
      <c r="A3082" s="4" t="s">
        <v>5965</v>
      </c>
      <c r="B3082" s="4" t="s">
        <v>5965</v>
      </c>
      <c r="C3082" s="4">
        <v>1471.0</v>
      </c>
      <c r="D3082" s="5" t="str">
        <f>HYPERLINK("https://www.linkedin.com/ad-library/detail/1376641366","Open Ad")</f>
        <v>Open Ad</v>
      </c>
      <c r="E3082" s="4" t="s">
        <v>78</v>
      </c>
      <c r="F3082" s="4" t="s">
        <v>54</v>
      </c>
      <c r="G3082" s="4" t="s">
        <v>6580</v>
      </c>
      <c r="H3082" s="4" t="s">
        <v>49</v>
      </c>
      <c r="I3082" s="4" t="s">
        <v>6005</v>
      </c>
      <c r="J3082" s="4" t="s">
        <v>78</v>
      </c>
      <c r="K3082" s="5" t="str">
        <f>HYPERLINK("https://media.licdn.com/dms/image/v2/D4E10AQGY22FAQCO5ng/image-shrink_1280/B4EZ0IF2gZG8Ag-/0/1773957245603?e=2147483647&amp;v=beta&amp;t=1vDXAP-1eibkzbEY9usOeyFZZ7kFaEalz2CsnX2EaAA","View Creative")</f>
        <v>View Creative</v>
      </c>
      <c r="L3082" s="4" t="s">
        <v>106</v>
      </c>
      <c r="M3082" s="4" t="s">
        <v>5965</v>
      </c>
      <c r="O3082" s="4" t="s">
        <v>63</v>
      </c>
      <c r="P3082" s="4" t="s">
        <v>64</v>
      </c>
    </row>
    <row r="3083">
      <c r="A3083" s="4" t="s">
        <v>5965</v>
      </c>
      <c r="B3083" s="4" t="s">
        <v>5965</v>
      </c>
      <c r="C3083" s="4">
        <v>1472.0</v>
      </c>
      <c r="D3083" s="5" t="str">
        <f>HYPERLINK("https://www.linkedin.com/ad-library/detail/1380307626","Open Ad")</f>
        <v>Open Ad</v>
      </c>
      <c r="E3083" s="4" t="s">
        <v>121</v>
      </c>
      <c r="F3083" s="4" t="s">
        <v>54</v>
      </c>
      <c r="G3083" s="4" t="s">
        <v>6557</v>
      </c>
      <c r="H3083" s="4" t="s">
        <v>49</v>
      </c>
      <c r="I3083" s="4" t="s">
        <v>6005</v>
      </c>
      <c r="J3083" s="4" t="s">
        <v>121</v>
      </c>
      <c r="K3083" s="5" t="str">
        <f>HYPERLINK("https://dms.licdn.com/playlist/vid/v2/D4E10AQE5DaHYfIW59w/mp4-360p-30fp-crf28/B4EZ0ceEzkKICE-/0/1774299143927?e=2147483647&amp;v=beta&amp;t=KKfp2ber_Nc2aTshrP53eMPh211fJH_IXE1DbI6_3TQ","View Creative")</f>
        <v>View Creative</v>
      </c>
      <c r="L3083" s="4" t="s">
        <v>106</v>
      </c>
      <c r="M3083" s="4" t="s">
        <v>5965</v>
      </c>
      <c r="O3083" s="4" t="s">
        <v>63</v>
      </c>
      <c r="P3083" s="4" t="s">
        <v>64</v>
      </c>
    </row>
    <row r="3084">
      <c r="A3084" s="4" t="s">
        <v>5965</v>
      </c>
      <c r="B3084" s="4" t="s">
        <v>5965</v>
      </c>
      <c r="C3084" s="4">
        <v>1473.0</v>
      </c>
      <c r="D3084" s="5" t="str">
        <f>HYPERLINK("https://www.linkedin.com/ad-library/detail/1378077946","Open Ad")</f>
        <v>Open Ad</v>
      </c>
      <c r="E3084" s="4" t="s">
        <v>78</v>
      </c>
      <c r="F3084" s="4" t="s">
        <v>54</v>
      </c>
      <c r="G3084" s="4" t="s">
        <v>6422</v>
      </c>
      <c r="H3084" s="4" t="s">
        <v>49</v>
      </c>
      <c r="I3084" s="4" t="s">
        <v>6005</v>
      </c>
      <c r="J3084" s="4" t="s">
        <v>78</v>
      </c>
      <c r="K3084" s="4" t="s">
        <v>59</v>
      </c>
      <c r="L3084" s="4" t="s">
        <v>106</v>
      </c>
      <c r="M3084" s="4" t="s">
        <v>5965</v>
      </c>
      <c r="O3084" s="4" t="s">
        <v>63</v>
      </c>
      <c r="P3084" s="4" t="s">
        <v>64</v>
      </c>
    </row>
    <row r="3085">
      <c r="A3085" s="4" t="s">
        <v>5965</v>
      </c>
      <c r="B3085" s="4" t="s">
        <v>5965</v>
      </c>
      <c r="C3085" s="4">
        <v>1474.0</v>
      </c>
      <c r="D3085" s="5" t="str">
        <f>HYPERLINK("https://www.linkedin.com/ad-library/detail/1376621626","Open Ad")</f>
        <v>Open Ad</v>
      </c>
      <c r="E3085" s="4" t="s">
        <v>78</v>
      </c>
      <c r="F3085" s="4" t="s">
        <v>54</v>
      </c>
      <c r="G3085" s="4" t="s">
        <v>6580</v>
      </c>
      <c r="H3085" s="4" t="s">
        <v>49</v>
      </c>
      <c r="I3085" s="4" t="s">
        <v>6005</v>
      </c>
      <c r="J3085" s="4" t="s">
        <v>78</v>
      </c>
      <c r="K3085" s="5" t="str">
        <f>HYPERLINK("https://media.licdn.com/dms/image/v2/D4E10AQGY22FAQCO5ng/image-shrink_1280/B4EZ0IF2gZG8Ag-/0/1773957245603?e=2147483647&amp;v=beta&amp;t=1vDXAP-1eibkzbEY9usOeyFZZ7kFaEalz2CsnX2EaAA","View Creative")</f>
        <v>View Creative</v>
      </c>
      <c r="L3085" s="4" t="s">
        <v>106</v>
      </c>
      <c r="M3085" s="4" t="s">
        <v>5965</v>
      </c>
      <c r="O3085" s="4" t="s">
        <v>63</v>
      </c>
      <c r="P3085" s="4" t="s">
        <v>64</v>
      </c>
    </row>
    <row r="3086">
      <c r="A3086" s="4" t="s">
        <v>5965</v>
      </c>
      <c r="B3086" s="4" t="s">
        <v>5965</v>
      </c>
      <c r="C3086" s="4">
        <v>1475.0</v>
      </c>
      <c r="D3086" s="5" t="str">
        <f>HYPERLINK("https://www.linkedin.com/ad-library/detail/1380509886","Open Ad")</f>
        <v>Open Ad</v>
      </c>
      <c r="E3086" s="4" t="s">
        <v>121</v>
      </c>
      <c r="F3086" s="4" t="s">
        <v>54</v>
      </c>
      <c r="G3086" s="4" t="s">
        <v>6557</v>
      </c>
      <c r="H3086" s="4" t="s">
        <v>49</v>
      </c>
      <c r="I3086" s="4" t="s">
        <v>6005</v>
      </c>
      <c r="J3086" s="4" t="s">
        <v>121</v>
      </c>
      <c r="K3086" s="5" t="str">
        <f>HYPERLINK("https://dms.licdn.com/playlist/vid/v2/D4E10AQE5DaHYfIW59w/mp4-360p-30fp-crf28/B4EZ0ceEzkKICE-/0/1774299143927?e=2147483647&amp;v=beta&amp;t=KKfp2ber_Nc2aTshrP53eMPh211fJH_IXE1DbI6_3TQ","View Creative")</f>
        <v>View Creative</v>
      </c>
      <c r="L3086" s="4" t="s">
        <v>106</v>
      </c>
      <c r="M3086" s="4" t="s">
        <v>5965</v>
      </c>
      <c r="O3086" s="4" t="s">
        <v>63</v>
      </c>
      <c r="P3086" s="4" t="s">
        <v>64</v>
      </c>
    </row>
    <row r="3087">
      <c r="A3087" s="4" t="s">
        <v>5965</v>
      </c>
      <c r="B3087" s="4" t="s">
        <v>5965</v>
      </c>
      <c r="C3087" s="4">
        <v>1476.0</v>
      </c>
      <c r="D3087" s="5" t="str">
        <f>HYPERLINK("https://www.linkedin.com/ad-library/detail/1376661436","Open Ad")</f>
        <v>Open Ad</v>
      </c>
      <c r="E3087" s="4" t="s">
        <v>78</v>
      </c>
      <c r="F3087" s="4" t="s">
        <v>54</v>
      </c>
      <c r="G3087" s="4" t="s">
        <v>6581</v>
      </c>
      <c r="H3087" s="4" t="s">
        <v>49</v>
      </c>
      <c r="I3087" s="4" t="s">
        <v>6005</v>
      </c>
      <c r="J3087" s="4" t="s">
        <v>78</v>
      </c>
      <c r="K3087" s="5" t="str">
        <f>HYPERLINK("https://media.licdn.com/dms/image/v2/D4E10AQF9FEF6t70B0Q/image-shrink_1280/B4EZ0HdkEuIQAg-/0/1773946684354?e=2147483647&amp;v=beta&amp;t=T-NeBiEkZ0oh1ML2teK_ZVX3hPlSjj6HjCw-GW1C0a8","View Creative")</f>
        <v>View Creative</v>
      </c>
      <c r="L3087" s="4" t="s">
        <v>106</v>
      </c>
      <c r="M3087" s="4" t="s">
        <v>5965</v>
      </c>
      <c r="O3087" s="4" t="s">
        <v>63</v>
      </c>
      <c r="P3087" s="4" t="s">
        <v>64</v>
      </c>
    </row>
    <row r="3088">
      <c r="A3088" s="4" t="s">
        <v>5965</v>
      </c>
      <c r="B3088" s="4" t="s">
        <v>5965</v>
      </c>
      <c r="C3088" s="4">
        <v>1477.0</v>
      </c>
      <c r="D3088" s="5" t="str">
        <f>HYPERLINK("https://www.linkedin.com/ad-library/detail/1235593984","Open Ad")</f>
        <v>Open Ad</v>
      </c>
      <c r="E3088" s="4" t="s">
        <v>78</v>
      </c>
      <c r="F3088" s="4" t="s">
        <v>54</v>
      </c>
      <c r="G3088" s="4" t="s">
        <v>6579</v>
      </c>
      <c r="H3088" s="4" t="s">
        <v>49</v>
      </c>
      <c r="I3088" s="4" t="s">
        <v>6005</v>
      </c>
      <c r="J3088" s="4" t="s">
        <v>78</v>
      </c>
      <c r="K3088" s="5" t="str">
        <f t="shared" ref="K3088:K3089" si="158">HYPERLINK("https://media.licdn.com/dms/image/v2/D5622AQEkxd1lcTFFUg/feedshare-image-high-res/B56Zz4tyw7JMAU-/0/1773699280180?e=2147483647&amp;v=beta&amp;t=ppGxFFOoMGpuu1MDr9avzowazqourgLIqiPjDR1DwmU","View Creative")</f>
        <v>View Creative</v>
      </c>
      <c r="L3088" s="4" t="s">
        <v>106</v>
      </c>
      <c r="M3088" s="4" t="s">
        <v>5965</v>
      </c>
      <c r="O3088" s="4" t="s">
        <v>63</v>
      </c>
      <c r="P3088" s="4" t="s">
        <v>64</v>
      </c>
    </row>
    <row r="3089">
      <c r="A3089" s="4" t="s">
        <v>5965</v>
      </c>
      <c r="B3089" s="4" t="s">
        <v>5965</v>
      </c>
      <c r="C3089" s="4">
        <v>1478.0</v>
      </c>
      <c r="D3089" s="5" t="str">
        <f>HYPERLINK("https://www.linkedin.com/ad-library/detail/1234902624","Open Ad")</f>
        <v>Open Ad</v>
      </c>
      <c r="E3089" s="4" t="s">
        <v>78</v>
      </c>
      <c r="F3089" s="4" t="s">
        <v>54</v>
      </c>
      <c r="G3089" s="4" t="s">
        <v>6579</v>
      </c>
      <c r="H3089" s="4" t="s">
        <v>49</v>
      </c>
      <c r="I3089" s="4" t="s">
        <v>6005</v>
      </c>
      <c r="J3089" s="4" t="s">
        <v>78</v>
      </c>
      <c r="K3089" s="5" t="str">
        <f t="shared" si="158"/>
        <v>View Creative</v>
      </c>
      <c r="L3089" s="4" t="s">
        <v>106</v>
      </c>
      <c r="M3089" s="4" t="s">
        <v>5965</v>
      </c>
      <c r="O3089" s="4" t="s">
        <v>63</v>
      </c>
      <c r="P3089" s="4" t="s">
        <v>64</v>
      </c>
    </row>
    <row r="3090">
      <c r="A3090" s="4" t="s">
        <v>5965</v>
      </c>
      <c r="B3090" s="4" t="s">
        <v>5965</v>
      </c>
      <c r="C3090" s="4">
        <v>1479.0</v>
      </c>
      <c r="D3090" s="5" t="str">
        <f>HYPERLINK("https://www.linkedin.com/ad-library/detail/1376621816","Open Ad")</f>
        <v>Open Ad</v>
      </c>
      <c r="E3090" s="4" t="s">
        <v>121</v>
      </c>
      <c r="F3090" s="4" t="s">
        <v>54</v>
      </c>
      <c r="G3090" s="4" t="s">
        <v>6582</v>
      </c>
      <c r="H3090" s="4" t="s">
        <v>49</v>
      </c>
      <c r="I3090" s="4" t="s">
        <v>6005</v>
      </c>
      <c r="J3090" s="4" t="s">
        <v>121</v>
      </c>
      <c r="K3090" s="5" t="str">
        <f>HYPERLINK("https://dms.licdn.com/playlist/vid/v2/D4E05AQEuwG5UGC7_DQ/mp4-640p-30fp-crf28/B4EZ0Le92jG8B0-/0/1774014185257?e=2147483647&amp;v=beta&amp;t=3GNBArbx3DfHju8iaSeyEqm9wocRhx2UqQwc2DaL_gM","View Creative")</f>
        <v>View Creative</v>
      </c>
      <c r="L3090" s="4" t="s">
        <v>106</v>
      </c>
      <c r="M3090" s="4" t="s">
        <v>5965</v>
      </c>
      <c r="O3090" s="4" t="s">
        <v>63</v>
      </c>
      <c r="P3090" s="4" t="s">
        <v>64</v>
      </c>
    </row>
    <row r="3091">
      <c r="A3091" s="4" t="s">
        <v>5965</v>
      </c>
      <c r="B3091" s="4" t="s">
        <v>5965</v>
      </c>
      <c r="C3091" s="4">
        <v>1480.0</v>
      </c>
      <c r="D3091" s="5" t="str">
        <f>HYPERLINK("https://www.linkedin.com/ad-library/detail/1380499936","Open Ad")</f>
        <v>Open Ad</v>
      </c>
      <c r="E3091" s="4" t="s">
        <v>121</v>
      </c>
      <c r="F3091" s="4" t="s">
        <v>54</v>
      </c>
      <c r="G3091" s="4" t="s">
        <v>6557</v>
      </c>
      <c r="H3091" s="4" t="s">
        <v>49</v>
      </c>
      <c r="I3091" s="4" t="s">
        <v>6005</v>
      </c>
      <c r="J3091" s="4" t="s">
        <v>121</v>
      </c>
      <c r="K3091" s="5" t="str">
        <f>HYPERLINK("https://dms.licdn.com/playlist/vid/v2/D4E10AQE5DaHYfIW59w/mp4-360p-30fp-crf28/B4EZ0ceEzkKICE-/0/1774299143927?e=2147483647&amp;v=beta&amp;t=KKfp2ber_Nc2aTshrP53eMPh211fJH_IXE1DbI6_3TQ","View Creative")</f>
        <v>View Creative</v>
      </c>
      <c r="L3091" s="4" t="s">
        <v>106</v>
      </c>
      <c r="M3091" s="4" t="s">
        <v>5965</v>
      </c>
      <c r="O3091" s="4" t="s">
        <v>63</v>
      </c>
      <c r="P3091" s="4" t="s">
        <v>64</v>
      </c>
    </row>
    <row r="3092">
      <c r="A3092" s="4" t="s">
        <v>5965</v>
      </c>
      <c r="B3092" s="4" t="s">
        <v>5965</v>
      </c>
      <c r="C3092" s="4">
        <v>1481.0</v>
      </c>
      <c r="D3092" s="5" t="str">
        <f>HYPERLINK("https://www.linkedin.com/ad-library/detail/1380317646","Open Ad")</f>
        <v>Open Ad</v>
      </c>
      <c r="E3092" s="4" t="s">
        <v>121</v>
      </c>
      <c r="F3092" s="4" t="s">
        <v>54</v>
      </c>
      <c r="G3092" s="4" t="s">
        <v>6555</v>
      </c>
      <c r="H3092" s="4" t="s">
        <v>49</v>
      </c>
      <c r="I3092" s="4" t="s">
        <v>6005</v>
      </c>
      <c r="J3092" s="4" t="s">
        <v>121</v>
      </c>
      <c r="K3092" s="5" t="str">
        <f>HYPERLINK("https://dms.licdn.com/playlist/vid/v2/D4E10AQHEMWiDNQa5VQ/mp4-640p-30fp-crf28/B4EZ0bOltZIQBo-/0/1774278306504?e=2147483647&amp;v=beta&amp;t=ZhpAXkN8yaIizGZJRhLGj5UJbzxZwVKaj-9Z2QWIL_Y","View Creative")</f>
        <v>View Creative</v>
      </c>
      <c r="L3092" s="4" t="s">
        <v>106</v>
      </c>
      <c r="M3092" s="4" t="s">
        <v>5965</v>
      </c>
      <c r="O3092" s="4" t="s">
        <v>63</v>
      </c>
      <c r="P3092" s="4" t="s">
        <v>64</v>
      </c>
    </row>
    <row r="3093">
      <c r="A3093" s="4" t="s">
        <v>5965</v>
      </c>
      <c r="B3093" s="4" t="s">
        <v>5965</v>
      </c>
      <c r="C3093" s="4">
        <v>1482.0</v>
      </c>
      <c r="D3093" s="5" t="str">
        <f>HYPERLINK("https://www.linkedin.com/ad-library/detail/1376661186","Open Ad")</f>
        <v>Open Ad</v>
      </c>
      <c r="E3093" s="4" t="s">
        <v>121</v>
      </c>
      <c r="F3093" s="4" t="s">
        <v>54</v>
      </c>
      <c r="G3093" s="4" t="s">
        <v>6582</v>
      </c>
      <c r="H3093" s="4" t="s">
        <v>49</v>
      </c>
      <c r="I3093" s="4" t="s">
        <v>6005</v>
      </c>
      <c r="J3093" s="4" t="s">
        <v>121</v>
      </c>
      <c r="K3093" s="5" t="str">
        <f>HYPERLINK("https://dms.licdn.com/playlist/vid/v2/D4E05AQEuwG5UGC7_DQ/mp4-640p-30fp-crf28/B4EZ0Le92jG8B0-/0/1774014185257?e=2147483647&amp;v=beta&amp;t=3GNBArbx3DfHju8iaSeyEqm9wocRhx2UqQwc2DaL_gM","View Creative")</f>
        <v>View Creative</v>
      </c>
      <c r="L3093" s="4" t="s">
        <v>106</v>
      </c>
      <c r="M3093" s="4" t="s">
        <v>5965</v>
      </c>
      <c r="O3093" s="4" t="s">
        <v>63</v>
      </c>
      <c r="P3093" s="4" t="s">
        <v>64</v>
      </c>
    </row>
    <row r="3094">
      <c r="A3094" s="4" t="s">
        <v>5965</v>
      </c>
      <c r="B3094" s="4" t="s">
        <v>5965</v>
      </c>
      <c r="C3094" s="4">
        <v>1483.0</v>
      </c>
      <c r="D3094" s="5" t="str">
        <f>HYPERLINK("https://www.linkedin.com/ad-library/detail/1376670836","Open Ad")</f>
        <v>Open Ad</v>
      </c>
      <c r="E3094" s="4" t="s">
        <v>78</v>
      </c>
      <c r="F3094" s="4" t="s">
        <v>54</v>
      </c>
      <c r="G3094" s="4" t="s">
        <v>6580</v>
      </c>
      <c r="H3094" s="4" t="s">
        <v>49</v>
      </c>
      <c r="I3094" s="4" t="s">
        <v>6005</v>
      </c>
      <c r="J3094" s="4" t="s">
        <v>78</v>
      </c>
      <c r="K3094" s="5" t="str">
        <f>HYPERLINK("https://media.licdn.com/dms/image/v2/D4E10AQGY22FAQCO5ng/image-shrink_1280/B4EZ0IF2gZG8Ag-/0/1773957245603?e=2147483647&amp;v=beta&amp;t=1vDXAP-1eibkzbEY9usOeyFZZ7kFaEalz2CsnX2EaAA","View Creative")</f>
        <v>View Creative</v>
      </c>
      <c r="L3094" s="4" t="s">
        <v>106</v>
      </c>
      <c r="M3094" s="4" t="s">
        <v>5965</v>
      </c>
      <c r="O3094" s="4" t="s">
        <v>63</v>
      </c>
      <c r="P3094" s="4" t="s">
        <v>64</v>
      </c>
    </row>
    <row r="3095">
      <c r="A3095" s="4" t="s">
        <v>5965</v>
      </c>
      <c r="B3095" s="4" t="s">
        <v>5965</v>
      </c>
      <c r="C3095" s="4">
        <v>1484.0</v>
      </c>
      <c r="D3095" s="5" t="str">
        <f>HYPERLINK("https://www.linkedin.com/ad-library/detail/1376631416","Open Ad")</f>
        <v>Open Ad</v>
      </c>
      <c r="E3095" s="4" t="s">
        <v>121</v>
      </c>
      <c r="F3095" s="4" t="s">
        <v>54</v>
      </c>
      <c r="G3095" s="4" t="s">
        <v>6582</v>
      </c>
      <c r="H3095" s="4" t="s">
        <v>49</v>
      </c>
      <c r="I3095" s="4" t="s">
        <v>6005</v>
      </c>
      <c r="J3095" s="4" t="s">
        <v>121</v>
      </c>
      <c r="K3095" s="5" t="str">
        <f>HYPERLINK("https://dms.licdn.com/playlist/vid/v2/D4E05AQEuwG5UGC7_DQ/mp4-640p-30fp-crf28/B4EZ0Le92jG8B0-/0/1774014185257?e=2147483647&amp;v=beta&amp;t=3GNBArbx3DfHju8iaSeyEqm9wocRhx2UqQwc2DaL_gM","View Creative")</f>
        <v>View Creative</v>
      </c>
      <c r="L3095" s="4" t="s">
        <v>106</v>
      </c>
      <c r="M3095" s="4" t="s">
        <v>5965</v>
      </c>
      <c r="O3095" s="4" t="s">
        <v>74</v>
      </c>
      <c r="P3095" s="4" t="s">
        <v>6583</v>
      </c>
    </row>
    <row r="3096">
      <c r="A3096" s="4" t="s">
        <v>5965</v>
      </c>
      <c r="B3096" s="4" t="s">
        <v>5965</v>
      </c>
      <c r="C3096" s="4">
        <v>1485.0</v>
      </c>
      <c r="D3096" s="5" t="str">
        <f>HYPERLINK("https://www.linkedin.com/ad-library/detail/1376689996","Open Ad")</f>
        <v>Open Ad</v>
      </c>
      <c r="E3096" s="4" t="s">
        <v>121</v>
      </c>
      <c r="F3096" s="4" t="s">
        <v>54</v>
      </c>
      <c r="G3096" s="8" t="s">
        <v>6554</v>
      </c>
      <c r="H3096" s="4" t="s">
        <v>49</v>
      </c>
      <c r="I3096" s="4" t="s">
        <v>6005</v>
      </c>
      <c r="J3096" s="4" t="s">
        <v>121</v>
      </c>
      <c r="K3096" s="5" t="str">
        <f>HYPERLINK("https://dms.licdn.com/playlist/vid/v2/D5605AQF83_DNHS-pdw/mp4-720p-30fp-crf28/B56Z0BfAhmKcCM-/0/1773846401302?e=2147483647&amp;v=beta&amp;t=I2BiW3EDO9MiWAszXKxdAhtpjQUHNoLmO19yGv-3td4","View Creative")</f>
        <v>View Creative</v>
      </c>
      <c r="L3096" s="4" t="s">
        <v>106</v>
      </c>
      <c r="M3096" s="4" t="s">
        <v>5965</v>
      </c>
      <c r="O3096" s="4" t="s">
        <v>63</v>
      </c>
      <c r="P3096" s="4" t="s">
        <v>64</v>
      </c>
    </row>
    <row r="3097">
      <c r="A3097" s="4" t="s">
        <v>5965</v>
      </c>
      <c r="B3097" s="4" t="s">
        <v>5965</v>
      </c>
      <c r="C3097" s="4">
        <v>1486.0</v>
      </c>
      <c r="D3097" s="5" t="str">
        <f>HYPERLINK("https://www.linkedin.com/ad-library/detail/1376488626","Open Ad")</f>
        <v>Open Ad</v>
      </c>
      <c r="E3097" s="4" t="s">
        <v>121</v>
      </c>
      <c r="F3097" s="4" t="s">
        <v>54</v>
      </c>
      <c r="G3097" s="4" t="s">
        <v>6582</v>
      </c>
      <c r="H3097" s="4" t="s">
        <v>49</v>
      </c>
      <c r="I3097" s="4" t="s">
        <v>6005</v>
      </c>
      <c r="J3097" s="4" t="s">
        <v>121</v>
      </c>
      <c r="K3097" s="5" t="str">
        <f>HYPERLINK("https://dms.licdn.com/playlist/vid/v2/D4E05AQEuwG5UGC7_DQ/mp4-640p-30fp-crf28/B4EZ0Le92jG8B0-/0/1774014185257?e=2147483647&amp;v=beta&amp;t=3GNBArbx3DfHju8iaSeyEqm9wocRhx2UqQwc2DaL_gM","View Creative")</f>
        <v>View Creative</v>
      </c>
      <c r="L3097" s="4" t="s">
        <v>106</v>
      </c>
      <c r="M3097" s="4" t="s">
        <v>5965</v>
      </c>
      <c r="O3097" s="4" t="s">
        <v>63</v>
      </c>
      <c r="P3097" s="4" t="s">
        <v>64</v>
      </c>
    </row>
    <row r="3098">
      <c r="A3098" s="4" t="s">
        <v>5965</v>
      </c>
      <c r="B3098" s="4" t="s">
        <v>5965</v>
      </c>
      <c r="C3098" s="4">
        <v>1487.0</v>
      </c>
      <c r="D3098" s="5" t="str">
        <f>HYPERLINK("https://www.linkedin.com/ad-library/detail/1376612126","Open Ad")</f>
        <v>Open Ad</v>
      </c>
      <c r="E3098" s="4" t="s">
        <v>78</v>
      </c>
      <c r="F3098" s="4" t="s">
        <v>54</v>
      </c>
      <c r="G3098" s="4" t="s">
        <v>6584</v>
      </c>
      <c r="H3098" s="4" t="s">
        <v>49</v>
      </c>
      <c r="I3098" s="4" t="s">
        <v>6005</v>
      </c>
      <c r="J3098" s="4" t="s">
        <v>78</v>
      </c>
      <c r="K3098" s="5" t="str">
        <f>HYPERLINK("https://media.licdn.com/dms/image/v2/D4E10AQECh6zbJh9ySw/image-shrink_1280/B4EZ0LoqnsHsAc-/0/1774016703434?e=2147483647&amp;v=beta&amp;t=BLAKQU_47SK300Ny7ilo9yWJBAKgn4_nQBZxpiP8bvI","View Creative")</f>
        <v>View Creative</v>
      </c>
      <c r="L3098" s="4" t="s">
        <v>106</v>
      </c>
      <c r="M3098" s="4" t="s">
        <v>5965</v>
      </c>
      <c r="O3098" s="4" t="s">
        <v>63</v>
      </c>
      <c r="P3098" s="4" t="s">
        <v>64</v>
      </c>
    </row>
    <row r="3099">
      <c r="A3099" s="4" t="s">
        <v>5965</v>
      </c>
      <c r="B3099" s="4" t="s">
        <v>5965</v>
      </c>
      <c r="C3099" s="4">
        <v>1488.0</v>
      </c>
      <c r="D3099" s="5" t="str">
        <f>HYPERLINK("https://www.linkedin.com/ad-library/detail/1376535096","Open Ad")</f>
        <v>Open Ad</v>
      </c>
      <c r="E3099" s="4" t="s">
        <v>78</v>
      </c>
      <c r="F3099" s="4" t="s">
        <v>54</v>
      </c>
      <c r="G3099" s="4" t="s">
        <v>6580</v>
      </c>
      <c r="H3099" s="4" t="s">
        <v>49</v>
      </c>
      <c r="I3099" s="4" t="s">
        <v>6005</v>
      </c>
      <c r="J3099" s="4" t="s">
        <v>78</v>
      </c>
      <c r="K3099" s="5" t="str">
        <f>HYPERLINK("https://media.licdn.com/dms/image/v2/D4E10AQGY22FAQCO5ng/image-shrink_1280/B4EZ0IF2gZG8Ag-/0/1773957245603?e=2147483647&amp;v=beta&amp;t=1vDXAP-1eibkzbEY9usOeyFZZ7kFaEalz2CsnX2EaAA","View Creative")</f>
        <v>View Creative</v>
      </c>
      <c r="L3099" s="4" t="s">
        <v>106</v>
      </c>
      <c r="M3099" s="4" t="s">
        <v>5965</v>
      </c>
      <c r="O3099" s="4" t="s">
        <v>63</v>
      </c>
      <c r="P3099" s="4" t="s">
        <v>64</v>
      </c>
    </row>
    <row r="3100">
      <c r="A3100" s="4" t="s">
        <v>5965</v>
      </c>
      <c r="B3100" s="4" t="s">
        <v>5965</v>
      </c>
      <c r="C3100" s="4">
        <v>1489.0</v>
      </c>
      <c r="D3100" s="5" t="str">
        <f>HYPERLINK("https://www.linkedin.com/ad-library/detail/1376680806","Open Ad")</f>
        <v>Open Ad</v>
      </c>
      <c r="E3100" s="4" t="s">
        <v>78</v>
      </c>
      <c r="F3100" s="4" t="s">
        <v>54</v>
      </c>
      <c r="G3100" s="4" t="s">
        <v>6585</v>
      </c>
      <c r="H3100" s="4" t="s">
        <v>49</v>
      </c>
      <c r="I3100" s="4" t="s">
        <v>6005</v>
      </c>
      <c r="J3100" s="4" t="s">
        <v>78</v>
      </c>
      <c r="K3100" s="5" t="str">
        <f>HYPERLINK("https://media.licdn.com/dms/image/v2/D4D22AQGm5LOrSRj7aw/feedshare-shrink_1280/B4DZ0Bchf8JQAQ-/0/1773845748275?e=2147483647&amp;v=beta&amp;t=Jv9axNVTQVrchfNmOkBWi9DdKcrOZuX1iH5ckZDxJ_A","View Creative")</f>
        <v>View Creative</v>
      </c>
      <c r="L3100" s="4" t="s">
        <v>106</v>
      </c>
      <c r="M3100" s="4" t="s">
        <v>5965</v>
      </c>
      <c r="O3100" s="4" t="s">
        <v>63</v>
      </c>
      <c r="P3100" s="4" t="s">
        <v>64</v>
      </c>
    </row>
    <row r="3101">
      <c r="A3101" s="4" t="s">
        <v>5965</v>
      </c>
      <c r="B3101" s="4" t="s">
        <v>5965</v>
      </c>
      <c r="C3101" s="4">
        <v>1490.0</v>
      </c>
      <c r="D3101" s="5" t="str">
        <f>HYPERLINK("https://www.linkedin.com/ad-library/detail/1375925546","Open Ad")</f>
        <v>Open Ad</v>
      </c>
      <c r="E3101" s="4" t="s">
        <v>78</v>
      </c>
      <c r="F3101" s="4" t="s">
        <v>54</v>
      </c>
      <c r="G3101" s="4" t="s">
        <v>6586</v>
      </c>
      <c r="H3101" s="4" t="s">
        <v>49</v>
      </c>
      <c r="I3101" s="4" t="s">
        <v>6005</v>
      </c>
      <c r="J3101" s="4" t="s">
        <v>78</v>
      </c>
      <c r="K3101" s="4" t="s">
        <v>59</v>
      </c>
      <c r="L3101" s="4" t="s">
        <v>106</v>
      </c>
      <c r="M3101" s="4" t="s">
        <v>5965</v>
      </c>
      <c r="O3101" s="4" t="s">
        <v>63</v>
      </c>
      <c r="P3101" s="4" t="s">
        <v>64</v>
      </c>
    </row>
    <row r="3102">
      <c r="A3102" s="4" t="s">
        <v>5965</v>
      </c>
      <c r="B3102" s="4" t="s">
        <v>5965</v>
      </c>
      <c r="C3102" s="4">
        <v>1491.0</v>
      </c>
      <c r="D3102" s="5" t="str">
        <f>HYPERLINK("https://www.linkedin.com/ad-library/detail/1376289626","Open Ad")</f>
        <v>Open Ad</v>
      </c>
      <c r="E3102" s="4" t="s">
        <v>121</v>
      </c>
      <c r="F3102" s="4" t="s">
        <v>54</v>
      </c>
      <c r="G3102" s="4" t="s">
        <v>6587</v>
      </c>
      <c r="H3102" s="4" t="s">
        <v>49</v>
      </c>
      <c r="I3102" s="4" t="s">
        <v>6005</v>
      </c>
      <c r="J3102" s="4" t="s">
        <v>121</v>
      </c>
      <c r="K3102" s="5" t="str">
        <f>HYPERLINK("https://dms.licdn.com/playlist/vid/v2/D4E10AQFKaGAU7r1Fuw/mp4-640p-30fp-crf28/B4EZ0BoxeKJABk-/0/1773848962445?e=2147483647&amp;v=beta&amp;t=cqR-uToC7tXeBvApJUrNWAdyVxFZXIdfYyJ4dBqG8uc","View Creative")</f>
        <v>View Creative</v>
      </c>
      <c r="L3102" s="4" t="s">
        <v>106</v>
      </c>
      <c r="M3102" s="4" t="s">
        <v>5965</v>
      </c>
      <c r="O3102" s="4" t="s">
        <v>63</v>
      </c>
      <c r="P3102" s="4" t="s">
        <v>64</v>
      </c>
    </row>
    <row r="3103">
      <c r="A3103" s="4" t="s">
        <v>5965</v>
      </c>
      <c r="B3103" s="4" t="s">
        <v>5965</v>
      </c>
      <c r="C3103" s="4">
        <v>1492.0</v>
      </c>
      <c r="D3103" s="5" t="str">
        <f>HYPERLINK("https://www.linkedin.com/ad-library/detail/1376592656","Open Ad")</f>
        <v>Open Ad</v>
      </c>
      <c r="E3103" s="4" t="s">
        <v>78</v>
      </c>
      <c r="F3103" s="4" t="s">
        <v>54</v>
      </c>
      <c r="G3103" s="4" t="s">
        <v>6585</v>
      </c>
      <c r="H3103" s="4" t="s">
        <v>49</v>
      </c>
      <c r="I3103" s="4" t="s">
        <v>6005</v>
      </c>
      <c r="J3103" s="4" t="s">
        <v>78</v>
      </c>
      <c r="K3103" s="5" t="str">
        <f>HYPERLINK("https://media.licdn.com/dms/image/v2/D4D22AQGm5LOrSRj7aw/feedshare-shrink_1280/B4DZ0Bchf8JQAQ-/0/1773845748275?e=2147483647&amp;v=beta&amp;t=Jv9axNVTQVrchfNmOkBWi9DdKcrOZuX1iH5ckZDxJ_A","View Creative")</f>
        <v>View Creative</v>
      </c>
      <c r="L3103" s="4" t="s">
        <v>106</v>
      </c>
      <c r="M3103" s="4" t="s">
        <v>5965</v>
      </c>
      <c r="O3103" s="4" t="s">
        <v>63</v>
      </c>
      <c r="P3103" s="4" t="s">
        <v>64</v>
      </c>
    </row>
    <row r="3104">
      <c r="A3104" s="4" t="s">
        <v>5965</v>
      </c>
      <c r="B3104" s="4" t="s">
        <v>5965</v>
      </c>
      <c r="C3104" s="4">
        <v>1493.0</v>
      </c>
      <c r="D3104" s="5" t="str">
        <f>HYPERLINK("https://www.linkedin.com/ad-library/detail/1374117356","Open Ad")</f>
        <v>Open Ad</v>
      </c>
      <c r="E3104" s="4" t="s">
        <v>121</v>
      </c>
      <c r="F3104" s="4" t="s">
        <v>54</v>
      </c>
      <c r="G3104" s="4" t="s">
        <v>6559</v>
      </c>
      <c r="H3104" s="4" t="s">
        <v>49</v>
      </c>
      <c r="I3104" s="4" t="s">
        <v>6005</v>
      </c>
      <c r="J3104" s="4" t="s">
        <v>121</v>
      </c>
      <c r="K3104" s="5" t="str">
        <f>HYPERLINK("https://dms.licdn.com/playlist/vid/v2/D4E10AQHeAzMp6wXICg/mp4-720p-30fp-crf28/B4EZznY.k2IUCE-/0/1773408615246?e=2147483647&amp;v=beta&amp;t=8tlPTvtrKX28l-U0kqNlBMpijrCLL5x93WDV620buH4","View Creative")</f>
        <v>View Creative</v>
      </c>
      <c r="L3104" s="4" t="s">
        <v>106</v>
      </c>
      <c r="M3104" s="4" t="s">
        <v>5965</v>
      </c>
      <c r="O3104" s="4" t="s">
        <v>63</v>
      </c>
      <c r="P3104" s="4" t="s">
        <v>64</v>
      </c>
    </row>
    <row r="3105">
      <c r="A3105" s="4" t="s">
        <v>5965</v>
      </c>
      <c r="B3105" s="4" t="s">
        <v>5965</v>
      </c>
      <c r="C3105" s="4">
        <v>1494.0</v>
      </c>
      <c r="D3105" s="5" t="str">
        <f>HYPERLINK("https://www.linkedin.com/ad-library/detail/1376515796","Open Ad")</f>
        <v>Open Ad</v>
      </c>
      <c r="E3105" s="4" t="s">
        <v>78</v>
      </c>
      <c r="F3105" s="4" t="s">
        <v>54</v>
      </c>
      <c r="G3105" s="4" t="s">
        <v>6585</v>
      </c>
      <c r="H3105" s="4" t="s">
        <v>49</v>
      </c>
      <c r="I3105" s="4" t="s">
        <v>6005</v>
      </c>
      <c r="J3105" s="4" t="s">
        <v>78</v>
      </c>
      <c r="K3105" s="5" t="str">
        <f>HYPERLINK("https://media.licdn.com/dms/image/v2/D4D22AQGm5LOrSRj7aw/feedshare-shrink_1280/B4DZ0Bchf8JQAQ-/0/1773845748275?e=2147483647&amp;v=beta&amp;t=Jv9axNVTQVrchfNmOkBWi9DdKcrOZuX1iH5ckZDxJ_A","View Creative")</f>
        <v>View Creative</v>
      </c>
      <c r="L3105" s="4" t="s">
        <v>106</v>
      </c>
      <c r="M3105" s="4" t="s">
        <v>5965</v>
      </c>
      <c r="O3105" s="4" t="s">
        <v>63</v>
      </c>
      <c r="P3105" s="4" t="s">
        <v>64</v>
      </c>
    </row>
    <row r="3106">
      <c r="A3106" s="4" t="s">
        <v>5965</v>
      </c>
      <c r="B3106" s="4" t="s">
        <v>5965</v>
      </c>
      <c r="C3106" s="4">
        <v>1495.0</v>
      </c>
      <c r="D3106" s="5" t="str">
        <f>HYPERLINK("https://www.linkedin.com/ad-library/detail/1375964086","Open Ad")</f>
        <v>Open Ad</v>
      </c>
      <c r="E3106" s="4" t="s">
        <v>78</v>
      </c>
      <c r="F3106" s="4" t="s">
        <v>54</v>
      </c>
      <c r="G3106" s="4" t="s">
        <v>6588</v>
      </c>
      <c r="H3106" s="4" t="s">
        <v>49</v>
      </c>
      <c r="I3106" s="4" t="s">
        <v>6005</v>
      </c>
      <c r="J3106" s="4" t="s">
        <v>78</v>
      </c>
      <c r="K3106" s="4" t="s">
        <v>59</v>
      </c>
      <c r="L3106" s="4" t="s">
        <v>106</v>
      </c>
      <c r="M3106" s="4" t="s">
        <v>5965</v>
      </c>
      <c r="O3106" s="4" t="s">
        <v>63</v>
      </c>
      <c r="P3106" s="4" t="s">
        <v>64</v>
      </c>
    </row>
    <row r="3107">
      <c r="A3107" s="4" t="s">
        <v>5965</v>
      </c>
      <c r="B3107" s="4" t="s">
        <v>5965</v>
      </c>
      <c r="C3107" s="4">
        <v>1496.0</v>
      </c>
      <c r="D3107" s="5" t="str">
        <f>HYPERLINK("https://www.linkedin.com/ad-library/detail/1375964186","Open Ad")</f>
        <v>Open Ad</v>
      </c>
      <c r="E3107" s="4" t="s">
        <v>78</v>
      </c>
      <c r="F3107" s="4" t="s">
        <v>54</v>
      </c>
      <c r="G3107" s="4" t="s">
        <v>6588</v>
      </c>
      <c r="H3107" s="4" t="s">
        <v>49</v>
      </c>
      <c r="I3107" s="4" t="s">
        <v>6005</v>
      </c>
      <c r="J3107" s="4" t="s">
        <v>78</v>
      </c>
      <c r="K3107" s="4" t="s">
        <v>59</v>
      </c>
      <c r="L3107" s="4" t="s">
        <v>106</v>
      </c>
      <c r="M3107" s="4" t="s">
        <v>5965</v>
      </c>
      <c r="O3107" s="4" t="s">
        <v>63</v>
      </c>
      <c r="P3107" s="4" t="s">
        <v>64</v>
      </c>
    </row>
    <row r="3108">
      <c r="A3108" s="4" t="s">
        <v>5965</v>
      </c>
      <c r="B3108" s="4" t="s">
        <v>5965</v>
      </c>
      <c r="C3108" s="4">
        <v>1497.0</v>
      </c>
      <c r="D3108" s="5" t="str">
        <f>HYPERLINK("https://www.linkedin.com/ad-library/detail/1376621606","Open Ad")</f>
        <v>Open Ad</v>
      </c>
      <c r="E3108" s="4" t="s">
        <v>121</v>
      </c>
      <c r="F3108" s="4" t="s">
        <v>54</v>
      </c>
      <c r="G3108" s="8" t="s">
        <v>6554</v>
      </c>
      <c r="H3108" s="4" t="s">
        <v>49</v>
      </c>
      <c r="I3108" s="4" t="s">
        <v>6005</v>
      </c>
      <c r="J3108" s="4" t="s">
        <v>121</v>
      </c>
      <c r="K3108" s="5" t="str">
        <f>HYPERLINK("https://dms.licdn.com/playlist/vid/v2/D5605AQF83_DNHS-pdw/mp4-720p-30fp-crf28/B56Z0BfAhmKcCM-/0/1773846401302?e=2147483647&amp;v=beta&amp;t=I2BiW3EDO9MiWAszXKxdAhtpjQUHNoLmO19yGv-3td4","View Creative")</f>
        <v>View Creative</v>
      </c>
      <c r="L3108" s="4" t="s">
        <v>106</v>
      </c>
      <c r="M3108" s="4" t="s">
        <v>5965</v>
      </c>
      <c r="O3108" s="4" t="s">
        <v>63</v>
      </c>
      <c r="P3108" s="4" t="s">
        <v>64</v>
      </c>
    </row>
    <row r="3109">
      <c r="A3109" s="4" t="s">
        <v>5965</v>
      </c>
      <c r="B3109" s="4" t="s">
        <v>5965</v>
      </c>
      <c r="C3109" s="4">
        <v>1498.0</v>
      </c>
      <c r="D3109" s="5" t="str">
        <f>HYPERLINK("https://www.linkedin.com/ad-library/detail/1376641336","Open Ad")</f>
        <v>Open Ad</v>
      </c>
      <c r="E3109" s="4" t="s">
        <v>121</v>
      </c>
      <c r="F3109" s="4" t="s">
        <v>54</v>
      </c>
      <c r="G3109" s="4" t="s">
        <v>6547</v>
      </c>
      <c r="H3109" s="4" t="s">
        <v>49</v>
      </c>
      <c r="I3109" s="4" t="s">
        <v>6005</v>
      </c>
      <c r="J3109" s="4" t="s">
        <v>121</v>
      </c>
      <c r="K3109" s="5" t="str">
        <f>HYPERLINK("https://dms.licdn.com/playlist/vid/v2/D5610AQGG1v8LxW2J2Q/mp4-360p-30fp-crf28/B56Z0H6F.wHICA-/0/1773954175177?e=2147483647&amp;v=beta&amp;t=s4GCVN-Klk_yVFXAFC0Vw3E19Ib0k1_UJT7G4PFeIYI","View Creative")</f>
        <v>View Creative</v>
      </c>
      <c r="L3109" s="4" t="s">
        <v>106</v>
      </c>
      <c r="M3109" s="4" t="s">
        <v>5965</v>
      </c>
      <c r="O3109" s="4" t="s">
        <v>63</v>
      </c>
      <c r="P3109" s="4" t="s">
        <v>64</v>
      </c>
    </row>
    <row r="3110">
      <c r="A3110" s="4" t="s">
        <v>5965</v>
      </c>
      <c r="B3110" s="4" t="s">
        <v>5965</v>
      </c>
      <c r="C3110" s="4">
        <v>1499.0</v>
      </c>
      <c r="D3110" s="5" t="str">
        <f>HYPERLINK("https://www.linkedin.com/ad-library/detail/1374241596","Open Ad")</f>
        <v>Open Ad</v>
      </c>
      <c r="E3110" s="4" t="s">
        <v>121</v>
      </c>
      <c r="F3110" s="4" t="s">
        <v>54</v>
      </c>
      <c r="G3110" s="4" t="s">
        <v>6559</v>
      </c>
      <c r="H3110" s="4" t="s">
        <v>49</v>
      </c>
      <c r="I3110" s="4" t="s">
        <v>6005</v>
      </c>
      <c r="J3110" s="4" t="s">
        <v>121</v>
      </c>
      <c r="K3110" s="5" t="str">
        <f>HYPERLINK("https://dms.licdn.com/playlist/vid/v2/D4E10AQHeAzMp6wXICg/mp4-720p-30fp-crf28/B4EZznY.k2IUCE-/0/1773408615246?e=2147483647&amp;v=beta&amp;t=8tlPTvtrKX28l-U0kqNlBMpijrCLL5x93WDV620buH4","View Creative")</f>
        <v>View Creative</v>
      </c>
      <c r="L3110" s="4" t="s">
        <v>106</v>
      </c>
      <c r="M3110" s="4" t="s">
        <v>5965</v>
      </c>
      <c r="O3110" s="4" t="s">
        <v>63</v>
      </c>
      <c r="P3110" s="4" t="s">
        <v>64</v>
      </c>
    </row>
    <row r="3111">
      <c r="A3111" s="4" t="s">
        <v>5965</v>
      </c>
      <c r="B3111" s="4" t="s">
        <v>5965</v>
      </c>
      <c r="C3111" s="4">
        <v>1500.0</v>
      </c>
      <c r="D3111" s="5" t="str">
        <f>HYPERLINK("https://www.linkedin.com/ad-library/detail/1376680826","Open Ad")</f>
        <v>Open Ad</v>
      </c>
      <c r="E3111" s="4" t="s">
        <v>121</v>
      </c>
      <c r="F3111" s="4" t="s">
        <v>54</v>
      </c>
      <c r="G3111" s="4" t="s">
        <v>6547</v>
      </c>
      <c r="H3111" s="4" t="s">
        <v>49</v>
      </c>
      <c r="I3111" s="4" t="s">
        <v>6005</v>
      </c>
      <c r="J3111" s="4" t="s">
        <v>121</v>
      </c>
      <c r="K3111" s="5" t="str">
        <f>HYPERLINK("https://dms.licdn.com/playlist/vid/v2/D5610AQGG1v8LxW2J2Q/mp4-360p-30fp-crf28/B56Z0H6F.wHICA-/0/1773954175177?e=2147483647&amp;v=beta&amp;t=s4GCVN-Klk_yVFXAFC0Vw3E19Ib0k1_UJT7G4PFeIYI","View Creative")</f>
        <v>View Creative</v>
      </c>
      <c r="L3111" s="4" t="s">
        <v>106</v>
      </c>
      <c r="M3111" s="4" t="s">
        <v>5965</v>
      </c>
      <c r="O3111" s="4" t="s">
        <v>63</v>
      </c>
      <c r="P3111" s="4" t="s">
        <v>64</v>
      </c>
    </row>
    <row r="3112">
      <c r="A3112" s="4" t="s">
        <v>5965</v>
      </c>
      <c r="B3112" s="4" t="s">
        <v>5965</v>
      </c>
      <c r="C3112" s="4">
        <v>1501.0</v>
      </c>
      <c r="D3112" s="5" t="str">
        <f>HYPERLINK("https://www.linkedin.com/ad-library/detail/1374280836","Open Ad")</f>
        <v>Open Ad</v>
      </c>
      <c r="E3112" s="4" t="s">
        <v>121</v>
      </c>
      <c r="F3112" s="4" t="s">
        <v>54</v>
      </c>
      <c r="G3112" s="4" t="s">
        <v>6559</v>
      </c>
      <c r="H3112" s="4" t="s">
        <v>49</v>
      </c>
      <c r="I3112" s="4" t="s">
        <v>6005</v>
      </c>
      <c r="J3112" s="4" t="s">
        <v>121</v>
      </c>
      <c r="K3112" s="5" t="str">
        <f>HYPERLINK("https://dms.licdn.com/playlist/vid/v2/D4E10AQHeAzMp6wXICg/mp4-720p-30fp-crf28/B4EZznY.k2IUCE-/0/1773408615246?e=2147483647&amp;v=beta&amp;t=8tlPTvtrKX28l-U0kqNlBMpijrCLL5x93WDV620buH4","View Creative")</f>
        <v>View Creative</v>
      </c>
      <c r="L3112" s="4" t="s">
        <v>106</v>
      </c>
      <c r="M3112" s="4" t="s">
        <v>5965</v>
      </c>
      <c r="O3112" s="4" t="s">
        <v>63</v>
      </c>
      <c r="P3112" s="4" t="s">
        <v>64</v>
      </c>
    </row>
    <row r="3113">
      <c r="A3113" s="4" t="s">
        <v>5965</v>
      </c>
      <c r="B3113" s="4" t="s">
        <v>5965</v>
      </c>
      <c r="C3113" s="4">
        <v>1502.0</v>
      </c>
      <c r="D3113" s="5" t="str">
        <f>HYPERLINK("https://www.linkedin.com/ad-library/detail/1376680846","Open Ad")</f>
        <v>Open Ad</v>
      </c>
      <c r="E3113" s="4" t="s">
        <v>121</v>
      </c>
      <c r="F3113" s="4" t="s">
        <v>54</v>
      </c>
      <c r="G3113" s="4" t="s">
        <v>6547</v>
      </c>
      <c r="H3113" s="4" t="s">
        <v>49</v>
      </c>
      <c r="I3113" s="4" t="s">
        <v>6005</v>
      </c>
      <c r="J3113" s="4" t="s">
        <v>121</v>
      </c>
      <c r="K3113" s="5" t="str">
        <f>HYPERLINK("https://dms.licdn.com/playlist/vid/v2/D5610AQGG1v8LxW2J2Q/mp4-360p-30fp-crf28/B56Z0H6F.wHICA-/0/1773954175177?e=2147483647&amp;v=beta&amp;t=s4GCVN-Klk_yVFXAFC0Vw3E19Ib0k1_UJT7G4PFeIYI","View Creative")</f>
        <v>View Creative</v>
      </c>
      <c r="L3113" s="4" t="s">
        <v>106</v>
      </c>
      <c r="M3113" s="4" t="s">
        <v>5965</v>
      </c>
      <c r="O3113" s="4" t="s">
        <v>63</v>
      </c>
      <c r="P3113" s="4" t="s">
        <v>64</v>
      </c>
    </row>
    <row r="3114">
      <c r="A3114" s="4" t="s">
        <v>5965</v>
      </c>
      <c r="B3114" s="4" t="s">
        <v>5965</v>
      </c>
      <c r="C3114" s="4">
        <v>1503.0</v>
      </c>
      <c r="D3114" s="5" t="str">
        <f>HYPERLINK("https://www.linkedin.com/ad-library/detail/1375809406","Open Ad")</f>
        <v>Open Ad</v>
      </c>
      <c r="E3114" s="4" t="s">
        <v>78</v>
      </c>
      <c r="F3114" s="4" t="s">
        <v>54</v>
      </c>
      <c r="G3114" s="4" t="s">
        <v>6589</v>
      </c>
      <c r="H3114" s="4" t="s">
        <v>49</v>
      </c>
      <c r="I3114" s="4" t="s">
        <v>6005</v>
      </c>
      <c r="J3114" s="4" t="s">
        <v>78</v>
      </c>
      <c r="K3114" s="4" t="s">
        <v>59</v>
      </c>
      <c r="L3114" s="4" t="s">
        <v>106</v>
      </c>
      <c r="M3114" s="4" t="s">
        <v>5965</v>
      </c>
      <c r="O3114" s="4" t="s">
        <v>63</v>
      </c>
      <c r="P3114" s="4" t="s">
        <v>64</v>
      </c>
    </row>
    <row r="3115">
      <c r="A3115" s="4" t="s">
        <v>5965</v>
      </c>
      <c r="B3115" s="4" t="s">
        <v>5965</v>
      </c>
      <c r="C3115" s="4">
        <v>1504.0</v>
      </c>
      <c r="D3115" s="5" t="str">
        <f>HYPERLINK("https://www.linkedin.com/ad-library/detail/1376554246","Open Ad")</f>
        <v>Open Ad</v>
      </c>
      <c r="E3115" s="4" t="s">
        <v>121</v>
      </c>
      <c r="F3115" s="4" t="s">
        <v>54</v>
      </c>
      <c r="G3115" s="8" t="s">
        <v>6554</v>
      </c>
      <c r="H3115" s="4" t="s">
        <v>49</v>
      </c>
      <c r="I3115" s="4" t="s">
        <v>6005</v>
      </c>
      <c r="J3115" s="4" t="s">
        <v>121</v>
      </c>
      <c r="K3115" s="5" t="str">
        <f>HYPERLINK("https://dms.licdn.com/playlist/vid/v2/D5605AQF83_DNHS-pdw/mp4-720p-30fp-crf28/B56Z0BfAhmKcCM-/0/1773846401302?e=2147483647&amp;v=beta&amp;t=I2BiW3EDO9MiWAszXKxdAhtpjQUHNoLmO19yGv-3td4","View Creative")</f>
        <v>View Creative</v>
      </c>
      <c r="L3115" s="4" t="s">
        <v>106</v>
      </c>
      <c r="M3115" s="4" t="s">
        <v>5965</v>
      </c>
      <c r="O3115" s="4" t="s">
        <v>63</v>
      </c>
      <c r="P3115" s="4" t="s">
        <v>64</v>
      </c>
    </row>
    <row r="3116">
      <c r="A3116" s="4" t="s">
        <v>5965</v>
      </c>
      <c r="B3116" s="4" t="s">
        <v>5965</v>
      </c>
      <c r="C3116" s="4">
        <v>1505.0</v>
      </c>
      <c r="D3116" s="5" t="str">
        <f>HYPERLINK("https://www.linkedin.com/ad-library/detail/1376611736","Open Ad")</f>
        <v>Open Ad</v>
      </c>
      <c r="E3116" s="4" t="s">
        <v>121</v>
      </c>
      <c r="F3116" s="4" t="s">
        <v>54</v>
      </c>
      <c r="G3116" s="4" t="s">
        <v>6547</v>
      </c>
      <c r="H3116" s="4" t="s">
        <v>49</v>
      </c>
      <c r="I3116" s="4" t="s">
        <v>6005</v>
      </c>
      <c r="J3116" s="4" t="s">
        <v>121</v>
      </c>
      <c r="K3116" s="5" t="str">
        <f>HYPERLINK("https://dms.licdn.com/playlist/vid/v2/D5610AQGG1v8LxW2J2Q/mp4-360p-30fp-crf28/B56Z0H6F.wHICA-/0/1773954175177?e=2147483647&amp;v=beta&amp;t=s4GCVN-Klk_yVFXAFC0Vw3E19Ib0k1_UJT7G4PFeIYI","View Creative")</f>
        <v>View Creative</v>
      </c>
      <c r="L3116" s="4" t="s">
        <v>106</v>
      </c>
      <c r="M3116" s="4" t="s">
        <v>5965</v>
      </c>
      <c r="O3116" s="4" t="s">
        <v>63</v>
      </c>
      <c r="P3116" s="4" t="s">
        <v>64</v>
      </c>
    </row>
    <row r="3117">
      <c r="A3117" s="4" t="s">
        <v>5965</v>
      </c>
      <c r="B3117" s="4" t="s">
        <v>5965</v>
      </c>
      <c r="C3117" s="4">
        <v>1506.0</v>
      </c>
      <c r="D3117" s="5" t="str">
        <f>HYPERLINK("https://www.linkedin.com/ad-library/detail/1376506236","Open Ad")</f>
        <v>Open Ad</v>
      </c>
      <c r="E3117" s="4" t="s">
        <v>121</v>
      </c>
      <c r="F3117" s="4" t="s">
        <v>54</v>
      </c>
      <c r="G3117" s="4" t="s">
        <v>6590</v>
      </c>
      <c r="H3117" s="4" t="s">
        <v>49</v>
      </c>
      <c r="I3117" s="4" t="s">
        <v>6005</v>
      </c>
      <c r="J3117" s="4" t="s">
        <v>121</v>
      </c>
      <c r="K3117" s="5" t="str">
        <f>HYPERLINK("https://dms.licdn.com/playlist/vid/v2/D5605AQGJbimoWp5Ntg/mp4-640p-30fp-crf28/B56Z0B7HMnKsBw-/0/1773853769943?e=2147483647&amp;v=beta&amp;t=qYORMK-kNDZFVgCdkqebwayIAJKDfmMFSIloMVN9weo","View Creative")</f>
        <v>View Creative</v>
      </c>
      <c r="L3117" s="4" t="s">
        <v>106</v>
      </c>
      <c r="M3117" s="4" t="s">
        <v>5965</v>
      </c>
      <c r="O3117" s="4" t="s">
        <v>63</v>
      </c>
      <c r="P3117" s="4" t="s">
        <v>64</v>
      </c>
    </row>
    <row r="3118">
      <c r="A3118" s="4" t="s">
        <v>5965</v>
      </c>
      <c r="B3118" s="4" t="s">
        <v>5965</v>
      </c>
      <c r="C3118" s="4">
        <v>1507.0</v>
      </c>
      <c r="D3118" s="5" t="str">
        <f>HYPERLINK("https://www.linkedin.com/ad-library/detail/1376010476","Open Ad")</f>
        <v>Open Ad</v>
      </c>
      <c r="E3118" s="4" t="s">
        <v>78</v>
      </c>
      <c r="F3118" s="4" t="s">
        <v>54</v>
      </c>
      <c r="G3118" s="4" t="s">
        <v>6588</v>
      </c>
      <c r="H3118" s="4" t="s">
        <v>49</v>
      </c>
      <c r="I3118" s="4" t="s">
        <v>6005</v>
      </c>
      <c r="J3118" s="4" t="s">
        <v>78</v>
      </c>
      <c r="K3118" s="4" t="s">
        <v>59</v>
      </c>
      <c r="L3118" s="4" t="s">
        <v>106</v>
      </c>
      <c r="M3118" s="4" t="s">
        <v>5965</v>
      </c>
      <c r="O3118" s="4" t="s">
        <v>63</v>
      </c>
      <c r="P3118" s="4" t="s">
        <v>64</v>
      </c>
    </row>
    <row r="3119">
      <c r="A3119" s="4" t="s">
        <v>5965</v>
      </c>
      <c r="B3119" s="4" t="s">
        <v>5965</v>
      </c>
      <c r="C3119" s="4">
        <v>1508.0</v>
      </c>
      <c r="D3119" s="5" t="str">
        <f>HYPERLINK("https://www.linkedin.com/ad-library/detail/1376554156","Open Ad")</f>
        <v>Open Ad</v>
      </c>
      <c r="E3119" s="4" t="s">
        <v>78</v>
      </c>
      <c r="F3119" s="4" t="s">
        <v>54</v>
      </c>
      <c r="G3119" s="4" t="s">
        <v>6585</v>
      </c>
      <c r="H3119" s="4" t="s">
        <v>49</v>
      </c>
      <c r="I3119" s="4" t="s">
        <v>6005</v>
      </c>
      <c r="J3119" s="4" t="s">
        <v>78</v>
      </c>
      <c r="K3119" s="5" t="str">
        <f t="shared" ref="K3119:K3120" si="159">HYPERLINK("https://media.licdn.com/dms/image/v2/D4D22AQGm5LOrSRj7aw/feedshare-shrink_1280/B4DZ0Bchf8JQAQ-/0/1773845748275?e=2147483647&amp;v=beta&amp;t=Jv9axNVTQVrchfNmOkBWi9DdKcrOZuX1iH5ckZDxJ_A","View Creative")</f>
        <v>View Creative</v>
      </c>
      <c r="L3119" s="4" t="s">
        <v>106</v>
      </c>
      <c r="M3119" s="4" t="s">
        <v>5965</v>
      </c>
      <c r="O3119" s="4" t="s">
        <v>63</v>
      </c>
      <c r="P3119" s="4" t="s">
        <v>64</v>
      </c>
    </row>
    <row r="3120">
      <c r="A3120" s="4" t="s">
        <v>5965</v>
      </c>
      <c r="B3120" s="4" t="s">
        <v>5965</v>
      </c>
      <c r="C3120" s="4">
        <v>1509.0</v>
      </c>
      <c r="D3120" s="5" t="str">
        <f>HYPERLINK("https://www.linkedin.com/ad-library/detail/1376670806","Open Ad")</f>
        <v>Open Ad</v>
      </c>
      <c r="E3120" s="4" t="s">
        <v>78</v>
      </c>
      <c r="F3120" s="4" t="s">
        <v>54</v>
      </c>
      <c r="G3120" s="4" t="s">
        <v>6585</v>
      </c>
      <c r="H3120" s="4" t="s">
        <v>49</v>
      </c>
      <c r="I3120" s="4" t="s">
        <v>6005</v>
      </c>
      <c r="J3120" s="4" t="s">
        <v>78</v>
      </c>
      <c r="K3120" s="5" t="str">
        <f t="shared" si="159"/>
        <v>View Creative</v>
      </c>
      <c r="L3120" s="4" t="s">
        <v>106</v>
      </c>
      <c r="M3120" s="4" t="s">
        <v>5965</v>
      </c>
      <c r="O3120" s="4" t="s">
        <v>63</v>
      </c>
      <c r="P3120" s="4" t="s">
        <v>64</v>
      </c>
    </row>
    <row r="3121">
      <c r="A3121" s="4" t="s">
        <v>5965</v>
      </c>
      <c r="B3121" s="4" t="s">
        <v>5965</v>
      </c>
      <c r="C3121" s="4">
        <v>1510.0</v>
      </c>
      <c r="D3121" s="5" t="str">
        <f>HYPERLINK("https://www.linkedin.com/ad-library/detail/1375817966","Open Ad")</f>
        <v>Open Ad</v>
      </c>
      <c r="E3121" s="4" t="s">
        <v>78</v>
      </c>
      <c r="F3121" s="4" t="s">
        <v>54</v>
      </c>
      <c r="G3121" s="4" t="s">
        <v>6591</v>
      </c>
      <c r="H3121" s="4" t="s">
        <v>49</v>
      </c>
      <c r="I3121" s="4" t="s">
        <v>6427</v>
      </c>
      <c r="J3121" s="4" t="s">
        <v>78</v>
      </c>
      <c r="K3121" s="4" t="s">
        <v>59</v>
      </c>
      <c r="L3121" s="4" t="s">
        <v>106</v>
      </c>
      <c r="M3121" s="4" t="s">
        <v>5965</v>
      </c>
      <c r="O3121" s="4" t="s">
        <v>63</v>
      </c>
      <c r="P3121" s="4" t="s">
        <v>64</v>
      </c>
    </row>
    <row r="3122">
      <c r="A3122" s="4" t="s">
        <v>5965</v>
      </c>
      <c r="B3122" s="4" t="s">
        <v>5965</v>
      </c>
      <c r="C3122" s="4">
        <v>1511.0</v>
      </c>
      <c r="D3122" s="5" t="str">
        <f>HYPERLINK("https://www.linkedin.com/ad-library/detail/1375944366","Open Ad")</f>
        <v>Open Ad</v>
      </c>
      <c r="E3122" s="4" t="s">
        <v>78</v>
      </c>
      <c r="F3122" s="4" t="s">
        <v>54</v>
      </c>
      <c r="G3122" s="4" t="s">
        <v>6588</v>
      </c>
      <c r="H3122" s="4" t="s">
        <v>49</v>
      </c>
      <c r="I3122" s="4" t="s">
        <v>6005</v>
      </c>
      <c r="J3122" s="4" t="s">
        <v>78</v>
      </c>
      <c r="K3122" s="4" t="s">
        <v>59</v>
      </c>
      <c r="L3122" s="4" t="s">
        <v>106</v>
      </c>
      <c r="M3122" s="4" t="s">
        <v>5965</v>
      </c>
      <c r="O3122" s="4" t="s">
        <v>63</v>
      </c>
      <c r="P3122" s="4" t="s">
        <v>64</v>
      </c>
    </row>
    <row r="3123">
      <c r="A3123" s="4" t="s">
        <v>5965</v>
      </c>
      <c r="B3123" s="4" t="s">
        <v>5965</v>
      </c>
      <c r="C3123" s="4">
        <v>1512.0</v>
      </c>
      <c r="D3123" s="5" t="str">
        <f>HYPERLINK("https://www.linkedin.com/ad-library/detail/1375964116","Open Ad")</f>
        <v>Open Ad</v>
      </c>
      <c r="E3123" s="4" t="s">
        <v>78</v>
      </c>
      <c r="F3123" s="4" t="s">
        <v>54</v>
      </c>
      <c r="G3123" s="4" t="s">
        <v>6589</v>
      </c>
      <c r="H3123" s="4" t="s">
        <v>49</v>
      </c>
      <c r="I3123" s="4" t="s">
        <v>6005</v>
      </c>
      <c r="J3123" s="4" t="s">
        <v>78</v>
      </c>
      <c r="K3123" s="4" t="s">
        <v>59</v>
      </c>
      <c r="L3123" s="4" t="s">
        <v>106</v>
      </c>
      <c r="M3123" s="4" t="s">
        <v>5965</v>
      </c>
      <c r="O3123" s="4" t="s">
        <v>63</v>
      </c>
      <c r="P3123" s="4" t="s">
        <v>64</v>
      </c>
    </row>
    <row r="3124">
      <c r="A3124" s="4" t="s">
        <v>5965</v>
      </c>
      <c r="B3124" s="4" t="s">
        <v>5965</v>
      </c>
      <c r="C3124" s="4">
        <v>1513.0</v>
      </c>
      <c r="D3124" s="5" t="str">
        <f>HYPERLINK("https://www.linkedin.com/ad-library/detail/1372769456","Open Ad")</f>
        <v>Open Ad</v>
      </c>
      <c r="E3124" s="4" t="s">
        <v>78</v>
      </c>
      <c r="F3124" s="4" t="s">
        <v>54</v>
      </c>
      <c r="G3124" s="4" t="s">
        <v>6592</v>
      </c>
      <c r="H3124" s="4" t="s">
        <v>49</v>
      </c>
      <c r="I3124" s="4" t="s">
        <v>6005</v>
      </c>
      <c r="J3124" s="4" t="s">
        <v>78</v>
      </c>
      <c r="K3124" s="5" t="str">
        <f>HYPERLINK("https://media.licdn.com/dms/image/v2/D5610AQEm_N6bv9Kq-A/image-shrink_1280/B56Zz8gqqiKMAc-/0/1773762948101/oolufractionalleadershippng?e=2147483647&amp;v=beta&amp;t=yOP4NJcgaCgiWtYgy2rgVe-oneGnJgiPYy8B98ddpEA","View Creative")</f>
        <v>View Creative</v>
      </c>
      <c r="L3124" s="4" t="s">
        <v>106</v>
      </c>
      <c r="M3124" s="4" t="s">
        <v>5965</v>
      </c>
      <c r="O3124" s="4" t="s">
        <v>63</v>
      </c>
      <c r="P3124" s="4" t="s">
        <v>64</v>
      </c>
    </row>
    <row r="3125">
      <c r="A3125" s="4" t="s">
        <v>5965</v>
      </c>
      <c r="B3125" s="4" t="s">
        <v>5965</v>
      </c>
      <c r="C3125" s="4">
        <v>1514.0</v>
      </c>
      <c r="D3125" s="5" t="str">
        <f>HYPERLINK("https://www.linkedin.com/ad-library/detail/1374166756","Open Ad")</f>
        <v>Open Ad</v>
      </c>
      <c r="E3125" s="4" t="s">
        <v>78</v>
      </c>
      <c r="F3125" s="4" t="s">
        <v>54</v>
      </c>
      <c r="G3125" s="4" t="s">
        <v>6544</v>
      </c>
      <c r="H3125" s="4" t="s">
        <v>49</v>
      </c>
      <c r="I3125" s="4" t="s">
        <v>6005</v>
      </c>
      <c r="J3125" s="4" t="s">
        <v>78</v>
      </c>
      <c r="K3125" s="5" t="str">
        <f t="shared" ref="K3125:K3126" si="160">HYPERLINK("https://media.licdn.com/dms/image/v2/D4E10AQHh8QXsUTwTLQ/image-shrink_1280/B4EZzj8CgOKQAc-/0/1773350693435?e=2147483647&amp;v=beta&amp;t=oOeNo28sJ1rA9BvUwJALGKNmBemHszGNk9sT0ZhnDIw","View Creative")</f>
        <v>View Creative</v>
      </c>
      <c r="L3125" s="4" t="s">
        <v>106</v>
      </c>
      <c r="M3125" s="4" t="s">
        <v>5965</v>
      </c>
      <c r="O3125" s="4" t="s">
        <v>63</v>
      </c>
      <c r="P3125" s="4" t="s">
        <v>64</v>
      </c>
    </row>
    <row r="3126">
      <c r="A3126" s="4" t="s">
        <v>5965</v>
      </c>
      <c r="B3126" s="4" t="s">
        <v>5965</v>
      </c>
      <c r="C3126" s="4">
        <v>1515.0</v>
      </c>
      <c r="D3126" s="5" t="str">
        <f>HYPERLINK("https://www.linkedin.com/ad-library/detail/1374117336","Open Ad")</f>
        <v>Open Ad</v>
      </c>
      <c r="E3126" s="4" t="s">
        <v>78</v>
      </c>
      <c r="F3126" s="4" t="s">
        <v>54</v>
      </c>
      <c r="G3126" s="4" t="s">
        <v>6544</v>
      </c>
      <c r="H3126" s="4" t="s">
        <v>49</v>
      </c>
      <c r="I3126" s="4" t="s">
        <v>6005</v>
      </c>
      <c r="J3126" s="4" t="s">
        <v>78</v>
      </c>
      <c r="K3126" s="5" t="str">
        <f t="shared" si="160"/>
        <v>View Creative</v>
      </c>
      <c r="L3126" s="4" t="s">
        <v>106</v>
      </c>
      <c r="M3126" s="4" t="s">
        <v>5965</v>
      </c>
      <c r="O3126" s="4" t="s">
        <v>63</v>
      </c>
      <c r="P3126" s="4" t="s">
        <v>64</v>
      </c>
    </row>
    <row r="3127">
      <c r="A3127" s="4" t="s">
        <v>5965</v>
      </c>
      <c r="B3127" s="4" t="s">
        <v>5965</v>
      </c>
      <c r="C3127" s="4">
        <v>1516.0</v>
      </c>
      <c r="D3127" s="5" t="str">
        <f>HYPERLINK("https://www.linkedin.com/ad-library/detail/1374166736","Open Ad")</f>
        <v>Open Ad</v>
      </c>
      <c r="E3127" s="4" t="s">
        <v>78</v>
      </c>
      <c r="F3127" s="4" t="s">
        <v>54</v>
      </c>
      <c r="G3127" s="4" t="s">
        <v>6593</v>
      </c>
      <c r="H3127" s="4" t="s">
        <v>49</v>
      </c>
      <c r="I3127" s="4" t="s">
        <v>6005</v>
      </c>
      <c r="J3127" s="4" t="s">
        <v>78</v>
      </c>
      <c r="K3127" s="5" t="str">
        <f>HYPERLINK("https://media.licdn.com/dms/image/v2/D4E10AQGHiNtXjVwnLw/image-shrink_1280/B4EZz75zt.GwAc-/0/1773752761744?e=2147483647&amp;v=beta&amp;t=J9mqFtNSJjW0JhFfDanM9cwcBVnF0Id8r9zvUjP_PPA","View Creative")</f>
        <v>View Creative</v>
      </c>
      <c r="L3127" s="4" t="s">
        <v>106</v>
      </c>
      <c r="M3127" s="4" t="s">
        <v>5965</v>
      </c>
      <c r="O3127" s="4" t="s">
        <v>63</v>
      </c>
      <c r="P3127" s="4" t="s">
        <v>64</v>
      </c>
    </row>
    <row r="3128">
      <c r="A3128" s="4" t="s">
        <v>5965</v>
      </c>
      <c r="B3128" s="4" t="s">
        <v>5965</v>
      </c>
      <c r="C3128" s="4">
        <v>1517.0</v>
      </c>
      <c r="D3128" s="5" t="str">
        <f>HYPERLINK("https://www.linkedin.com/ad-library/detail/1374137236","Open Ad")</f>
        <v>Open Ad</v>
      </c>
      <c r="E3128" s="4" t="s">
        <v>78</v>
      </c>
      <c r="F3128" s="4" t="s">
        <v>54</v>
      </c>
      <c r="G3128" s="4" t="s">
        <v>6544</v>
      </c>
      <c r="H3128" s="4" t="s">
        <v>49</v>
      </c>
      <c r="I3128" s="4" t="s">
        <v>6005</v>
      </c>
      <c r="J3128" s="4" t="s">
        <v>78</v>
      </c>
      <c r="K3128" s="5" t="str">
        <f t="shared" ref="K3128:K3129" si="161">HYPERLINK("https://media.licdn.com/dms/image/v2/D4E10AQHh8QXsUTwTLQ/image-shrink_1280/B4EZzj8CgOKQAc-/0/1773350693435?e=2147483647&amp;v=beta&amp;t=oOeNo28sJ1rA9BvUwJALGKNmBemHszGNk9sT0ZhnDIw","View Creative")</f>
        <v>View Creative</v>
      </c>
      <c r="L3128" s="4" t="s">
        <v>106</v>
      </c>
      <c r="M3128" s="4" t="s">
        <v>5965</v>
      </c>
      <c r="O3128" s="4" t="s">
        <v>63</v>
      </c>
      <c r="P3128" s="4" t="s">
        <v>64</v>
      </c>
    </row>
    <row r="3129">
      <c r="A3129" s="4" t="s">
        <v>5965</v>
      </c>
      <c r="B3129" s="4" t="s">
        <v>5965</v>
      </c>
      <c r="C3129" s="4">
        <v>1518.0</v>
      </c>
      <c r="D3129" s="5" t="str">
        <f>HYPERLINK("https://www.linkedin.com/ad-library/detail/1374241586","Open Ad")</f>
        <v>Open Ad</v>
      </c>
      <c r="E3129" s="4" t="s">
        <v>78</v>
      </c>
      <c r="F3129" s="4" t="s">
        <v>54</v>
      </c>
      <c r="G3129" s="4" t="s">
        <v>6544</v>
      </c>
      <c r="H3129" s="4" t="s">
        <v>49</v>
      </c>
      <c r="I3129" s="4" t="s">
        <v>6005</v>
      </c>
      <c r="J3129" s="4" t="s">
        <v>78</v>
      </c>
      <c r="K3129" s="5" t="str">
        <f t="shared" si="161"/>
        <v>View Creative</v>
      </c>
      <c r="L3129" s="4" t="s">
        <v>106</v>
      </c>
      <c r="M3129" s="4" t="s">
        <v>5965</v>
      </c>
      <c r="O3129" s="4" t="s">
        <v>63</v>
      </c>
      <c r="P3129" s="4" t="s">
        <v>64</v>
      </c>
    </row>
    <row r="3130">
      <c r="A3130" s="4" t="s">
        <v>5965</v>
      </c>
      <c r="B3130" s="4" t="s">
        <v>5965</v>
      </c>
      <c r="C3130" s="4">
        <v>1519.0</v>
      </c>
      <c r="D3130" s="5" t="str">
        <f>HYPERLINK("https://www.linkedin.com/ad-library/detail/1372739476","Open Ad")</f>
        <v>Open Ad</v>
      </c>
      <c r="E3130" s="4" t="s">
        <v>78</v>
      </c>
      <c r="F3130" s="4" t="s">
        <v>54</v>
      </c>
      <c r="G3130" s="4" t="s">
        <v>6594</v>
      </c>
      <c r="H3130" s="4" t="s">
        <v>49</v>
      </c>
      <c r="I3130" s="4" t="s">
        <v>6005</v>
      </c>
      <c r="J3130" s="4" t="s">
        <v>78</v>
      </c>
      <c r="K3130" s="5" t="str">
        <f>HYPERLINK("https://media.licdn.com/dms/image/v2/D5610AQEdrppt29Uszw/image-shrink_1280/B56Zz8fygzKIAc-/0/1773762718011/oolufractionalspng?e=2147483647&amp;v=beta&amp;t=Psl4rEXX-uXU5hOaFEm8VmcATnxltrdScCg7kE2Mv2Q","View Creative")</f>
        <v>View Creative</v>
      </c>
      <c r="L3130" s="4" t="s">
        <v>106</v>
      </c>
      <c r="M3130" s="4" t="s">
        <v>5965</v>
      </c>
      <c r="O3130" s="4" t="s">
        <v>63</v>
      </c>
      <c r="P3130" s="4" t="s">
        <v>64</v>
      </c>
    </row>
    <row r="3131">
      <c r="A3131" s="4" t="s">
        <v>5965</v>
      </c>
      <c r="B3131" s="4" t="s">
        <v>5965</v>
      </c>
      <c r="C3131" s="4">
        <v>1520.0</v>
      </c>
      <c r="D3131" s="5" t="str">
        <f>HYPERLINK("https://www.linkedin.com/ad-library/detail/1372790206","Open Ad")</f>
        <v>Open Ad</v>
      </c>
      <c r="E3131" s="4" t="s">
        <v>78</v>
      </c>
      <c r="F3131" s="4" t="s">
        <v>54</v>
      </c>
      <c r="G3131" s="4" t="s">
        <v>6595</v>
      </c>
      <c r="H3131" s="4" t="s">
        <v>49</v>
      </c>
      <c r="I3131" s="4" t="s">
        <v>6005</v>
      </c>
      <c r="J3131" s="4" t="s">
        <v>78</v>
      </c>
      <c r="K3131" s="5" t="str">
        <f t="shared" ref="K3131:K3132" si="162">HYPERLINK("https://media.licdn.com/dms/image/v2/D5610AQEsX8RB5dt9ng/image-shrink_1280/B56Zz44Oh9H0Ac-/0/1773702016142/image40png?e=2147483647&amp;v=beta&amp;t=B57DB4IPqqOmNeTnbzcWpFkbuj6PmKFs-l4H1UTF9rI","View Creative")</f>
        <v>View Creative</v>
      </c>
      <c r="L3131" s="4" t="s">
        <v>106</v>
      </c>
      <c r="M3131" s="4" t="s">
        <v>5965</v>
      </c>
      <c r="O3131" s="4" t="s">
        <v>63</v>
      </c>
      <c r="P3131" s="4" t="s">
        <v>64</v>
      </c>
    </row>
    <row r="3132">
      <c r="A3132" s="4" t="s">
        <v>5965</v>
      </c>
      <c r="B3132" s="4" t="s">
        <v>5965</v>
      </c>
      <c r="C3132" s="4">
        <v>1521.0</v>
      </c>
      <c r="D3132" s="5" t="str">
        <f>HYPERLINK("https://www.linkedin.com/ad-library/detail/1372772036","Open Ad")</f>
        <v>Open Ad</v>
      </c>
      <c r="E3132" s="4" t="s">
        <v>78</v>
      </c>
      <c r="F3132" s="4" t="s">
        <v>54</v>
      </c>
      <c r="G3132" s="4" t="s">
        <v>6596</v>
      </c>
      <c r="H3132" s="4" t="s">
        <v>49</v>
      </c>
      <c r="I3132" s="4" t="s">
        <v>6005</v>
      </c>
      <c r="J3132" s="4" t="s">
        <v>78</v>
      </c>
      <c r="K3132" s="5" t="str">
        <f t="shared" si="162"/>
        <v>View Creative</v>
      </c>
      <c r="L3132" s="4" t="s">
        <v>106</v>
      </c>
      <c r="M3132" s="4" t="s">
        <v>5965</v>
      </c>
      <c r="O3132" s="4" t="s">
        <v>63</v>
      </c>
      <c r="P3132" s="4" t="s">
        <v>64</v>
      </c>
    </row>
    <row r="3133">
      <c r="A3133" s="4" t="s">
        <v>5965</v>
      </c>
      <c r="B3133" s="4" t="s">
        <v>5965</v>
      </c>
      <c r="C3133" s="4">
        <v>1522.0</v>
      </c>
      <c r="D3133" s="5" t="str">
        <f>HYPERLINK("https://www.linkedin.com/ad-library/detail/1374077456","Open Ad")</f>
        <v>Open Ad</v>
      </c>
      <c r="E3133" s="4" t="s">
        <v>78</v>
      </c>
      <c r="F3133" s="4" t="s">
        <v>54</v>
      </c>
      <c r="G3133" s="4" t="s">
        <v>6593</v>
      </c>
      <c r="H3133" s="4" t="s">
        <v>49</v>
      </c>
      <c r="I3133" s="4" t="s">
        <v>6005</v>
      </c>
      <c r="J3133" s="4" t="s">
        <v>78</v>
      </c>
      <c r="K3133" s="5" t="str">
        <f t="shared" ref="K3133:K3134" si="163">HYPERLINK("https://media.licdn.com/dms/image/v2/D4E10AQGHiNtXjVwnLw/image-shrink_1280/B4EZz75zt.GwAc-/0/1773752761744?e=2147483647&amp;v=beta&amp;t=J9mqFtNSJjW0JhFfDanM9cwcBVnF0Id8r9zvUjP_PPA","View Creative")</f>
        <v>View Creative</v>
      </c>
      <c r="L3133" s="4" t="s">
        <v>106</v>
      </c>
      <c r="M3133" s="4" t="s">
        <v>5965</v>
      </c>
      <c r="O3133" s="4" t="s">
        <v>63</v>
      </c>
      <c r="P3133" s="4" t="s">
        <v>64</v>
      </c>
    </row>
    <row r="3134">
      <c r="A3134" s="4" t="s">
        <v>5965</v>
      </c>
      <c r="B3134" s="4" t="s">
        <v>5965</v>
      </c>
      <c r="C3134" s="4">
        <v>1523.0</v>
      </c>
      <c r="D3134" s="5" t="str">
        <f>HYPERLINK("https://www.linkedin.com/ad-library/detail/1374117306","Open Ad")</f>
        <v>Open Ad</v>
      </c>
      <c r="E3134" s="4" t="s">
        <v>78</v>
      </c>
      <c r="F3134" s="4" t="s">
        <v>54</v>
      </c>
      <c r="G3134" s="4" t="s">
        <v>6593</v>
      </c>
      <c r="H3134" s="4" t="s">
        <v>49</v>
      </c>
      <c r="I3134" s="4" t="s">
        <v>6005</v>
      </c>
      <c r="J3134" s="4" t="s">
        <v>78</v>
      </c>
      <c r="K3134" s="5" t="str">
        <f t="shared" si="163"/>
        <v>View Creative</v>
      </c>
      <c r="L3134" s="4" t="s">
        <v>106</v>
      </c>
      <c r="M3134" s="4" t="s">
        <v>5965</v>
      </c>
      <c r="O3134" s="4" t="s">
        <v>63</v>
      </c>
      <c r="P3134" s="4" t="s">
        <v>64</v>
      </c>
    </row>
    <row r="3135">
      <c r="A3135" s="4" t="s">
        <v>5965</v>
      </c>
      <c r="B3135" s="4" t="s">
        <v>5965</v>
      </c>
      <c r="C3135" s="4">
        <v>1524.0</v>
      </c>
      <c r="D3135" s="5" t="str">
        <f>HYPERLINK("https://www.linkedin.com/ad-library/detail/1374261456","Open Ad")</f>
        <v>Open Ad</v>
      </c>
      <c r="E3135" s="4" t="s">
        <v>78</v>
      </c>
      <c r="F3135" s="4" t="s">
        <v>54</v>
      </c>
      <c r="G3135" s="4" t="s">
        <v>6544</v>
      </c>
      <c r="H3135" s="4" t="s">
        <v>49</v>
      </c>
      <c r="I3135" s="4" t="s">
        <v>6005</v>
      </c>
      <c r="J3135" s="4" t="s">
        <v>78</v>
      </c>
      <c r="K3135" s="5" t="str">
        <f>HYPERLINK("https://media.licdn.com/dms/image/v2/D4E10AQHh8QXsUTwTLQ/image-shrink_1280/B4EZzj8CgOKQAc-/0/1773350693435?e=2147483647&amp;v=beta&amp;t=oOeNo28sJ1rA9BvUwJALGKNmBemHszGNk9sT0ZhnDIw","View Creative")</f>
        <v>View Creative</v>
      </c>
      <c r="L3135" s="4" t="s">
        <v>106</v>
      </c>
      <c r="M3135" s="4" t="s">
        <v>5965</v>
      </c>
      <c r="O3135" s="4" t="s">
        <v>63</v>
      </c>
      <c r="P3135" s="4" t="s">
        <v>64</v>
      </c>
    </row>
    <row r="3136">
      <c r="A3136" s="4" t="s">
        <v>5965</v>
      </c>
      <c r="B3136" s="4" t="s">
        <v>5965</v>
      </c>
      <c r="C3136" s="4">
        <v>1525.0</v>
      </c>
      <c r="D3136" s="5" t="str">
        <f>HYPERLINK("https://www.linkedin.com/ad-library/detail/1374127556","Open Ad")</f>
        <v>Open Ad</v>
      </c>
      <c r="E3136" s="4" t="s">
        <v>78</v>
      </c>
      <c r="F3136" s="4" t="s">
        <v>54</v>
      </c>
      <c r="G3136" s="4" t="s">
        <v>6593</v>
      </c>
      <c r="H3136" s="4" t="s">
        <v>49</v>
      </c>
      <c r="I3136" s="4" t="s">
        <v>6005</v>
      </c>
      <c r="J3136" s="4" t="s">
        <v>78</v>
      </c>
      <c r="K3136" s="5" t="str">
        <f>HYPERLINK("https://media.licdn.com/dms/image/v2/D4E10AQGHiNtXjVwnLw/image-shrink_1280/B4EZz75zt.GwAc-/0/1773752761744?e=2147483647&amp;v=beta&amp;t=J9mqFtNSJjW0JhFfDanM9cwcBVnF0Id8r9zvUjP_PPA","View Creative")</f>
        <v>View Creative</v>
      </c>
      <c r="L3136" s="4" t="s">
        <v>106</v>
      </c>
      <c r="M3136" s="4" t="s">
        <v>5965</v>
      </c>
      <c r="O3136" s="4" t="s">
        <v>63</v>
      </c>
      <c r="P3136" s="4" t="s">
        <v>64</v>
      </c>
    </row>
    <row r="3137">
      <c r="A3137" s="4" t="s">
        <v>5965</v>
      </c>
      <c r="B3137" s="4" t="s">
        <v>5965</v>
      </c>
      <c r="C3137" s="4">
        <v>1526.0</v>
      </c>
      <c r="D3137" s="5" t="str">
        <f>HYPERLINK("https://www.linkedin.com/ad-library/detail/1374156556","Open Ad")</f>
        <v>Open Ad</v>
      </c>
      <c r="E3137" s="4" t="s">
        <v>78</v>
      </c>
      <c r="F3137" s="4" t="s">
        <v>54</v>
      </c>
      <c r="G3137" s="4" t="s">
        <v>6544</v>
      </c>
      <c r="H3137" s="4" t="s">
        <v>49</v>
      </c>
      <c r="I3137" s="4" t="s">
        <v>6005</v>
      </c>
      <c r="J3137" s="4" t="s">
        <v>78</v>
      </c>
      <c r="K3137" s="5" t="str">
        <f>HYPERLINK("https://media.licdn.com/dms/image/v2/D4E10AQHh8QXsUTwTLQ/image-shrink_1280/B4EZzj8CgOKQAc-/0/1773350693435?e=2147483647&amp;v=beta&amp;t=oOeNo28sJ1rA9BvUwJALGKNmBemHszGNk9sT0ZhnDIw","View Creative")</f>
        <v>View Creative</v>
      </c>
      <c r="L3137" s="4" t="s">
        <v>106</v>
      </c>
      <c r="M3137" s="4" t="s">
        <v>5965</v>
      </c>
      <c r="O3137" s="4" t="s">
        <v>63</v>
      </c>
      <c r="P3137" s="4" t="s">
        <v>64</v>
      </c>
    </row>
    <row r="3138">
      <c r="A3138" s="4" t="s">
        <v>5965</v>
      </c>
      <c r="B3138" s="4" t="s">
        <v>5965</v>
      </c>
      <c r="C3138" s="4">
        <v>1527.0</v>
      </c>
      <c r="D3138" s="5" t="str">
        <f>HYPERLINK("https://www.linkedin.com/ad-library/detail/1374097716","Open Ad")</f>
        <v>Open Ad</v>
      </c>
      <c r="E3138" s="4" t="s">
        <v>78</v>
      </c>
      <c r="F3138" s="4" t="s">
        <v>54</v>
      </c>
      <c r="G3138" s="4" t="s">
        <v>6593</v>
      </c>
      <c r="H3138" s="4" t="s">
        <v>49</v>
      </c>
      <c r="I3138" s="4" t="s">
        <v>6005</v>
      </c>
      <c r="J3138" s="4" t="s">
        <v>78</v>
      </c>
      <c r="K3138" s="5" t="str">
        <f>HYPERLINK("https://media.licdn.com/dms/image/v2/D4E10AQGHiNtXjVwnLw/image-shrink_1280/B4EZz75zt.GwAc-/0/1773752761744?e=2147483647&amp;v=beta&amp;t=J9mqFtNSJjW0JhFfDanM9cwcBVnF0Id8r9zvUjP_PPA","View Creative")</f>
        <v>View Creative</v>
      </c>
      <c r="L3138" s="4" t="s">
        <v>106</v>
      </c>
      <c r="M3138" s="4" t="s">
        <v>5965</v>
      </c>
      <c r="O3138" s="4" t="s">
        <v>63</v>
      </c>
      <c r="P3138" s="4" t="s">
        <v>64</v>
      </c>
    </row>
    <row r="3139">
      <c r="A3139" s="4" t="s">
        <v>5965</v>
      </c>
      <c r="B3139" s="4" t="s">
        <v>5965</v>
      </c>
      <c r="C3139" s="4">
        <v>1528.0</v>
      </c>
      <c r="D3139" s="5" t="str">
        <f>HYPERLINK("https://www.linkedin.com/ad-library/detail/1230922774","Open Ad")</f>
        <v>Open Ad</v>
      </c>
      <c r="E3139" s="4" t="s">
        <v>78</v>
      </c>
      <c r="F3139" s="4" t="s">
        <v>54</v>
      </c>
      <c r="G3139" s="4" t="s">
        <v>6560</v>
      </c>
      <c r="H3139" s="4" t="s">
        <v>49</v>
      </c>
      <c r="I3139" s="4" t="s">
        <v>6005</v>
      </c>
      <c r="J3139" s="4" t="s">
        <v>78</v>
      </c>
      <c r="K3139" s="5" t="str">
        <f>HYPERLINK("https://media.licdn.com/dms/image/v2/D4E22AQH89hDKeV79KQ/feedshare-image-high-res/B4EZy5vRsAJAAU-/0/1772642704374?e=2147483647&amp;v=beta&amp;t=VBy6klcva4JII_0pR-GTKgB4RWbcJCTANhnpkulS8Sw","View Creative")</f>
        <v>View Creative</v>
      </c>
      <c r="L3139" s="4" t="s">
        <v>106</v>
      </c>
      <c r="M3139" s="4" t="s">
        <v>5965</v>
      </c>
      <c r="O3139" s="4" t="s">
        <v>63</v>
      </c>
      <c r="P3139" s="4" t="s">
        <v>64</v>
      </c>
    </row>
    <row r="3140">
      <c r="A3140" s="4" t="s">
        <v>5965</v>
      </c>
      <c r="B3140" s="4" t="s">
        <v>5965</v>
      </c>
      <c r="C3140" s="4">
        <v>1529.0</v>
      </c>
      <c r="D3140" s="5" t="str">
        <f>HYPERLINK("https://www.linkedin.com/ad-library/detail/1374127586","Open Ad")</f>
        <v>Open Ad</v>
      </c>
      <c r="E3140" s="4" t="s">
        <v>121</v>
      </c>
      <c r="F3140" s="4" t="s">
        <v>54</v>
      </c>
      <c r="G3140" s="4" t="s">
        <v>6559</v>
      </c>
      <c r="H3140" s="4" t="s">
        <v>49</v>
      </c>
      <c r="I3140" s="4" t="s">
        <v>6005</v>
      </c>
      <c r="J3140" s="4" t="s">
        <v>121</v>
      </c>
      <c r="K3140" s="5" t="str">
        <f>HYPERLINK("https://dms.licdn.com/playlist/vid/v2/D4E10AQHeAzMp6wXICg/mp4-720p-30fp-crf28/B4EZznY.k2IUCE-/0/1773408615246?e=2147483647&amp;v=beta&amp;t=8tlPTvtrKX28l-U0kqNlBMpijrCLL5x93WDV620buH4","View Creative")</f>
        <v>View Creative</v>
      </c>
      <c r="L3140" s="4" t="s">
        <v>106</v>
      </c>
      <c r="M3140" s="4" t="s">
        <v>5965</v>
      </c>
      <c r="O3140" s="4" t="s">
        <v>63</v>
      </c>
      <c r="P3140" s="4" t="s">
        <v>64</v>
      </c>
    </row>
    <row r="3141">
      <c r="A3141" s="4" t="s">
        <v>5965</v>
      </c>
      <c r="B3141" s="4" t="s">
        <v>5965</v>
      </c>
      <c r="C3141" s="4">
        <v>1530.0</v>
      </c>
      <c r="D3141" s="5" t="str">
        <f>HYPERLINK("https://www.linkedin.com/ad-library/detail/1230528444","Open Ad")</f>
        <v>Open Ad</v>
      </c>
      <c r="E3141" s="4" t="s">
        <v>78</v>
      </c>
      <c r="F3141" s="4" t="s">
        <v>54</v>
      </c>
      <c r="G3141" s="4" t="s">
        <v>6560</v>
      </c>
      <c r="H3141" s="4" t="s">
        <v>49</v>
      </c>
      <c r="I3141" s="4" t="s">
        <v>6005</v>
      </c>
      <c r="J3141" s="4" t="s">
        <v>78</v>
      </c>
      <c r="K3141" s="5" t="str">
        <f>HYPERLINK("https://media.licdn.com/dms/image/v2/D4E22AQH89hDKeV79KQ/feedshare-image-high-res/B4EZy5vRsAJAAU-/0/1772642704374?e=2147483647&amp;v=beta&amp;t=VBy6klcva4JII_0pR-GTKgB4RWbcJCTANhnpkulS8Sw","View Creative")</f>
        <v>View Creative</v>
      </c>
      <c r="L3141" s="4" t="s">
        <v>106</v>
      </c>
      <c r="M3141" s="4" t="s">
        <v>5965</v>
      </c>
      <c r="O3141" s="4" t="s">
        <v>63</v>
      </c>
      <c r="P3141" s="4" t="s">
        <v>64</v>
      </c>
    </row>
    <row r="3142">
      <c r="A3142" s="4" t="s">
        <v>5965</v>
      </c>
      <c r="B3142" s="4" t="s">
        <v>5965</v>
      </c>
      <c r="C3142" s="4">
        <v>1531.0</v>
      </c>
      <c r="D3142" s="5" t="str">
        <f>HYPERLINK("https://www.linkedin.com/ad-library/detail/1193130913","Open Ad")</f>
        <v>Open Ad</v>
      </c>
      <c r="E3142" s="4" t="s">
        <v>78</v>
      </c>
      <c r="F3142" s="4" t="s">
        <v>54</v>
      </c>
      <c r="G3142" s="4" t="s">
        <v>6597</v>
      </c>
      <c r="H3142" s="4" t="s">
        <v>49</v>
      </c>
      <c r="I3142" s="4" t="s">
        <v>6005</v>
      </c>
      <c r="J3142" s="4" t="s">
        <v>78</v>
      </c>
      <c r="K3142" s="4" t="s">
        <v>59</v>
      </c>
      <c r="L3142" s="4" t="s">
        <v>106</v>
      </c>
      <c r="M3142" s="4" t="s">
        <v>5965</v>
      </c>
      <c r="O3142" s="4" t="s">
        <v>63</v>
      </c>
      <c r="P3142" s="4" t="s">
        <v>64</v>
      </c>
    </row>
    <row r="3143">
      <c r="A3143" s="4" t="s">
        <v>5965</v>
      </c>
      <c r="B3143" s="4" t="s">
        <v>5965</v>
      </c>
      <c r="C3143" s="4">
        <v>1532.0</v>
      </c>
      <c r="D3143" s="5" t="str">
        <f>HYPERLINK("https://www.linkedin.com/ad-library/detail/1193330363","Open Ad")</f>
        <v>Open Ad</v>
      </c>
      <c r="E3143" s="4" t="s">
        <v>78</v>
      </c>
      <c r="F3143" s="4" t="s">
        <v>54</v>
      </c>
      <c r="G3143" s="4" t="s">
        <v>6597</v>
      </c>
      <c r="H3143" s="4" t="s">
        <v>49</v>
      </c>
      <c r="I3143" s="4" t="s">
        <v>6005</v>
      </c>
      <c r="J3143" s="4" t="s">
        <v>78</v>
      </c>
      <c r="K3143" s="4" t="s">
        <v>59</v>
      </c>
      <c r="L3143" s="4" t="s">
        <v>106</v>
      </c>
      <c r="M3143" s="4" t="s">
        <v>5965</v>
      </c>
      <c r="O3143" s="4" t="s">
        <v>63</v>
      </c>
      <c r="P3143" s="4" t="s">
        <v>64</v>
      </c>
    </row>
    <row r="3144">
      <c r="A3144" s="4" t="s">
        <v>5965</v>
      </c>
      <c r="B3144" s="4" t="s">
        <v>5965</v>
      </c>
      <c r="C3144" s="4">
        <v>1533.0</v>
      </c>
      <c r="D3144" s="5" t="str">
        <f>HYPERLINK("https://www.linkedin.com/ad-library/detail/1374233796","Open Ad")</f>
        <v>Open Ad</v>
      </c>
      <c r="E3144" s="4" t="s">
        <v>78</v>
      </c>
      <c r="F3144" s="4" t="s">
        <v>54</v>
      </c>
      <c r="G3144" s="4" t="s">
        <v>6593</v>
      </c>
      <c r="H3144" s="4" t="s">
        <v>49</v>
      </c>
      <c r="I3144" s="4" t="s">
        <v>6005</v>
      </c>
      <c r="J3144" s="4" t="s">
        <v>78</v>
      </c>
      <c r="K3144" s="5" t="str">
        <f>HYPERLINK("https://media.licdn.com/dms/image/v2/D4E10AQGHiNtXjVwnLw/image-shrink_1280/B4EZz75zt.GwAc-/0/1773752761744?e=2147483647&amp;v=beta&amp;t=J9mqFtNSJjW0JhFfDanM9cwcBVnF0Id8r9zvUjP_PPA","View Creative")</f>
        <v>View Creative</v>
      </c>
      <c r="L3144" s="4" t="s">
        <v>106</v>
      </c>
      <c r="M3144" s="4" t="s">
        <v>5965</v>
      </c>
      <c r="O3144" s="4" t="s">
        <v>63</v>
      </c>
      <c r="P3144" s="4" t="s">
        <v>64</v>
      </c>
    </row>
    <row r="3145">
      <c r="A3145" s="4" t="s">
        <v>5965</v>
      </c>
      <c r="B3145" s="4" t="s">
        <v>5965</v>
      </c>
      <c r="C3145" s="4">
        <v>1534.0</v>
      </c>
      <c r="D3145" s="5" t="str">
        <f>HYPERLINK("https://www.linkedin.com/ad-library/detail/1372767576","Open Ad")</f>
        <v>Open Ad</v>
      </c>
      <c r="E3145" s="4" t="s">
        <v>78</v>
      </c>
      <c r="F3145" s="4" t="s">
        <v>54</v>
      </c>
      <c r="G3145" s="4" t="s">
        <v>6598</v>
      </c>
      <c r="H3145" s="4" t="s">
        <v>49</v>
      </c>
      <c r="I3145" s="4" t="s">
        <v>6005</v>
      </c>
      <c r="J3145" s="4" t="s">
        <v>78</v>
      </c>
      <c r="K3145" s="4" t="s">
        <v>59</v>
      </c>
      <c r="L3145" s="4" t="s">
        <v>106</v>
      </c>
      <c r="M3145" s="4" t="s">
        <v>5965</v>
      </c>
      <c r="O3145" s="4" t="s">
        <v>63</v>
      </c>
      <c r="P3145" s="4" t="s">
        <v>64</v>
      </c>
    </row>
    <row r="3146">
      <c r="A3146" s="4" t="s">
        <v>5965</v>
      </c>
      <c r="B3146" s="4" t="s">
        <v>5965</v>
      </c>
      <c r="C3146" s="4">
        <v>1535.0</v>
      </c>
      <c r="D3146" s="5" t="str">
        <f>HYPERLINK("https://www.linkedin.com/ad-library/detail/1374087566","Open Ad")</f>
        <v>Open Ad</v>
      </c>
      <c r="E3146" s="4" t="s">
        <v>78</v>
      </c>
      <c r="F3146" s="4" t="s">
        <v>54</v>
      </c>
      <c r="G3146" s="4" t="s">
        <v>6593</v>
      </c>
      <c r="H3146" s="4" t="s">
        <v>49</v>
      </c>
      <c r="I3146" s="4" t="s">
        <v>6005</v>
      </c>
      <c r="J3146" s="4" t="s">
        <v>78</v>
      </c>
      <c r="K3146" s="5" t="str">
        <f>HYPERLINK("https://media.licdn.com/dms/image/v2/D4E10AQGHiNtXjVwnLw/image-shrink_1280/B4EZz75zt.GwAc-/0/1773752761744?e=2147483647&amp;v=beta&amp;t=J9mqFtNSJjW0JhFfDanM9cwcBVnF0Id8r9zvUjP_PPA","View Creative")</f>
        <v>View Creative</v>
      </c>
      <c r="L3146" s="4" t="s">
        <v>106</v>
      </c>
      <c r="M3146" s="4" t="s">
        <v>5965</v>
      </c>
      <c r="O3146" s="4" t="s">
        <v>63</v>
      </c>
      <c r="P3146" s="4" t="s">
        <v>64</v>
      </c>
    </row>
    <row r="3147">
      <c r="A3147" s="4" t="s">
        <v>5965</v>
      </c>
      <c r="B3147" s="4" t="s">
        <v>5965</v>
      </c>
      <c r="C3147" s="4">
        <v>1536.0</v>
      </c>
      <c r="D3147" s="5" t="str">
        <f>HYPERLINK("https://www.linkedin.com/ad-library/detail/1372762466","Open Ad")</f>
        <v>Open Ad</v>
      </c>
      <c r="E3147" s="4" t="s">
        <v>78</v>
      </c>
      <c r="F3147" s="4" t="s">
        <v>54</v>
      </c>
      <c r="G3147" s="4" t="s">
        <v>6599</v>
      </c>
      <c r="H3147" s="4" t="s">
        <v>49</v>
      </c>
      <c r="I3147" s="4" t="s">
        <v>6005</v>
      </c>
      <c r="J3147" s="4" t="s">
        <v>78</v>
      </c>
      <c r="K3147" s="5" t="str">
        <f>HYPERLINK("https://media.licdn.com/dms/image/v2/D5610AQEsX8RB5dt9ng/image-shrink_1280/B56Zz44Oh9H0Ac-/0/1773702016142/image40png?e=2147483647&amp;v=beta&amp;t=B57DB4IPqqOmNeTnbzcWpFkbuj6PmKFs-l4H1UTF9rI","View Creative")</f>
        <v>View Creative</v>
      </c>
      <c r="L3147" s="4" t="s">
        <v>106</v>
      </c>
      <c r="M3147" s="4" t="s">
        <v>5965</v>
      </c>
      <c r="O3147" s="4" t="s">
        <v>63</v>
      </c>
      <c r="P3147" s="4" t="s">
        <v>64</v>
      </c>
    </row>
    <row r="3148">
      <c r="A3148" s="4" t="s">
        <v>5965</v>
      </c>
      <c r="B3148" s="4" t="s">
        <v>5965</v>
      </c>
      <c r="C3148" s="4">
        <v>1537.0</v>
      </c>
      <c r="D3148" s="5" t="str">
        <f>HYPERLINK("https://www.linkedin.com/ad-library/detail/1365901476","Open Ad")</f>
        <v>Open Ad</v>
      </c>
      <c r="E3148" s="4" t="s">
        <v>78</v>
      </c>
      <c r="F3148" s="4" t="s">
        <v>54</v>
      </c>
      <c r="G3148" s="4" t="s">
        <v>6600</v>
      </c>
      <c r="H3148" s="4" t="s">
        <v>49</v>
      </c>
      <c r="I3148" s="4" t="s">
        <v>6005</v>
      </c>
      <c r="J3148" s="4" t="s">
        <v>78</v>
      </c>
      <c r="K3148" s="5" t="str">
        <f>HYPERLINK("https://media.licdn.com/dms/image/v2/D5622AQFkqw5otyD-Qw/feedshare-image-high-res/B56ZzEh_92H8AU-/0/1772823775732?e=2147483647&amp;v=beta&amp;t=Poi64wrsiMxNeGZ53-Zfd5We10ByTAvHXx4dPIk5Gn0","View Creative")</f>
        <v>View Creative</v>
      </c>
      <c r="L3148" s="4" t="s">
        <v>106</v>
      </c>
      <c r="M3148" s="4" t="s">
        <v>5965</v>
      </c>
      <c r="O3148" s="4" t="s">
        <v>63</v>
      </c>
      <c r="P3148" s="4" t="s">
        <v>64</v>
      </c>
    </row>
    <row r="3149">
      <c r="A3149" s="4" t="s">
        <v>5965</v>
      </c>
      <c r="B3149" s="4" t="s">
        <v>5965</v>
      </c>
      <c r="C3149" s="4">
        <v>1538.0</v>
      </c>
      <c r="D3149" s="5" t="str">
        <f>HYPERLINK("https://www.linkedin.com/ad-library/detail/1365844436","Open Ad")</f>
        <v>Open Ad</v>
      </c>
      <c r="E3149" s="4" t="s">
        <v>121</v>
      </c>
      <c r="F3149" s="4" t="s">
        <v>54</v>
      </c>
      <c r="G3149" s="4" t="s">
        <v>6601</v>
      </c>
      <c r="H3149" s="4" t="s">
        <v>49</v>
      </c>
      <c r="I3149" s="4" t="s">
        <v>6005</v>
      </c>
      <c r="J3149" s="4" t="s">
        <v>121</v>
      </c>
      <c r="K3149" s="5" t="str">
        <f>HYPERLINK("https://dms.licdn.com/playlist/vid/v2/D4E05AQER3AE4MRJbHg/mp4-640p-30fp-crf28/B4EZzTDhUrJsB0-/0/1773067448717?e=2147483647&amp;v=beta&amp;t=84eH2Og1T5g3Dc_4t_lLc0ZHibdbhHyCK1VvcLyCFIU","View Creative")</f>
        <v>View Creative</v>
      </c>
      <c r="L3149" s="4" t="s">
        <v>106</v>
      </c>
      <c r="M3149" s="4" t="s">
        <v>5965</v>
      </c>
      <c r="O3149" s="4" t="s">
        <v>63</v>
      </c>
      <c r="P3149" s="4" t="s">
        <v>64</v>
      </c>
    </row>
    <row r="3150">
      <c r="A3150" s="4" t="s">
        <v>5965</v>
      </c>
      <c r="B3150" s="4" t="s">
        <v>5965</v>
      </c>
      <c r="C3150" s="4">
        <v>1539.0</v>
      </c>
      <c r="D3150" s="5" t="str">
        <f>HYPERLINK("https://www.linkedin.com/ad-library/detail/1365785546","Open Ad")</f>
        <v>Open Ad</v>
      </c>
      <c r="E3150" s="4" t="s">
        <v>5970</v>
      </c>
      <c r="F3150" s="4" t="s">
        <v>54</v>
      </c>
      <c r="G3150" s="4" t="s">
        <v>6602</v>
      </c>
      <c r="H3150" s="4" t="s">
        <v>49</v>
      </c>
      <c r="I3150" s="4" t="s">
        <v>6005</v>
      </c>
      <c r="J3150" s="4" t="s">
        <v>5973</v>
      </c>
      <c r="K3150" s="4" t="s">
        <v>59</v>
      </c>
      <c r="L3150" s="4" t="s">
        <v>106</v>
      </c>
      <c r="M3150" s="4" t="s">
        <v>5965</v>
      </c>
      <c r="O3150" s="4" t="s">
        <v>63</v>
      </c>
      <c r="P3150" s="4" t="s">
        <v>64</v>
      </c>
    </row>
    <row r="3151">
      <c r="A3151" s="4" t="s">
        <v>5965</v>
      </c>
      <c r="B3151" s="4" t="s">
        <v>5965</v>
      </c>
      <c r="C3151" s="4">
        <v>1540.0</v>
      </c>
      <c r="D3151" s="5" t="str">
        <f>HYPERLINK("https://www.linkedin.com/ad-library/detail/1191842823","Open Ad")</f>
        <v>Open Ad</v>
      </c>
      <c r="E3151" s="4" t="s">
        <v>78</v>
      </c>
      <c r="F3151" s="4" t="s">
        <v>54</v>
      </c>
      <c r="G3151" s="4" t="s">
        <v>6603</v>
      </c>
      <c r="H3151" s="4" t="s">
        <v>49</v>
      </c>
      <c r="I3151" s="4" t="s">
        <v>6005</v>
      </c>
      <c r="J3151" s="4" t="s">
        <v>78</v>
      </c>
      <c r="K3151" s="5" t="str">
        <f>HYPERLINK("https://media.licdn.com/dms/image/v2/D4E22AQEcQfQtZW_Jtw/feedshare-shrink_1280/B4EZzbzDXYIEAM-/0/1773214120334?e=2147483647&amp;v=beta&amp;t=D-ZQGQsRwY9ly0NLUcDgrzJoB1leulTufxBnL9yC6tU","View Creative")</f>
        <v>View Creative</v>
      </c>
      <c r="L3151" s="4" t="s">
        <v>106</v>
      </c>
      <c r="M3151" s="4" t="s">
        <v>5965</v>
      </c>
      <c r="O3151" s="4" t="s">
        <v>63</v>
      </c>
      <c r="P3151" s="4" t="s">
        <v>64</v>
      </c>
    </row>
    <row r="3152">
      <c r="A3152" s="4" t="s">
        <v>5965</v>
      </c>
      <c r="B3152" s="4" t="s">
        <v>5965</v>
      </c>
      <c r="C3152" s="4">
        <v>1541.0</v>
      </c>
      <c r="D3152" s="5" t="str">
        <f>HYPERLINK("https://www.linkedin.com/ad-library/detail/1230528404","Open Ad")</f>
        <v>Open Ad</v>
      </c>
      <c r="E3152" s="4" t="s">
        <v>78</v>
      </c>
      <c r="F3152" s="4" t="s">
        <v>54</v>
      </c>
      <c r="G3152" s="4" t="s">
        <v>6560</v>
      </c>
      <c r="H3152" s="4" t="s">
        <v>49</v>
      </c>
      <c r="I3152" s="4" t="s">
        <v>6005</v>
      </c>
      <c r="J3152" s="4" t="s">
        <v>78</v>
      </c>
      <c r="K3152" s="5" t="str">
        <f>HYPERLINK("https://media.licdn.com/dms/image/v2/D4E22AQH89hDKeV79KQ/feedshare-image-high-res/B4EZy5vRsAJAAU-/0/1772642704374?e=2147483647&amp;v=beta&amp;t=VBy6klcva4JII_0pR-GTKgB4RWbcJCTANhnpkulS8Sw","View Creative")</f>
        <v>View Creative</v>
      </c>
      <c r="L3152" s="4" t="s">
        <v>106</v>
      </c>
      <c r="M3152" s="4" t="s">
        <v>5965</v>
      </c>
      <c r="O3152" s="4" t="s">
        <v>63</v>
      </c>
      <c r="P3152" s="4" t="s">
        <v>64</v>
      </c>
    </row>
    <row r="3153">
      <c r="A3153" s="4" t="s">
        <v>5965</v>
      </c>
      <c r="B3153" s="4" t="s">
        <v>5965</v>
      </c>
      <c r="C3153" s="4">
        <v>1542.0</v>
      </c>
      <c r="D3153" s="5" t="str">
        <f>HYPERLINK("https://www.linkedin.com/ad-library/detail/1370176366","Open Ad")</f>
        <v>Open Ad</v>
      </c>
      <c r="E3153" s="4" t="s">
        <v>78</v>
      </c>
      <c r="F3153" s="4" t="s">
        <v>54</v>
      </c>
      <c r="G3153" s="4" t="s">
        <v>6604</v>
      </c>
      <c r="H3153" s="4" t="s">
        <v>49</v>
      </c>
      <c r="I3153" s="4" t="s">
        <v>6005</v>
      </c>
      <c r="J3153" s="4" t="s">
        <v>78</v>
      </c>
      <c r="K3153" s="5" t="str">
        <f>HYPERLINK("https://media.licdn.com/dms/image/v2/D5622AQHMjvUdk6yyAw/feedshare-shrink_1280/B56ZzZnd5eGkAU-/0/1773177529021?e=2147483647&amp;v=beta&amp;t=pH-uzhnHEvsoB7W0qiFLaOtww9DFZSfX18rf8maIV7M","View Creative")</f>
        <v>View Creative</v>
      </c>
      <c r="L3153" s="4" t="s">
        <v>106</v>
      </c>
      <c r="M3153" s="4" t="s">
        <v>5965</v>
      </c>
      <c r="O3153" s="4" t="s">
        <v>63</v>
      </c>
      <c r="P3153" s="4" t="s">
        <v>64</v>
      </c>
    </row>
    <row r="3154">
      <c r="A3154" s="4" t="s">
        <v>5965</v>
      </c>
      <c r="B3154" s="4" t="s">
        <v>5965</v>
      </c>
      <c r="C3154" s="4">
        <v>1543.0</v>
      </c>
      <c r="D3154" s="5" t="str">
        <f>HYPERLINK("https://www.linkedin.com/ad-library/detail/1230528424","Open Ad")</f>
        <v>Open Ad</v>
      </c>
      <c r="E3154" s="4" t="s">
        <v>78</v>
      </c>
      <c r="F3154" s="4" t="s">
        <v>54</v>
      </c>
      <c r="G3154" s="4" t="s">
        <v>6560</v>
      </c>
      <c r="H3154" s="4" t="s">
        <v>49</v>
      </c>
      <c r="I3154" s="4" t="s">
        <v>6005</v>
      </c>
      <c r="J3154" s="4" t="s">
        <v>78</v>
      </c>
      <c r="K3154" s="5" t="str">
        <f>HYPERLINK("https://media.licdn.com/dms/image/v2/D4E22AQH89hDKeV79KQ/feedshare-image-high-res/B4EZy5vRsAJAAU-/0/1772642704374?e=2147483647&amp;v=beta&amp;t=VBy6klcva4JII_0pR-GTKgB4RWbcJCTANhnpkulS8Sw","View Creative")</f>
        <v>View Creative</v>
      </c>
      <c r="L3154" s="4" t="s">
        <v>106</v>
      </c>
      <c r="M3154" s="4" t="s">
        <v>5965</v>
      </c>
      <c r="O3154" s="4" t="s">
        <v>63</v>
      </c>
      <c r="P3154" s="4" t="s">
        <v>64</v>
      </c>
    </row>
    <row r="3155">
      <c r="A3155" s="4" t="s">
        <v>5965</v>
      </c>
      <c r="B3155" s="4" t="s">
        <v>5965</v>
      </c>
      <c r="C3155" s="4">
        <v>1544.0</v>
      </c>
      <c r="D3155" s="5" t="str">
        <f>HYPERLINK("https://www.linkedin.com/ad-library/detail/1365891356","Open Ad")</f>
        <v>Open Ad</v>
      </c>
      <c r="E3155" s="4" t="s">
        <v>78</v>
      </c>
      <c r="F3155" s="4" t="s">
        <v>54</v>
      </c>
      <c r="G3155" s="4" t="s">
        <v>6605</v>
      </c>
      <c r="H3155" s="4" t="s">
        <v>49</v>
      </c>
      <c r="I3155" s="4" t="s">
        <v>6005</v>
      </c>
      <c r="J3155" s="4" t="s">
        <v>78</v>
      </c>
      <c r="K3155" s="5" t="str">
        <f>HYPERLINK("https://media.licdn.com/dms/image/v2/D4E22AQGR7qmjnHGYJg/feedshare-shrink_1280/B4EZzYL7eVHYAM-/0/1773153532148?e=2147483647&amp;v=beta&amp;t=aZiWNEsw5GYjMXYmZRkirnrKdhORkXT1iqpigBmXM_4","View Creative")</f>
        <v>View Creative</v>
      </c>
      <c r="L3155" s="4" t="s">
        <v>106</v>
      </c>
      <c r="M3155" s="4" t="s">
        <v>5965</v>
      </c>
      <c r="O3155" s="4" t="s">
        <v>63</v>
      </c>
      <c r="P3155" s="4" t="s">
        <v>64</v>
      </c>
    </row>
    <row r="3156">
      <c r="A3156" s="4" t="s">
        <v>5965</v>
      </c>
      <c r="B3156" s="4" t="s">
        <v>5965</v>
      </c>
      <c r="C3156" s="4">
        <v>1545.0</v>
      </c>
      <c r="D3156" s="5" t="str">
        <f>HYPERLINK("https://www.linkedin.com/ad-library/detail/1370330566","Open Ad")</f>
        <v>Open Ad</v>
      </c>
      <c r="E3156" s="4" t="s">
        <v>78</v>
      </c>
      <c r="F3156" s="4" t="s">
        <v>54</v>
      </c>
      <c r="G3156" s="4" t="s">
        <v>6604</v>
      </c>
      <c r="H3156" s="4" t="s">
        <v>49</v>
      </c>
      <c r="I3156" s="4" t="s">
        <v>6005</v>
      </c>
      <c r="J3156" s="4" t="s">
        <v>78</v>
      </c>
      <c r="K3156" s="5" t="str">
        <f>HYPERLINK("https://media.licdn.com/dms/image/v2/D5622AQHMjvUdk6yyAw/feedshare-shrink_1280/B56ZzZnd5eGkAU-/0/1773177529021?e=2147483647&amp;v=beta&amp;t=pH-uzhnHEvsoB7W0qiFLaOtww9DFZSfX18rf8maIV7M","View Creative")</f>
        <v>View Creative</v>
      </c>
      <c r="L3156" s="4" t="s">
        <v>106</v>
      </c>
      <c r="M3156" s="4" t="s">
        <v>5965</v>
      </c>
      <c r="O3156" s="4" t="s">
        <v>63</v>
      </c>
      <c r="P3156" s="4" t="s">
        <v>64</v>
      </c>
    </row>
    <row r="3157">
      <c r="A3157" s="4" t="s">
        <v>5965</v>
      </c>
      <c r="B3157" s="4" t="s">
        <v>5965</v>
      </c>
      <c r="C3157" s="4">
        <v>1546.0</v>
      </c>
      <c r="D3157" s="5" t="str">
        <f>HYPERLINK("https://www.linkedin.com/ad-library/detail/1370282786","Open Ad")</f>
        <v>Open Ad</v>
      </c>
      <c r="E3157" s="4" t="s">
        <v>78</v>
      </c>
      <c r="F3157" s="4" t="s">
        <v>54</v>
      </c>
      <c r="G3157" s="4" t="s">
        <v>6598</v>
      </c>
      <c r="H3157" s="4" t="s">
        <v>49</v>
      </c>
      <c r="I3157" s="4" t="s">
        <v>6005</v>
      </c>
      <c r="J3157" s="4" t="s">
        <v>78</v>
      </c>
      <c r="K3157" s="4" t="s">
        <v>59</v>
      </c>
      <c r="L3157" s="4" t="s">
        <v>106</v>
      </c>
      <c r="M3157" s="4" t="s">
        <v>5965</v>
      </c>
      <c r="O3157" s="4" t="s">
        <v>63</v>
      </c>
      <c r="P3157" s="4" t="s">
        <v>64</v>
      </c>
    </row>
    <row r="3158">
      <c r="A3158" s="4" t="s">
        <v>5965</v>
      </c>
      <c r="B3158" s="4" t="s">
        <v>5965</v>
      </c>
      <c r="C3158" s="4">
        <v>1547.0</v>
      </c>
      <c r="D3158" s="5" t="str">
        <f>HYPERLINK("https://www.linkedin.com/ad-library/detail/1230726824","Open Ad")</f>
        <v>Open Ad</v>
      </c>
      <c r="E3158" s="4" t="s">
        <v>78</v>
      </c>
      <c r="F3158" s="4" t="s">
        <v>54</v>
      </c>
      <c r="G3158" s="4" t="s">
        <v>6560</v>
      </c>
      <c r="H3158" s="4" t="s">
        <v>49</v>
      </c>
      <c r="I3158" s="4" t="s">
        <v>6005</v>
      </c>
      <c r="J3158" s="4" t="s">
        <v>78</v>
      </c>
      <c r="K3158" s="5" t="str">
        <f t="shared" ref="K3158:K3159" si="164">HYPERLINK("https://media.licdn.com/dms/image/v2/D4E22AQH89hDKeV79KQ/feedshare-image-high-res/B4EZy5vRsAJAAU-/0/1772642704374?e=2147483647&amp;v=beta&amp;t=VBy6klcva4JII_0pR-GTKgB4RWbcJCTANhnpkulS8Sw","View Creative")</f>
        <v>View Creative</v>
      </c>
      <c r="L3158" s="4" t="s">
        <v>106</v>
      </c>
      <c r="M3158" s="4" t="s">
        <v>5965</v>
      </c>
      <c r="O3158" s="4" t="s">
        <v>63</v>
      </c>
      <c r="P3158" s="4" t="s">
        <v>64</v>
      </c>
    </row>
    <row r="3159">
      <c r="A3159" s="4" t="s">
        <v>5965</v>
      </c>
      <c r="B3159" s="4" t="s">
        <v>5965</v>
      </c>
      <c r="C3159" s="4">
        <v>1548.0</v>
      </c>
      <c r="D3159" s="5" t="str">
        <f>HYPERLINK("https://www.linkedin.com/ad-library/detail/1232009654","Open Ad")</f>
        <v>Open Ad</v>
      </c>
      <c r="E3159" s="4" t="s">
        <v>78</v>
      </c>
      <c r="F3159" s="4" t="s">
        <v>54</v>
      </c>
      <c r="G3159" s="4" t="s">
        <v>6560</v>
      </c>
      <c r="H3159" s="4" t="s">
        <v>49</v>
      </c>
      <c r="I3159" s="4" t="s">
        <v>6005</v>
      </c>
      <c r="J3159" s="4" t="s">
        <v>78</v>
      </c>
      <c r="K3159" s="5" t="str">
        <f t="shared" si="164"/>
        <v>View Creative</v>
      </c>
      <c r="L3159" s="4" t="s">
        <v>106</v>
      </c>
      <c r="M3159" s="4" t="s">
        <v>5965</v>
      </c>
      <c r="O3159" s="4" t="s">
        <v>63</v>
      </c>
      <c r="P3159" s="4" t="s">
        <v>64</v>
      </c>
    </row>
    <row r="3160">
      <c r="A3160" s="4" t="s">
        <v>5965</v>
      </c>
      <c r="B3160" s="4" t="s">
        <v>5965</v>
      </c>
      <c r="C3160" s="4">
        <v>1549.0</v>
      </c>
      <c r="D3160" s="5" t="str">
        <f>HYPERLINK("https://www.linkedin.com/ad-library/detail/1370156536","Open Ad")</f>
        <v>Open Ad</v>
      </c>
      <c r="E3160" s="4" t="s">
        <v>121</v>
      </c>
      <c r="F3160" s="4" t="s">
        <v>54</v>
      </c>
      <c r="G3160" s="4" t="s">
        <v>6606</v>
      </c>
      <c r="H3160" s="4" t="s">
        <v>49</v>
      </c>
      <c r="I3160" s="4" t="s">
        <v>6005</v>
      </c>
      <c r="J3160" s="4" t="s">
        <v>121</v>
      </c>
      <c r="K3160" s="5" t="str">
        <f>HYPERLINK("https://dms.licdn.com/playlist/vid/v2/D4E05AQHDvDOJkla70A/mp4-640p-30fp-crf28/B4EZziRW8gGUBw-/0/1773322733945?e=2147483647&amp;v=beta&amp;t=vJ4f_cpSJGhd3rEwMdQXW6glvUe3yYvL0kCBZk83ix8","View Creative")</f>
        <v>View Creative</v>
      </c>
      <c r="L3160" s="4" t="s">
        <v>106</v>
      </c>
      <c r="M3160" s="4" t="s">
        <v>5965</v>
      </c>
      <c r="O3160" s="4" t="s">
        <v>63</v>
      </c>
      <c r="P3160" s="4" t="s">
        <v>64</v>
      </c>
    </row>
    <row r="3161">
      <c r="A3161" s="4" t="s">
        <v>5965</v>
      </c>
      <c r="B3161" s="4" t="s">
        <v>5965</v>
      </c>
      <c r="C3161" s="4">
        <v>1550.0</v>
      </c>
      <c r="D3161" s="5" t="str">
        <f>HYPERLINK("https://www.linkedin.com/ad-library/detail/1365910366","Open Ad")</f>
        <v>Open Ad</v>
      </c>
      <c r="E3161" s="4" t="s">
        <v>78</v>
      </c>
      <c r="F3161" s="4" t="s">
        <v>54</v>
      </c>
      <c r="G3161" s="4" t="s">
        <v>6605</v>
      </c>
      <c r="H3161" s="4" t="s">
        <v>49</v>
      </c>
      <c r="I3161" s="4" t="s">
        <v>6005</v>
      </c>
      <c r="J3161" s="4" t="s">
        <v>78</v>
      </c>
      <c r="K3161" s="5" t="str">
        <f>HYPERLINK("https://media.licdn.com/dms/image/v2/D4E22AQGR7qmjnHGYJg/feedshare-shrink_1280/B4EZzYL7eVHYAM-/0/1773153532148?e=2147483647&amp;v=beta&amp;t=aZiWNEsw5GYjMXYmZRkirnrKdhORkXT1iqpigBmXM_4","View Creative")</f>
        <v>View Creative</v>
      </c>
      <c r="L3161" s="4" t="s">
        <v>106</v>
      </c>
      <c r="M3161" s="4" t="s">
        <v>5965</v>
      </c>
      <c r="O3161" s="4" t="s">
        <v>63</v>
      </c>
      <c r="P3161" s="4" t="s">
        <v>64</v>
      </c>
    </row>
    <row r="3162">
      <c r="A3162" s="4" t="s">
        <v>5965</v>
      </c>
      <c r="B3162" s="4" t="s">
        <v>5965</v>
      </c>
      <c r="C3162" s="4">
        <v>1551.0</v>
      </c>
      <c r="D3162" s="5" t="str">
        <f>HYPERLINK("https://www.linkedin.com/ad-library/detail/1365862956","Open Ad")</f>
        <v>Open Ad</v>
      </c>
      <c r="E3162" s="4" t="s">
        <v>121</v>
      </c>
      <c r="F3162" s="4" t="s">
        <v>54</v>
      </c>
      <c r="G3162" s="4" t="s">
        <v>6601</v>
      </c>
      <c r="H3162" s="4" t="s">
        <v>49</v>
      </c>
      <c r="I3162" s="4" t="s">
        <v>6005</v>
      </c>
      <c r="J3162" s="4" t="s">
        <v>121</v>
      </c>
      <c r="K3162" s="5" t="str">
        <f>HYPERLINK("https://dms.licdn.com/playlist/vid/v2/D4E05AQER3AE4MRJbHg/mp4-640p-30fp-crf28/B4EZzTDhUrJsB0-/0/1773067448717?e=2147483647&amp;v=beta&amp;t=84eH2Og1T5g3Dc_4t_lLc0ZHibdbhHyCK1VvcLyCFIU","View Creative")</f>
        <v>View Creative</v>
      </c>
      <c r="L3162" s="4" t="s">
        <v>106</v>
      </c>
      <c r="M3162" s="4" t="s">
        <v>5965</v>
      </c>
      <c r="O3162" s="4" t="s">
        <v>63</v>
      </c>
      <c r="P3162" s="4" t="s">
        <v>64</v>
      </c>
    </row>
    <row r="3163">
      <c r="A3163" s="4" t="s">
        <v>5965</v>
      </c>
      <c r="B3163" s="4" t="s">
        <v>5965</v>
      </c>
      <c r="C3163" s="4">
        <v>1552.0</v>
      </c>
      <c r="D3163" s="5" t="str">
        <f>HYPERLINK("https://www.linkedin.com/ad-library/detail/1370282926","Open Ad")</f>
        <v>Open Ad</v>
      </c>
      <c r="E3163" s="4" t="s">
        <v>78</v>
      </c>
      <c r="F3163" s="4" t="s">
        <v>54</v>
      </c>
      <c r="G3163" s="4" t="s">
        <v>6604</v>
      </c>
      <c r="H3163" s="4" t="s">
        <v>49</v>
      </c>
      <c r="I3163" s="4" t="s">
        <v>6005</v>
      </c>
      <c r="J3163" s="4" t="s">
        <v>78</v>
      </c>
      <c r="K3163" s="5" t="str">
        <f t="shared" ref="K3163:K3164" si="165">HYPERLINK("https://media.licdn.com/dms/image/v2/D5622AQHMjvUdk6yyAw/feedshare-shrink_1280/B56ZzZnd5eGkAU-/0/1773177529021?e=2147483647&amp;v=beta&amp;t=pH-uzhnHEvsoB7W0qiFLaOtww9DFZSfX18rf8maIV7M","View Creative")</f>
        <v>View Creative</v>
      </c>
      <c r="L3163" s="4" t="s">
        <v>106</v>
      </c>
      <c r="M3163" s="4" t="s">
        <v>5965</v>
      </c>
      <c r="O3163" s="4" t="s">
        <v>63</v>
      </c>
      <c r="P3163" s="4" t="s">
        <v>64</v>
      </c>
    </row>
    <row r="3164">
      <c r="A3164" s="4" t="s">
        <v>5965</v>
      </c>
      <c r="B3164" s="4" t="s">
        <v>5965</v>
      </c>
      <c r="C3164" s="4">
        <v>1553.0</v>
      </c>
      <c r="D3164" s="5" t="str">
        <f>HYPERLINK("https://www.linkedin.com/ad-library/detail/1370254766","Open Ad")</f>
        <v>Open Ad</v>
      </c>
      <c r="E3164" s="4" t="s">
        <v>78</v>
      </c>
      <c r="F3164" s="4" t="s">
        <v>54</v>
      </c>
      <c r="G3164" s="4" t="s">
        <v>6604</v>
      </c>
      <c r="H3164" s="4" t="s">
        <v>49</v>
      </c>
      <c r="I3164" s="4" t="s">
        <v>6005</v>
      </c>
      <c r="J3164" s="4" t="s">
        <v>78</v>
      </c>
      <c r="K3164" s="5" t="str">
        <f t="shared" si="165"/>
        <v>View Creative</v>
      </c>
      <c r="L3164" s="4" t="s">
        <v>106</v>
      </c>
      <c r="M3164" s="4" t="s">
        <v>5965</v>
      </c>
      <c r="O3164" s="4" t="s">
        <v>63</v>
      </c>
      <c r="P3164" s="4" t="s">
        <v>64</v>
      </c>
    </row>
    <row r="3165">
      <c r="A3165" s="4" t="s">
        <v>5965</v>
      </c>
      <c r="B3165" s="4" t="s">
        <v>5965</v>
      </c>
      <c r="C3165" s="4">
        <v>1554.0</v>
      </c>
      <c r="D3165" s="5" t="str">
        <f>HYPERLINK("https://www.linkedin.com/ad-library/detail/1230047954","Open Ad")</f>
        <v>Open Ad</v>
      </c>
      <c r="E3165" s="4" t="s">
        <v>78</v>
      </c>
      <c r="F3165" s="4" t="s">
        <v>54</v>
      </c>
      <c r="G3165" s="4" t="s">
        <v>6560</v>
      </c>
      <c r="H3165" s="4" t="s">
        <v>49</v>
      </c>
      <c r="I3165" s="4" t="s">
        <v>6005</v>
      </c>
      <c r="J3165" s="4" t="s">
        <v>78</v>
      </c>
      <c r="K3165" s="5" t="str">
        <f>HYPERLINK("https://media.licdn.com/dms/image/v2/D4E22AQH89hDKeV79KQ/feedshare-image-high-res/B4EZy5vRsAJAAU-/0/1772642704374?e=2147483647&amp;v=beta&amp;t=VBy6klcva4JII_0pR-GTKgB4RWbcJCTANhnpkulS8Sw","View Creative")</f>
        <v>View Creative</v>
      </c>
      <c r="L3165" s="4" t="s">
        <v>106</v>
      </c>
      <c r="M3165" s="4" t="s">
        <v>5965</v>
      </c>
      <c r="O3165" s="4" t="s">
        <v>63</v>
      </c>
      <c r="P3165" s="4" t="s">
        <v>64</v>
      </c>
    </row>
    <row r="3166">
      <c r="A3166" s="4" t="s">
        <v>5965</v>
      </c>
      <c r="B3166" s="4" t="s">
        <v>5965</v>
      </c>
      <c r="C3166" s="4">
        <v>1555.0</v>
      </c>
      <c r="D3166" s="5" t="str">
        <f>HYPERLINK("https://www.linkedin.com/ad-library/detail/1365881386","Open Ad")</f>
        <v>Open Ad</v>
      </c>
      <c r="E3166" s="4" t="s">
        <v>78</v>
      </c>
      <c r="F3166" s="4" t="s">
        <v>54</v>
      </c>
      <c r="G3166" s="4" t="s">
        <v>6605</v>
      </c>
      <c r="H3166" s="4" t="s">
        <v>49</v>
      </c>
      <c r="I3166" s="4" t="s">
        <v>6005</v>
      </c>
      <c r="J3166" s="4" t="s">
        <v>78</v>
      </c>
      <c r="K3166" s="5" t="str">
        <f t="shared" ref="K3166:K3167" si="166">HYPERLINK("https://media.licdn.com/dms/image/v2/D4E22AQGR7qmjnHGYJg/feedshare-shrink_1280/B4EZzYL7eVHYAM-/0/1773153532148?e=2147483647&amp;v=beta&amp;t=aZiWNEsw5GYjMXYmZRkirnrKdhORkXT1iqpigBmXM_4","View Creative")</f>
        <v>View Creative</v>
      </c>
      <c r="L3166" s="4" t="s">
        <v>106</v>
      </c>
      <c r="M3166" s="4" t="s">
        <v>5965</v>
      </c>
      <c r="O3166" s="4" t="s">
        <v>63</v>
      </c>
      <c r="P3166" s="4" t="s">
        <v>64</v>
      </c>
    </row>
    <row r="3167">
      <c r="A3167" s="4" t="s">
        <v>5965</v>
      </c>
      <c r="B3167" s="4" t="s">
        <v>5965</v>
      </c>
      <c r="C3167" s="4">
        <v>1556.0</v>
      </c>
      <c r="D3167" s="5" t="str">
        <f>HYPERLINK("https://www.linkedin.com/ad-library/detail/1365920356","Open Ad")</f>
        <v>Open Ad</v>
      </c>
      <c r="E3167" s="4" t="s">
        <v>78</v>
      </c>
      <c r="F3167" s="4" t="s">
        <v>54</v>
      </c>
      <c r="G3167" s="4" t="s">
        <v>6605</v>
      </c>
      <c r="H3167" s="4" t="s">
        <v>49</v>
      </c>
      <c r="I3167" s="4" t="s">
        <v>6005</v>
      </c>
      <c r="J3167" s="4" t="s">
        <v>78</v>
      </c>
      <c r="K3167" s="5" t="str">
        <f t="shared" si="166"/>
        <v>View Creative</v>
      </c>
      <c r="L3167" s="4" t="s">
        <v>106</v>
      </c>
      <c r="M3167" s="4" t="s">
        <v>5965</v>
      </c>
      <c r="O3167" s="4" t="s">
        <v>63</v>
      </c>
      <c r="P3167" s="4" t="s">
        <v>64</v>
      </c>
    </row>
    <row r="3168">
      <c r="A3168" s="4" t="s">
        <v>5965</v>
      </c>
      <c r="B3168" s="4" t="s">
        <v>5965</v>
      </c>
      <c r="C3168" s="4">
        <v>1557.0</v>
      </c>
      <c r="D3168" s="5" t="str">
        <f>HYPERLINK("https://www.linkedin.com/ad-library/detail/1370108526","Open Ad")</f>
        <v>Open Ad</v>
      </c>
      <c r="E3168" s="4" t="s">
        <v>121</v>
      </c>
      <c r="F3168" s="4" t="s">
        <v>54</v>
      </c>
      <c r="G3168" s="4" t="s">
        <v>6606</v>
      </c>
      <c r="H3168" s="4" t="s">
        <v>49</v>
      </c>
      <c r="I3168" s="4" t="s">
        <v>6005</v>
      </c>
      <c r="J3168" s="4" t="s">
        <v>121</v>
      </c>
      <c r="K3168" s="5" t="str">
        <f>HYPERLINK("https://dms.licdn.com/playlist/vid/v2/D4E05AQHDvDOJkla70A/mp4-640p-30fp-crf28/B4EZziRW8gGUBw-/0/1773322733945?e=2147483647&amp;v=beta&amp;t=vJ4f_cpSJGhd3rEwMdQXW6glvUe3yYvL0kCBZk83ix8","View Creative")</f>
        <v>View Creative</v>
      </c>
      <c r="L3168" s="4" t="s">
        <v>106</v>
      </c>
      <c r="M3168" s="4" t="s">
        <v>5965</v>
      </c>
      <c r="O3168" s="4" t="s">
        <v>63</v>
      </c>
      <c r="P3168" s="4" t="s">
        <v>64</v>
      </c>
    </row>
    <row r="3169">
      <c r="A3169" s="4" t="s">
        <v>5965</v>
      </c>
      <c r="B3169" s="4" t="s">
        <v>5965</v>
      </c>
      <c r="C3169" s="4">
        <v>1558.0</v>
      </c>
      <c r="D3169" s="5" t="str">
        <f>HYPERLINK("https://www.linkedin.com/ad-library/detail/1370340396","Open Ad")</f>
        <v>Open Ad</v>
      </c>
      <c r="E3169" s="4" t="s">
        <v>78</v>
      </c>
      <c r="F3169" s="4" t="s">
        <v>54</v>
      </c>
      <c r="G3169" s="4" t="s">
        <v>6604</v>
      </c>
      <c r="H3169" s="4" t="s">
        <v>49</v>
      </c>
      <c r="I3169" s="4" t="s">
        <v>6005</v>
      </c>
      <c r="J3169" s="4" t="s">
        <v>78</v>
      </c>
      <c r="K3169" s="5" t="str">
        <f>HYPERLINK("https://media.licdn.com/dms/image/v2/D5622AQHMjvUdk6yyAw/feedshare-shrink_1280/B56ZzZnd5eGkAU-/0/1773177529021?e=2147483647&amp;v=beta&amp;t=pH-uzhnHEvsoB7W0qiFLaOtww9DFZSfX18rf8maIV7M","View Creative")</f>
        <v>View Creative</v>
      </c>
      <c r="L3169" s="4" t="s">
        <v>106</v>
      </c>
      <c r="M3169" s="4" t="s">
        <v>5965</v>
      </c>
      <c r="O3169" s="4" t="s">
        <v>63</v>
      </c>
      <c r="P3169" s="4" t="s">
        <v>64</v>
      </c>
    </row>
    <row r="3170">
      <c r="A3170" s="4" t="s">
        <v>5965</v>
      </c>
      <c r="B3170" s="4" t="s">
        <v>5965</v>
      </c>
      <c r="C3170" s="4">
        <v>1559.0</v>
      </c>
      <c r="D3170" s="5" t="str">
        <f>HYPERLINK("https://www.linkedin.com/ad-library/detail/1370235136","Open Ad")</f>
        <v>Open Ad</v>
      </c>
      <c r="E3170" s="4" t="s">
        <v>121</v>
      </c>
      <c r="F3170" s="4" t="s">
        <v>54</v>
      </c>
      <c r="G3170" s="4" t="s">
        <v>6606</v>
      </c>
      <c r="H3170" s="4" t="s">
        <v>49</v>
      </c>
      <c r="I3170" s="4" t="s">
        <v>6005</v>
      </c>
      <c r="J3170" s="4" t="s">
        <v>121</v>
      </c>
      <c r="K3170" s="5" t="str">
        <f>HYPERLINK("https://dms.licdn.com/playlist/vid/v2/D4E05AQHDvDOJkla70A/mp4-640p-30fp-crf28/B4EZziRW8gGUBw-/0/1773322733945?e=2147483647&amp;v=beta&amp;t=vJ4f_cpSJGhd3rEwMdQXW6glvUe3yYvL0kCBZk83ix8","View Creative")</f>
        <v>View Creative</v>
      </c>
      <c r="L3170" s="4" t="s">
        <v>106</v>
      </c>
      <c r="M3170" s="4" t="s">
        <v>5965</v>
      </c>
      <c r="O3170" s="4" t="s">
        <v>63</v>
      </c>
      <c r="P3170" s="4" t="s">
        <v>64</v>
      </c>
    </row>
    <row r="3171">
      <c r="A3171" s="4" t="s">
        <v>5965</v>
      </c>
      <c r="B3171" s="4" t="s">
        <v>5965</v>
      </c>
      <c r="C3171" s="4">
        <v>1560.0</v>
      </c>
      <c r="D3171" s="5" t="str">
        <f>HYPERLINK("https://www.linkedin.com/ad-library/detail/1365852856","Open Ad")</f>
        <v>Open Ad</v>
      </c>
      <c r="E3171" s="4" t="s">
        <v>5970</v>
      </c>
      <c r="F3171" s="4" t="s">
        <v>54</v>
      </c>
      <c r="G3171" s="4" t="s">
        <v>6607</v>
      </c>
      <c r="H3171" s="4" t="s">
        <v>49</v>
      </c>
      <c r="I3171" s="4" t="s">
        <v>6005</v>
      </c>
      <c r="J3171" s="4" t="s">
        <v>5973</v>
      </c>
      <c r="K3171" s="4" t="s">
        <v>59</v>
      </c>
      <c r="L3171" s="4" t="s">
        <v>106</v>
      </c>
      <c r="M3171" s="4" t="s">
        <v>5965</v>
      </c>
      <c r="O3171" s="4" t="s">
        <v>63</v>
      </c>
      <c r="P3171" s="4" t="s">
        <v>64</v>
      </c>
    </row>
    <row r="3172">
      <c r="A3172" s="4" t="s">
        <v>5965</v>
      </c>
      <c r="B3172" s="4" t="s">
        <v>5965</v>
      </c>
      <c r="C3172" s="4">
        <v>1561.0</v>
      </c>
      <c r="D3172" s="5" t="str">
        <f>HYPERLINK("https://www.linkedin.com/ad-library/detail/1365766926","Open Ad")</f>
        <v>Open Ad</v>
      </c>
      <c r="E3172" s="4" t="s">
        <v>121</v>
      </c>
      <c r="F3172" s="4" t="s">
        <v>54</v>
      </c>
      <c r="G3172" s="4" t="s">
        <v>6551</v>
      </c>
      <c r="H3172" s="4" t="s">
        <v>49</v>
      </c>
      <c r="I3172" s="4" t="s">
        <v>6005</v>
      </c>
      <c r="J3172" s="4" t="s">
        <v>121</v>
      </c>
      <c r="K3172" s="5" t="str">
        <f>HYPERLINK("https://dms.licdn.com/playlist/vid/v2/D4E05AQGG9pTneoArWw/mp4-720p-30fp-crf28/B4EZyP31JjGcCE-/0/1771940309947?e=2147483647&amp;v=beta&amp;t=lSy7EwO1JEElxw9V179dp__-TMnTYtNVUoAcpawSboQ","View Creative")</f>
        <v>View Creative</v>
      </c>
      <c r="L3172" s="4" t="s">
        <v>106</v>
      </c>
      <c r="M3172" s="4" t="s">
        <v>5965</v>
      </c>
      <c r="O3172" s="4" t="s">
        <v>63</v>
      </c>
      <c r="P3172" s="4" t="s">
        <v>64</v>
      </c>
    </row>
    <row r="3173">
      <c r="A3173" s="4" t="s">
        <v>5965</v>
      </c>
      <c r="B3173" s="4" t="s">
        <v>5965</v>
      </c>
      <c r="C3173" s="4">
        <v>1562.0</v>
      </c>
      <c r="D3173" s="5" t="str">
        <f>HYPERLINK("https://www.linkedin.com/ad-library/detail/1365871986","Open Ad")</f>
        <v>Open Ad</v>
      </c>
      <c r="E3173" s="4" t="s">
        <v>121</v>
      </c>
      <c r="F3173" s="4" t="s">
        <v>54</v>
      </c>
      <c r="G3173" s="4" t="s">
        <v>6608</v>
      </c>
      <c r="H3173" s="4" t="s">
        <v>49</v>
      </c>
      <c r="I3173" s="4" t="s">
        <v>6005</v>
      </c>
      <c r="J3173" s="4" t="s">
        <v>121</v>
      </c>
      <c r="K3173" s="5" t="str">
        <f t="shared" ref="K3173:K3174" si="167">HYPERLINK("https://dms.licdn.com/playlist/vid/v2/D4E05AQGHFiTXPZuz-Q/mp4-640p-30fp-crf28/B4EZzPTuOeI8Bw-/0/1773004586045?e=2147483647&amp;v=beta&amp;t=j-RY_EIwSaBKfkAjY7uDcXAzGpf4rVvklCOvR8CyxGI","View Creative")</f>
        <v>View Creative</v>
      </c>
      <c r="L3173" s="4" t="s">
        <v>106</v>
      </c>
      <c r="M3173" s="4" t="s">
        <v>5965</v>
      </c>
      <c r="O3173" s="4" t="s">
        <v>63</v>
      </c>
      <c r="P3173" s="4" t="s">
        <v>64</v>
      </c>
    </row>
    <row r="3174">
      <c r="A3174" s="4" t="s">
        <v>5965</v>
      </c>
      <c r="B3174" s="4" t="s">
        <v>5965</v>
      </c>
      <c r="C3174" s="4">
        <v>1563.0</v>
      </c>
      <c r="D3174" s="5" t="str">
        <f>HYPERLINK("https://www.linkedin.com/ad-library/detail/1365844006","Open Ad")</f>
        <v>Open Ad</v>
      </c>
      <c r="E3174" s="4" t="s">
        <v>121</v>
      </c>
      <c r="F3174" s="4" t="s">
        <v>54</v>
      </c>
      <c r="G3174" s="4" t="s">
        <v>6608</v>
      </c>
      <c r="H3174" s="4" t="s">
        <v>49</v>
      </c>
      <c r="I3174" s="4" t="s">
        <v>6005</v>
      </c>
      <c r="J3174" s="4" t="s">
        <v>121</v>
      </c>
      <c r="K3174" s="5" t="str">
        <f t="shared" si="167"/>
        <v>View Creative</v>
      </c>
      <c r="L3174" s="4" t="s">
        <v>106</v>
      </c>
      <c r="M3174" s="4" t="s">
        <v>5965</v>
      </c>
      <c r="O3174" s="4" t="s">
        <v>63</v>
      </c>
      <c r="P3174" s="4" t="s">
        <v>64</v>
      </c>
    </row>
    <row r="3175">
      <c r="A3175" s="4" t="s">
        <v>5965</v>
      </c>
      <c r="B3175" s="4" t="s">
        <v>5965</v>
      </c>
      <c r="C3175" s="4">
        <v>1564.0</v>
      </c>
      <c r="D3175" s="5" t="str">
        <f>HYPERLINK("https://www.linkedin.com/ad-library/detail/1365757576","Open Ad")</f>
        <v>Open Ad</v>
      </c>
      <c r="E3175" s="4" t="s">
        <v>78</v>
      </c>
      <c r="F3175" s="4" t="s">
        <v>54</v>
      </c>
      <c r="G3175" s="4" t="s">
        <v>6609</v>
      </c>
      <c r="H3175" s="4" t="s">
        <v>49</v>
      </c>
      <c r="I3175" s="4" t="s">
        <v>6005</v>
      </c>
      <c r="J3175" s="4" t="s">
        <v>78</v>
      </c>
      <c r="K3175" s="5" t="str">
        <f>HYPERLINK("https://media.licdn.com/dms/image/v2/D4E22AQFRLyVYYbOF8w/feedshare-shrink_1280/B4EZzT4ekwKQAM-/0/1773081325419?e=2147483647&amp;v=beta&amp;t=gVb3yjIIzIwCMxq--XhZbnbBGbBMEG8JCtRN9oqUWDM","View Creative")</f>
        <v>View Creative</v>
      </c>
      <c r="L3175" s="4" t="s">
        <v>106</v>
      </c>
      <c r="M3175" s="4" t="s">
        <v>5965</v>
      </c>
      <c r="O3175" s="4" t="s">
        <v>63</v>
      </c>
      <c r="P3175" s="4" t="s">
        <v>64</v>
      </c>
    </row>
    <row r="3176">
      <c r="A3176" s="4" t="s">
        <v>5965</v>
      </c>
      <c r="B3176" s="4" t="s">
        <v>5965</v>
      </c>
      <c r="C3176" s="4">
        <v>1565.0</v>
      </c>
      <c r="D3176" s="5" t="str">
        <f>HYPERLINK("https://www.linkedin.com/ad-library/detail/1365814386","Open Ad")</f>
        <v>Open Ad</v>
      </c>
      <c r="E3176" s="4" t="s">
        <v>121</v>
      </c>
      <c r="F3176" s="4" t="s">
        <v>54</v>
      </c>
      <c r="G3176" s="4" t="s">
        <v>6389</v>
      </c>
      <c r="H3176" s="4" t="s">
        <v>49</v>
      </c>
      <c r="I3176" s="4" t="s">
        <v>6005</v>
      </c>
      <c r="J3176" s="4" t="s">
        <v>121</v>
      </c>
      <c r="K3176" s="5" t="str">
        <f>HYPERLINK("https://dms.licdn.com/playlist/vid/v2/D4E05AQEZIBMQ5dvMiw/mp4-640p-30fp-crf28/B4EZq7fWtpGcB0-/0/1764082160741?e=2147483647&amp;v=beta&amp;t=XFL1jBqfg-_iulKKPx99xtiUuPTR1oKXosCHSzSTLSs","View Creative")</f>
        <v>View Creative</v>
      </c>
      <c r="L3176" s="4" t="s">
        <v>106</v>
      </c>
      <c r="M3176" s="4" t="s">
        <v>5965</v>
      </c>
      <c r="O3176" s="4" t="s">
        <v>63</v>
      </c>
      <c r="P3176" s="4" t="s">
        <v>64</v>
      </c>
    </row>
    <row r="3177">
      <c r="A3177" s="4" t="s">
        <v>5965</v>
      </c>
      <c r="B3177" s="4" t="s">
        <v>5965</v>
      </c>
      <c r="C3177" s="4">
        <v>1566.0</v>
      </c>
      <c r="D3177" s="5" t="str">
        <f>HYPERLINK("https://www.linkedin.com/ad-library/detail/1365862376","Open Ad")</f>
        <v>Open Ad</v>
      </c>
      <c r="E3177" s="4" t="s">
        <v>121</v>
      </c>
      <c r="F3177" s="4" t="s">
        <v>54</v>
      </c>
      <c r="G3177" s="4" t="s">
        <v>6610</v>
      </c>
      <c r="H3177" s="4" t="s">
        <v>49</v>
      </c>
      <c r="I3177" s="4" t="s">
        <v>6005</v>
      </c>
      <c r="J3177" s="4" t="s">
        <v>121</v>
      </c>
      <c r="K3177" s="5" t="str">
        <f>HYPERLINK("https://dms.licdn.com/playlist/vid/v2/D4E05AQGAOnplbh8hAw/mp4-720p-30fp-crf28/B4EZwQtYHkJ8CI-/0/1769806864428?e=2147483647&amp;v=beta&amp;t=3-UIWf1rDZw5tlZrHM0UonIMZWbkC01VTW3-pNMlJPE","View Creative")</f>
        <v>View Creative</v>
      </c>
      <c r="L3177" s="4" t="s">
        <v>106</v>
      </c>
      <c r="M3177" s="4" t="s">
        <v>5965</v>
      </c>
      <c r="O3177" s="4" t="s">
        <v>63</v>
      </c>
      <c r="P3177" s="4" t="s">
        <v>64</v>
      </c>
    </row>
    <row r="3178">
      <c r="A3178" s="4" t="s">
        <v>5965</v>
      </c>
      <c r="B3178" s="4" t="s">
        <v>5965</v>
      </c>
      <c r="C3178" s="4">
        <v>1567.0</v>
      </c>
      <c r="D3178" s="5" t="str">
        <f>HYPERLINK("https://www.linkedin.com/ad-library/detail/1365757306","Open Ad")</f>
        <v>Open Ad</v>
      </c>
      <c r="E3178" s="4" t="s">
        <v>78</v>
      </c>
      <c r="F3178" s="4" t="s">
        <v>54</v>
      </c>
      <c r="G3178" s="4" t="s">
        <v>6494</v>
      </c>
      <c r="H3178" s="4" t="s">
        <v>49</v>
      </c>
      <c r="I3178" s="4" t="s">
        <v>6005</v>
      </c>
      <c r="J3178" s="4" t="s">
        <v>78</v>
      </c>
      <c r="K3178" s="5" t="str">
        <f>HYPERLINK("https://media.licdn.com/dms/image/v2/D4E22AQHbFCQCDCGG3g/feedshare-image-high-res/B4EZpOeqO1HgAw-/0/1762253252103?e=2147483647&amp;v=beta&amp;t=Br5vflKeqacS-e7vktti7ZfaCAL9Qm6QJloy5pf7CYw","View Creative")</f>
        <v>View Creative</v>
      </c>
      <c r="L3178" s="4" t="s">
        <v>106</v>
      </c>
      <c r="M3178" s="4" t="s">
        <v>5965</v>
      </c>
      <c r="O3178" s="4" t="s">
        <v>63</v>
      </c>
      <c r="P3178" s="4" t="s">
        <v>64</v>
      </c>
    </row>
    <row r="3179">
      <c r="A3179" s="4" t="s">
        <v>5965</v>
      </c>
      <c r="B3179" s="4" t="s">
        <v>5965</v>
      </c>
      <c r="C3179" s="4">
        <v>1568.0</v>
      </c>
      <c r="D3179" s="5" t="str">
        <f>HYPERLINK("https://www.linkedin.com/ad-library/detail/1365862356","Open Ad")</f>
        <v>Open Ad</v>
      </c>
      <c r="E3179" s="4" t="s">
        <v>78</v>
      </c>
      <c r="F3179" s="4" t="s">
        <v>54</v>
      </c>
      <c r="G3179" s="4" t="s">
        <v>6611</v>
      </c>
      <c r="H3179" s="4" t="s">
        <v>49</v>
      </c>
      <c r="I3179" s="4" t="s">
        <v>6005</v>
      </c>
      <c r="J3179" s="4" t="s">
        <v>78</v>
      </c>
      <c r="K3179" s="5" t="str">
        <f>HYPERLINK("https://media.licdn.com/dms/image/v2/D4E10AQFC__9NnIVfQg/image-shrink_1280/B4EZyRg5EMHkAc-/0/1771967845235?e=2147483647&amp;v=beta&amp;t=wzygX8IX6tpH5uwG_iGjdivN14QXrFQc-OLuHLg7reY","View Creative")</f>
        <v>View Creative</v>
      </c>
      <c r="L3179" s="4" t="s">
        <v>106</v>
      </c>
      <c r="M3179" s="4" t="s">
        <v>5965</v>
      </c>
      <c r="O3179" s="4" t="s">
        <v>63</v>
      </c>
      <c r="P3179" s="4" t="s">
        <v>64</v>
      </c>
    </row>
    <row r="3180">
      <c r="A3180" s="4" t="s">
        <v>5965</v>
      </c>
      <c r="B3180" s="4" t="s">
        <v>5965</v>
      </c>
      <c r="C3180" s="4">
        <v>1569.0</v>
      </c>
      <c r="D3180" s="5" t="str">
        <f>HYPERLINK("https://www.linkedin.com/ad-library/detail/1365843916","Open Ad")</f>
        <v>Open Ad</v>
      </c>
      <c r="E3180" s="4" t="s">
        <v>121</v>
      </c>
      <c r="F3180" s="4" t="s">
        <v>54</v>
      </c>
      <c r="G3180" s="4" t="s">
        <v>6556</v>
      </c>
      <c r="H3180" s="4" t="s">
        <v>49</v>
      </c>
      <c r="I3180" s="4" t="s">
        <v>6005</v>
      </c>
      <c r="J3180" s="4" t="s">
        <v>121</v>
      </c>
      <c r="K3180" s="5" t="str">
        <f>HYPERLINK("https://dms.licdn.com/playlist/vid/v2/D4E10AQHb8aBgPz6yrg/mp4-360p-30fp-crf28/B4EZyQma5eHMB8-/0/1771952534337?e=2147483647&amp;v=beta&amp;t=vL255ZZj6UooCMMSuov9TYM4BA5F3J29zDbm5h_CfCY","View Creative")</f>
        <v>View Creative</v>
      </c>
      <c r="L3180" s="4" t="s">
        <v>106</v>
      </c>
      <c r="M3180" s="4" t="s">
        <v>5965</v>
      </c>
      <c r="O3180" s="4" t="s">
        <v>63</v>
      </c>
      <c r="P3180" s="4" t="s">
        <v>64</v>
      </c>
    </row>
    <row r="3181">
      <c r="A3181" s="4" t="s">
        <v>5965</v>
      </c>
      <c r="B3181" s="4" t="s">
        <v>5965</v>
      </c>
      <c r="C3181" s="4">
        <v>1570.0</v>
      </c>
      <c r="D3181" s="5" t="str">
        <f>HYPERLINK("https://www.linkedin.com/ad-library/detail/1365919876","Open Ad")</f>
        <v>Open Ad</v>
      </c>
      <c r="E3181" s="4" t="s">
        <v>78</v>
      </c>
      <c r="F3181" s="4" t="s">
        <v>54</v>
      </c>
      <c r="G3181" s="4" t="s">
        <v>6609</v>
      </c>
      <c r="H3181" s="4" t="s">
        <v>49</v>
      </c>
      <c r="I3181" s="4" t="s">
        <v>6005</v>
      </c>
      <c r="J3181" s="4" t="s">
        <v>78</v>
      </c>
      <c r="K3181" s="5" t="str">
        <f>HYPERLINK("https://media.licdn.com/dms/image/v2/D4E22AQFRLyVYYbOF8w/feedshare-shrink_1280/B4EZzT4ekwKQAM-/0/1773081325419?e=2147483647&amp;v=beta&amp;t=gVb3yjIIzIwCMxq--XhZbnbBGbBMEG8JCtRN9oqUWDM","View Creative")</f>
        <v>View Creative</v>
      </c>
      <c r="L3181" s="4" t="s">
        <v>106</v>
      </c>
      <c r="M3181" s="4" t="s">
        <v>5965</v>
      </c>
      <c r="O3181" s="4" t="s">
        <v>63</v>
      </c>
      <c r="P3181" s="4" t="s">
        <v>64</v>
      </c>
    </row>
    <row r="3182">
      <c r="A3182" s="4" t="s">
        <v>5965</v>
      </c>
      <c r="B3182" s="4" t="s">
        <v>5965</v>
      </c>
      <c r="C3182" s="4">
        <v>1571.0</v>
      </c>
      <c r="D3182" s="5" t="str">
        <f>HYPERLINK("https://www.linkedin.com/ad-library/detail/1365718406","Open Ad")</f>
        <v>Open Ad</v>
      </c>
      <c r="E3182" s="4" t="s">
        <v>78</v>
      </c>
      <c r="F3182" s="4" t="s">
        <v>54</v>
      </c>
      <c r="G3182" s="4" t="s">
        <v>6612</v>
      </c>
      <c r="H3182" s="4" t="s">
        <v>49</v>
      </c>
      <c r="I3182" s="4" t="s">
        <v>6005</v>
      </c>
      <c r="J3182" s="4" t="s">
        <v>78</v>
      </c>
      <c r="K3182" s="5" t="str">
        <f>HYPERLINK("https://media.licdn.com/dms/image/v2/D4E22AQGSTukpFdZDmw/feedshare-shrink_1280/B4EZud_VF7K8As-/0/1767882183787?e=2147483647&amp;v=beta&amp;t=FCfv5eRdq1jL7SmRWSLlJuRvnvLS1FLmcswXIV-lxPA","View Creative")</f>
        <v>View Creative</v>
      </c>
      <c r="L3182" s="4" t="s">
        <v>106</v>
      </c>
      <c r="M3182" s="4" t="s">
        <v>5965</v>
      </c>
      <c r="O3182" s="4" t="s">
        <v>63</v>
      </c>
      <c r="P3182" s="4" t="s">
        <v>64</v>
      </c>
    </row>
    <row r="3183">
      <c r="A3183" s="4" t="s">
        <v>5965</v>
      </c>
      <c r="B3183" s="4" t="s">
        <v>5965</v>
      </c>
      <c r="C3183" s="4">
        <v>1572.0</v>
      </c>
      <c r="D3183" s="5" t="str">
        <f>HYPERLINK("https://www.linkedin.com/ad-library/detail/1365748156","Open Ad")</f>
        <v>Open Ad</v>
      </c>
      <c r="E3183" s="4" t="s">
        <v>121</v>
      </c>
      <c r="F3183" s="4" t="s">
        <v>54</v>
      </c>
      <c r="G3183" s="4" t="s">
        <v>6613</v>
      </c>
      <c r="H3183" s="4" t="s">
        <v>49</v>
      </c>
      <c r="I3183" s="4" t="s">
        <v>6005</v>
      </c>
      <c r="J3183" s="4" t="s">
        <v>121</v>
      </c>
      <c r="K3183" s="5" t="str">
        <f>HYPERLINK("https://dms.licdn.com/playlist/vid/v2/D4E05AQEhrnRYKjmo1Q/mp4-640p-30fp-crf28/B4EZyRZRDhIQBw-/0/1771965851664?e=2147483647&amp;v=beta&amp;t=N52c5WjyoRskLmJrAvHh7JrG7yKpkOyiRldlifVVdV8","View Creative")</f>
        <v>View Creative</v>
      </c>
      <c r="L3183" s="4" t="s">
        <v>106</v>
      </c>
      <c r="M3183" s="4" t="s">
        <v>5965</v>
      </c>
      <c r="O3183" s="4" t="s">
        <v>63</v>
      </c>
      <c r="P3183" s="4" t="s">
        <v>64</v>
      </c>
    </row>
    <row r="3184">
      <c r="A3184" s="4" t="s">
        <v>5965</v>
      </c>
      <c r="B3184" s="4" t="s">
        <v>5965</v>
      </c>
      <c r="C3184" s="4">
        <v>1573.0</v>
      </c>
      <c r="D3184" s="5" t="str">
        <f>HYPERLINK("https://www.linkedin.com/ad-library/detail/1365919886","Open Ad")</f>
        <v>Open Ad</v>
      </c>
      <c r="E3184" s="4" t="s">
        <v>78</v>
      </c>
      <c r="F3184" s="4" t="s">
        <v>54</v>
      </c>
      <c r="G3184" s="4" t="s">
        <v>6609</v>
      </c>
      <c r="H3184" s="4" t="s">
        <v>49</v>
      </c>
      <c r="I3184" s="4" t="s">
        <v>6005</v>
      </c>
      <c r="J3184" s="4" t="s">
        <v>78</v>
      </c>
      <c r="K3184" s="5" t="str">
        <f>HYPERLINK("https://media.licdn.com/dms/image/v2/D4E22AQFRLyVYYbOF8w/feedshare-shrink_1280/B4EZzT4ekwKQAM-/0/1773081325419?e=2147483647&amp;v=beta&amp;t=gVb3yjIIzIwCMxq--XhZbnbBGbBMEG8JCtRN9oqUWDM","View Creative")</f>
        <v>View Creative</v>
      </c>
      <c r="L3184" s="4" t="s">
        <v>106</v>
      </c>
      <c r="M3184" s="4" t="s">
        <v>5965</v>
      </c>
      <c r="O3184" s="4" t="s">
        <v>63</v>
      </c>
      <c r="P3184" s="4" t="s">
        <v>64</v>
      </c>
    </row>
    <row r="3185">
      <c r="A3185" s="4" t="s">
        <v>5965</v>
      </c>
      <c r="B3185" s="4" t="s">
        <v>5965</v>
      </c>
      <c r="C3185" s="4">
        <v>1574.0</v>
      </c>
      <c r="D3185" s="5" t="str">
        <f>HYPERLINK("https://www.linkedin.com/ad-library/detail/1365748066","Open Ad")</f>
        <v>Open Ad</v>
      </c>
      <c r="E3185" s="4" t="s">
        <v>78</v>
      </c>
      <c r="F3185" s="4" t="s">
        <v>54</v>
      </c>
      <c r="G3185" s="4" t="s">
        <v>6614</v>
      </c>
      <c r="H3185" s="4" t="s">
        <v>49</v>
      </c>
      <c r="I3185" s="4" t="s">
        <v>6005</v>
      </c>
      <c r="J3185" s="4" t="s">
        <v>78</v>
      </c>
      <c r="K3185" s="5" t="str">
        <f>HYPERLINK("https://media.licdn.com/dms/image/v2/D4E22AQFy1Oz048X5Zw/feedshare-shrink_1280/B4EZxsp.7NIsAg-/0/1771349471279?e=2147483647&amp;v=beta&amp;t=vIsxUzaS4oXWbQU3DX8AsKdV3pQR5qqC3FIkevYbeR0","View Creative")</f>
        <v>View Creative</v>
      </c>
      <c r="L3185" s="4" t="s">
        <v>106</v>
      </c>
      <c r="M3185" s="4" t="s">
        <v>5965</v>
      </c>
      <c r="O3185" s="4" t="s">
        <v>63</v>
      </c>
      <c r="P3185" s="4" t="s">
        <v>64</v>
      </c>
    </row>
    <row r="3186">
      <c r="A3186" s="4" t="s">
        <v>5965</v>
      </c>
      <c r="B3186" s="4" t="s">
        <v>5965</v>
      </c>
      <c r="C3186" s="4">
        <v>1575.0</v>
      </c>
      <c r="D3186" s="5" t="str">
        <f>HYPERLINK("https://www.linkedin.com/ad-library/detail/1365814806","Open Ad")</f>
        <v>Open Ad</v>
      </c>
      <c r="E3186" s="4" t="s">
        <v>5970</v>
      </c>
      <c r="F3186" s="4" t="s">
        <v>54</v>
      </c>
      <c r="G3186" s="4" t="s">
        <v>6607</v>
      </c>
      <c r="H3186" s="4" t="s">
        <v>49</v>
      </c>
      <c r="I3186" s="4" t="s">
        <v>6005</v>
      </c>
      <c r="J3186" s="4" t="s">
        <v>5973</v>
      </c>
      <c r="K3186" s="4" t="s">
        <v>59</v>
      </c>
      <c r="L3186" s="4" t="s">
        <v>106</v>
      </c>
      <c r="M3186" s="4" t="s">
        <v>5965</v>
      </c>
      <c r="O3186" s="4" t="s">
        <v>63</v>
      </c>
      <c r="P3186" s="4" t="s">
        <v>64</v>
      </c>
    </row>
    <row r="3187">
      <c r="A3187" s="4" t="s">
        <v>5965</v>
      </c>
      <c r="B3187" s="4" t="s">
        <v>5965</v>
      </c>
      <c r="C3187" s="4">
        <v>1576.0</v>
      </c>
      <c r="D3187" s="5" t="str">
        <f>HYPERLINK("https://www.linkedin.com/ad-library/detail/1365804396","Open Ad")</f>
        <v>Open Ad</v>
      </c>
      <c r="E3187" s="4" t="s">
        <v>121</v>
      </c>
      <c r="F3187" s="4" t="s">
        <v>54</v>
      </c>
      <c r="G3187" s="4" t="s">
        <v>6610</v>
      </c>
      <c r="H3187" s="4" t="s">
        <v>49</v>
      </c>
      <c r="I3187" s="4" t="s">
        <v>6005</v>
      </c>
      <c r="J3187" s="4" t="s">
        <v>121</v>
      </c>
      <c r="K3187" s="5" t="str">
        <f>HYPERLINK("https://dms.licdn.com/playlist/vid/v2/D4E05AQGAOnplbh8hAw/mp4-720p-30fp-crf28/B4EZwQtYHkJ8CI-/0/1769806864428?e=2147483647&amp;v=beta&amp;t=3-UIWf1rDZw5tlZrHM0UonIMZWbkC01VTW3-pNMlJPE","View Creative")</f>
        <v>View Creative</v>
      </c>
      <c r="L3187" s="4" t="s">
        <v>106</v>
      </c>
      <c r="M3187" s="4" t="s">
        <v>5965</v>
      </c>
      <c r="O3187" s="4" t="s">
        <v>63</v>
      </c>
      <c r="P3187" s="4" t="s">
        <v>64</v>
      </c>
    </row>
    <row r="3188">
      <c r="A3188" s="4" t="s">
        <v>5965</v>
      </c>
      <c r="B3188" s="4" t="s">
        <v>5965</v>
      </c>
      <c r="C3188" s="4">
        <v>1577.0</v>
      </c>
      <c r="D3188" s="5" t="str">
        <f>HYPERLINK("https://www.linkedin.com/ad-library/detail/1365767096","Open Ad")</f>
        <v>Open Ad</v>
      </c>
      <c r="E3188" s="4" t="s">
        <v>121</v>
      </c>
      <c r="F3188" s="4" t="s">
        <v>54</v>
      </c>
      <c r="G3188" s="4" t="s">
        <v>6608</v>
      </c>
      <c r="H3188" s="4" t="s">
        <v>49</v>
      </c>
      <c r="I3188" s="4" t="s">
        <v>6005</v>
      </c>
      <c r="J3188" s="4" t="s">
        <v>121</v>
      </c>
      <c r="K3188" s="5" t="str">
        <f t="shared" ref="K3188:K3189" si="168">HYPERLINK("https://dms.licdn.com/playlist/vid/v2/D4E05AQGHFiTXPZuz-Q/mp4-640p-30fp-crf28/B4EZzPTuOeI8Bw-/0/1773004586045?e=2147483647&amp;v=beta&amp;t=j-RY_EIwSaBKfkAjY7uDcXAzGpf4rVvklCOvR8CyxGI","View Creative")</f>
        <v>View Creative</v>
      </c>
      <c r="L3188" s="4" t="s">
        <v>106</v>
      </c>
      <c r="M3188" s="4" t="s">
        <v>5965</v>
      </c>
      <c r="O3188" s="4" t="s">
        <v>63</v>
      </c>
      <c r="P3188" s="4" t="s">
        <v>64</v>
      </c>
    </row>
    <row r="3189">
      <c r="A3189" s="4" t="s">
        <v>5965</v>
      </c>
      <c r="B3189" s="4" t="s">
        <v>5965</v>
      </c>
      <c r="C3189" s="4">
        <v>1578.0</v>
      </c>
      <c r="D3189" s="5" t="str">
        <f>HYPERLINK("https://www.linkedin.com/ad-library/detail/1365728756","Open Ad")</f>
        <v>Open Ad</v>
      </c>
      <c r="E3189" s="4" t="s">
        <v>121</v>
      </c>
      <c r="F3189" s="4" t="s">
        <v>54</v>
      </c>
      <c r="G3189" s="4" t="s">
        <v>6608</v>
      </c>
      <c r="H3189" s="4" t="s">
        <v>49</v>
      </c>
      <c r="I3189" s="4" t="s">
        <v>6005</v>
      </c>
      <c r="J3189" s="4" t="s">
        <v>121</v>
      </c>
      <c r="K3189" s="5" t="str">
        <f t="shared" si="168"/>
        <v>View Creative</v>
      </c>
      <c r="L3189" s="4" t="s">
        <v>106</v>
      </c>
      <c r="M3189" s="4" t="s">
        <v>5965</v>
      </c>
      <c r="O3189" s="4" t="s">
        <v>63</v>
      </c>
      <c r="P3189" s="4" t="s">
        <v>64</v>
      </c>
    </row>
    <row r="3190">
      <c r="A3190" s="4" t="s">
        <v>5965</v>
      </c>
      <c r="B3190" s="4" t="s">
        <v>5965</v>
      </c>
      <c r="C3190" s="4">
        <v>1579.0</v>
      </c>
      <c r="D3190" s="5" t="str">
        <f>HYPERLINK("https://www.linkedin.com/ad-library/detail/1365814446","Open Ad")</f>
        <v>Open Ad</v>
      </c>
      <c r="E3190" s="4" t="s">
        <v>121</v>
      </c>
      <c r="F3190" s="4" t="s">
        <v>54</v>
      </c>
      <c r="G3190" s="4" t="s">
        <v>6556</v>
      </c>
      <c r="H3190" s="4" t="s">
        <v>49</v>
      </c>
      <c r="I3190" s="4" t="s">
        <v>6005</v>
      </c>
      <c r="J3190" s="4" t="s">
        <v>121</v>
      </c>
      <c r="K3190" s="5" t="str">
        <f>HYPERLINK("https://dms.licdn.com/playlist/vid/v2/D4E10AQHb8aBgPz6yrg/mp4-360p-30fp-crf28/B4EZyQma5eHMB8-/0/1771952534337?e=2147483647&amp;v=beta&amp;t=vL255ZZj6UooCMMSuov9TYM4BA5F3J29zDbm5h_CfCY","View Creative")</f>
        <v>View Creative</v>
      </c>
      <c r="L3190" s="4" t="s">
        <v>106</v>
      </c>
      <c r="M3190" s="4" t="s">
        <v>5965</v>
      </c>
      <c r="O3190" s="4" t="s">
        <v>63</v>
      </c>
      <c r="P3190" s="4" t="s">
        <v>64</v>
      </c>
    </row>
    <row r="3191">
      <c r="A3191" s="4" t="s">
        <v>5965</v>
      </c>
      <c r="B3191" s="4" t="s">
        <v>5965</v>
      </c>
      <c r="C3191" s="4">
        <v>1580.0</v>
      </c>
      <c r="D3191" s="5" t="str">
        <f>HYPERLINK("https://www.linkedin.com/ad-library/detail/1365890956","Open Ad")</f>
        <v>Open Ad</v>
      </c>
      <c r="E3191" s="4" t="s">
        <v>121</v>
      </c>
      <c r="F3191" s="4" t="s">
        <v>54</v>
      </c>
      <c r="G3191" s="4" t="s">
        <v>6608</v>
      </c>
      <c r="H3191" s="4" t="s">
        <v>49</v>
      </c>
      <c r="I3191" s="4" t="s">
        <v>6005</v>
      </c>
      <c r="J3191" s="4" t="s">
        <v>121</v>
      </c>
      <c r="K3191" s="5" t="str">
        <f>HYPERLINK("https://dms.licdn.com/playlist/vid/v2/D4E05AQGHFiTXPZuz-Q/mp4-640p-30fp-crf28/B4EZzPTuOeI8Bw-/0/1773004586045?e=2147483647&amp;v=beta&amp;t=j-RY_EIwSaBKfkAjY7uDcXAzGpf4rVvklCOvR8CyxGI","View Creative")</f>
        <v>View Creative</v>
      </c>
      <c r="L3191" s="4" t="s">
        <v>106</v>
      </c>
      <c r="M3191" s="4" t="s">
        <v>5965</v>
      </c>
      <c r="O3191" s="4" t="s">
        <v>63</v>
      </c>
      <c r="P3191" s="4" t="s">
        <v>64</v>
      </c>
    </row>
    <row r="3192">
      <c r="A3192" s="4" t="s">
        <v>5965</v>
      </c>
      <c r="B3192" s="4" t="s">
        <v>5965</v>
      </c>
      <c r="C3192" s="4">
        <v>1581.0</v>
      </c>
      <c r="D3192" s="5" t="str">
        <f>HYPERLINK("https://www.linkedin.com/ad-library/detail/1365708426","Open Ad")</f>
        <v>Open Ad</v>
      </c>
      <c r="E3192" s="4" t="s">
        <v>121</v>
      </c>
      <c r="F3192" s="4" t="s">
        <v>54</v>
      </c>
      <c r="G3192" s="4" t="s">
        <v>6613</v>
      </c>
      <c r="H3192" s="4" t="s">
        <v>49</v>
      </c>
      <c r="I3192" s="4" t="s">
        <v>6005</v>
      </c>
      <c r="J3192" s="4" t="s">
        <v>121</v>
      </c>
      <c r="K3192" s="5" t="str">
        <f>HYPERLINK("https://dms.licdn.com/playlist/vid/v2/D4E05AQEhrnRYKjmo1Q/mp4-640p-30fp-crf28/B4EZyRZRDhIQBw-/0/1771965851664?e=2147483647&amp;v=beta&amp;t=N52c5WjyoRskLmJrAvHh7JrG7yKpkOyiRldlifVVdV8","View Creative")</f>
        <v>View Creative</v>
      </c>
      <c r="L3192" s="4" t="s">
        <v>106</v>
      </c>
      <c r="M3192" s="4" t="s">
        <v>5965</v>
      </c>
      <c r="O3192" s="4" t="s">
        <v>63</v>
      </c>
      <c r="P3192" s="4" t="s">
        <v>64</v>
      </c>
    </row>
    <row r="3193">
      <c r="A3193" s="4" t="s">
        <v>5965</v>
      </c>
      <c r="B3193" s="4" t="s">
        <v>5965</v>
      </c>
      <c r="C3193" s="4">
        <v>1582.0</v>
      </c>
      <c r="D3193" s="5" t="str">
        <f>HYPERLINK("https://www.linkedin.com/ad-library/detail/1365871936","Open Ad")</f>
        <v>Open Ad</v>
      </c>
      <c r="E3193" s="4" t="s">
        <v>121</v>
      </c>
      <c r="F3193" s="4" t="s">
        <v>54</v>
      </c>
      <c r="G3193" s="4" t="s">
        <v>6546</v>
      </c>
      <c r="H3193" s="4" t="s">
        <v>49</v>
      </c>
      <c r="I3193" s="4" t="s">
        <v>6005</v>
      </c>
      <c r="J3193" s="4" t="s">
        <v>121</v>
      </c>
      <c r="K3193" s="5" t="str">
        <f t="shared" ref="K3193:K3194" si="169">HYPERLINK("https://dms.licdn.com/playlist/vid/v2/D5605AQGvYPFvEJ845w/mp4-720p-30fp-crf28/B56ZyQoFy0KgCE-/0/1771952959206?e=2147483647&amp;v=beta&amp;t=cEPXbjJcEy4sIJu9RapE6jzqf1jVlAKK-4rBPLfuq3I","View Creative")</f>
        <v>View Creative</v>
      </c>
      <c r="L3193" s="4" t="s">
        <v>106</v>
      </c>
      <c r="M3193" s="4" t="s">
        <v>5965</v>
      </c>
      <c r="O3193" s="4" t="s">
        <v>63</v>
      </c>
      <c r="P3193" s="4" t="s">
        <v>64</v>
      </c>
    </row>
    <row r="3194">
      <c r="A3194" s="4" t="s">
        <v>5965</v>
      </c>
      <c r="B3194" s="4" t="s">
        <v>5965</v>
      </c>
      <c r="C3194" s="4">
        <v>1583.0</v>
      </c>
      <c r="D3194" s="5" t="str">
        <f>HYPERLINK("https://www.linkedin.com/ad-library/detail/1365775596","Open Ad")</f>
        <v>Open Ad</v>
      </c>
      <c r="E3194" s="4" t="s">
        <v>121</v>
      </c>
      <c r="F3194" s="4" t="s">
        <v>54</v>
      </c>
      <c r="G3194" s="4" t="s">
        <v>6546</v>
      </c>
      <c r="H3194" s="4" t="s">
        <v>49</v>
      </c>
      <c r="I3194" s="4" t="s">
        <v>6005</v>
      </c>
      <c r="J3194" s="4" t="s">
        <v>121</v>
      </c>
      <c r="K3194" s="5" t="str">
        <f t="shared" si="169"/>
        <v>View Creative</v>
      </c>
      <c r="L3194" s="4" t="s">
        <v>106</v>
      </c>
      <c r="M3194" s="4" t="s">
        <v>5965</v>
      </c>
      <c r="O3194" s="4" t="s">
        <v>63</v>
      </c>
      <c r="P3194" s="4" t="s">
        <v>64</v>
      </c>
    </row>
    <row r="3195">
      <c r="A3195" s="4" t="s">
        <v>5965</v>
      </c>
      <c r="B3195" s="4" t="s">
        <v>5965</v>
      </c>
      <c r="C3195" s="4">
        <v>1584.0</v>
      </c>
      <c r="D3195" s="5" t="str">
        <f>HYPERLINK("https://www.linkedin.com/ad-library/detail/1365757296","Open Ad")</f>
        <v>Open Ad</v>
      </c>
      <c r="E3195" s="4" t="s">
        <v>78</v>
      </c>
      <c r="F3195" s="4" t="s">
        <v>54</v>
      </c>
      <c r="G3195" s="4" t="s">
        <v>6550</v>
      </c>
      <c r="H3195" s="4" t="s">
        <v>49</v>
      </c>
      <c r="I3195" s="4" t="s">
        <v>6005</v>
      </c>
      <c r="J3195" s="4" t="s">
        <v>78</v>
      </c>
      <c r="K3195" s="5" t="str">
        <f>HYPERLINK("https://media.licdn.com/dms/image/v2/D4E10AQHdbrM3G0dcfA/image-shrink_1280/B4EZvmBd80GsAc-/0/1769090704089?e=2147483647&amp;v=beta&amp;t=dlO5yfiP1MV6jnBsM651Qg2abmJfMecqFy-8C9PrRFA","View Creative")</f>
        <v>View Creative</v>
      </c>
      <c r="L3195" s="4" t="s">
        <v>106</v>
      </c>
      <c r="M3195" s="4" t="s">
        <v>5965</v>
      </c>
      <c r="O3195" s="4" t="s">
        <v>63</v>
      </c>
      <c r="P3195" s="4" t="s">
        <v>64</v>
      </c>
    </row>
    <row r="3196">
      <c r="A3196" s="4" t="s">
        <v>5965</v>
      </c>
      <c r="B3196" s="4" t="s">
        <v>5965</v>
      </c>
      <c r="C3196" s="4">
        <v>1585.0</v>
      </c>
      <c r="D3196" s="5" t="str">
        <f>HYPERLINK("https://www.linkedin.com/ad-library/detail/1191110923","Open Ad")</f>
        <v>Open Ad</v>
      </c>
      <c r="E3196" s="4" t="s">
        <v>78</v>
      </c>
      <c r="F3196" s="4" t="s">
        <v>54</v>
      </c>
      <c r="G3196" s="4" t="s">
        <v>6597</v>
      </c>
      <c r="H3196" s="4" t="s">
        <v>49</v>
      </c>
      <c r="I3196" s="4" t="s">
        <v>6005</v>
      </c>
      <c r="J3196" s="4" t="s">
        <v>78</v>
      </c>
      <c r="K3196" s="4" t="s">
        <v>59</v>
      </c>
      <c r="L3196" s="4" t="s">
        <v>106</v>
      </c>
      <c r="M3196" s="4" t="s">
        <v>5965</v>
      </c>
      <c r="O3196" s="4" t="s">
        <v>63</v>
      </c>
      <c r="P3196" s="4" t="s">
        <v>64</v>
      </c>
    </row>
    <row r="3197">
      <c r="A3197" s="4" t="s">
        <v>5965</v>
      </c>
      <c r="B3197" s="4" t="s">
        <v>5965</v>
      </c>
      <c r="C3197" s="4">
        <v>1586.0</v>
      </c>
      <c r="D3197" s="5" t="str">
        <f>HYPERLINK("https://www.linkedin.com/ad-library/detail/1365766816","Open Ad")</f>
        <v>Open Ad</v>
      </c>
      <c r="E3197" s="4" t="s">
        <v>78</v>
      </c>
      <c r="F3197" s="4" t="s">
        <v>54</v>
      </c>
      <c r="G3197" s="4" t="s">
        <v>6615</v>
      </c>
      <c r="H3197" s="4" t="s">
        <v>49</v>
      </c>
      <c r="I3197" s="4" t="s">
        <v>6005</v>
      </c>
      <c r="J3197" s="4" t="s">
        <v>78</v>
      </c>
      <c r="K3197" s="5" t="str">
        <f t="shared" ref="K3197:K3198" si="170">HYPERLINK("https://media.licdn.com/dms/image/v2/D4E10AQEOjOGAyHVYaA/image-shrink_1280/B4EZy_occgI8Ac-/0/1772741576847?e=2147483647&amp;v=beta&amp;t=tyG4pW9Rr6azAhpgoqR2ughjcYnOQLFQiJnZG6Pp8QI","View Creative")</f>
        <v>View Creative</v>
      </c>
      <c r="L3197" s="4" t="s">
        <v>106</v>
      </c>
      <c r="M3197" s="4" t="s">
        <v>5965</v>
      </c>
      <c r="O3197" s="4" t="s">
        <v>63</v>
      </c>
      <c r="P3197" s="4" t="s">
        <v>64</v>
      </c>
    </row>
    <row r="3198">
      <c r="A3198" s="4" t="s">
        <v>5965</v>
      </c>
      <c r="B3198" s="4" t="s">
        <v>5965</v>
      </c>
      <c r="C3198" s="4">
        <v>1587.0</v>
      </c>
      <c r="D3198" s="5" t="str">
        <f>HYPERLINK("https://www.linkedin.com/ad-library/detail/1362878586","Open Ad")</f>
        <v>Open Ad</v>
      </c>
      <c r="E3198" s="4" t="s">
        <v>78</v>
      </c>
      <c r="F3198" s="4" t="s">
        <v>54</v>
      </c>
      <c r="G3198" s="4" t="s">
        <v>6615</v>
      </c>
      <c r="H3198" s="4" t="s">
        <v>49</v>
      </c>
      <c r="I3198" s="4" t="s">
        <v>6005</v>
      </c>
      <c r="J3198" s="4" t="s">
        <v>78</v>
      </c>
      <c r="K3198" s="5" t="str">
        <f t="shared" si="170"/>
        <v>View Creative</v>
      </c>
      <c r="L3198" s="4" t="s">
        <v>106</v>
      </c>
      <c r="M3198" s="4" t="s">
        <v>5965</v>
      </c>
      <c r="O3198" s="4" t="s">
        <v>63</v>
      </c>
      <c r="P3198" s="4" t="s">
        <v>64</v>
      </c>
    </row>
    <row r="3199">
      <c r="A3199" s="4" t="s">
        <v>5965</v>
      </c>
      <c r="B3199" s="4" t="s">
        <v>5965</v>
      </c>
      <c r="C3199" s="4">
        <v>1588.0</v>
      </c>
      <c r="D3199" s="5" t="str">
        <f>HYPERLINK("https://www.linkedin.com/ad-library/detail/1362690346","Open Ad")</f>
        <v>Open Ad</v>
      </c>
      <c r="E3199" s="4" t="s">
        <v>121</v>
      </c>
      <c r="F3199" s="4" t="s">
        <v>54</v>
      </c>
      <c r="G3199" s="4" t="s">
        <v>6616</v>
      </c>
      <c r="H3199" s="4" t="s">
        <v>49</v>
      </c>
      <c r="I3199" s="4" t="s">
        <v>6005</v>
      </c>
      <c r="J3199" s="4" t="s">
        <v>121</v>
      </c>
      <c r="K3199" s="5" t="str">
        <f>HYPERLINK("https://dms.licdn.com/playlist/vid/v2/D4E10AQFDlojt4Odu9g/mp4-360p-30fp-crf28/B4EZy5lBBNKoCE-/0/1772640022315?e=2147483647&amp;v=beta&amp;t=BbM1N7P_K04A42k6tby-NnFtMD5-U9hwNSZsCjXu2PM","View Creative")</f>
        <v>View Creative</v>
      </c>
      <c r="L3199" s="4" t="s">
        <v>106</v>
      </c>
      <c r="M3199" s="4" t="s">
        <v>5965</v>
      </c>
      <c r="O3199" s="4" t="s">
        <v>63</v>
      </c>
      <c r="P3199" s="4" t="s">
        <v>64</v>
      </c>
    </row>
    <row r="3200">
      <c r="A3200" s="4" t="s">
        <v>5965</v>
      </c>
      <c r="B3200" s="4" t="s">
        <v>5965</v>
      </c>
      <c r="C3200" s="4">
        <v>1589.0</v>
      </c>
      <c r="D3200" s="5" t="str">
        <f>HYPERLINK("https://www.linkedin.com/ad-library/detail/1362917346","Open Ad")</f>
        <v>Open Ad</v>
      </c>
      <c r="E3200" s="4" t="s">
        <v>78</v>
      </c>
      <c r="F3200" s="4" t="s">
        <v>54</v>
      </c>
      <c r="G3200" s="4" t="s">
        <v>6617</v>
      </c>
      <c r="H3200" s="4" t="s">
        <v>49</v>
      </c>
      <c r="I3200" s="4" t="s">
        <v>6005</v>
      </c>
      <c r="J3200" s="4" t="s">
        <v>78</v>
      </c>
      <c r="K3200" s="5" t="str">
        <f>HYPERLINK("https://media.licdn.com/dms/image/v2/D4E22AQF-oKwfouCGBA/feedshare-shrink_800/B4EZzA_5vnJsAk-/0/1772764504481?e=2147483647&amp;v=beta&amp;t=z-wwk2I6t7K3efamTQdNQ6BDI36KcEVtc9QkIKYbsUc","View Creative")</f>
        <v>View Creative</v>
      </c>
      <c r="L3200" s="4" t="s">
        <v>106</v>
      </c>
      <c r="M3200" s="4" t="s">
        <v>5965</v>
      </c>
      <c r="O3200" s="4" t="s">
        <v>63</v>
      </c>
      <c r="P3200" s="4" t="s">
        <v>64</v>
      </c>
    </row>
    <row r="3201">
      <c r="A3201" s="4" t="s">
        <v>5965</v>
      </c>
      <c r="B3201" s="4" t="s">
        <v>5965</v>
      </c>
      <c r="C3201" s="4">
        <v>1590.0</v>
      </c>
      <c r="D3201" s="5" t="str">
        <f>HYPERLINK("https://www.linkedin.com/ad-library/detail/1362015346","Open Ad")</f>
        <v>Open Ad</v>
      </c>
      <c r="E3201" s="4" t="s">
        <v>78</v>
      </c>
      <c r="F3201" s="4" t="s">
        <v>54</v>
      </c>
      <c r="G3201" s="4" t="s">
        <v>6611</v>
      </c>
      <c r="H3201" s="4" t="s">
        <v>49</v>
      </c>
      <c r="I3201" s="4" t="s">
        <v>6005</v>
      </c>
      <c r="J3201" s="4" t="s">
        <v>78</v>
      </c>
      <c r="K3201" s="5" t="str">
        <f>HYPERLINK("https://media.licdn.com/dms/image/v2/D4E10AQFC__9NnIVfQg/image-shrink_1280/B4EZyRg5EMHkAc-/0/1771967845235?e=2147483647&amp;v=beta&amp;t=wzygX8IX6tpH5uwG_iGjdivN14QXrFQc-OLuHLg7reY","View Creative")</f>
        <v>View Creative</v>
      </c>
      <c r="L3201" s="4" t="s">
        <v>106</v>
      </c>
      <c r="M3201" s="4" t="s">
        <v>5965</v>
      </c>
      <c r="O3201" s="4" t="s">
        <v>63</v>
      </c>
      <c r="P3201" s="4" t="s">
        <v>64</v>
      </c>
    </row>
    <row r="3202">
      <c r="A3202" s="4" t="s">
        <v>5965</v>
      </c>
      <c r="B3202" s="4" t="s">
        <v>5965</v>
      </c>
      <c r="C3202" s="4">
        <v>1591.0</v>
      </c>
      <c r="D3202" s="5" t="str">
        <f>HYPERLINK("https://www.linkedin.com/ad-library/detail/1365738236","Open Ad")</f>
        <v>Open Ad</v>
      </c>
      <c r="E3202" s="4" t="s">
        <v>78</v>
      </c>
      <c r="F3202" s="4" t="s">
        <v>54</v>
      </c>
      <c r="G3202" s="4" t="s">
        <v>6618</v>
      </c>
      <c r="H3202" s="4" t="s">
        <v>49</v>
      </c>
      <c r="I3202" s="4" t="s">
        <v>6005</v>
      </c>
      <c r="J3202" s="4" t="s">
        <v>78</v>
      </c>
      <c r="K3202" s="5" t="str">
        <f>HYPERLINK("https://media.licdn.com/dms/image/v2/D4E22AQFicauXoZbtgA/feedshare-shrink_1280/B4EZp41Bo.KcAs-/0/1762963759302?e=2147483647&amp;v=beta&amp;t=Q9_WQd3fUm2lq_LyH8MrkZZfebmukr0s9NebbnGh9cI","View Creative")</f>
        <v>View Creative</v>
      </c>
      <c r="L3202" s="4" t="s">
        <v>106</v>
      </c>
      <c r="M3202" s="4" t="s">
        <v>5965</v>
      </c>
      <c r="O3202" s="4" t="s">
        <v>63</v>
      </c>
      <c r="P3202" s="4" t="s">
        <v>64</v>
      </c>
    </row>
    <row r="3203">
      <c r="A3203" s="4" t="s">
        <v>5965</v>
      </c>
      <c r="B3203" s="4" t="s">
        <v>5965</v>
      </c>
      <c r="C3203" s="4">
        <v>1592.0</v>
      </c>
      <c r="D3203" s="5" t="str">
        <f>HYPERLINK("https://www.linkedin.com/ad-library/detail/1365794726","Open Ad")</f>
        <v>Open Ad</v>
      </c>
      <c r="E3203" s="4" t="s">
        <v>78</v>
      </c>
      <c r="F3203" s="4" t="s">
        <v>54</v>
      </c>
      <c r="G3203" s="4" t="s">
        <v>6612</v>
      </c>
      <c r="H3203" s="4" t="s">
        <v>49</v>
      </c>
      <c r="I3203" s="4" t="s">
        <v>6005</v>
      </c>
      <c r="J3203" s="4" t="s">
        <v>78</v>
      </c>
      <c r="K3203" s="5" t="str">
        <f>HYPERLINK("https://media.licdn.com/dms/image/v2/D4E22AQGSTukpFdZDmw/feedshare-shrink_1280/B4EZud_VF7K8As-/0/1767882183787?e=2147483647&amp;v=beta&amp;t=FCfv5eRdq1jL7SmRWSLlJuRvnvLS1FLmcswXIV-lxPA","View Creative")</f>
        <v>View Creative</v>
      </c>
      <c r="L3203" s="4" t="s">
        <v>106</v>
      </c>
      <c r="M3203" s="4" t="s">
        <v>5965</v>
      </c>
      <c r="O3203" s="4" t="s">
        <v>63</v>
      </c>
      <c r="P3203" s="4" t="s">
        <v>64</v>
      </c>
    </row>
    <row r="3204">
      <c r="A3204" s="4" t="s">
        <v>5965</v>
      </c>
      <c r="B3204" s="4" t="s">
        <v>5965</v>
      </c>
      <c r="C3204" s="4">
        <v>1593.0</v>
      </c>
      <c r="D3204" s="5" t="str">
        <f>HYPERLINK("https://www.linkedin.com/ad-library/detail/1365766756","Open Ad")</f>
        <v>Open Ad</v>
      </c>
      <c r="E3204" s="4" t="s">
        <v>78</v>
      </c>
      <c r="F3204" s="4" t="s">
        <v>54</v>
      </c>
      <c r="G3204" s="4" t="s">
        <v>6611</v>
      </c>
      <c r="H3204" s="4" t="s">
        <v>49</v>
      </c>
      <c r="I3204" s="4" t="s">
        <v>6005</v>
      </c>
      <c r="J3204" s="4" t="s">
        <v>78</v>
      </c>
      <c r="K3204" s="5" t="str">
        <f>HYPERLINK("https://media.licdn.com/dms/image/v2/D4E10AQFC__9NnIVfQg/image-shrink_1280/B4EZyRg5EMHkAc-/0/1771967845235?e=2147483647&amp;v=beta&amp;t=wzygX8IX6tpH5uwG_iGjdivN14QXrFQc-OLuHLg7reY","View Creative")</f>
        <v>View Creative</v>
      </c>
      <c r="L3204" s="4" t="s">
        <v>106</v>
      </c>
      <c r="M3204" s="4" t="s">
        <v>5965</v>
      </c>
      <c r="O3204" s="4" t="s">
        <v>63</v>
      </c>
      <c r="P3204" s="4" t="s">
        <v>64</v>
      </c>
    </row>
    <row r="3205">
      <c r="A3205" s="4" t="s">
        <v>5965</v>
      </c>
      <c r="B3205" s="4" t="s">
        <v>5965</v>
      </c>
      <c r="C3205" s="4">
        <v>1594.0</v>
      </c>
      <c r="D3205" s="5" t="str">
        <f>HYPERLINK("https://www.linkedin.com/ad-library/detail/1191207313","Open Ad")</f>
        <v>Open Ad</v>
      </c>
      <c r="E3205" s="4" t="s">
        <v>78</v>
      </c>
      <c r="F3205" s="4" t="s">
        <v>54</v>
      </c>
      <c r="G3205" s="4" t="s">
        <v>6597</v>
      </c>
      <c r="H3205" s="4" t="s">
        <v>49</v>
      </c>
      <c r="I3205" s="4" t="s">
        <v>6005</v>
      </c>
      <c r="J3205" s="4" t="s">
        <v>78</v>
      </c>
      <c r="K3205" s="4" t="s">
        <v>59</v>
      </c>
      <c r="L3205" s="4" t="s">
        <v>106</v>
      </c>
      <c r="M3205" s="4" t="s">
        <v>5965</v>
      </c>
      <c r="O3205" s="4" t="s">
        <v>63</v>
      </c>
      <c r="P3205" s="4" t="s">
        <v>64</v>
      </c>
    </row>
    <row r="3206">
      <c r="A3206" s="4" t="s">
        <v>5965</v>
      </c>
      <c r="B3206" s="4" t="s">
        <v>5965</v>
      </c>
      <c r="C3206" s="4">
        <v>1595.0</v>
      </c>
      <c r="D3206" s="5" t="str">
        <f>HYPERLINK("https://www.linkedin.com/ad-library/detail/1362045396","Open Ad")</f>
        <v>Open Ad</v>
      </c>
      <c r="E3206" s="4" t="s">
        <v>78</v>
      </c>
      <c r="F3206" s="4" t="s">
        <v>54</v>
      </c>
      <c r="G3206" s="4" t="s">
        <v>6611</v>
      </c>
      <c r="H3206" s="4" t="s">
        <v>49</v>
      </c>
      <c r="I3206" s="4" t="s">
        <v>6005</v>
      </c>
      <c r="J3206" s="4" t="s">
        <v>78</v>
      </c>
      <c r="K3206" s="5" t="str">
        <f t="shared" ref="K3206:K3207" si="171">HYPERLINK("https://media.licdn.com/dms/image/v2/D4E10AQFC__9NnIVfQg/image-shrink_1280/B4EZyRg5EMHkAc-/0/1771967845235?e=2147483647&amp;v=beta&amp;t=wzygX8IX6tpH5uwG_iGjdivN14QXrFQc-OLuHLg7reY","View Creative")</f>
        <v>View Creative</v>
      </c>
      <c r="L3206" s="4" t="s">
        <v>106</v>
      </c>
      <c r="M3206" s="4" t="s">
        <v>5965</v>
      </c>
      <c r="O3206" s="4" t="s">
        <v>63</v>
      </c>
      <c r="P3206" s="4" t="s">
        <v>64</v>
      </c>
    </row>
    <row r="3207">
      <c r="A3207" s="4" t="s">
        <v>5965</v>
      </c>
      <c r="B3207" s="4" t="s">
        <v>5965</v>
      </c>
      <c r="C3207" s="4">
        <v>1596.0</v>
      </c>
      <c r="D3207" s="5" t="str">
        <f>HYPERLINK("https://www.linkedin.com/ad-library/detail/1362015326","Open Ad")</f>
        <v>Open Ad</v>
      </c>
      <c r="E3207" s="4" t="s">
        <v>78</v>
      </c>
      <c r="F3207" s="4" t="s">
        <v>54</v>
      </c>
      <c r="G3207" s="4" t="s">
        <v>6611</v>
      </c>
      <c r="H3207" s="4" t="s">
        <v>49</v>
      </c>
      <c r="I3207" s="4" t="s">
        <v>6005</v>
      </c>
      <c r="J3207" s="4" t="s">
        <v>78</v>
      </c>
      <c r="K3207" s="5" t="str">
        <f t="shared" si="171"/>
        <v>View Creative</v>
      </c>
      <c r="L3207" s="4" t="s">
        <v>106</v>
      </c>
      <c r="M3207" s="4" t="s">
        <v>5965</v>
      </c>
      <c r="O3207" s="4" t="s">
        <v>63</v>
      </c>
      <c r="P3207" s="4" t="s">
        <v>64</v>
      </c>
    </row>
    <row r="3208">
      <c r="A3208" s="4" t="s">
        <v>5965</v>
      </c>
      <c r="B3208" s="4" t="s">
        <v>5965</v>
      </c>
      <c r="C3208" s="4">
        <v>1597.0</v>
      </c>
      <c r="D3208" s="5" t="str">
        <f>HYPERLINK("https://www.linkedin.com/ad-library/detail/1191681053","Open Ad")</f>
        <v>Open Ad</v>
      </c>
      <c r="E3208" s="4" t="s">
        <v>78</v>
      </c>
      <c r="F3208" s="4" t="s">
        <v>54</v>
      </c>
      <c r="G3208" s="4" t="s">
        <v>6597</v>
      </c>
      <c r="H3208" s="4" t="s">
        <v>49</v>
      </c>
      <c r="I3208" s="4" t="s">
        <v>6005</v>
      </c>
      <c r="J3208" s="4" t="s">
        <v>78</v>
      </c>
      <c r="K3208" s="4" t="s">
        <v>59</v>
      </c>
      <c r="L3208" s="4" t="s">
        <v>106</v>
      </c>
      <c r="M3208" s="4" t="s">
        <v>5965</v>
      </c>
      <c r="O3208" s="4" t="s">
        <v>63</v>
      </c>
      <c r="P3208" s="4" t="s">
        <v>64</v>
      </c>
    </row>
    <row r="3209">
      <c r="A3209" s="4" t="s">
        <v>5965</v>
      </c>
      <c r="B3209" s="4" t="s">
        <v>5965</v>
      </c>
      <c r="C3209" s="4">
        <v>1598.0</v>
      </c>
      <c r="D3209" s="5" t="str">
        <f>HYPERLINK("https://www.linkedin.com/ad-library/detail/1363051966","Open Ad")</f>
        <v>Open Ad</v>
      </c>
      <c r="E3209" s="4" t="s">
        <v>78</v>
      </c>
      <c r="F3209" s="4" t="s">
        <v>54</v>
      </c>
      <c r="G3209" s="4" t="s">
        <v>6615</v>
      </c>
      <c r="H3209" s="4" t="s">
        <v>49</v>
      </c>
      <c r="I3209" s="4" t="s">
        <v>6005</v>
      </c>
      <c r="J3209" s="4" t="s">
        <v>78</v>
      </c>
      <c r="K3209" s="5" t="str">
        <f>HYPERLINK("https://media.licdn.com/dms/image/v2/D4E10AQEOjOGAyHVYaA/image-shrink_1280/B4EZy_occgI8Ac-/0/1772741576847?e=2147483647&amp;v=beta&amp;t=tyG4pW9Rr6azAhpgoqR2ughjcYnOQLFQiJnZG6Pp8QI","View Creative")</f>
        <v>View Creative</v>
      </c>
      <c r="L3209" s="4" t="s">
        <v>106</v>
      </c>
      <c r="M3209" s="4" t="s">
        <v>5965</v>
      </c>
      <c r="O3209" s="4" t="s">
        <v>63</v>
      </c>
      <c r="P3209" s="4" t="s">
        <v>64</v>
      </c>
    </row>
    <row r="3210">
      <c r="A3210" s="4" t="s">
        <v>5965</v>
      </c>
      <c r="B3210" s="4" t="s">
        <v>5965</v>
      </c>
      <c r="C3210" s="4">
        <v>1599.0</v>
      </c>
      <c r="D3210" s="5" t="str">
        <f>HYPERLINK("https://www.linkedin.com/ad-library/detail/1365823786","Open Ad")</f>
        <v>Open Ad</v>
      </c>
      <c r="E3210" s="4" t="s">
        <v>78</v>
      </c>
      <c r="F3210" s="4" t="s">
        <v>54</v>
      </c>
      <c r="G3210" s="4" t="s">
        <v>6617</v>
      </c>
      <c r="H3210" s="4" t="s">
        <v>49</v>
      </c>
      <c r="I3210" s="4" t="s">
        <v>6005</v>
      </c>
      <c r="J3210" s="4" t="s">
        <v>78</v>
      </c>
      <c r="K3210" s="5" t="str">
        <f>HYPERLINK("https://media.licdn.com/dms/image/v2/D4E22AQF-oKwfouCGBA/feedshare-shrink_800/B4EZzA_5vnJsAk-/0/1772764504481?e=2147483647&amp;v=beta&amp;t=z-wwk2I6t7K3efamTQdNQ6BDI36KcEVtc9QkIKYbsUc","View Creative")</f>
        <v>View Creative</v>
      </c>
      <c r="L3210" s="4" t="s">
        <v>106</v>
      </c>
      <c r="M3210" s="4" t="s">
        <v>5965</v>
      </c>
      <c r="O3210" s="4" t="s">
        <v>63</v>
      </c>
      <c r="P3210" s="4" t="s">
        <v>64</v>
      </c>
    </row>
    <row r="3211">
      <c r="A3211" s="4" t="s">
        <v>5965</v>
      </c>
      <c r="B3211" s="4" t="s">
        <v>5965</v>
      </c>
      <c r="C3211" s="4">
        <v>1600.0</v>
      </c>
      <c r="D3211" s="5" t="str">
        <f>HYPERLINK("https://www.linkedin.com/ad-library/detail/1363032666","Open Ad")</f>
        <v>Open Ad</v>
      </c>
      <c r="E3211" s="4" t="s">
        <v>78</v>
      </c>
      <c r="F3211" s="4" t="s">
        <v>54</v>
      </c>
      <c r="G3211" s="4" t="s">
        <v>6615</v>
      </c>
      <c r="H3211" s="4" t="s">
        <v>49</v>
      </c>
      <c r="I3211" s="4" t="s">
        <v>6005</v>
      </c>
      <c r="J3211" s="4" t="s">
        <v>78</v>
      </c>
      <c r="K3211" s="5" t="str">
        <f>HYPERLINK("https://media.licdn.com/dms/image/v2/D4E10AQEOjOGAyHVYaA/image-shrink_1280/B4EZy_occgI8Ac-/0/1772741576847?e=2147483647&amp;v=beta&amp;t=tyG4pW9Rr6azAhpgoqR2ughjcYnOQLFQiJnZG6Pp8QI","View Creative")</f>
        <v>View Creative</v>
      </c>
      <c r="L3211" s="4" t="s">
        <v>106</v>
      </c>
      <c r="M3211" s="4" t="s">
        <v>5965</v>
      </c>
      <c r="O3211" s="4" t="s">
        <v>63</v>
      </c>
      <c r="P3211" s="4" t="s">
        <v>64</v>
      </c>
    </row>
    <row r="3212">
      <c r="A3212" s="4" t="s">
        <v>5965</v>
      </c>
      <c r="B3212" s="4" t="s">
        <v>5965</v>
      </c>
      <c r="C3212" s="4">
        <v>1601.0</v>
      </c>
      <c r="D3212" s="5" t="str">
        <f>HYPERLINK("https://www.linkedin.com/ad-library/detail/1361985716","Open Ad")</f>
        <v>Open Ad</v>
      </c>
      <c r="E3212" s="4" t="s">
        <v>78</v>
      </c>
      <c r="F3212" s="4" t="s">
        <v>54</v>
      </c>
      <c r="G3212" s="4" t="s">
        <v>6611</v>
      </c>
      <c r="H3212" s="4" t="s">
        <v>49</v>
      </c>
      <c r="I3212" s="4" t="s">
        <v>6005</v>
      </c>
      <c r="J3212" s="4" t="s">
        <v>78</v>
      </c>
      <c r="K3212" s="5" t="str">
        <f>HYPERLINK("https://media.licdn.com/dms/image/v2/D4E10AQFC__9NnIVfQg/image-shrink_1280/B4EZyRg5EMHkAc-/0/1771967845235?e=2147483647&amp;v=beta&amp;t=wzygX8IX6tpH5uwG_iGjdivN14QXrFQc-OLuHLg7reY","View Creative")</f>
        <v>View Creative</v>
      </c>
      <c r="L3212" s="4" t="s">
        <v>106</v>
      </c>
      <c r="M3212" s="4" t="s">
        <v>5965</v>
      </c>
      <c r="O3212" s="4" t="s">
        <v>63</v>
      </c>
      <c r="P3212" s="4" t="s">
        <v>64</v>
      </c>
    </row>
    <row r="3213">
      <c r="A3213" s="4" t="s">
        <v>5965</v>
      </c>
      <c r="B3213" s="4" t="s">
        <v>5965</v>
      </c>
      <c r="C3213" s="4">
        <v>1602.0</v>
      </c>
      <c r="D3213" s="5" t="str">
        <f>HYPERLINK("https://www.linkedin.com/ad-library/detail/1363002766","Open Ad")</f>
        <v>Open Ad</v>
      </c>
      <c r="E3213" s="4" t="s">
        <v>78</v>
      </c>
      <c r="F3213" s="4" t="s">
        <v>54</v>
      </c>
      <c r="G3213" s="4" t="s">
        <v>6615</v>
      </c>
      <c r="H3213" s="4" t="s">
        <v>49</v>
      </c>
      <c r="I3213" s="4" t="s">
        <v>6005</v>
      </c>
      <c r="J3213" s="4" t="s">
        <v>78</v>
      </c>
      <c r="K3213" s="5" t="str">
        <f>HYPERLINK("https://media.licdn.com/dms/image/v2/D4E10AQEOjOGAyHVYaA/image-shrink_1280/B4EZy_occgI8Ac-/0/1772741576847?e=2147483647&amp;v=beta&amp;t=tyG4pW9Rr6azAhpgoqR2ughjcYnOQLFQiJnZG6Pp8QI","View Creative")</f>
        <v>View Creative</v>
      </c>
      <c r="L3213" s="4" t="s">
        <v>106</v>
      </c>
      <c r="M3213" s="4" t="s">
        <v>5965</v>
      </c>
      <c r="O3213" s="4" t="s">
        <v>63</v>
      </c>
      <c r="P3213" s="4" t="s">
        <v>64</v>
      </c>
    </row>
    <row r="3214">
      <c r="A3214" s="4" t="s">
        <v>5965</v>
      </c>
      <c r="B3214" s="4" t="s">
        <v>5965</v>
      </c>
      <c r="C3214" s="4">
        <v>1603.0</v>
      </c>
      <c r="D3214" s="5" t="str">
        <f>HYPERLINK("https://www.linkedin.com/ad-library/detail/1362946586","Open Ad")</f>
        <v>Open Ad</v>
      </c>
      <c r="E3214" s="4" t="s">
        <v>78</v>
      </c>
      <c r="F3214" s="4" t="s">
        <v>54</v>
      </c>
      <c r="G3214" s="4" t="s">
        <v>6617</v>
      </c>
      <c r="H3214" s="4" t="s">
        <v>49</v>
      </c>
      <c r="I3214" s="4" t="s">
        <v>6005</v>
      </c>
      <c r="J3214" s="4" t="s">
        <v>78</v>
      </c>
      <c r="K3214" s="5" t="str">
        <f>HYPERLINK("https://media.licdn.com/dms/image/v2/D4E22AQF-oKwfouCGBA/feedshare-shrink_800/B4EZzA_5vnJsAk-/0/1772764504481?e=2147483647&amp;v=beta&amp;t=z-wwk2I6t7K3efamTQdNQ6BDI36KcEVtc9QkIKYbsUc","View Creative")</f>
        <v>View Creative</v>
      </c>
      <c r="L3214" s="4" t="s">
        <v>106</v>
      </c>
      <c r="M3214" s="4" t="s">
        <v>5965</v>
      </c>
      <c r="O3214" s="4" t="s">
        <v>63</v>
      </c>
      <c r="P3214" s="4" t="s">
        <v>64</v>
      </c>
    </row>
    <row r="3215">
      <c r="A3215" s="4" t="s">
        <v>5965</v>
      </c>
      <c r="B3215" s="4" t="s">
        <v>5965</v>
      </c>
      <c r="C3215" s="4">
        <v>1604.0</v>
      </c>
      <c r="D3215" s="5" t="str">
        <f>HYPERLINK("https://www.linkedin.com/ad-library/detail/1191014733","Open Ad")</f>
        <v>Open Ad</v>
      </c>
      <c r="E3215" s="4" t="s">
        <v>78</v>
      </c>
      <c r="F3215" s="4" t="s">
        <v>54</v>
      </c>
      <c r="G3215" s="4" t="s">
        <v>6597</v>
      </c>
      <c r="H3215" s="4" t="s">
        <v>49</v>
      </c>
      <c r="I3215" s="4" t="s">
        <v>6005</v>
      </c>
      <c r="J3215" s="4" t="s">
        <v>78</v>
      </c>
      <c r="K3215" s="4" t="s">
        <v>59</v>
      </c>
      <c r="L3215" s="4" t="s">
        <v>106</v>
      </c>
      <c r="M3215" s="4" t="s">
        <v>5965</v>
      </c>
      <c r="O3215" s="4" t="s">
        <v>63</v>
      </c>
      <c r="P3215" s="4" t="s">
        <v>64</v>
      </c>
    </row>
    <row r="3216">
      <c r="A3216" s="4" t="s">
        <v>5965</v>
      </c>
      <c r="B3216" s="4" t="s">
        <v>5965</v>
      </c>
      <c r="C3216" s="4">
        <v>1605.0</v>
      </c>
      <c r="D3216" s="5" t="str">
        <f>HYPERLINK("https://www.linkedin.com/ad-library/detail/1365852446","Open Ad")</f>
        <v>Open Ad</v>
      </c>
      <c r="E3216" s="4" t="s">
        <v>78</v>
      </c>
      <c r="F3216" s="4" t="s">
        <v>54</v>
      </c>
      <c r="G3216" s="4" t="s">
        <v>6617</v>
      </c>
      <c r="H3216" s="4" t="s">
        <v>49</v>
      </c>
      <c r="I3216" s="4" t="s">
        <v>6005</v>
      </c>
      <c r="J3216" s="4" t="s">
        <v>78</v>
      </c>
      <c r="K3216" s="5" t="str">
        <f>HYPERLINK("https://media.licdn.com/dms/image/v2/D4E22AQF-oKwfouCGBA/feedshare-shrink_800/B4EZzA_5vnJsAk-/0/1772764504481?e=2147483647&amp;v=beta&amp;t=z-wwk2I6t7K3efamTQdNQ6BDI36KcEVtc9QkIKYbsUc","View Creative")</f>
        <v>View Creative</v>
      </c>
      <c r="L3216" s="4" t="s">
        <v>106</v>
      </c>
      <c r="M3216" s="4" t="s">
        <v>5965</v>
      </c>
      <c r="O3216" s="4" t="s">
        <v>63</v>
      </c>
      <c r="P3216" s="4" t="s">
        <v>64</v>
      </c>
    </row>
    <row r="3217">
      <c r="A3217" s="4" t="s">
        <v>5965</v>
      </c>
      <c r="B3217" s="4" t="s">
        <v>5965</v>
      </c>
      <c r="C3217" s="4">
        <v>1606.0</v>
      </c>
      <c r="D3217" s="5" t="str">
        <f>HYPERLINK("https://www.linkedin.com/ad-library/detail/1362983096","Open Ad")</f>
        <v>Open Ad</v>
      </c>
      <c r="E3217" s="4" t="s">
        <v>78</v>
      </c>
      <c r="F3217" s="4" t="s">
        <v>54</v>
      </c>
      <c r="G3217" s="4" t="s">
        <v>6615</v>
      </c>
      <c r="H3217" s="4" t="s">
        <v>49</v>
      </c>
      <c r="I3217" s="4" t="s">
        <v>6005</v>
      </c>
      <c r="J3217" s="4" t="s">
        <v>78</v>
      </c>
      <c r="K3217" s="5" t="str">
        <f>HYPERLINK("https://media.licdn.com/dms/image/v2/D4E10AQEOjOGAyHVYaA/image-shrink_1280/B4EZy_occgI8Ac-/0/1772741576847?e=2147483647&amp;v=beta&amp;t=tyG4pW9Rr6azAhpgoqR2ughjcYnOQLFQiJnZG6Pp8QI","View Creative")</f>
        <v>View Creative</v>
      </c>
      <c r="L3217" s="4" t="s">
        <v>106</v>
      </c>
      <c r="M3217" s="4" t="s">
        <v>5965</v>
      </c>
      <c r="O3217" s="4" t="s">
        <v>63</v>
      </c>
      <c r="P3217" s="4" t="s">
        <v>64</v>
      </c>
    </row>
    <row r="3218">
      <c r="A3218" s="4" t="s">
        <v>5965</v>
      </c>
      <c r="B3218" s="4" t="s">
        <v>5965</v>
      </c>
      <c r="C3218" s="4">
        <v>1607.0</v>
      </c>
      <c r="D3218" s="5" t="str">
        <f>HYPERLINK("https://www.linkedin.com/ad-library/detail/1361889086","Open Ad")</f>
        <v>Open Ad</v>
      </c>
      <c r="E3218" s="4" t="s">
        <v>78</v>
      </c>
      <c r="F3218" s="4" t="s">
        <v>54</v>
      </c>
      <c r="G3218" s="4" t="s">
        <v>6611</v>
      </c>
      <c r="H3218" s="4" t="s">
        <v>49</v>
      </c>
      <c r="I3218" s="4" t="s">
        <v>6005</v>
      </c>
      <c r="J3218" s="4" t="s">
        <v>78</v>
      </c>
      <c r="K3218" s="5" t="str">
        <f>HYPERLINK("https://media.licdn.com/dms/image/v2/D4E10AQFC__9NnIVfQg/image-shrink_1280/B4EZyRg5EMHkAc-/0/1771967845235?e=2147483647&amp;v=beta&amp;t=wzygX8IX6tpH5uwG_iGjdivN14QXrFQc-OLuHLg7reY","View Creative")</f>
        <v>View Creative</v>
      </c>
      <c r="L3218" s="4" t="s">
        <v>106</v>
      </c>
      <c r="M3218" s="4" t="s">
        <v>5965</v>
      </c>
      <c r="O3218" s="4" t="s">
        <v>63</v>
      </c>
      <c r="P3218" s="4" t="s">
        <v>64</v>
      </c>
    </row>
    <row r="3219">
      <c r="A3219" s="4" t="s">
        <v>5965</v>
      </c>
      <c r="B3219" s="4" t="s">
        <v>5965</v>
      </c>
      <c r="C3219" s="4">
        <v>1608.0</v>
      </c>
      <c r="D3219" s="5" t="str">
        <f>HYPERLINK("https://www.linkedin.com/ad-library/detail/1365852416","Open Ad")</f>
        <v>Open Ad</v>
      </c>
      <c r="E3219" s="4" t="s">
        <v>78</v>
      </c>
      <c r="F3219" s="4" t="s">
        <v>54</v>
      </c>
      <c r="G3219" s="4" t="s">
        <v>6550</v>
      </c>
      <c r="H3219" s="4" t="s">
        <v>49</v>
      </c>
      <c r="I3219" s="4" t="s">
        <v>6005</v>
      </c>
      <c r="J3219" s="4" t="s">
        <v>78</v>
      </c>
      <c r="K3219" s="5" t="str">
        <f>HYPERLINK("https://media.licdn.com/dms/image/v2/D4E10AQHdbrM3G0dcfA/image-shrink_1280/B4EZvmBd80GsAc-/0/1769090704089?e=2147483647&amp;v=beta&amp;t=dlO5yfiP1MV6jnBsM651Qg2abmJfMecqFy-8C9PrRFA","View Creative")</f>
        <v>View Creative</v>
      </c>
      <c r="L3219" s="4" t="s">
        <v>106</v>
      </c>
      <c r="M3219" s="4" t="s">
        <v>5965</v>
      </c>
      <c r="O3219" s="4" t="s">
        <v>63</v>
      </c>
      <c r="P3219" s="4" t="s">
        <v>64</v>
      </c>
    </row>
    <row r="3220">
      <c r="A3220" s="4" t="s">
        <v>5965</v>
      </c>
      <c r="B3220" s="4" t="s">
        <v>5965</v>
      </c>
      <c r="C3220" s="4">
        <v>1609.0</v>
      </c>
      <c r="D3220" s="5" t="str">
        <f>HYPERLINK("https://www.linkedin.com/ad-library/detail/1348176596","Open Ad")</f>
        <v>Open Ad</v>
      </c>
      <c r="E3220" s="4" t="s">
        <v>121</v>
      </c>
      <c r="F3220" s="4" t="s">
        <v>54</v>
      </c>
      <c r="G3220" s="4" t="s">
        <v>6613</v>
      </c>
      <c r="H3220" s="4" t="s">
        <v>49</v>
      </c>
      <c r="I3220" s="4" t="s">
        <v>6005</v>
      </c>
      <c r="J3220" s="4" t="s">
        <v>121</v>
      </c>
      <c r="K3220" s="5" t="str">
        <f t="shared" ref="K3220:K3221" si="172">HYPERLINK("https://dms.licdn.com/playlist/vid/v2/D4E05AQEhrnRYKjmo1Q/mp4-640p-30fp-crf28/B4EZyRZRDhIQBw-/0/1771965851664?e=2147483647&amp;v=beta&amp;t=N52c5WjyoRskLmJrAvHh7JrG7yKpkOyiRldlifVVdV8","View Creative")</f>
        <v>View Creative</v>
      </c>
      <c r="L3220" s="4" t="s">
        <v>106</v>
      </c>
      <c r="M3220" s="4" t="s">
        <v>5965</v>
      </c>
      <c r="O3220" s="4" t="s">
        <v>63</v>
      </c>
      <c r="P3220" s="4" t="s">
        <v>64</v>
      </c>
    </row>
    <row r="3221">
      <c r="A3221" s="4" t="s">
        <v>5965</v>
      </c>
      <c r="B3221" s="4" t="s">
        <v>5965</v>
      </c>
      <c r="C3221" s="4">
        <v>1610.0</v>
      </c>
      <c r="D3221" s="5" t="str">
        <f>HYPERLINK("https://www.linkedin.com/ad-library/detail/1348157546","Open Ad")</f>
        <v>Open Ad</v>
      </c>
      <c r="E3221" s="4" t="s">
        <v>121</v>
      </c>
      <c r="F3221" s="4" t="s">
        <v>54</v>
      </c>
      <c r="G3221" s="4" t="s">
        <v>6613</v>
      </c>
      <c r="H3221" s="4" t="s">
        <v>49</v>
      </c>
      <c r="I3221" s="4" t="s">
        <v>6005</v>
      </c>
      <c r="J3221" s="4" t="s">
        <v>121</v>
      </c>
      <c r="K3221" s="5" t="str">
        <f t="shared" si="172"/>
        <v>View Creative</v>
      </c>
      <c r="L3221" s="4" t="s">
        <v>106</v>
      </c>
      <c r="M3221" s="4" t="s">
        <v>5965</v>
      </c>
      <c r="O3221" s="4" t="s">
        <v>63</v>
      </c>
      <c r="P3221" s="4" t="s">
        <v>64</v>
      </c>
    </row>
    <row r="3222">
      <c r="A3222" s="4" t="s">
        <v>5965</v>
      </c>
      <c r="B3222" s="4" t="s">
        <v>5965</v>
      </c>
      <c r="C3222" s="4">
        <v>1611.0</v>
      </c>
      <c r="D3222" s="5" t="str">
        <f>HYPERLINK("https://www.linkedin.com/ad-library/detail/1348129356","Open Ad")</f>
        <v>Open Ad</v>
      </c>
      <c r="E3222" s="4" t="s">
        <v>121</v>
      </c>
      <c r="F3222" s="4" t="s">
        <v>54</v>
      </c>
      <c r="G3222" s="4" t="s">
        <v>6551</v>
      </c>
      <c r="H3222" s="4" t="s">
        <v>49</v>
      </c>
      <c r="I3222" s="4" t="s">
        <v>6005</v>
      </c>
      <c r="J3222" s="4" t="s">
        <v>121</v>
      </c>
      <c r="K3222" s="5" t="str">
        <f>HYPERLINK("https://dms.licdn.com/playlist/vid/v2/D4E05AQGG9pTneoArWw/mp4-720p-30fp-crf28/B4EZyP31JjGcCE-/0/1771940309947?e=2147483647&amp;v=beta&amp;t=lSy7EwO1JEElxw9V179dp__-TMnTYtNVUoAcpawSboQ","View Creative")</f>
        <v>View Creative</v>
      </c>
      <c r="L3222" s="4" t="s">
        <v>106</v>
      </c>
      <c r="M3222" s="4" t="s">
        <v>5965</v>
      </c>
      <c r="O3222" s="4" t="s">
        <v>63</v>
      </c>
      <c r="P3222" s="4" t="s">
        <v>64</v>
      </c>
    </row>
    <row r="3223">
      <c r="A3223" s="4" t="s">
        <v>5965</v>
      </c>
      <c r="B3223" s="4" t="s">
        <v>5965</v>
      </c>
      <c r="C3223" s="4">
        <v>1612.0</v>
      </c>
      <c r="D3223" s="5" t="str">
        <f>HYPERLINK("https://www.linkedin.com/ad-library/detail/1362065336","Open Ad")</f>
        <v>Open Ad</v>
      </c>
      <c r="E3223" s="4" t="s">
        <v>121</v>
      </c>
      <c r="F3223" s="4" t="s">
        <v>54</v>
      </c>
      <c r="G3223" s="4" t="s">
        <v>6619</v>
      </c>
      <c r="H3223" s="4" t="s">
        <v>49</v>
      </c>
      <c r="I3223" s="4" t="s">
        <v>6005</v>
      </c>
      <c r="J3223" s="4" t="s">
        <v>121</v>
      </c>
      <c r="K3223" s="5" t="str">
        <f>HYPERLINK("https://dms.licdn.com/playlist/vid/v2/D4E10AQFrrp46SexQ9A/mp4-640p-30fp-crf28/B4EZyhB2u.HwBo-/0/1772228156994?e=2147483647&amp;v=beta&amp;t=DniftuVoFDcdnjQFhmTRlcsz7YVGRLRwWgRYAqT_-0g","View Creative")</f>
        <v>View Creative</v>
      </c>
      <c r="L3223" s="4" t="s">
        <v>106</v>
      </c>
      <c r="M3223" s="4" t="s">
        <v>5965</v>
      </c>
      <c r="O3223" s="4" t="s">
        <v>63</v>
      </c>
      <c r="P3223" s="4" t="s">
        <v>64</v>
      </c>
    </row>
    <row r="3224">
      <c r="A3224" s="4" t="s">
        <v>5965</v>
      </c>
      <c r="B3224" s="4" t="s">
        <v>5965</v>
      </c>
      <c r="C3224" s="4">
        <v>1613.0</v>
      </c>
      <c r="D3224" s="5" t="str">
        <f>HYPERLINK("https://www.linkedin.com/ad-library/detail/1359104806","Open Ad")</f>
        <v>Open Ad</v>
      </c>
      <c r="E3224" s="4" t="s">
        <v>121</v>
      </c>
      <c r="F3224" s="4" t="s">
        <v>54</v>
      </c>
      <c r="G3224" s="4" t="s">
        <v>6620</v>
      </c>
      <c r="H3224" s="4" t="s">
        <v>49</v>
      </c>
      <c r="I3224" s="4" t="s">
        <v>6005</v>
      </c>
      <c r="J3224" s="4" t="s">
        <v>121</v>
      </c>
      <c r="K3224" s="5" t="str">
        <f>HYPERLINK("https://dms.licdn.com/playlist/vid/v2/D4E10AQHM5_fTbBni3w/mp4-640p-30fp-crf28/B4EZxxw4q7I0Bw-/0/1771435172741?e=2147483647&amp;v=beta&amp;t=ZLvJUMoJXcoB0WEjgz7l8o1KDAGSb7Wmh2Y1Uba7B1g","View Creative")</f>
        <v>View Creative</v>
      </c>
      <c r="L3224" s="4" t="s">
        <v>106</v>
      </c>
      <c r="M3224" s="4" t="s">
        <v>5965</v>
      </c>
      <c r="O3224" s="4" t="s">
        <v>63</v>
      </c>
      <c r="P3224" s="4" t="s">
        <v>64</v>
      </c>
    </row>
    <row r="3225">
      <c r="A3225" s="4" t="s">
        <v>5965</v>
      </c>
      <c r="B3225" s="4" t="s">
        <v>5965</v>
      </c>
      <c r="C3225" s="4">
        <v>1614.0</v>
      </c>
      <c r="D3225" s="5" t="str">
        <f>HYPERLINK("https://www.linkedin.com/ad-library/detail/1359104816","Open Ad")</f>
        <v>Open Ad</v>
      </c>
      <c r="E3225" s="4" t="s">
        <v>121</v>
      </c>
      <c r="F3225" s="4" t="s">
        <v>54</v>
      </c>
      <c r="G3225" s="4" t="s">
        <v>6621</v>
      </c>
      <c r="H3225" s="4" t="s">
        <v>49</v>
      </c>
      <c r="I3225" s="4" t="s">
        <v>6005</v>
      </c>
      <c r="J3225" s="4" t="s">
        <v>121</v>
      </c>
      <c r="K3225" s="5" t="str">
        <f>HYPERLINK("https://dms.licdn.com/playlist/vid/v2/D4E05AQGF4t5NOVdxEg/mp4-640p-30fp-crf28/B4EZxxzgCeGsBs-/0/1771435860255?e=2147483647&amp;v=beta&amp;t=a0U8tPz7Odx3U9VQGNadJ2LWCQrh91xX4lFAroNeiLY","View Creative")</f>
        <v>View Creative</v>
      </c>
      <c r="L3225" s="4" t="s">
        <v>106</v>
      </c>
      <c r="M3225" s="4" t="s">
        <v>5965</v>
      </c>
      <c r="O3225" s="4" t="s">
        <v>63</v>
      </c>
      <c r="P3225" s="4" t="s">
        <v>64</v>
      </c>
    </row>
    <row r="3226">
      <c r="A3226" s="4" t="s">
        <v>5965</v>
      </c>
      <c r="B3226" s="4" t="s">
        <v>5965</v>
      </c>
      <c r="C3226" s="4">
        <v>1615.0</v>
      </c>
      <c r="D3226" s="5" t="str">
        <f>HYPERLINK("https://www.linkedin.com/ad-library/detail/1348430636","Open Ad")</f>
        <v>Open Ad</v>
      </c>
      <c r="E3226" s="4" t="s">
        <v>78</v>
      </c>
      <c r="F3226" s="4" t="s">
        <v>54</v>
      </c>
      <c r="G3226" s="4" t="s">
        <v>6622</v>
      </c>
      <c r="H3226" s="4" t="s">
        <v>49</v>
      </c>
      <c r="I3226" s="4" t="s">
        <v>6005</v>
      </c>
      <c r="J3226" s="4" t="s">
        <v>78</v>
      </c>
      <c r="K3226" s="5" t="str">
        <f>HYPERLINK("https://media.licdn.com/dms/image/v2/D4E22AQHpTDaYCifOyg/feedshare-shrink_1280/B4EZyRecx.GsAg-/0/1771967205500?e=2147483647&amp;v=beta&amp;t=TgiofC6EYuIeWz_slU7G93Pzc4ldWdHL1U6Pwx-TMpY","View Creative")</f>
        <v>View Creative</v>
      </c>
      <c r="L3226" s="4" t="s">
        <v>106</v>
      </c>
      <c r="M3226" s="4" t="s">
        <v>5965</v>
      </c>
      <c r="O3226" s="4" t="s">
        <v>63</v>
      </c>
      <c r="P3226" s="4" t="s">
        <v>64</v>
      </c>
    </row>
    <row r="3227">
      <c r="A3227" s="4" t="s">
        <v>5965</v>
      </c>
      <c r="B3227" s="4" t="s">
        <v>5965</v>
      </c>
      <c r="C3227" s="4">
        <v>1616.0</v>
      </c>
      <c r="D3227" s="5" t="str">
        <f>HYPERLINK("https://www.linkedin.com/ad-library/detail/1361995386","Open Ad")</f>
        <v>Open Ad</v>
      </c>
      <c r="E3227" s="4" t="s">
        <v>121</v>
      </c>
      <c r="F3227" s="4" t="s">
        <v>54</v>
      </c>
      <c r="G3227" s="4" t="s">
        <v>6619</v>
      </c>
      <c r="H3227" s="4" t="s">
        <v>49</v>
      </c>
      <c r="I3227" s="4" t="s">
        <v>6005</v>
      </c>
      <c r="J3227" s="4" t="s">
        <v>121</v>
      </c>
      <c r="K3227" s="5" t="str">
        <f>HYPERLINK("https://dms.licdn.com/playlist/vid/v2/D4E10AQFrrp46SexQ9A/mp4-640p-30fp-crf28/B4EZyhB2u.HwBo-/0/1772228156994?e=2147483647&amp;v=beta&amp;t=DniftuVoFDcdnjQFhmTRlcsz7YVGRLRwWgRYAqT_-0g","View Creative")</f>
        <v>View Creative</v>
      </c>
      <c r="L3227" s="4" t="s">
        <v>106</v>
      </c>
      <c r="M3227" s="4" t="s">
        <v>5965</v>
      </c>
      <c r="O3227" s="4" t="s">
        <v>63</v>
      </c>
      <c r="P3227" s="4" t="s">
        <v>64</v>
      </c>
    </row>
    <row r="3228">
      <c r="A3228" s="4" t="s">
        <v>5965</v>
      </c>
      <c r="B3228" s="4" t="s">
        <v>5965</v>
      </c>
      <c r="C3228" s="4">
        <v>1617.0</v>
      </c>
      <c r="D3228" s="5" t="str">
        <f>HYPERLINK("https://www.linkedin.com/ad-library/detail/1348278016","Open Ad")</f>
        <v>Open Ad</v>
      </c>
      <c r="E3228" s="4" t="s">
        <v>78</v>
      </c>
      <c r="F3228" s="4" t="s">
        <v>54</v>
      </c>
      <c r="G3228" s="4" t="s">
        <v>6622</v>
      </c>
      <c r="H3228" s="4" t="s">
        <v>49</v>
      </c>
      <c r="I3228" s="4" t="s">
        <v>6005</v>
      </c>
      <c r="J3228" s="4" t="s">
        <v>78</v>
      </c>
      <c r="K3228" s="5" t="str">
        <f t="shared" ref="K3228:K3229" si="173">HYPERLINK("https://media.licdn.com/dms/image/v2/D4E22AQHpTDaYCifOyg/feedshare-shrink_1280/B4EZyRecx.GsAg-/0/1771967205500?e=2147483647&amp;v=beta&amp;t=TgiofC6EYuIeWz_slU7G93Pzc4ldWdHL1U6Pwx-TMpY","View Creative")</f>
        <v>View Creative</v>
      </c>
      <c r="L3228" s="4" t="s">
        <v>106</v>
      </c>
      <c r="M3228" s="4" t="s">
        <v>5965</v>
      </c>
      <c r="O3228" s="4" t="s">
        <v>63</v>
      </c>
      <c r="P3228" s="4" t="s">
        <v>64</v>
      </c>
    </row>
    <row r="3229">
      <c r="A3229" s="4" t="s">
        <v>5965</v>
      </c>
      <c r="B3229" s="4" t="s">
        <v>5965</v>
      </c>
      <c r="C3229" s="4">
        <v>1618.0</v>
      </c>
      <c r="D3229" s="5" t="str">
        <f>HYPERLINK("https://www.linkedin.com/ad-library/detail/1348420696","Open Ad")</f>
        <v>Open Ad</v>
      </c>
      <c r="E3229" s="4" t="s">
        <v>78</v>
      </c>
      <c r="F3229" s="4" t="s">
        <v>54</v>
      </c>
      <c r="G3229" s="4" t="s">
        <v>6622</v>
      </c>
      <c r="H3229" s="4" t="s">
        <v>49</v>
      </c>
      <c r="I3229" s="4" t="s">
        <v>6005</v>
      </c>
      <c r="J3229" s="4" t="s">
        <v>78</v>
      </c>
      <c r="K3229" s="5" t="str">
        <f t="shared" si="173"/>
        <v>View Creative</v>
      </c>
      <c r="L3229" s="4" t="s">
        <v>106</v>
      </c>
      <c r="M3229" s="4" t="s">
        <v>5965</v>
      </c>
      <c r="O3229" s="4" t="s">
        <v>63</v>
      </c>
      <c r="P3229" s="4" t="s">
        <v>64</v>
      </c>
    </row>
    <row r="3230">
      <c r="A3230" s="4" t="s">
        <v>5965</v>
      </c>
      <c r="B3230" s="4" t="s">
        <v>5965</v>
      </c>
      <c r="C3230" s="4">
        <v>1619.0</v>
      </c>
      <c r="D3230" s="5" t="str">
        <f>HYPERLINK("https://www.linkedin.com/ad-library/detail/1183398043","Open Ad")</f>
        <v>Open Ad</v>
      </c>
      <c r="E3230" s="4" t="s">
        <v>78</v>
      </c>
      <c r="F3230" s="4" t="s">
        <v>54</v>
      </c>
      <c r="G3230" s="4" t="s">
        <v>6623</v>
      </c>
      <c r="H3230" s="4" t="s">
        <v>49</v>
      </c>
      <c r="I3230" s="4" t="s">
        <v>6005</v>
      </c>
      <c r="J3230" s="4" t="s">
        <v>78</v>
      </c>
      <c r="K3230" s="5" t="str">
        <f>HYPERLINK("https://media.licdn.com/dms/image/v2/D4E22AQEaHJlGCszwRA/feedshare-image-high-res/B4EZxyX8x5GsAc-/0/1771445408076?e=2147483647&amp;v=beta&amp;t=1c38d1EWMqN42GWXNaPdZ8i-_xPH1Fxn8GLbP2gJeD0","View Creative")</f>
        <v>View Creative</v>
      </c>
      <c r="L3230" s="4" t="s">
        <v>106</v>
      </c>
      <c r="M3230" s="4" t="s">
        <v>5965</v>
      </c>
      <c r="O3230" s="4" t="s">
        <v>63</v>
      </c>
      <c r="P3230" s="4" t="s">
        <v>64</v>
      </c>
    </row>
    <row r="3231">
      <c r="A3231" s="4" t="s">
        <v>5965</v>
      </c>
      <c r="B3231" s="4" t="s">
        <v>5965</v>
      </c>
      <c r="C3231" s="4">
        <v>1620.0</v>
      </c>
      <c r="D3231" s="5" t="str">
        <f>HYPERLINK("https://www.linkedin.com/ad-library/detail/1355952206","Open Ad")</f>
        <v>Open Ad</v>
      </c>
      <c r="E3231" s="4" t="s">
        <v>121</v>
      </c>
      <c r="F3231" s="4" t="s">
        <v>54</v>
      </c>
      <c r="G3231" s="4" t="s">
        <v>6546</v>
      </c>
      <c r="H3231" s="4" t="s">
        <v>49</v>
      </c>
      <c r="I3231" s="4" t="s">
        <v>6005</v>
      </c>
      <c r="J3231" s="4" t="s">
        <v>121</v>
      </c>
      <c r="K3231" s="5" t="str">
        <f>HYPERLINK("https://dms.licdn.com/playlist/vid/v2/D5605AQGvYPFvEJ845w/mp4-720p-30fp-crf28/B56ZyQoFy0KgCE-/0/1771952959206?e=2147483647&amp;v=beta&amp;t=cEPXbjJcEy4sIJu9RapE6jzqf1jVlAKK-4rBPLfuq3I","View Creative")</f>
        <v>View Creative</v>
      </c>
      <c r="L3231" s="4" t="s">
        <v>106</v>
      </c>
      <c r="M3231" s="4" t="s">
        <v>5965</v>
      </c>
      <c r="O3231" s="4" t="s">
        <v>63</v>
      </c>
      <c r="P3231" s="4" t="s">
        <v>64</v>
      </c>
    </row>
    <row r="3232">
      <c r="A3232" s="4" t="s">
        <v>5965</v>
      </c>
      <c r="B3232" s="4" t="s">
        <v>5965</v>
      </c>
      <c r="C3232" s="4">
        <v>1621.0</v>
      </c>
      <c r="D3232" s="5" t="str">
        <f>HYPERLINK("https://www.linkedin.com/ad-library/detail/1348186686","Open Ad")</f>
        <v>Open Ad</v>
      </c>
      <c r="E3232" s="4" t="s">
        <v>121</v>
      </c>
      <c r="F3232" s="4" t="s">
        <v>54</v>
      </c>
      <c r="G3232" s="4" t="s">
        <v>6613</v>
      </c>
      <c r="H3232" s="4" t="s">
        <v>49</v>
      </c>
      <c r="I3232" s="4" t="s">
        <v>6005</v>
      </c>
      <c r="J3232" s="4" t="s">
        <v>121</v>
      </c>
      <c r="K3232" s="5" t="str">
        <f>HYPERLINK("https://dms.licdn.com/playlist/vid/v2/D4E05AQEhrnRYKjmo1Q/mp4-640p-30fp-crf28/B4EZyRZRDhIQBw-/0/1771965851664?e=2147483647&amp;v=beta&amp;t=N52c5WjyoRskLmJrAvHh7JrG7yKpkOyiRldlifVVdV8","View Creative")</f>
        <v>View Creative</v>
      </c>
      <c r="L3232" s="4" t="s">
        <v>106</v>
      </c>
      <c r="M3232" s="4" t="s">
        <v>5965</v>
      </c>
      <c r="O3232" s="4" t="s">
        <v>63</v>
      </c>
      <c r="P3232" s="4" t="s">
        <v>64</v>
      </c>
    </row>
    <row r="3233">
      <c r="A3233" s="4" t="s">
        <v>5965</v>
      </c>
      <c r="B3233" s="4" t="s">
        <v>5965</v>
      </c>
      <c r="C3233" s="4">
        <v>1622.0</v>
      </c>
      <c r="D3233" s="5" t="str">
        <f>HYPERLINK("https://www.linkedin.com/ad-library/detail/1348355486","Open Ad")</f>
        <v>Open Ad</v>
      </c>
      <c r="E3233" s="4" t="s">
        <v>78</v>
      </c>
      <c r="F3233" s="4" t="s">
        <v>54</v>
      </c>
      <c r="G3233" s="4" t="s">
        <v>6622</v>
      </c>
      <c r="H3233" s="4" t="s">
        <v>49</v>
      </c>
      <c r="I3233" s="4" t="s">
        <v>6005</v>
      </c>
      <c r="J3233" s="4" t="s">
        <v>78</v>
      </c>
      <c r="K3233" s="5" t="str">
        <f>HYPERLINK("https://media.licdn.com/dms/image/v2/D4E22AQHpTDaYCifOyg/feedshare-shrink_1280/B4EZyRecx.GsAg-/0/1771967205500?e=2147483647&amp;v=beta&amp;t=TgiofC6EYuIeWz_slU7G93Pzc4ldWdHL1U6Pwx-TMpY","View Creative")</f>
        <v>View Creative</v>
      </c>
      <c r="L3233" s="4" t="s">
        <v>106</v>
      </c>
      <c r="M3233" s="4" t="s">
        <v>5965</v>
      </c>
      <c r="O3233" s="4" t="s">
        <v>63</v>
      </c>
      <c r="P3233" s="4" t="s">
        <v>64</v>
      </c>
    </row>
    <row r="3234">
      <c r="A3234" s="4" t="s">
        <v>5965</v>
      </c>
      <c r="B3234" s="4" t="s">
        <v>5965</v>
      </c>
      <c r="C3234" s="4">
        <v>1623.0</v>
      </c>
      <c r="D3234" s="5" t="str">
        <f>HYPERLINK("https://www.linkedin.com/ad-library/detail/1348355476","Open Ad")</f>
        <v>Open Ad</v>
      </c>
      <c r="E3234" s="4" t="s">
        <v>78</v>
      </c>
      <c r="F3234" s="4" t="s">
        <v>54</v>
      </c>
      <c r="G3234" s="4" t="s">
        <v>6624</v>
      </c>
      <c r="H3234" s="4" t="s">
        <v>49</v>
      </c>
      <c r="I3234" s="4" t="s">
        <v>6005</v>
      </c>
      <c r="J3234" s="4" t="s">
        <v>78</v>
      </c>
      <c r="K3234" s="5" t="str">
        <f t="shared" ref="K3234:K3235" si="174">HYPERLINK("https://media.licdn.com/dms/image/v2/D4E10AQGAcZ5Wbr869Q/image-shrink_1280/B4EZySbaJqGkAc-/0/1771983185412?e=2147483647&amp;v=beta&amp;t=P8xlMommdfAbZFMcf8S-bK-NgO33Vi_aKZfwzNPYbIE","View Creative")</f>
        <v>View Creative</v>
      </c>
      <c r="L3234" s="4" t="s">
        <v>106</v>
      </c>
      <c r="M3234" s="4" t="s">
        <v>5965</v>
      </c>
      <c r="O3234" s="4" t="s">
        <v>63</v>
      </c>
      <c r="P3234" s="4" t="s">
        <v>64</v>
      </c>
    </row>
    <row r="3235">
      <c r="A3235" s="4" t="s">
        <v>5965</v>
      </c>
      <c r="B3235" s="4" t="s">
        <v>5965</v>
      </c>
      <c r="C3235" s="4">
        <v>1624.0</v>
      </c>
      <c r="D3235" s="5" t="str">
        <f>HYPERLINK("https://www.linkedin.com/ad-library/detail/1348391906","Open Ad")</f>
        <v>Open Ad</v>
      </c>
      <c r="E3235" s="4" t="s">
        <v>78</v>
      </c>
      <c r="F3235" s="4" t="s">
        <v>54</v>
      </c>
      <c r="G3235" s="4" t="s">
        <v>6624</v>
      </c>
      <c r="H3235" s="4" t="s">
        <v>49</v>
      </c>
      <c r="I3235" s="4" t="s">
        <v>6005</v>
      </c>
      <c r="J3235" s="4" t="s">
        <v>78</v>
      </c>
      <c r="K3235" s="5" t="str">
        <f t="shared" si="174"/>
        <v>View Creative</v>
      </c>
      <c r="L3235" s="4" t="s">
        <v>106</v>
      </c>
      <c r="M3235" s="4" t="s">
        <v>5965</v>
      </c>
      <c r="O3235" s="4" t="s">
        <v>63</v>
      </c>
      <c r="P3235" s="4" t="s">
        <v>64</v>
      </c>
    </row>
    <row r="3236">
      <c r="A3236" s="4" t="s">
        <v>5965</v>
      </c>
      <c r="B3236" s="4" t="s">
        <v>5965</v>
      </c>
      <c r="C3236" s="4">
        <v>1625.0</v>
      </c>
      <c r="D3236" s="5" t="str">
        <f>HYPERLINK("https://www.linkedin.com/ad-library/detail/1361926086","Open Ad")</f>
        <v>Open Ad</v>
      </c>
      <c r="E3236" s="4" t="s">
        <v>121</v>
      </c>
      <c r="F3236" s="4" t="s">
        <v>54</v>
      </c>
      <c r="G3236" s="4" t="s">
        <v>6619</v>
      </c>
      <c r="H3236" s="4" t="s">
        <v>49</v>
      </c>
      <c r="I3236" s="4" t="s">
        <v>6005</v>
      </c>
      <c r="J3236" s="4" t="s">
        <v>121</v>
      </c>
      <c r="K3236" s="5" t="str">
        <f>HYPERLINK("https://dms.licdn.com/playlist/vid/v2/D4E10AQFrrp46SexQ9A/mp4-640p-30fp-crf28/B4EZyhB2u.HwBo-/0/1772228156994?e=2147483647&amp;v=beta&amp;t=DniftuVoFDcdnjQFhmTRlcsz7YVGRLRwWgRYAqT_-0g","View Creative")</f>
        <v>View Creative</v>
      </c>
      <c r="L3236" s="4" t="s">
        <v>106</v>
      </c>
      <c r="M3236" s="4" t="s">
        <v>5965</v>
      </c>
      <c r="O3236" s="4" t="s">
        <v>63</v>
      </c>
      <c r="P3236" s="4" t="s">
        <v>64</v>
      </c>
    </row>
    <row r="3237">
      <c r="A3237" s="4" t="s">
        <v>5965</v>
      </c>
      <c r="B3237" s="4" t="s">
        <v>5965</v>
      </c>
      <c r="C3237" s="4">
        <v>1626.0</v>
      </c>
      <c r="D3237" s="5" t="str">
        <f>HYPERLINK("https://www.linkedin.com/ad-library/detail/1149892354","Open Ad")</f>
        <v>Open Ad</v>
      </c>
      <c r="E3237" s="4" t="s">
        <v>78</v>
      </c>
      <c r="F3237" s="4" t="s">
        <v>54</v>
      </c>
      <c r="G3237" s="4" t="s">
        <v>6625</v>
      </c>
      <c r="H3237" s="4" t="s">
        <v>49</v>
      </c>
      <c r="I3237" s="4" t="s">
        <v>6005</v>
      </c>
      <c r="J3237" s="4" t="s">
        <v>78</v>
      </c>
      <c r="K3237" s="5" t="str">
        <f>HYPERLINK("https://media.licdn.com/dms/image/sync/v2/D5627AQFmKa0fxSM8aA/articleshare-shrink_1280_800/B56ZxTYYHPIEAQ-/0/1770925426150?e=2147483647&amp;v=beta&amp;t=WqrneYZEm4Yxx0M36XNdNxR4zZgaOYkSgNHHWkzGwMI","View Creative")</f>
        <v>View Creative</v>
      </c>
      <c r="L3237" s="4" t="s">
        <v>106</v>
      </c>
      <c r="M3237" s="4" t="s">
        <v>5965</v>
      </c>
      <c r="O3237" s="4" t="s">
        <v>63</v>
      </c>
      <c r="P3237" s="4" t="s">
        <v>64</v>
      </c>
    </row>
    <row r="3238">
      <c r="A3238" s="4" t="s">
        <v>5965</v>
      </c>
      <c r="B3238" s="4" t="s">
        <v>5965</v>
      </c>
      <c r="C3238" s="4">
        <v>1627.0</v>
      </c>
      <c r="D3238" s="5" t="str">
        <f>HYPERLINK("https://www.linkedin.com/ad-library/detail/1348355496","Open Ad")</f>
        <v>Open Ad</v>
      </c>
      <c r="E3238" s="4" t="s">
        <v>78</v>
      </c>
      <c r="F3238" s="4" t="s">
        <v>54</v>
      </c>
      <c r="G3238" s="4" t="s">
        <v>6624</v>
      </c>
      <c r="H3238" s="4" t="s">
        <v>49</v>
      </c>
      <c r="I3238" s="4" t="s">
        <v>6005</v>
      </c>
      <c r="J3238" s="4" t="s">
        <v>78</v>
      </c>
      <c r="K3238" s="5" t="str">
        <f>HYPERLINK("https://media.licdn.com/dms/image/v2/D4E10AQGAcZ5Wbr869Q/image-shrink_1280/B4EZySbaJqGkAc-/0/1771983185412?e=2147483647&amp;v=beta&amp;t=P8xlMommdfAbZFMcf8S-bK-NgO33Vi_aKZfwzNPYbIE","View Creative")</f>
        <v>View Creative</v>
      </c>
      <c r="L3238" s="4" t="s">
        <v>106</v>
      </c>
      <c r="M3238" s="4" t="s">
        <v>5965</v>
      </c>
      <c r="O3238" s="4" t="s">
        <v>63</v>
      </c>
      <c r="P3238" s="4" t="s">
        <v>64</v>
      </c>
    </row>
    <row r="3239">
      <c r="A3239" s="4" t="s">
        <v>5965</v>
      </c>
      <c r="B3239" s="4" t="s">
        <v>5965</v>
      </c>
      <c r="C3239" s="4">
        <v>1628.0</v>
      </c>
      <c r="D3239" s="5" t="str">
        <f>HYPERLINK("https://www.linkedin.com/ad-library/detail/1362094056","Open Ad")</f>
        <v>Open Ad</v>
      </c>
      <c r="E3239" s="4" t="s">
        <v>78</v>
      </c>
      <c r="F3239" s="4" t="s">
        <v>54</v>
      </c>
      <c r="G3239" s="4" t="s">
        <v>6611</v>
      </c>
      <c r="H3239" s="4" t="s">
        <v>49</v>
      </c>
      <c r="I3239" s="4" t="s">
        <v>6005</v>
      </c>
      <c r="J3239" s="4" t="s">
        <v>78</v>
      </c>
      <c r="K3239" s="5" t="str">
        <f>HYPERLINK("https://media.licdn.com/dms/image/v2/D4E10AQFC__9NnIVfQg/image-shrink_1280/B4EZyRg5EMHkAc-/0/1771967845235?e=2147483647&amp;v=beta&amp;t=wzygX8IX6tpH5uwG_iGjdivN14QXrFQc-OLuHLg7reY","View Creative")</f>
        <v>View Creative</v>
      </c>
      <c r="L3239" s="4" t="s">
        <v>106</v>
      </c>
      <c r="M3239" s="4" t="s">
        <v>5965</v>
      </c>
      <c r="O3239" s="4" t="s">
        <v>63</v>
      </c>
      <c r="P3239" s="4" t="s">
        <v>64</v>
      </c>
    </row>
    <row r="3240">
      <c r="A3240" s="4" t="s">
        <v>5965</v>
      </c>
      <c r="B3240" s="4" t="s">
        <v>5965</v>
      </c>
      <c r="C3240" s="4">
        <v>1629.0</v>
      </c>
      <c r="D3240" s="5" t="str">
        <f>HYPERLINK("https://www.linkedin.com/ad-library/detail/1348323046","Open Ad")</f>
        <v>Open Ad</v>
      </c>
      <c r="E3240" s="4" t="s">
        <v>121</v>
      </c>
      <c r="F3240" s="4" t="s">
        <v>54</v>
      </c>
      <c r="G3240" s="4" t="s">
        <v>6551</v>
      </c>
      <c r="H3240" s="4" t="s">
        <v>49</v>
      </c>
      <c r="I3240" s="4" t="s">
        <v>6005</v>
      </c>
      <c r="J3240" s="4" t="s">
        <v>121</v>
      </c>
      <c r="K3240" s="5" t="str">
        <f t="shared" ref="K3240:K3241" si="175">HYPERLINK("https://dms.licdn.com/playlist/vid/v2/D4E05AQGG9pTneoArWw/mp4-720p-30fp-crf28/B4EZyP31JjGcCE-/0/1771940309947?e=2147483647&amp;v=beta&amp;t=lSy7EwO1JEElxw9V179dp__-TMnTYtNVUoAcpawSboQ","View Creative")</f>
        <v>View Creative</v>
      </c>
      <c r="L3240" s="4" t="s">
        <v>106</v>
      </c>
      <c r="M3240" s="4" t="s">
        <v>5965</v>
      </c>
      <c r="O3240" s="4" t="s">
        <v>63</v>
      </c>
      <c r="P3240" s="4" t="s">
        <v>64</v>
      </c>
    </row>
    <row r="3241">
      <c r="A3241" s="4" t="s">
        <v>5965</v>
      </c>
      <c r="B3241" s="4" t="s">
        <v>5965</v>
      </c>
      <c r="C3241" s="4">
        <v>1630.0</v>
      </c>
      <c r="D3241" s="5" t="str">
        <f>HYPERLINK("https://www.linkedin.com/ad-library/detail/1348215706","Open Ad")</f>
        <v>Open Ad</v>
      </c>
      <c r="E3241" s="4" t="s">
        <v>121</v>
      </c>
      <c r="F3241" s="4" t="s">
        <v>54</v>
      </c>
      <c r="G3241" s="4" t="s">
        <v>6551</v>
      </c>
      <c r="H3241" s="4" t="s">
        <v>49</v>
      </c>
      <c r="I3241" s="4" t="s">
        <v>6005</v>
      </c>
      <c r="J3241" s="4" t="s">
        <v>121</v>
      </c>
      <c r="K3241" s="5" t="str">
        <f t="shared" si="175"/>
        <v>View Creative</v>
      </c>
      <c r="L3241" s="4" t="s">
        <v>106</v>
      </c>
      <c r="M3241" s="4" t="s">
        <v>5965</v>
      </c>
      <c r="O3241" s="4" t="s">
        <v>63</v>
      </c>
      <c r="P3241" s="4" t="s">
        <v>64</v>
      </c>
    </row>
    <row r="3242">
      <c r="A3242" s="4" t="s">
        <v>5965</v>
      </c>
      <c r="B3242" s="4" t="s">
        <v>5965</v>
      </c>
      <c r="C3242" s="4">
        <v>1631.0</v>
      </c>
      <c r="D3242" s="5" t="str">
        <f>HYPERLINK("https://www.linkedin.com/ad-library/detail/1348401826","Open Ad")</f>
        <v>Open Ad</v>
      </c>
      <c r="E3242" s="4" t="s">
        <v>78</v>
      </c>
      <c r="F3242" s="4" t="s">
        <v>54</v>
      </c>
      <c r="G3242" s="4" t="s">
        <v>6624</v>
      </c>
      <c r="H3242" s="4" t="s">
        <v>49</v>
      </c>
      <c r="I3242" s="4" t="s">
        <v>6005</v>
      </c>
      <c r="J3242" s="4" t="s">
        <v>78</v>
      </c>
      <c r="K3242" s="5" t="str">
        <f>HYPERLINK("https://media.licdn.com/dms/image/v2/D4E10AQGAcZ5Wbr869Q/image-shrink_1280/B4EZySbaJqGkAc-/0/1771983185412?e=2147483647&amp;v=beta&amp;t=P8xlMommdfAbZFMcf8S-bK-NgO33Vi_aKZfwzNPYbIE","View Creative")</f>
        <v>View Creative</v>
      </c>
      <c r="L3242" s="4" t="s">
        <v>106</v>
      </c>
      <c r="M3242" s="4" t="s">
        <v>5965</v>
      </c>
      <c r="O3242" s="4" t="s">
        <v>63</v>
      </c>
      <c r="P3242" s="4" t="s">
        <v>64</v>
      </c>
    </row>
    <row r="3243">
      <c r="A3243" s="4" t="s">
        <v>5965</v>
      </c>
      <c r="B3243" s="4" t="s">
        <v>5965</v>
      </c>
      <c r="C3243" s="4">
        <v>1632.0</v>
      </c>
      <c r="D3243" s="5" t="str">
        <f>HYPERLINK("https://www.linkedin.com/ad-library/detail/1355867096","Open Ad")</f>
        <v>Open Ad</v>
      </c>
      <c r="E3243" s="4" t="s">
        <v>121</v>
      </c>
      <c r="F3243" s="4" t="s">
        <v>54</v>
      </c>
      <c r="G3243" s="4" t="s">
        <v>6546</v>
      </c>
      <c r="H3243" s="4" t="s">
        <v>49</v>
      </c>
      <c r="I3243" s="4" t="s">
        <v>6005</v>
      </c>
      <c r="J3243" s="4" t="s">
        <v>121</v>
      </c>
      <c r="K3243" s="5" t="str">
        <f>HYPERLINK("https://dms.licdn.com/playlist/vid/v2/D5605AQGvYPFvEJ845w/mp4-720p-30fp-crf28/B56ZyQoFy0KgCE-/0/1771952959206?e=2147483647&amp;v=beta&amp;t=cEPXbjJcEy4sIJu9RapE6jzqf1jVlAKK-4rBPLfuq3I","View Creative")</f>
        <v>View Creative</v>
      </c>
      <c r="L3243" s="4" t="s">
        <v>106</v>
      </c>
      <c r="M3243" s="4" t="s">
        <v>5965</v>
      </c>
      <c r="O3243" s="4" t="s">
        <v>63</v>
      </c>
      <c r="P3243" s="4" t="s">
        <v>64</v>
      </c>
    </row>
    <row r="3244">
      <c r="A3244" s="4" t="s">
        <v>5965</v>
      </c>
      <c r="B3244" s="4" t="s">
        <v>5965</v>
      </c>
      <c r="C3244" s="4">
        <v>1633.0</v>
      </c>
      <c r="D3244" s="5" t="str">
        <f>HYPERLINK("https://www.linkedin.com/ad-library/detail/1332901606","Open Ad")</f>
        <v>Open Ad</v>
      </c>
      <c r="E3244" s="4" t="s">
        <v>121</v>
      </c>
      <c r="F3244" s="4" t="s">
        <v>54</v>
      </c>
      <c r="G3244" s="4" t="s">
        <v>6621</v>
      </c>
      <c r="H3244" s="4" t="s">
        <v>49</v>
      </c>
      <c r="I3244" s="4" t="s">
        <v>6005</v>
      </c>
      <c r="J3244" s="4" t="s">
        <v>121</v>
      </c>
      <c r="K3244" s="5" t="str">
        <f>HYPERLINK("https://dms.licdn.com/playlist/vid/v2/D4E05AQGF4t5NOVdxEg/mp4-640p-30fp-crf28/B4EZxxzgCeGsBs-/0/1771435860255?e=2147483647&amp;v=beta&amp;t=a0U8tPz7Odx3U9VQGNadJ2LWCQrh91xX4lFAroNeiLY","View Creative")</f>
        <v>View Creative</v>
      </c>
      <c r="L3244" s="4" t="s">
        <v>106</v>
      </c>
      <c r="M3244" s="4" t="s">
        <v>5965</v>
      </c>
      <c r="O3244" s="4" t="s">
        <v>63</v>
      </c>
      <c r="P3244" s="4" t="s">
        <v>64</v>
      </c>
    </row>
    <row r="3245">
      <c r="A3245" s="4" t="s">
        <v>5965</v>
      </c>
      <c r="B3245" s="4" t="s">
        <v>5965</v>
      </c>
      <c r="C3245" s="4">
        <v>1634.0</v>
      </c>
      <c r="D3245" s="5" t="str">
        <f>HYPERLINK("https://www.linkedin.com/ad-library/detail/1324318846","Open Ad")</f>
        <v>Open Ad</v>
      </c>
      <c r="E3245" s="4" t="s">
        <v>121</v>
      </c>
      <c r="F3245" s="4" t="s">
        <v>54</v>
      </c>
      <c r="G3245" s="4" t="s">
        <v>6620</v>
      </c>
      <c r="H3245" s="4" t="s">
        <v>49</v>
      </c>
      <c r="I3245" s="4" t="s">
        <v>6005</v>
      </c>
      <c r="J3245" s="4" t="s">
        <v>121</v>
      </c>
      <c r="K3245" s="5" t="str">
        <f>HYPERLINK("https://dms.licdn.com/playlist/vid/v2/D4E10AQHM5_fTbBni3w/mp4-640p-30fp-crf28/B4EZxxw4q7I0Bw-/0/1771435172741?e=2147483647&amp;v=beta&amp;t=ZLvJUMoJXcoB0WEjgz7l8o1KDAGSb7Wmh2Y1Uba7B1g","View Creative")</f>
        <v>View Creative</v>
      </c>
      <c r="L3245" s="4" t="s">
        <v>106</v>
      </c>
      <c r="M3245" s="4" t="s">
        <v>5965</v>
      </c>
      <c r="O3245" s="4" t="s">
        <v>63</v>
      </c>
      <c r="P3245" s="4" t="s">
        <v>64</v>
      </c>
    </row>
    <row r="3246">
      <c r="A3246" s="4" t="s">
        <v>5965</v>
      </c>
      <c r="B3246" s="4" t="s">
        <v>5965</v>
      </c>
      <c r="C3246" s="4">
        <v>1635.0</v>
      </c>
      <c r="D3246" s="5" t="str">
        <f>HYPERLINK("https://www.linkedin.com/ad-library/detail/1331920586","Open Ad")</f>
        <v>Open Ad</v>
      </c>
      <c r="E3246" s="4" t="s">
        <v>121</v>
      </c>
      <c r="F3246" s="4" t="s">
        <v>54</v>
      </c>
      <c r="G3246" s="4" t="s">
        <v>6621</v>
      </c>
      <c r="H3246" s="4" t="s">
        <v>49</v>
      </c>
      <c r="I3246" s="4" t="s">
        <v>6005</v>
      </c>
      <c r="J3246" s="4" t="s">
        <v>121</v>
      </c>
      <c r="K3246" s="5" t="str">
        <f>HYPERLINK("https://dms.licdn.com/playlist/vid/v2/D4E05AQGF4t5NOVdxEg/mp4-640p-30fp-crf28/B4EZxxzgCeGsBs-/0/1771435860255?e=2147483647&amp;v=beta&amp;t=a0U8tPz7Odx3U9VQGNadJ2LWCQrh91xX4lFAroNeiLY","View Creative")</f>
        <v>View Creative</v>
      </c>
      <c r="L3246" s="4" t="s">
        <v>106</v>
      </c>
      <c r="M3246" s="4" t="s">
        <v>5965</v>
      </c>
      <c r="O3246" s="4" t="s">
        <v>63</v>
      </c>
      <c r="P3246" s="4" t="s">
        <v>64</v>
      </c>
    </row>
    <row r="3247">
      <c r="A3247" s="4" t="s">
        <v>5965</v>
      </c>
      <c r="B3247" s="4" t="s">
        <v>5965</v>
      </c>
      <c r="C3247" s="4">
        <v>1636.0</v>
      </c>
      <c r="D3247" s="5" t="str">
        <f>HYPERLINK("https://www.linkedin.com/ad-library/detail/1342127276","Open Ad")</f>
        <v>Open Ad</v>
      </c>
      <c r="E3247" s="4" t="s">
        <v>121</v>
      </c>
      <c r="F3247" s="4" t="s">
        <v>54</v>
      </c>
      <c r="G3247" s="4" t="s">
        <v>6626</v>
      </c>
      <c r="H3247" s="4" t="s">
        <v>49</v>
      </c>
      <c r="I3247" s="4" t="s">
        <v>6005</v>
      </c>
      <c r="J3247" s="4" t="s">
        <v>121</v>
      </c>
      <c r="K3247" s="5" t="str">
        <f>HYPERLINK("https://dms.licdn.com/playlist/vid/v2/D4E10AQH0SWPx3r517w/mp4-360p-30fp-crf28/B4EZyM6Uz_GgCA-/0/1771890634854?e=2147483647&amp;v=beta&amp;t=tW7UneK9IMocBhXlAF6BIvpOsBFHEyvYnIxnuN0Z_WM","View Creative")</f>
        <v>View Creative</v>
      </c>
      <c r="L3247" s="4" t="s">
        <v>106</v>
      </c>
      <c r="M3247" s="4" t="s">
        <v>5965</v>
      </c>
      <c r="O3247" s="4" t="s">
        <v>63</v>
      </c>
      <c r="P3247" s="4" t="s">
        <v>64</v>
      </c>
    </row>
    <row r="3248">
      <c r="A3248" s="4" t="s">
        <v>5965</v>
      </c>
      <c r="B3248" s="4" t="s">
        <v>5965</v>
      </c>
      <c r="C3248" s="4">
        <v>1637.0</v>
      </c>
      <c r="D3248" s="5" t="str">
        <f>HYPERLINK("https://www.linkedin.com/ad-library/detail/1330821366","Open Ad")</f>
        <v>Open Ad</v>
      </c>
      <c r="E3248" s="4" t="s">
        <v>121</v>
      </c>
      <c r="F3248" s="4" t="s">
        <v>54</v>
      </c>
      <c r="G3248" s="4" t="s">
        <v>6621</v>
      </c>
      <c r="H3248" s="4" t="s">
        <v>49</v>
      </c>
      <c r="I3248" s="4" t="s">
        <v>6005</v>
      </c>
      <c r="J3248" s="4" t="s">
        <v>121</v>
      </c>
      <c r="K3248" s="5" t="str">
        <f>HYPERLINK("https://dms.licdn.com/playlist/vid/v2/D4E05AQGF4t5NOVdxEg/mp4-640p-30fp-crf28/B4EZxxzgCeGsBs-/0/1771435860255?e=2147483647&amp;v=beta&amp;t=a0U8tPz7Odx3U9VQGNadJ2LWCQrh91xX4lFAroNeiLY","View Creative")</f>
        <v>View Creative</v>
      </c>
      <c r="L3248" s="4" t="s">
        <v>106</v>
      </c>
      <c r="M3248" s="4" t="s">
        <v>5965</v>
      </c>
      <c r="O3248" s="4" t="s">
        <v>63</v>
      </c>
      <c r="P3248" s="4" t="s">
        <v>64</v>
      </c>
    </row>
    <row r="3249">
      <c r="A3249" s="4" t="s">
        <v>5965</v>
      </c>
      <c r="B3249" s="4" t="s">
        <v>5965</v>
      </c>
      <c r="C3249" s="4">
        <v>1638.0</v>
      </c>
      <c r="D3249" s="5" t="str">
        <f>HYPERLINK("https://www.linkedin.com/ad-library/detail/1342235506","Open Ad")</f>
        <v>Open Ad</v>
      </c>
      <c r="E3249" s="4" t="s">
        <v>121</v>
      </c>
      <c r="F3249" s="4" t="s">
        <v>54</v>
      </c>
      <c r="G3249" s="4" t="s">
        <v>6556</v>
      </c>
      <c r="H3249" s="4" t="s">
        <v>49</v>
      </c>
      <c r="I3249" s="4" t="s">
        <v>6005</v>
      </c>
      <c r="J3249" s="4" t="s">
        <v>121</v>
      </c>
      <c r="K3249" s="5" t="str">
        <f>HYPERLINK("https://dms.licdn.com/playlist/vid/v2/D4E10AQHb8aBgPz6yrg/mp4-360p-30fp-crf28/B4EZyQma5eHMB8-/0/1771952534337?e=2147483647&amp;v=beta&amp;t=vL255ZZj6UooCMMSuov9TYM4BA5F3J29zDbm5h_CfCY","View Creative")</f>
        <v>View Creative</v>
      </c>
      <c r="L3249" s="4" t="s">
        <v>106</v>
      </c>
      <c r="M3249" s="4" t="s">
        <v>5965</v>
      </c>
      <c r="O3249" s="4" t="s">
        <v>63</v>
      </c>
      <c r="P3249" s="4" t="s">
        <v>64</v>
      </c>
    </row>
    <row r="3250">
      <c r="A3250" s="4" t="s">
        <v>5965</v>
      </c>
      <c r="B3250" s="4" t="s">
        <v>5965</v>
      </c>
      <c r="C3250" s="4">
        <v>1639.0</v>
      </c>
      <c r="D3250" s="5" t="str">
        <f>HYPERLINK("https://www.linkedin.com/ad-library/detail/1342292456","Open Ad")</f>
        <v>Open Ad</v>
      </c>
      <c r="E3250" s="4" t="s">
        <v>121</v>
      </c>
      <c r="F3250" s="4" t="s">
        <v>54</v>
      </c>
      <c r="G3250" s="4" t="s">
        <v>6626</v>
      </c>
      <c r="H3250" s="4" t="s">
        <v>49</v>
      </c>
      <c r="I3250" s="4" t="s">
        <v>6005</v>
      </c>
      <c r="J3250" s="4" t="s">
        <v>121</v>
      </c>
      <c r="K3250" s="5" t="str">
        <f>HYPERLINK("https://dms.licdn.com/playlist/vid/v2/D4E10AQH0SWPx3r517w/mp4-360p-30fp-crf28/B4EZyM6Uz_GgCA-/0/1771890634854?e=2147483647&amp;v=beta&amp;t=tW7UneK9IMocBhXlAF6BIvpOsBFHEyvYnIxnuN0Z_WM","View Creative")</f>
        <v>View Creative</v>
      </c>
      <c r="L3250" s="4" t="s">
        <v>106</v>
      </c>
      <c r="M3250" s="4" t="s">
        <v>5965</v>
      </c>
      <c r="O3250" s="4" t="s">
        <v>63</v>
      </c>
      <c r="P3250" s="4" t="s">
        <v>64</v>
      </c>
    </row>
    <row r="3251">
      <c r="A3251" s="4" t="s">
        <v>5965</v>
      </c>
      <c r="B3251" s="4" t="s">
        <v>5965</v>
      </c>
      <c r="C3251" s="4">
        <v>1640.0</v>
      </c>
      <c r="D3251" s="5" t="str">
        <f>HYPERLINK("https://www.linkedin.com/ad-library/detail/950304016","Open Ad")</f>
        <v>Open Ad</v>
      </c>
      <c r="E3251" s="4" t="s">
        <v>78</v>
      </c>
      <c r="F3251" s="4" t="s">
        <v>54</v>
      </c>
      <c r="G3251" s="4" t="s">
        <v>6627</v>
      </c>
      <c r="H3251" s="4" t="s">
        <v>49</v>
      </c>
      <c r="I3251" s="4" t="s">
        <v>6005</v>
      </c>
      <c r="J3251" s="4" t="s">
        <v>78</v>
      </c>
      <c r="K3251" s="5" t="str">
        <f>HYPERLINK("https://media.licdn.com/dms/image/v2/D4E22AQGqUvGw2UAjHg/feedshare-shrink_1280/B4EZx36FgMIsAc-/0/1771538241927?e=2147483647&amp;v=beta&amp;t=wFsLYJp25X3CY-V3-rLiWl6fF6UCkjEoE4YgYx-gPMw","View Creative")</f>
        <v>View Creative</v>
      </c>
      <c r="L3251" s="4" t="s">
        <v>106</v>
      </c>
      <c r="M3251" s="4" t="s">
        <v>5965</v>
      </c>
      <c r="O3251" s="4" t="s">
        <v>63</v>
      </c>
      <c r="P3251" s="4" t="s">
        <v>64</v>
      </c>
    </row>
    <row r="3252">
      <c r="A3252" s="4" t="s">
        <v>5965</v>
      </c>
      <c r="B3252" s="4" t="s">
        <v>5965</v>
      </c>
      <c r="C3252" s="4">
        <v>1641.0</v>
      </c>
      <c r="D3252" s="5" t="str">
        <f>HYPERLINK("https://www.linkedin.com/ad-library/detail/1181507323","Open Ad")</f>
        <v>Open Ad</v>
      </c>
      <c r="E3252" s="4" t="s">
        <v>78</v>
      </c>
      <c r="F3252" s="4" t="s">
        <v>54</v>
      </c>
      <c r="G3252" s="4" t="s">
        <v>6628</v>
      </c>
      <c r="H3252" s="4" t="s">
        <v>49</v>
      </c>
      <c r="I3252" s="4" t="s">
        <v>6005</v>
      </c>
      <c r="J3252" s="4" t="s">
        <v>78</v>
      </c>
      <c r="K3252" s="5" t="str">
        <f>HYPERLINK("https://media.licdn.com/dms/image/v2/D4D10AQGfb8qc9lB9yg/image-shrink_1280/B4DZyL3nHTKQAc-/0/1771873137384/WhatsAppImage2026-02-19at111911PMjpeg?e=2147483647&amp;v=beta&amp;t=lDD7TqmX6-46uXNYMeqnh3uRIQ7EgDpEdiINvsBZjKg","View Creative")</f>
        <v>View Creative</v>
      </c>
      <c r="L3252" s="4" t="s">
        <v>106</v>
      </c>
      <c r="M3252" s="4" t="s">
        <v>5965</v>
      </c>
      <c r="O3252" s="4" t="s">
        <v>63</v>
      </c>
      <c r="P3252" s="4" t="s">
        <v>64</v>
      </c>
    </row>
    <row r="3253">
      <c r="A3253" s="4" t="s">
        <v>5965</v>
      </c>
      <c r="B3253" s="4" t="s">
        <v>5965</v>
      </c>
      <c r="C3253" s="4">
        <v>1642.0</v>
      </c>
      <c r="D3253" s="5" t="str">
        <f>HYPERLINK("https://www.linkedin.com/ad-library/detail/1345381946","Open Ad")</f>
        <v>Open Ad</v>
      </c>
      <c r="E3253" s="4" t="s">
        <v>78</v>
      </c>
      <c r="F3253" s="4" t="s">
        <v>54</v>
      </c>
      <c r="G3253" s="4" t="s">
        <v>6629</v>
      </c>
      <c r="H3253" s="4" t="s">
        <v>49</v>
      </c>
      <c r="I3253" s="4" t="s">
        <v>6005</v>
      </c>
      <c r="J3253" s="4" t="s">
        <v>78</v>
      </c>
      <c r="K3253" s="5" t="str">
        <f>HYPERLINK("https://media.licdn.com/dms/image/v2/D5622AQFft186BgcUtQ/feedshare-shrink_1280/B56ZyRBOjVIAAc-/0/1771959544967?e=2147483647&amp;v=beta&amp;t=otJUPbY1P6xEhlpzBaOjvIYTwIYYcb50xizBJv1ebgY","View Creative")</f>
        <v>View Creative</v>
      </c>
      <c r="L3253" s="4" t="s">
        <v>106</v>
      </c>
      <c r="M3253" s="4" t="s">
        <v>5965</v>
      </c>
      <c r="O3253" s="4" t="s">
        <v>63</v>
      </c>
      <c r="P3253" s="4" t="s">
        <v>64</v>
      </c>
    </row>
    <row r="3254">
      <c r="A3254" s="4" t="s">
        <v>5965</v>
      </c>
      <c r="B3254" s="4" t="s">
        <v>5965</v>
      </c>
      <c r="C3254" s="4">
        <v>1643.0</v>
      </c>
      <c r="D3254" s="5" t="str">
        <f>HYPERLINK("https://www.linkedin.com/ad-library/detail/1342235516","Open Ad")</f>
        <v>Open Ad</v>
      </c>
      <c r="E3254" s="4" t="s">
        <v>121</v>
      </c>
      <c r="F3254" s="4" t="s">
        <v>54</v>
      </c>
      <c r="G3254" s="4" t="s">
        <v>6556</v>
      </c>
      <c r="H3254" s="4" t="s">
        <v>49</v>
      </c>
      <c r="I3254" s="4" t="s">
        <v>6005</v>
      </c>
      <c r="J3254" s="4" t="s">
        <v>121</v>
      </c>
      <c r="K3254" s="5" t="str">
        <f>HYPERLINK("https://dms.licdn.com/playlist/vid/v2/D4E10AQHb8aBgPz6yrg/mp4-360p-30fp-crf28/B4EZyQma5eHMB8-/0/1771952534337?e=2147483647&amp;v=beta&amp;t=vL255ZZj6UooCMMSuov9TYM4BA5F3J29zDbm5h_CfCY","View Creative")</f>
        <v>View Creative</v>
      </c>
      <c r="L3254" s="4" t="s">
        <v>106</v>
      </c>
      <c r="M3254" s="4" t="s">
        <v>5965</v>
      </c>
      <c r="O3254" s="4" t="s">
        <v>63</v>
      </c>
      <c r="P3254" s="4" t="s">
        <v>64</v>
      </c>
    </row>
    <row r="3255">
      <c r="A3255" s="4" t="s">
        <v>5965</v>
      </c>
      <c r="B3255" s="4" t="s">
        <v>5965</v>
      </c>
      <c r="C3255" s="4">
        <v>1644.0</v>
      </c>
      <c r="D3255" s="5" t="str">
        <f>HYPERLINK("https://www.linkedin.com/ad-library/detail/1330281836","Open Ad")</f>
        <v>Open Ad</v>
      </c>
      <c r="E3255" s="4" t="s">
        <v>121</v>
      </c>
      <c r="F3255" s="4" t="s">
        <v>54</v>
      </c>
      <c r="G3255" s="4" t="s">
        <v>6620</v>
      </c>
      <c r="H3255" s="4" t="s">
        <v>49</v>
      </c>
      <c r="I3255" s="4" t="s">
        <v>6005</v>
      </c>
      <c r="J3255" s="4" t="s">
        <v>121</v>
      </c>
      <c r="K3255" s="5" t="str">
        <f t="shared" ref="K3255:K3256" si="176">HYPERLINK("https://dms.licdn.com/playlist/vid/v2/D4E10AQHM5_fTbBni3w/mp4-640p-30fp-crf28/B4EZxxw4q7I0Bw-/0/1771435172741?e=2147483647&amp;v=beta&amp;t=ZLvJUMoJXcoB0WEjgz7l8o1KDAGSb7Wmh2Y1Uba7B1g","View Creative")</f>
        <v>View Creative</v>
      </c>
      <c r="L3255" s="4" t="s">
        <v>106</v>
      </c>
      <c r="M3255" s="4" t="s">
        <v>5965</v>
      </c>
      <c r="O3255" s="4" t="s">
        <v>63</v>
      </c>
      <c r="P3255" s="4" t="s">
        <v>64</v>
      </c>
    </row>
    <row r="3256">
      <c r="A3256" s="4" t="s">
        <v>5965</v>
      </c>
      <c r="B3256" s="4" t="s">
        <v>5965</v>
      </c>
      <c r="C3256" s="4">
        <v>1645.0</v>
      </c>
      <c r="D3256" s="5" t="str">
        <f>HYPERLINK("https://www.linkedin.com/ad-library/detail/1325918626","Open Ad")</f>
        <v>Open Ad</v>
      </c>
      <c r="E3256" s="4" t="s">
        <v>121</v>
      </c>
      <c r="F3256" s="4" t="s">
        <v>54</v>
      </c>
      <c r="G3256" s="4" t="s">
        <v>6620</v>
      </c>
      <c r="H3256" s="4" t="s">
        <v>49</v>
      </c>
      <c r="I3256" s="4" t="s">
        <v>6005</v>
      </c>
      <c r="J3256" s="4" t="s">
        <v>121</v>
      </c>
      <c r="K3256" s="5" t="str">
        <f t="shared" si="176"/>
        <v>View Creative</v>
      </c>
      <c r="L3256" s="4" t="s">
        <v>106</v>
      </c>
      <c r="M3256" s="4" t="s">
        <v>5965</v>
      </c>
      <c r="O3256" s="4" t="s">
        <v>63</v>
      </c>
      <c r="P3256" s="4" t="s">
        <v>64</v>
      </c>
    </row>
    <row r="3257">
      <c r="A3257" s="4" t="s">
        <v>5965</v>
      </c>
      <c r="B3257" s="4" t="s">
        <v>5965</v>
      </c>
      <c r="C3257" s="4">
        <v>1646.0</v>
      </c>
      <c r="D3257" s="5" t="str">
        <f>HYPERLINK("https://www.linkedin.com/ad-library/detail/1325199646","Open Ad")</f>
        <v>Open Ad</v>
      </c>
      <c r="E3257" s="4" t="s">
        <v>78</v>
      </c>
      <c r="F3257" s="4" t="s">
        <v>54</v>
      </c>
      <c r="G3257" s="4" t="s">
        <v>6630</v>
      </c>
      <c r="H3257" s="4" t="s">
        <v>49</v>
      </c>
      <c r="I3257" s="4" t="s">
        <v>6005</v>
      </c>
      <c r="J3257" s="4" t="s">
        <v>78</v>
      </c>
      <c r="K3257" s="5" t="str">
        <f>HYPERLINK("https://media.licdn.com/dms/image/v2/D4E22AQEaYlj_LC66ug/feedshare-shrink_1280/B4EZxsMGC0IsAc-/0/1771341637027?e=2147483647&amp;v=beta&amp;t=i6E8JeFGEgFXxHtasEhbeIRFnyi6lePn_QuNJtDh0PE","View Creative")</f>
        <v>View Creative</v>
      </c>
      <c r="L3257" s="4" t="s">
        <v>106</v>
      </c>
      <c r="M3257" s="4" t="s">
        <v>5965</v>
      </c>
      <c r="O3257" s="4" t="s">
        <v>63</v>
      </c>
      <c r="P3257" s="4" t="s">
        <v>64</v>
      </c>
    </row>
    <row r="3258">
      <c r="A3258" s="4" t="s">
        <v>5965</v>
      </c>
      <c r="B3258" s="4" t="s">
        <v>5965</v>
      </c>
      <c r="C3258" s="4">
        <v>1647.0</v>
      </c>
      <c r="D3258" s="5" t="str">
        <f>HYPERLINK("https://www.linkedin.com/ad-library/detail/1325899286","Open Ad")</f>
        <v>Open Ad</v>
      </c>
      <c r="E3258" s="4" t="s">
        <v>78</v>
      </c>
      <c r="F3258" s="4" t="s">
        <v>54</v>
      </c>
      <c r="G3258" s="4" t="s">
        <v>6614</v>
      </c>
      <c r="H3258" s="4" t="s">
        <v>49</v>
      </c>
      <c r="I3258" s="4" t="s">
        <v>6005</v>
      </c>
      <c r="J3258" s="4" t="s">
        <v>78</v>
      </c>
      <c r="K3258" s="5" t="str">
        <f t="shared" ref="K3258:K3259" si="177">HYPERLINK("https://media.licdn.com/dms/image/v2/D4E22AQFy1Oz048X5Zw/feedshare-shrink_1280/B4EZxsp.7NIsAg-/0/1771349471279?e=2147483647&amp;v=beta&amp;t=vIsxUzaS4oXWbQU3DX8AsKdV3pQR5qqC3FIkevYbeR0","View Creative")</f>
        <v>View Creative</v>
      </c>
      <c r="L3258" s="4" t="s">
        <v>106</v>
      </c>
      <c r="M3258" s="4" t="s">
        <v>5965</v>
      </c>
      <c r="O3258" s="4" t="s">
        <v>63</v>
      </c>
      <c r="P3258" s="4" t="s">
        <v>64</v>
      </c>
    </row>
    <row r="3259">
      <c r="A3259" s="4" t="s">
        <v>5965</v>
      </c>
      <c r="B3259" s="4" t="s">
        <v>5965</v>
      </c>
      <c r="C3259" s="4">
        <v>1648.0</v>
      </c>
      <c r="D3259" s="5" t="str">
        <f>HYPERLINK("https://www.linkedin.com/ad-library/detail/1329780586","Open Ad")</f>
        <v>Open Ad</v>
      </c>
      <c r="E3259" s="4" t="s">
        <v>78</v>
      </c>
      <c r="F3259" s="4" t="s">
        <v>54</v>
      </c>
      <c r="G3259" s="4" t="s">
        <v>6614</v>
      </c>
      <c r="H3259" s="4" t="s">
        <v>49</v>
      </c>
      <c r="I3259" s="4" t="s">
        <v>6005</v>
      </c>
      <c r="J3259" s="4" t="s">
        <v>78</v>
      </c>
      <c r="K3259" s="5" t="str">
        <f t="shared" si="177"/>
        <v>View Creative</v>
      </c>
      <c r="L3259" s="4" t="s">
        <v>106</v>
      </c>
      <c r="M3259" s="4" t="s">
        <v>5965</v>
      </c>
      <c r="O3259" s="4" t="s">
        <v>63</v>
      </c>
      <c r="P3259" s="4" t="s">
        <v>64</v>
      </c>
    </row>
    <row r="3260">
      <c r="A3260" s="4" t="s">
        <v>5965</v>
      </c>
      <c r="B3260" s="4" t="s">
        <v>5965</v>
      </c>
      <c r="C3260" s="4">
        <v>1649.0</v>
      </c>
      <c r="D3260" s="5" t="str">
        <f>HYPERLINK("https://www.linkedin.com/ad-library/detail/1345244936","Open Ad")</f>
        <v>Open Ad</v>
      </c>
      <c r="E3260" s="4" t="s">
        <v>78</v>
      </c>
      <c r="F3260" s="4" t="s">
        <v>54</v>
      </c>
      <c r="G3260" s="4" t="s">
        <v>6629</v>
      </c>
      <c r="H3260" s="4" t="s">
        <v>49</v>
      </c>
      <c r="I3260" s="4" t="s">
        <v>6005</v>
      </c>
      <c r="J3260" s="4" t="s">
        <v>78</v>
      </c>
      <c r="K3260" s="5" t="str">
        <f>HYPERLINK("https://media.licdn.com/dms/image/v2/D5622AQFft186BgcUtQ/feedshare-shrink_1280/B56ZyRBOjVIAAc-/0/1771959544967?e=2147483647&amp;v=beta&amp;t=otJUPbY1P6xEhlpzBaOjvIYTwIYYcb50xizBJv1ebgY","View Creative")</f>
        <v>View Creative</v>
      </c>
      <c r="L3260" s="4" t="s">
        <v>106</v>
      </c>
      <c r="M3260" s="4" t="s">
        <v>5965</v>
      </c>
      <c r="O3260" s="4" t="s">
        <v>63</v>
      </c>
      <c r="P3260" s="4" t="s">
        <v>64</v>
      </c>
    </row>
    <row r="3261">
      <c r="A3261" s="4" t="s">
        <v>5965</v>
      </c>
      <c r="B3261" s="4" t="s">
        <v>5965</v>
      </c>
      <c r="C3261" s="4">
        <v>1650.0</v>
      </c>
      <c r="D3261" s="5" t="str">
        <f>HYPERLINK("https://www.linkedin.com/ad-library/detail/1342254626","Open Ad")</f>
        <v>Open Ad</v>
      </c>
      <c r="E3261" s="4" t="s">
        <v>121</v>
      </c>
      <c r="F3261" s="4" t="s">
        <v>54</v>
      </c>
      <c r="G3261" s="4" t="s">
        <v>6556</v>
      </c>
      <c r="H3261" s="4" t="s">
        <v>49</v>
      </c>
      <c r="I3261" s="4" t="s">
        <v>6005</v>
      </c>
      <c r="J3261" s="4" t="s">
        <v>121</v>
      </c>
      <c r="K3261" s="5" t="str">
        <f>HYPERLINK("https://dms.licdn.com/playlist/vid/v2/D4E10AQHb8aBgPz6yrg/mp4-360p-30fp-crf28/B4EZyQma5eHMB8-/0/1771952534337?e=2147483647&amp;v=beta&amp;t=vL255ZZj6UooCMMSuov9TYM4BA5F3J29zDbm5h_CfCY","View Creative")</f>
        <v>View Creative</v>
      </c>
      <c r="L3261" s="4" t="s">
        <v>106</v>
      </c>
      <c r="M3261" s="4" t="s">
        <v>5965</v>
      </c>
      <c r="O3261" s="4" t="s">
        <v>63</v>
      </c>
      <c r="P3261" s="4" t="s">
        <v>64</v>
      </c>
    </row>
    <row r="3262">
      <c r="A3262" s="4" t="s">
        <v>5965</v>
      </c>
      <c r="B3262" s="4" t="s">
        <v>5965</v>
      </c>
      <c r="C3262" s="4">
        <v>1651.0</v>
      </c>
      <c r="D3262" s="5" t="str">
        <f>HYPERLINK("https://www.linkedin.com/ad-library/detail/1345343006","Open Ad")</f>
        <v>Open Ad</v>
      </c>
      <c r="E3262" s="4" t="s">
        <v>78</v>
      </c>
      <c r="F3262" s="4" t="s">
        <v>54</v>
      </c>
      <c r="G3262" s="4" t="s">
        <v>6629</v>
      </c>
      <c r="H3262" s="4" t="s">
        <v>49</v>
      </c>
      <c r="I3262" s="4" t="s">
        <v>6005</v>
      </c>
      <c r="J3262" s="4" t="s">
        <v>78</v>
      </c>
      <c r="K3262" s="5" t="str">
        <f>HYPERLINK("https://media.licdn.com/dms/image/v2/D5622AQFft186BgcUtQ/feedshare-shrink_1280/B56ZyRBOjVIAAc-/0/1771959544967?e=2147483647&amp;v=beta&amp;t=otJUPbY1P6xEhlpzBaOjvIYTwIYYcb50xizBJv1ebgY","View Creative")</f>
        <v>View Creative</v>
      </c>
      <c r="L3262" s="4" t="s">
        <v>106</v>
      </c>
      <c r="M3262" s="4" t="s">
        <v>5965</v>
      </c>
      <c r="O3262" s="4" t="s">
        <v>63</v>
      </c>
      <c r="P3262" s="4" t="s">
        <v>64</v>
      </c>
    </row>
    <row r="3263">
      <c r="A3263" s="4" t="s">
        <v>5965</v>
      </c>
      <c r="B3263" s="4" t="s">
        <v>5965</v>
      </c>
      <c r="C3263" s="4">
        <v>1652.0</v>
      </c>
      <c r="D3263" s="5" t="str">
        <f>HYPERLINK("https://www.linkedin.com/ad-library/detail/1342194216","Open Ad")</f>
        <v>Open Ad</v>
      </c>
      <c r="E3263" s="4" t="s">
        <v>121</v>
      </c>
      <c r="F3263" s="4" t="s">
        <v>54</v>
      </c>
      <c r="G3263" s="4" t="s">
        <v>6626</v>
      </c>
      <c r="H3263" s="4" t="s">
        <v>49</v>
      </c>
      <c r="I3263" s="4" t="s">
        <v>6005</v>
      </c>
      <c r="J3263" s="4" t="s">
        <v>121</v>
      </c>
      <c r="K3263" s="5" t="str">
        <f>HYPERLINK("https://dms.licdn.com/playlist/vid/v2/D4E10AQH0SWPx3r517w/mp4-360p-30fp-crf28/B4EZyM6Uz_GgCA-/0/1771890634854?e=2147483647&amp;v=beta&amp;t=tW7UneK9IMocBhXlAF6BIvpOsBFHEyvYnIxnuN0Z_WM","View Creative")</f>
        <v>View Creative</v>
      </c>
      <c r="L3263" s="4" t="s">
        <v>106</v>
      </c>
      <c r="M3263" s="4" t="s">
        <v>5965</v>
      </c>
      <c r="O3263" s="4" t="s">
        <v>63</v>
      </c>
      <c r="P3263" s="4" t="s">
        <v>64</v>
      </c>
    </row>
    <row r="3264">
      <c r="A3264" s="4" t="s">
        <v>5965</v>
      </c>
      <c r="B3264" s="4" t="s">
        <v>5965</v>
      </c>
      <c r="C3264" s="4">
        <v>1653.0</v>
      </c>
      <c r="D3264" s="5" t="str">
        <f>HYPERLINK("https://www.linkedin.com/ad-library/detail/1345391856","Open Ad")</f>
        <v>Open Ad</v>
      </c>
      <c r="E3264" s="4" t="s">
        <v>78</v>
      </c>
      <c r="F3264" s="4" t="s">
        <v>54</v>
      </c>
      <c r="G3264" s="4" t="s">
        <v>6629</v>
      </c>
      <c r="H3264" s="4" t="s">
        <v>49</v>
      </c>
      <c r="I3264" s="4" t="s">
        <v>6005</v>
      </c>
      <c r="J3264" s="4" t="s">
        <v>78</v>
      </c>
      <c r="K3264" s="5" t="str">
        <f t="shared" ref="K3264:K3265" si="178">HYPERLINK("https://media.licdn.com/dms/image/v2/D5622AQFft186BgcUtQ/feedshare-shrink_1280/B56ZyRBOjVIAAc-/0/1771959544967?e=2147483647&amp;v=beta&amp;t=otJUPbY1P6xEhlpzBaOjvIYTwIYYcb50xizBJv1ebgY","View Creative")</f>
        <v>View Creative</v>
      </c>
      <c r="L3264" s="4" t="s">
        <v>106</v>
      </c>
      <c r="M3264" s="4" t="s">
        <v>5965</v>
      </c>
      <c r="O3264" s="4" t="s">
        <v>63</v>
      </c>
      <c r="P3264" s="4" t="s">
        <v>64</v>
      </c>
    </row>
    <row r="3265">
      <c r="A3265" s="4" t="s">
        <v>5965</v>
      </c>
      <c r="B3265" s="4" t="s">
        <v>5965</v>
      </c>
      <c r="C3265" s="4">
        <v>1654.0</v>
      </c>
      <c r="D3265" s="5" t="str">
        <f>HYPERLINK("https://www.linkedin.com/ad-library/detail/1345401536","Open Ad")</f>
        <v>Open Ad</v>
      </c>
      <c r="E3265" s="4" t="s">
        <v>78</v>
      </c>
      <c r="F3265" s="4" t="s">
        <v>54</v>
      </c>
      <c r="G3265" s="4" t="s">
        <v>6629</v>
      </c>
      <c r="H3265" s="4" t="s">
        <v>49</v>
      </c>
      <c r="I3265" s="4" t="s">
        <v>6005</v>
      </c>
      <c r="J3265" s="4" t="s">
        <v>78</v>
      </c>
      <c r="K3265" s="5" t="str">
        <f t="shared" si="178"/>
        <v>View Creative</v>
      </c>
      <c r="L3265" s="4" t="s">
        <v>106</v>
      </c>
      <c r="M3265" s="4" t="s">
        <v>5965</v>
      </c>
      <c r="O3265" s="4" t="s">
        <v>63</v>
      </c>
      <c r="P3265" s="4" t="s">
        <v>64</v>
      </c>
    </row>
    <row r="3266">
      <c r="A3266" s="4" t="s">
        <v>5965</v>
      </c>
      <c r="B3266" s="4" t="s">
        <v>5965</v>
      </c>
      <c r="C3266" s="4">
        <v>1655.0</v>
      </c>
      <c r="D3266" s="5" t="str">
        <f>HYPERLINK("https://www.linkedin.com/ad-library/detail/1329799526","Open Ad")</f>
        <v>Open Ad</v>
      </c>
      <c r="E3266" s="4" t="s">
        <v>78</v>
      </c>
      <c r="F3266" s="4" t="s">
        <v>54</v>
      </c>
      <c r="G3266" s="4" t="s">
        <v>6631</v>
      </c>
      <c r="H3266" s="4" t="s">
        <v>49</v>
      </c>
      <c r="I3266" s="4" t="s">
        <v>6005</v>
      </c>
      <c r="J3266" s="4" t="s">
        <v>78</v>
      </c>
      <c r="K3266" s="5" t="str">
        <f>HYPERLINK("https://media.licdn.com/dms/image/v2/D4E10AQF1jS_dFqAK3w/image-shrink_1280/B4EZxs_AanI0Ac-/0/1771354982745?e=2147483647&amp;v=beta&amp;t=-TXnfaJyZhNZYAD8HYg7kbioZiyrNz4PmVKrHJLhm-0","View Creative")</f>
        <v>View Creative</v>
      </c>
      <c r="L3266" s="4" t="s">
        <v>106</v>
      </c>
      <c r="M3266" s="4" t="s">
        <v>5965</v>
      </c>
      <c r="O3266" s="4" t="s">
        <v>63</v>
      </c>
      <c r="P3266" s="4" t="s">
        <v>64</v>
      </c>
    </row>
    <row r="3267">
      <c r="A3267" s="4" t="s">
        <v>5965</v>
      </c>
      <c r="B3267" s="4" t="s">
        <v>5965</v>
      </c>
      <c r="C3267" s="4">
        <v>1656.0</v>
      </c>
      <c r="D3267" s="5" t="str">
        <f>HYPERLINK("https://www.linkedin.com/ad-library/detail/1345235056","Open Ad")</f>
        <v>Open Ad</v>
      </c>
      <c r="E3267" s="4" t="s">
        <v>78</v>
      </c>
      <c r="F3267" s="4" t="s">
        <v>54</v>
      </c>
      <c r="G3267" s="4" t="s">
        <v>6629</v>
      </c>
      <c r="H3267" s="4" t="s">
        <v>49</v>
      </c>
      <c r="I3267" s="4" t="s">
        <v>6005</v>
      </c>
      <c r="J3267" s="4" t="s">
        <v>78</v>
      </c>
      <c r="K3267" s="5" t="str">
        <f>HYPERLINK("https://media.licdn.com/dms/image/v2/D5622AQFft186BgcUtQ/feedshare-shrink_1280/B56ZyRBOjVIAAc-/0/1771959544967?e=2147483647&amp;v=beta&amp;t=otJUPbY1P6xEhlpzBaOjvIYTwIYYcb50xizBJv1ebgY","View Creative")</f>
        <v>View Creative</v>
      </c>
      <c r="L3267" s="4" t="s">
        <v>106</v>
      </c>
      <c r="M3267" s="4" t="s">
        <v>5965</v>
      </c>
      <c r="O3267" s="4" t="s">
        <v>63</v>
      </c>
      <c r="P3267" s="4" t="s">
        <v>64</v>
      </c>
    </row>
    <row r="3268">
      <c r="A3268" s="4" t="s">
        <v>5965</v>
      </c>
      <c r="B3268" s="4" t="s">
        <v>5965</v>
      </c>
      <c r="C3268" s="4">
        <v>1657.0</v>
      </c>
      <c r="D3268" s="5" t="str">
        <f>HYPERLINK("https://www.linkedin.com/ad-library/detail/1325194106","Open Ad")</f>
        <v>Open Ad</v>
      </c>
      <c r="E3268" s="4" t="s">
        <v>5970</v>
      </c>
      <c r="F3268" s="4" t="s">
        <v>54</v>
      </c>
      <c r="G3268" s="4" t="s">
        <v>6602</v>
      </c>
      <c r="H3268" s="4" t="s">
        <v>49</v>
      </c>
      <c r="I3268" s="4" t="s">
        <v>6005</v>
      </c>
      <c r="J3268" s="4" t="s">
        <v>5973</v>
      </c>
      <c r="K3268" s="4" t="s">
        <v>59</v>
      </c>
      <c r="L3268" s="4" t="s">
        <v>106</v>
      </c>
      <c r="M3268" s="4" t="s">
        <v>5965</v>
      </c>
      <c r="O3268" s="4" t="s">
        <v>63</v>
      </c>
      <c r="P3268" s="4" t="s">
        <v>64</v>
      </c>
    </row>
    <row r="3269">
      <c r="A3269" s="4" t="s">
        <v>5965</v>
      </c>
      <c r="B3269" s="4" t="s">
        <v>5965</v>
      </c>
      <c r="C3269" s="4">
        <v>1658.0</v>
      </c>
      <c r="D3269" s="5" t="str">
        <f>HYPERLINK("https://www.linkedin.com/ad-library/detail/1329481896","Open Ad")</f>
        <v>Open Ad</v>
      </c>
      <c r="E3269" s="4" t="s">
        <v>5970</v>
      </c>
      <c r="F3269" s="4" t="s">
        <v>54</v>
      </c>
      <c r="G3269" s="4" t="s">
        <v>6607</v>
      </c>
      <c r="H3269" s="4" t="s">
        <v>49</v>
      </c>
      <c r="I3269" s="4" t="s">
        <v>6005</v>
      </c>
      <c r="J3269" s="4" t="s">
        <v>5973</v>
      </c>
      <c r="K3269" s="4" t="s">
        <v>59</v>
      </c>
      <c r="L3269" s="4" t="s">
        <v>106</v>
      </c>
      <c r="M3269" s="4" t="s">
        <v>5965</v>
      </c>
      <c r="O3269" s="4" t="s">
        <v>63</v>
      </c>
      <c r="P3269" s="4" t="s">
        <v>64</v>
      </c>
    </row>
    <row r="3270">
      <c r="A3270" s="4" t="s">
        <v>5965</v>
      </c>
      <c r="B3270" s="4" t="s">
        <v>5965</v>
      </c>
      <c r="C3270" s="4">
        <v>1659.0</v>
      </c>
      <c r="D3270" s="5" t="str">
        <f>HYPERLINK("https://www.linkedin.com/ad-library/detail/1329481786","Open Ad")</f>
        <v>Open Ad</v>
      </c>
      <c r="E3270" s="4" t="s">
        <v>5970</v>
      </c>
      <c r="F3270" s="4" t="s">
        <v>54</v>
      </c>
      <c r="G3270" s="4" t="s">
        <v>6481</v>
      </c>
      <c r="H3270" s="4" t="s">
        <v>49</v>
      </c>
      <c r="I3270" s="4" t="s">
        <v>6005</v>
      </c>
      <c r="J3270" s="4" t="s">
        <v>5973</v>
      </c>
      <c r="K3270" s="4" t="s">
        <v>59</v>
      </c>
      <c r="L3270" s="4" t="s">
        <v>106</v>
      </c>
      <c r="M3270" s="4" t="s">
        <v>5965</v>
      </c>
      <c r="O3270" s="4" t="s">
        <v>63</v>
      </c>
      <c r="P3270" s="4" t="s">
        <v>64</v>
      </c>
    </row>
    <row r="3271">
      <c r="A3271" s="4" t="s">
        <v>5965</v>
      </c>
      <c r="B3271" s="4" t="s">
        <v>5965</v>
      </c>
      <c r="C3271" s="4">
        <v>1660.0</v>
      </c>
      <c r="D3271" s="5" t="str">
        <f>HYPERLINK("https://www.linkedin.com/ad-library/detail/1328294666","Open Ad")</f>
        <v>Open Ad</v>
      </c>
      <c r="E3271" s="4" t="s">
        <v>5970</v>
      </c>
      <c r="F3271" s="4" t="s">
        <v>54</v>
      </c>
      <c r="G3271" s="4" t="s">
        <v>6602</v>
      </c>
      <c r="H3271" s="4" t="s">
        <v>49</v>
      </c>
      <c r="I3271" s="4" t="s">
        <v>6005</v>
      </c>
      <c r="J3271" s="4" t="s">
        <v>5973</v>
      </c>
      <c r="K3271" s="4" t="s">
        <v>59</v>
      </c>
      <c r="L3271" s="4" t="s">
        <v>106</v>
      </c>
      <c r="M3271" s="4" t="s">
        <v>5965</v>
      </c>
      <c r="O3271" s="4" t="s">
        <v>63</v>
      </c>
      <c r="P3271" s="4" t="s">
        <v>64</v>
      </c>
    </row>
    <row r="3272">
      <c r="A3272" s="4" t="s">
        <v>5965</v>
      </c>
      <c r="B3272" s="4" t="s">
        <v>5965</v>
      </c>
      <c r="C3272" s="4">
        <v>1661.0</v>
      </c>
      <c r="D3272" s="5" t="str">
        <f>HYPERLINK("https://www.linkedin.com/ad-library/detail/1303590706","Open Ad")</f>
        <v>Open Ad</v>
      </c>
      <c r="E3272" s="4" t="s">
        <v>78</v>
      </c>
      <c r="F3272" s="4" t="s">
        <v>54</v>
      </c>
      <c r="G3272" s="4" t="s">
        <v>6632</v>
      </c>
      <c r="H3272" s="4" t="s">
        <v>49</v>
      </c>
      <c r="I3272" s="4" t="s">
        <v>6005</v>
      </c>
      <c r="J3272" s="4" t="s">
        <v>78</v>
      </c>
      <c r="K3272" s="5" t="str">
        <f>HYPERLINK("https://media.licdn.com/dms/image/v2/D4E10AQFCQW8fh4aY8A/image-shrink_1280/B4EZxTAotgHQAg-/0/1770919203244?e=2147483647&amp;v=beta&amp;t=LXe_24UJFPiVAOmUta1JT6QrVMpSXntHxsQxYhRYSMs","View Creative")</f>
        <v>View Creative</v>
      </c>
      <c r="L3272" s="4" t="s">
        <v>106</v>
      </c>
      <c r="M3272" s="4" t="s">
        <v>5965</v>
      </c>
      <c r="O3272" s="4" t="s">
        <v>63</v>
      </c>
      <c r="P3272" s="4" t="s">
        <v>64</v>
      </c>
    </row>
    <row r="3273">
      <c r="A3273" s="4" t="s">
        <v>5965</v>
      </c>
      <c r="B3273" s="4" t="s">
        <v>5965</v>
      </c>
      <c r="C3273" s="4">
        <v>1662.0</v>
      </c>
      <c r="D3273" s="5" t="str">
        <f>HYPERLINK("https://www.linkedin.com/ad-library/detail/1328294646","Open Ad")</f>
        <v>Open Ad</v>
      </c>
      <c r="E3273" s="4" t="s">
        <v>5970</v>
      </c>
      <c r="F3273" s="4" t="s">
        <v>54</v>
      </c>
      <c r="G3273" s="4" t="s">
        <v>6607</v>
      </c>
      <c r="H3273" s="4" t="s">
        <v>49</v>
      </c>
      <c r="I3273" s="4" t="s">
        <v>6005</v>
      </c>
      <c r="J3273" s="4" t="s">
        <v>5973</v>
      </c>
      <c r="K3273" s="4" t="s">
        <v>59</v>
      </c>
      <c r="L3273" s="4" t="s">
        <v>106</v>
      </c>
      <c r="M3273" s="4" t="s">
        <v>5965</v>
      </c>
      <c r="O3273" s="4" t="s">
        <v>63</v>
      </c>
      <c r="P3273" s="4" t="s">
        <v>64</v>
      </c>
    </row>
    <row r="3274">
      <c r="A3274" s="4" t="s">
        <v>5965</v>
      </c>
      <c r="B3274" s="4" t="s">
        <v>5965</v>
      </c>
      <c r="C3274" s="4">
        <v>1663.0</v>
      </c>
      <c r="D3274" s="5" t="str">
        <f>HYPERLINK("https://www.linkedin.com/ad-library/detail/1325792416","Open Ad")</f>
        <v>Open Ad</v>
      </c>
      <c r="E3274" s="4" t="s">
        <v>78</v>
      </c>
      <c r="F3274" s="4" t="s">
        <v>54</v>
      </c>
      <c r="G3274" s="4" t="s">
        <v>6633</v>
      </c>
      <c r="H3274" s="4" t="s">
        <v>49</v>
      </c>
      <c r="I3274" s="4" t="s">
        <v>6005</v>
      </c>
      <c r="J3274" s="4" t="s">
        <v>78</v>
      </c>
      <c r="K3274" s="5" t="str">
        <f t="shared" ref="K3274:K3277" si="179">HYPERLINK("https://media.licdn.com/dms/image/v2/D4E10AQE3uB-YiUS-ew/image-shrink_1280/B4EZxXUNZzIgAo-/0/1770991442473?e=2147483647&amp;v=beta&amp;t=cWvhGIp7WsDWS9pixDdZ-W60Rf6jvG15FxsmkmxZxCo","View Creative")</f>
        <v>View Creative</v>
      </c>
      <c r="L3274" s="4" t="s">
        <v>106</v>
      </c>
      <c r="M3274" s="4" t="s">
        <v>5965</v>
      </c>
      <c r="O3274" s="4" t="s">
        <v>63</v>
      </c>
      <c r="P3274" s="4" t="s">
        <v>64</v>
      </c>
    </row>
    <row r="3275">
      <c r="A3275" s="4" t="s">
        <v>5965</v>
      </c>
      <c r="B3275" s="4" t="s">
        <v>5965</v>
      </c>
      <c r="C3275" s="4">
        <v>1664.0</v>
      </c>
      <c r="D3275" s="5" t="str">
        <f>HYPERLINK("https://www.linkedin.com/ad-library/detail/1328391566","Open Ad")</f>
        <v>Open Ad</v>
      </c>
      <c r="E3275" s="4" t="s">
        <v>78</v>
      </c>
      <c r="F3275" s="4" t="s">
        <v>54</v>
      </c>
      <c r="G3275" s="4" t="s">
        <v>6633</v>
      </c>
      <c r="H3275" s="4" t="s">
        <v>49</v>
      </c>
      <c r="I3275" s="4" t="s">
        <v>6005</v>
      </c>
      <c r="J3275" s="4" t="s">
        <v>78</v>
      </c>
      <c r="K3275" s="5" t="str">
        <f t="shared" si="179"/>
        <v>View Creative</v>
      </c>
      <c r="L3275" s="4" t="s">
        <v>106</v>
      </c>
      <c r="M3275" s="4" t="s">
        <v>5965</v>
      </c>
      <c r="O3275" s="4" t="s">
        <v>63</v>
      </c>
      <c r="P3275" s="4" t="s">
        <v>64</v>
      </c>
    </row>
    <row r="3276">
      <c r="A3276" s="4" t="s">
        <v>5965</v>
      </c>
      <c r="B3276" s="4" t="s">
        <v>5965</v>
      </c>
      <c r="C3276" s="4">
        <v>1665.0</v>
      </c>
      <c r="D3276" s="5" t="str">
        <f>HYPERLINK("https://www.linkedin.com/ad-library/detail/1325991766","Open Ad")</f>
        <v>Open Ad</v>
      </c>
      <c r="E3276" s="4" t="s">
        <v>78</v>
      </c>
      <c r="F3276" s="4" t="s">
        <v>54</v>
      </c>
      <c r="G3276" s="4" t="s">
        <v>6633</v>
      </c>
      <c r="H3276" s="4" t="s">
        <v>49</v>
      </c>
      <c r="I3276" s="4" t="s">
        <v>6005</v>
      </c>
      <c r="J3276" s="4" t="s">
        <v>78</v>
      </c>
      <c r="K3276" s="5" t="str">
        <f t="shared" si="179"/>
        <v>View Creative</v>
      </c>
      <c r="L3276" s="4" t="s">
        <v>106</v>
      </c>
      <c r="M3276" s="4" t="s">
        <v>5965</v>
      </c>
      <c r="O3276" s="4" t="s">
        <v>63</v>
      </c>
      <c r="P3276" s="4" t="s">
        <v>64</v>
      </c>
    </row>
    <row r="3277">
      <c r="A3277" s="4" t="s">
        <v>5965</v>
      </c>
      <c r="B3277" s="4" t="s">
        <v>5965</v>
      </c>
      <c r="C3277" s="4">
        <v>1666.0</v>
      </c>
      <c r="D3277" s="5" t="str">
        <f>HYPERLINK("https://www.linkedin.com/ad-library/detail/1325991776","Open Ad")</f>
        <v>Open Ad</v>
      </c>
      <c r="E3277" s="4" t="s">
        <v>78</v>
      </c>
      <c r="F3277" s="4" t="s">
        <v>54</v>
      </c>
      <c r="G3277" s="4" t="s">
        <v>6633</v>
      </c>
      <c r="H3277" s="4" t="s">
        <v>49</v>
      </c>
      <c r="I3277" s="4" t="s">
        <v>6005</v>
      </c>
      <c r="J3277" s="4" t="s">
        <v>78</v>
      </c>
      <c r="K3277" s="5" t="str">
        <f t="shared" si="179"/>
        <v>View Creative</v>
      </c>
      <c r="L3277" s="4" t="s">
        <v>106</v>
      </c>
      <c r="M3277" s="4" t="s">
        <v>5965</v>
      </c>
      <c r="O3277" s="4" t="s">
        <v>63</v>
      </c>
      <c r="P3277" s="4" t="s">
        <v>64</v>
      </c>
    </row>
    <row r="3278">
      <c r="A3278" s="4" t="s">
        <v>5965</v>
      </c>
      <c r="B3278" s="4" t="s">
        <v>5965</v>
      </c>
      <c r="C3278" s="4">
        <v>1667.0</v>
      </c>
      <c r="D3278" s="5" t="str">
        <f>HYPERLINK("https://www.linkedin.com/ad-library/detail/1325996726","Open Ad")</f>
        <v>Open Ad</v>
      </c>
      <c r="E3278" s="4" t="s">
        <v>5970</v>
      </c>
      <c r="F3278" s="4" t="s">
        <v>54</v>
      </c>
      <c r="G3278" s="4" t="s">
        <v>6602</v>
      </c>
      <c r="H3278" s="4" t="s">
        <v>49</v>
      </c>
      <c r="I3278" s="4" t="s">
        <v>6005</v>
      </c>
      <c r="J3278" s="4" t="s">
        <v>5973</v>
      </c>
      <c r="K3278" s="4" t="s">
        <v>59</v>
      </c>
      <c r="L3278" s="4" t="s">
        <v>106</v>
      </c>
      <c r="M3278" s="4" t="s">
        <v>5965</v>
      </c>
      <c r="O3278" s="4" t="s">
        <v>63</v>
      </c>
      <c r="P3278" s="4" t="s">
        <v>64</v>
      </c>
    </row>
    <row r="3279">
      <c r="A3279" s="4" t="s">
        <v>5965</v>
      </c>
      <c r="B3279" s="4" t="s">
        <v>5965</v>
      </c>
      <c r="C3279" s="4">
        <v>1668.0</v>
      </c>
      <c r="D3279" s="5" t="str">
        <f>HYPERLINK("https://www.linkedin.com/ad-library/detail/1325694206","Open Ad")</f>
        <v>Open Ad</v>
      </c>
      <c r="E3279" s="4" t="s">
        <v>5970</v>
      </c>
      <c r="F3279" s="4" t="s">
        <v>54</v>
      </c>
      <c r="G3279" s="4" t="s">
        <v>6607</v>
      </c>
      <c r="H3279" s="4" t="s">
        <v>49</v>
      </c>
      <c r="I3279" s="4" t="s">
        <v>6005</v>
      </c>
      <c r="J3279" s="4" t="s">
        <v>5973</v>
      </c>
      <c r="K3279" s="4" t="s">
        <v>59</v>
      </c>
      <c r="L3279" s="4" t="s">
        <v>106</v>
      </c>
      <c r="M3279" s="4" t="s">
        <v>5965</v>
      </c>
      <c r="O3279" s="4" t="s">
        <v>63</v>
      </c>
      <c r="P3279" s="4" t="s">
        <v>64</v>
      </c>
    </row>
    <row r="3280">
      <c r="A3280" s="4" t="s">
        <v>5965</v>
      </c>
      <c r="B3280" s="4" t="s">
        <v>5965</v>
      </c>
      <c r="C3280" s="4">
        <v>1669.0</v>
      </c>
      <c r="D3280" s="5" t="str">
        <f>HYPERLINK("https://www.linkedin.com/ad-library/detail/1328297376","Open Ad")</f>
        <v>Open Ad</v>
      </c>
      <c r="E3280" s="4" t="s">
        <v>5970</v>
      </c>
      <c r="F3280" s="4" t="s">
        <v>54</v>
      </c>
      <c r="G3280" s="4" t="s">
        <v>6607</v>
      </c>
      <c r="H3280" s="4" t="s">
        <v>49</v>
      </c>
      <c r="I3280" s="4" t="s">
        <v>6005</v>
      </c>
      <c r="J3280" s="4" t="s">
        <v>5973</v>
      </c>
      <c r="K3280" s="4" t="s">
        <v>59</v>
      </c>
      <c r="L3280" s="4" t="s">
        <v>106</v>
      </c>
      <c r="M3280" s="4" t="s">
        <v>5965</v>
      </c>
      <c r="O3280" s="4" t="s">
        <v>63</v>
      </c>
      <c r="P3280" s="4" t="s">
        <v>64</v>
      </c>
    </row>
    <row r="3281">
      <c r="A3281" s="4" t="s">
        <v>5965</v>
      </c>
      <c r="B3281" s="4" t="s">
        <v>5965</v>
      </c>
      <c r="C3281" s="4">
        <v>1670.0</v>
      </c>
      <c r="D3281" s="5" t="str">
        <f>HYPERLINK("https://www.linkedin.com/ad-library/detail/1329384436","Open Ad")</f>
        <v>Open Ad</v>
      </c>
      <c r="E3281" s="4" t="s">
        <v>5970</v>
      </c>
      <c r="F3281" s="4" t="s">
        <v>54</v>
      </c>
      <c r="G3281" s="4" t="s">
        <v>6607</v>
      </c>
      <c r="H3281" s="4" t="s">
        <v>49</v>
      </c>
      <c r="I3281" s="4" t="s">
        <v>6005</v>
      </c>
      <c r="J3281" s="4" t="s">
        <v>5973</v>
      </c>
      <c r="K3281" s="4" t="s">
        <v>59</v>
      </c>
      <c r="L3281" s="4" t="s">
        <v>106</v>
      </c>
      <c r="M3281" s="4" t="s">
        <v>5965</v>
      </c>
      <c r="O3281" s="4" t="s">
        <v>63</v>
      </c>
      <c r="P3281" s="4" t="s">
        <v>64</v>
      </c>
    </row>
    <row r="3282">
      <c r="A3282" s="4" t="s">
        <v>5965</v>
      </c>
      <c r="B3282" s="4" t="s">
        <v>5965</v>
      </c>
      <c r="C3282" s="4">
        <v>1671.0</v>
      </c>
      <c r="D3282" s="5" t="str">
        <f>HYPERLINK("https://www.linkedin.com/ad-library/detail/1324296626","Open Ad")</f>
        <v>Open Ad</v>
      </c>
      <c r="E3282" s="4" t="s">
        <v>5970</v>
      </c>
      <c r="F3282" s="4" t="s">
        <v>54</v>
      </c>
      <c r="G3282" s="4" t="s">
        <v>6634</v>
      </c>
      <c r="H3282" s="4" t="s">
        <v>49</v>
      </c>
      <c r="I3282" s="4" t="s">
        <v>6005</v>
      </c>
      <c r="J3282" s="4" t="s">
        <v>5973</v>
      </c>
      <c r="K3282" s="4" t="s">
        <v>59</v>
      </c>
      <c r="L3282" s="4" t="s">
        <v>106</v>
      </c>
      <c r="M3282" s="4" t="s">
        <v>5965</v>
      </c>
      <c r="O3282" s="4" t="s">
        <v>63</v>
      </c>
      <c r="P3282" s="4" t="s">
        <v>64</v>
      </c>
    </row>
    <row r="3283">
      <c r="A3283" s="4" t="s">
        <v>5965</v>
      </c>
      <c r="B3283" s="4" t="s">
        <v>5965</v>
      </c>
      <c r="C3283" s="4">
        <v>1672.0</v>
      </c>
      <c r="D3283" s="5" t="str">
        <f>HYPERLINK("https://www.linkedin.com/ad-library/detail/1144007124","Open Ad")</f>
        <v>Open Ad</v>
      </c>
      <c r="E3283" s="4" t="s">
        <v>78</v>
      </c>
      <c r="F3283" s="4" t="s">
        <v>54</v>
      </c>
      <c r="G3283" s="4" t="s">
        <v>6635</v>
      </c>
      <c r="H3283" s="4" t="s">
        <v>49</v>
      </c>
      <c r="I3283" s="4" t="s">
        <v>6005</v>
      </c>
      <c r="J3283" s="4" t="s">
        <v>78</v>
      </c>
      <c r="K3283" s="4" t="s">
        <v>59</v>
      </c>
      <c r="L3283" s="4" t="s">
        <v>106</v>
      </c>
      <c r="M3283" s="4" t="s">
        <v>5965</v>
      </c>
      <c r="O3283" s="4" t="s">
        <v>63</v>
      </c>
      <c r="P3283" s="4" t="s">
        <v>64</v>
      </c>
    </row>
    <row r="3284">
      <c r="A3284" s="4" t="s">
        <v>5965</v>
      </c>
      <c r="B3284" s="4" t="s">
        <v>5965</v>
      </c>
      <c r="C3284" s="4">
        <v>1673.0</v>
      </c>
      <c r="D3284" s="5" t="str">
        <f>HYPERLINK("https://www.linkedin.com/ad-library/detail/1324296656","Open Ad")</f>
        <v>Open Ad</v>
      </c>
      <c r="E3284" s="4" t="s">
        <v>5970</v>
      </c>
      <c r="F3284" s="4" t="s">
        <v>54</v>
      </c>
      <c r="G3284" s="4" t="s">
        <v>6602</v>
      </c>
      <c r="H3284" s="4" t="s">
        <v>49</v>
      </c>
      <c r="I3284" s="4" t="s">
        <v>6005</v>
      </c>
      <c r="J3284" s="4" t="s">
        <v>5973</v>
      </c>
      <c r="K3284" s="4" t="s">
        <v>59</v>
      </c>
      <c r="L3284" s="4" t="s">
        <v>106</v>
      </c>
      <c r="M3284" s="4" t="s">
        <v>5965</v>
      </c>
      <c r="O3284" s="4" t="s">
        <v>63</v>
      </c>
      <c r="P3284" s="4" t="s">
        <v>64</v>
      </c>
    </row>
    <row r="3285">
      <c r="A3285" s="4" t="s">
        <v>5965</v>
      </c>
      <c r="B3285" s="4" t="s">
        <v>5965</v>
      </c>
      <c r="C3285" s="4">
        <v>1674.0</v>
      </c>
      <c r="D3285" s="5" t="str">
        <f>HYPERLINK("https://www.linkedin.com/ad-library/detail/1324294026","Open Ad")</f>
        <v>Open Ad</v>
      </c>
      <c r="E3285" s="4" t="s">
        <v>5970</v>
      </c>
      <c r="F3285" s="4" t="s">
        <v>54</v>
      </c>
      <c r="G3285" s="4" t="s">
        <v>6481</v>
      </c>
      <c r="H3285" s="4" t="s">
        <v>49</v>
      </c>
      <c r="I3285" s="4" t="s">
        <v>6005</v>
      </c>
      <c r="J3285" s="4" t="s">
        <v>5973</v>
      </c>
      <c r="K3285" s="4" t="s">
        <v>59</v>
      </c>
      <c r="L3285" s="4" t="s">
        <v>106</v>
      </c>
      <c r="M3285" s="4" t="s">
        <v>5965</v>
      </c>
      <c r="O3285" s="4" t="s">
        <v>63</v>
      </c>
      <c r="P3285" s="4" t="s">
        <v>64</v>
      </c>
    </row>
    <row r="3286">
      <c r="A3286" s="4" t="s">
        <v>5965</v>
      </c>
      <c r="B3286" s="4" t="s">
        <v>5965</v>
      </c>
      <c r="C3286" s="4">
        <v>1675.0</v>
      </c>
      <c r="D3286" s="5" t="str">
        <f>HYPERLINK("https://www.linkedin.com/ad-library/detail/1328687636","Open Ad")</f>
        <v>Open Ad</v>
      </c>
      <c r="E3286" s="4" t="s">
        <v>5970</v>
      </c>
      <c r="F3286" s="4" t="s">
        <v>54</v>
      </c>
      <c r="G3286" s="4" t="s">
        <v>6481</v>
      </c>
      <c r="H3286" s="4" t="s">
        <v>49</v>
      </c>
      <c r="I3286" s="4" t="s">
        <v>6005</v>
      </c>
      <c r="J3286" s="4" t="s">
        <v>5973</v>
      </c>
      <c r="K3286" s="4" t="s">
        <v>59</v>
      </c>
      <c r="L3286" s="4" t="s">
        <v>106</v>
      </c>
      <c r="M3286" s="4" t="s">
        <v>5965</v>
      </c>
      <c r="O3286" s="4" t="s">
        <v>63</v>
      </c>
      <c r="P3286" s="4" t="s">
        <v>64</v>
      </c>
    </row>
    <row r="3287">
      <c r="A3287" s="4" t="s">
        <v>5965</v>
      </c>
      <c r="B3287" s="4" t="s">
        <v>5965</v>
      </c>
      <c r="C3287" s="4">
        <v>1676.0</v>
      </c>
      <c r="D3287" s="5" t="str">
        <f>HYPERLINK("https://www.linkedin.com/ad-library/detail/1325094456","Open Ad")</f>
        <v>Open Ad</v>
      </c>
      <c r="E3287" s="4" t="s">
        <v>5970</v>
      </c>
      <c r="F3287" s="4" t="s">
        <v>54</v>
      </c>
      <c r="G3287" s="4" t="s">
        <v>6607</v>
      </c>
      <c r="H3287" s="4" t="s">
        <v>49</v>
      </c>
      <c r="I3287" s="4" t="s">
        <v>6005</v>
      </c>
      <c r="J3287" s="4" t="s">
        <v>5973</v>
      </c>
      <c r="K3287" s="4" t="s">
        <v>59</v>
      </c>
      <c r="L3287" s="4" t="s">
        <v>106</v>
      </c>
      <c r="M3287" s="4" t="s">
        <v>5965</v>
      </c>
      <c r="O3287" s="4" t="s">
        <v>63</v>
      </c>
      <c r="P3287" s="4" t="s">
        <v>64</v>
      </c>
    </row>
    <row r="3288">
      <c r="A3288" s="4" t="s">
        <v>5965</v>
      </c>
      <c r="B3288" s="4" t="s">
        <v>5965</v>
      </c>
      <c r="C3288" s="4">
        <v>1677.0</v>
      </c>
      <c r="D3288" s="5" t="str">
        <f>HYPERLINK("https://www.linkedin.com/ad-library/detail/1325898616","Open Ad")</f>
        <v>Open Ad</v>
      </c>
      <c r="E3288" s="4" t="s">
        <v>5970</v>
      </c>
      <c r="F3288" s="4" t="s">
        <v>54</v>
      </c>
      <c r="G3288" s="4" t="s">
        <v>6481</v>
      </c>
      <c r="H3288" s="4" t="s">
        <v>49</v>
      </c>
      <c r="I3288" s="4" t="s">
        <v>6005</v>
      </c>
      <c r="J3288" s="4" t="s">
        <v>5973</v>
      </c>
      <c r="K3288" s="4" t="s">
        <v>59</v>
      </c>
      <c r="L3288" s="4" t="s">
        <v>106</v>
      </c>
      <c r="M3288" s="4" t="s">
        <v>5965</v>
      </c>
      <c r="O3288" s="4" t="s">
        <v>63</v>
      </c>
      <c r="P3288" s="4" t="s">
        <v>64</v>
      </c>
    </row>
    <row r="3289">
      <c r="A3289" s="4" t="s">
        <v>5965</v>
      </c>
      <c r="B3289" s="4" t="s">
        <v>5965</v>
      </c>
      <c r="C3289" s="4">
        <v>1678.0</v>
      </c>
      <c r="D3289" s="5" t="str">
        <f>HYPERLINK("https://www.linkedin.com/ad-library/detail/1299990256","Open Ad")</f>
        <v>Open Ad</v>
      </c>
      <c r="E3289" s="4" t="s">
        <v>78</v>
      </c>
      <c r="F3289" s="4" t="s">
        <v>54</v>
      </c>
      <c r="G3289" s="4" t="s">
        <v>6632</v>
      </c>
      <c r="H3289" s="4" t="s">
        <v>49</v>
      </c>
      <c r="I3289" s="4" t="s">
        <v>6005</v>
      </c>
      <c r="J3289" s="4" t="s">
        <v>78</v>
      </c>
      <c r="K3289" s="5" t="str">
        <f>HYPERLINK("https://media.licdn.com/dms/image/v2/D4E10AQFCQW8fh4aY8A/image-shrink_1280/B4EZxTAotgHQAg-/0/1770919203244?e=2147483647&amp;v=beta&amp;t=LXe_24UJFPiVAOmUta1JT6QrVMpSXntHxsQxYhRYSMs","View Creative")</f>
        <v>View Creative</v>
      </c>
      <c r="L3289" s="4" t="s">
        <v>106</v>
      </c>
      <c r="M3289" s="4" t="s">
        <v>5965</v>
      </c>
      <c r="O3289" s="4" t="s">
        <v>63</v>
      </c>
      <c r="P3289" s="4" t="s">
        <v>64</v>
      </c>
    </row>
    <row r="3290">
      <c r="A3290" s="4" t="s">
        <v>5965</v>
      </c>
      <c r="B3290" s="4" t="s">
        <v>5965</v>
      </c>
      <c r="C3290" s="4">
        <v>1679.0</v>
      </c>
      <c r="D3290" s="5" t="str">
        <f>HYPERLINK("https://www.linkedin.com/ad-library/detail/1328690166","Open Ad")</f>
        <v>Open Ad</v>
      </c>
      <c r="E3290" s="4" t="s">
        <v>78</v>
      </c>
      <c r="F3290" s="4" t="s">
        <v>54</v>
      </c>
      <c r="G3290" s="4" t="s">
        <v>6614</v>
      </c>
      <c r="H3290" s="4" t="s">
        <v>49</v>
      </c>
      <c r="I3290" s="4" t="s">
        <v>6005</v>
      </c>
      <c r="J3290" s="4" t="s">
        <v>78</v>
      </c>
      <c r="K3290" s="5" t="str">
        <f>HYPERLINK("https://media.licdn.com/dms/image/v2/D4E22AQFy1Oz048X5Zw/feedshare-shrink_1280/B4EZxsp.7NIsAg-/0/1771349471279?e=2147483647&amp;v=beta&amp;t=vIsxUzaS4oXWbQU3DX8AsKdV3pQR5qqC3FIkevYbeR0","View Creative")</f>
        <v>View Creative</v>
      </c>
      <c r="L3290" s="4" t="s">
        <v>106</v>
      </c>
      <c r="M3290" s="4" t="s">
        <v>5965</v>
      </c>
      <c r="O3290" s="4" t="s">
        <v>63</v>
      </c>
      <c r="P3290" s="4" t="s">
        <v>64</v>
      </c>
    </row>
    <row r="3291">
      <c r="A3291" s="4" t="s">
        <v>5965</v>
      </c>
      <c r="B3291" s="4" t="s">
        <v>5965</v>
      </c>
      <c r="C3291" s="4">
        <v>1680.0</v>
      </c>
      <c r="D3291" s="5" t="str">
        <f>HYPERLINK("https://www.linkedin.com/ad-library/detail/1325891606","Open Ad")</f>
        <v>Open Ad</v>
      </c>
      <c r="E3291" s="4" t="s">
        <v>78</v>
      </c>
      <c r="F3291" s="4" t="s">
        <v>54</v>
      </c>
      <c r="G3291" s="4" t="s">
        <v>6633</v>
      </c>
      <c r="H3291" s="4" t="s">
        <v>49</v>
      </c>
      <c r="I3291" s="4" t="s">
        <v>6005</v>
      </c>
      <c r="J3291" s="4" t="s">
        <v>78</v>
      </c>
      <c r="K3291" s="5" t="str">
        <f>HYPERLINK("https://media.licdn.com/dms/image/v2/D4E10AQE3uB-YiUS-ew/image-shrink_1280/B4EZxXUNZzIgAo-/0/1770991442473?e=2147483647&amp;v=beta&amp;t=cWvhGIp7WsDWS9pixDdZ-W60Rf6jvG15FxsmkmxZxCo","View Creative")</f>
        <v>View Creative</v>
      </c>
      <c r="L3291" s="4" t="s">
        <v>106</v>
      </c>
      <c r="M3291" s="4" t="s">
        <v>5965</v>
      </c>
      <c r="O3291" s="4" t="s">
        <v>63</v>
      </c>
      <c r="P3291" s="4" t="s">
        <v>64</v>
      </c>
    </row>
    <row r="3292">
      <c r="A3292" s="4" t="s">
        <v>5965</v>
      </c>
      <c r="B3292" s="4" t="s">
        <v>5965</v>
      </c>
      <c r="C3292" s="4">
        <v>1681.0</v>
      </c>
      <c r="D3292" s="5" t="str">
        <f>HYPERLINK("https://www.linkedin.com/ad-library/detail/1303290316","Open Ad")</f>
        <v>Open Ad</v>
      </c>
      <c r="E3292" s="4" t="s">
        <v>121</v>
      </c>
      <c r="F3292" s="4" t="s">
        <v>54</v>
      </c>
      <c r="G3292" s="4" t="s">
        <v>6636</v>
      </c>
      <c r="H3292" s="4" t="s">
        <v>49</v>
      </c>
      <c r="I3292" s="4" t="s">
        <v>6005</v>
      </c>
      <c r="J3292" s="4" t="s">
        <v>121</v>
      </c>
      <c r="K3292" s="5" t="str">
        <f>HYPERLINK("https://dms.licdn.com/playlist/vid/v2/D4E05AQEpBWsyXLYxVA/mp4-720p-30fp-crf28/B4EZxShjNpLECM-/0/1770911055018?e=2147483647&amp;v=beta&amp;t=jF08yNbgegZJ7F81kQkBFCOxMy5tel4vGsQQMa4yiTY","View Creative")</f>
        <v>View Creative</v>
      </c>
      <c r="L3292" s="4" t="s">
        <v>106</v>
      </c>
      <c r="M3292" s="4" t="s">
        <v>5965</v>
      </c>
      <c r="O3292" s="4" t="s">
        <v>63</v>
      </c>
      <c r="P3292" s="4" t="s">
        <v>64</v>
      </c>
    </row>
    <row r="3293">
      <c r="A3293" s="4" t="s">
        <v>5965</v>
      </c>
      <c r="B3293" s="4" t="s">
        <v>5965</v>
      </c>
      <c r="C3293" s="4">
        <v>1682.0</v>
      </c>
      <c r="D3293" s="5" t="str">
        <f>HYPERLINK("https://www.linkedin.com/ad-library/detail/1142700194","Open Ad")</f>
        <v>Open Ad</v>
      </c>
      <c r="E3293" s="4" t="s">
        <v>78</v>
      </c>
      <c r="F3293" s="4" t="s">
        <v>54</v>
      </c>
      <c r="G3293" s="4" t="s">
        <v>6460</v>
      </c>
      <c r="H3293" s="4" t="s">
        <v>49</v>
      </c>
      <c r="I3293" s="4" t="s">
        <v>6005</v>
      </c>
      <c r="J3293" s="4" t="s">
        <v>78</v>
      </c>
      <c r="K3293" s="5" t="str">
        <f>HYPERLINK("https://media.licdn.com/dms/image/v2/D4E10AQEcSUFXsoAgQQ/image-shrink_1280/B4EZw03JayIIAc-/0/1770413398027/LinkedAdFeb2026V2jpg?e=2147483647&amp;v=beta&amp;t=-qcEkfKa_Zed6E7-xsaw9v1L6Xoxqy_6nWbWlmeo8zs","View Creative")</f>
        <v>View Creative</v>
      </c>
      <c r="L3293" s="4" t="s">
        <v>106</v>
      </c>
      <c r="M3293" s="4" t="s">
        <v>5965</v>
      </c>
      <c r="O3293" s="4" t="s">
        <v>63</v>
      </c>
      <c r="P3293" s="4" t="s">
        <v>64</v>
      </c>
    </row>
    <row r="3294">
      <c r="A3294" s="4" t="s">
        <v>5965</v>
      </c>
      <c r="B3294" s="4" t="s">
        <v>5965</v>
      </c>
      <c r="C3294" s="4">
        <v>1683.0</v>
      </c>
      <c r="D3294" s="5" t="str">
        <f>HYPERLINK("https://www.linkedin.com/ad-library/detail/1322790826","Open Ad")</f>
        <v>Open Ad</v>
      </c>
      <c r="E3294" s="4" t="s">
        <v>78</v>
      </c>
      <c r="F3294" s="4" t="s">
        <v>54</v>
      </c>
      <c r="G3294" s="4" t="s">
        <v>6632</v>
      </c>
      <c r="H3294" s="4" t="s">
        <v>49</v>
      </c>
      <c r="I3294" s="4" t="s">
        <v>6005</v>
      </c>
      <c r="J3294" s="4" t="s">
        <v>78</v>
      </c>
      <c r="K3294" s="5" t="str">
        <f>HYPERLINK("https://media.licdn.com/dms/image/v2/D4E10AQFCQW8fh4aY8A/image-shrink_1280/B4EZxTAotgHQAg-/0/1770919203244?e=2147483647&amp;v=beta&amp;t=LXe_24UJFPiVAOmUta1JT6QrVMpSXntHxsQxYhRYSMs","View Creative")</f>
        <v>View Creative</v>
      </c>
      <c r="L3294" s="4" t="s">
        <v>106</v>
      </c>
      <c r="M3294" s="4" t="s">
        <v>5965</v>
      </c>
      <c r="O3294" s="4" t="s">
        <v>63</v>
      </c>
      <c r="P3294" s="4" t="s">
        <v>64</v>
      </c>
    </row>
    <row r="3295">
      <c r="A3295" s="4" t="s">
        <v>5965</v>
      </c>
      <c r="B3295" s="4" t="s">
        <v>5965</v>
      </c>
      <c r="C3295" s="4">
        <v>1684.0</v>
      </c>
      <c r="D3295" s="5" t="str">
        <f>HYPERLINK("https://www.linkedin.com/ad-library/detail/1140686454","Open Ad")</f>
        <v>Open Ad</v>
      </c>
      <c r="E3295" s="4" t="s">
        <v>78</v>
      </c>
      <c r="F3295" s="4" t="s">
        <v>54</v>
      </c>
      <c r="G3295" s="4" t="s">
        <v>6460</v>
      </c>
      <c r="H3295" s="4" t="s">
        <v>49</v>
      </c>
      <c r="I3295" s="4" t="s">
        <v>6005</v>
      </c>
      <c r="J3295" s="4" t="s">
        <v>78</v>
      </c>
      <c r="K3295" s="5" t="str">
        <f>HYPERLINK("https://media.licdn.com/dms/image/v2/D4E10AQEcSUFXsoAgQQ/image-shrink_1280/B4EZw03JayIIAc-/0/1770413398027/LinkedAdFeb2026V2jpg?e=2147483647&amp;v=beta&amp;t=-qcEkfKa_Zed6E7-xsaw9v1L6Xoxqy_6nWbWlmeo8zs","View Creative")</f>
        <v>View Creative</v>
      </c>
      <c r="L3295" s="4" t="s">
        <v>106</v>
      </c>
      <c r="M3295" s="4" t="s">
        <v>5965</v>
      </c>
      <c r="O3295" s="4" t="s">
        <v>63</v>
      </c>
      <c r="P3295" s="4" t="s">
        <v>64</v>
      </c>
    </row>
    <row r="3296">
      <c r="A3296" s="4" t="s">
        <v>5965</v>
      </c>
      <c r="B3296" s="4" t="s">
        <v>5965</v>
      </c>
      <c r="C3296" s="4">
        <v>1685.0</v>
      </c>
      <c r="D3296" s="5" t="str">
        <f>HYPERLINK("https://www.linkedin.com/ad-library/detail/1154570436","Open Ad")</f>
        <v>Open Ad</v>
      </c>
      <c r="E3296" s="4" t="s">
        <v>78</v>
      </c>
      <c r="F3296" s="4" t="s">
        <v>54</v>
      </c>
      <c r="G3296" s="4" t="s">
        <v>6637</v>
      </c>
      <c r="H3296" s="4" t="s">
        <v>49</v>
      </c>
      <c r="I3296" s="4" t="s">
        <v>6005</v>
      </c>
      <c r="J3296" s="4" t="s">
        <v>78</v>
      </c>
      <c r="K3296" s="5" t="str">
        <f>HYPERLINK("https://media.licdn.com/dms/image/v2/D4E10AQEaYdDfeSEzPA/image-shrink_1280/B4EZxDoFitKgAg-/0/1770661108367?e=2147483647&amp;v=beta&amp;t=RjaWW3t39fQmnJ0UJaRyZwS38lLgIKvrjYTnj1sDJYs","View Creative")</f>
        <v>View Creative</v>
      </c>
      <c r="L3296" s="4" t="s">
        <v>106</v>
      </c>
      <c r="M3296" s="4" t="s">
        <v>5965</v>
      </c>
      <c r="O3296" s="4" t="s">
        <v>63</v>
      </c>
      <c r="P3296" s="4" t="s">
        <v>64</v>
      </c>
    </row>
    <row r="3297">
      <c r="A3297" s="4" t="s">
        <v>5965</v>
      </c>
      <c r="B3297" s="4" t="s">
        <v>5965</v>
      </c>
      <c r="C3297" s="4">
        <v>1686.0</v>
      </c>
      <c r="D3297" s="5" t="str">
        <f>HYPERLINK("https://www.linkedin.com/ad-library/detail/1157450776","Open Ad")</f>
        <v>Open Ad</v>
      </c>
      <c r="E3297" s="4" t="s">
        <v>78</v>
      </c>
      <c r="F3297" s="4" t="s">
        <v>54</v>
      </c>
      <c r="G3297" s="4" t="s">
        <v>6638</v>
      </c>
      <c r="H3297" s="4" t="s">
        <v>49</v>
      </c>
      <c r="I3297" s="4" t="s">
        <v>6005</v>
      </c>
      <c r="J3297" s="4" t="s">
        <v>78</v>
      </c>
      <c r="K3297" s="5" t="str">
        <f>HYPERLINK("https://media.licdn.com/dms/image/v2/D5610AQEFxjpYJtTgpw/image-shrink_1280/B56ZxNCv51J4Ac-/0/1770819092486/CopyofPROFOUNDADSERIES2zip-2png?e=2147483647&amp;v=beta&amp;t=4vj9iRNCUz2YJeOhmaUagYlGZFzrAPUjb-R6vNHcMlw","View Creative")</f>
        <v>View Creative</v>
      </c>
      <c r="L3297" s="4" t="s">
        <v>106</v>
      </c>
      <c r="M3297" s="4" t="s">
        <v>5965</v>
      </c>
      <c r="O3297" s="4" t="s">
        <v>63</v>
      </c>
      <c r="P3297" s="4" t="s">
        <v>64</v>
      </c>
    </row>
    <row r="3298">
      <c r="A3298" s="4" t="s">
        <v>5965</v>
      </c>
      <c r="B3298" s="4" t="s">
        <v>5965</v>
      </c>
      <c r="C3298" s="4">
        <v>1687.0</v>
      </c>
      <c r="D3298" s="5" t="str">
        <f>HYPERLINK("https://www.linkedin.com/ad-library/detail/1322390836","Open Ad")</f>
        <v>Open Ad</v>
      </c>
      <c r="E3298" s="4" t="s">
        <v>121</v>
      </c>
      <c r="F3298" s="4" t="s">
        <v>54</v>
      </c>
      <c r="G3298" s="4" t="s">
        <v>6636</v>
      </c>
      <c r="H3298" s="4" t="s">
        <v>49</v>
      </c>
      <c r="I3298" s="4" t="s">
        <v>6005</v>
      </c>
      <c r="J3298" s="4" t="s">
        <v>121</v>
      </c>
      <c r="K3298" s="5" t="str">
        <f>HYPERLINK("https://dms.licdn.com/playlist/vid/v2/D4E05AQEpBWsyXLYxVA/mp4-720p-30fp-crf28/B4EZxShjNpLECM-/0/1770911055018?e=2147483647&amp;v=beta&amp;t=jF08yNbgegZJ7F81kQkBFCOxMy5tel4vGsQQMa4yiTY","View Creative")</f>
        <v>View Creative</v>
      </c>
      <c r="L3298" s="4" t="s">
        <v>106</v>
      </c>
      <c r="M3298" s="4" t="s">
        <v>5965</v>
      </c>
      <c r="O3298" s="4" t="s">
        <v>63</v>
      </c>
      <c r="P3298" s="4" t="s">
        <v>64</v>
      </c>
    </row>
    <row r="3299">
      <c r="A3299" s="4" t="s">
        <v>5965</v>
      </c>
      <c r="B3299" s="4" t="s">
        <v>5965</v>
      </c>
      <c r="C3299" s="4">
        <v>1688.0</v>
      </c>
      <c r="D3299" s="5" t="str">
        <f>HYPERLINK("https://www.linkedin.com/ad-library/detail/1158418466","Open Ad")</f>
        <v>Open Ad</v>
      </c>
      <c r="E3299" s="4" t="s">
        <v>78</v>
      </c>
      <c r="F3299" s="4" t="s">
        <v>54</v>
      </c>
      <c r="G3299" s="4" t="s">
        <v>6637</v>
      </c>
      <c r="H3299" s="4" t="s">
        <v>49</v>
      </c>
      <c r="I3299" s="4" t="s">
        <v>6005</v>
      </c>
      <c r="J3299" s="4" t="s">
        <v>78</v>
      </c>
      <c r="K3299" s="5" t="str">
        <f>HYPERLINK("https://media.licdn.com/dms/image/v2/D4E10AQEaYdDfeSEzPA/image-shrink_1280/B4EZxDoFitKgAg-/0/1770661108367?e=2147483647&amp;v=beta&amp;t=RjaWW3t39fQmnJ0UJaRyZwS38lLgIKvrjYTnj1sDJYs","View Creative")</f>
        <v>View Creative</v>
      </c>
      <c r="L3299" s="4" t="s">
        <v>106</v>
      </c>
      <c r="M3299" s="4" t="s">
        <v>5965</v>
      </c>
      <c r="O3299" s="4" t="s">
        <v>63</v>
      </c>
      <c r="P3299" s="4" t="s">
        <v>64</v>
      </c>
    </row>
    <row r="3300">
      <c r="A3300" s="4" t="s">
        <v>5965</v>
      </c>
      <c r="B3300" s="4" t="s">
        <v>5965</v>
      </c>
      <c r="C3300" s="4">
        <v>1689.0</v>
      </c>
      <c r="D3300" s="5" t="str">
        <f>HYPERLINK("https://www.linkedin.com/ad-library/detail/1158418496","Open Ad")</f>
        <v>Open Ad</v>
      </c>
      <c r="E3300" s="4" t="s">
        <v>121</v>
      </c>
      <c r="F3300" s="4" t="s">
        <v>54</v>
      </c>
      <c r="G3300" s="4" t="s">
        <v>6639</v>
      </c>
      <c r="H3300" s="4" t="s">
        <v>49</v>
      </c>
      <c r="I3300" s="4" t="s">
        <v>6005</v>
      </c>
      <c r="J3300" s="4" t="s">
        <v>121</v>
      </c>
      <c r="K3300" s="5" t="str">
        <f>HYPERLINK("https://dms.licdn.com/playlist/vid/v2/D4E10AQEaXGmA13DdTQ/mp4-360p-30fp-crf28/B4EZszVEkrIUB0-/0/1766092726845?e=2147483647&amp;v=beta&amp;t=EByfypCCsRqkjXTNM3hjWwx3xz46YgCuWmn6mZinX9Y","View Creative")</f>
        <v>View Creative</v>
      </c>
      <c r="L3300" s="4" t="s">
        <v>106</v>
      </c>
      <c r="M3300" s="4" t="s">
        <v>5965</v>
      </c>
      <c r="O3300" s="4" t="s">
        <v>63</v>
      </c>
      <c r="P3300" s="4" t="s">
        <v>64</v>
      </c>
    </row>
    <row r="3301">
      <c r="A3301" s="4" t="s">
        <v>5965</v>
      </c>
      <c r="B3301" s="4" t="s">
        <v>5965</v>
      </c>
      <c r="C3301" s="4">
        <v>1690.0</v>
      </c>
      <c r="D3301" s="5" t="str">
        <f>HYPERLINK("https://www.linkedin.com/ad-library/detail/1250495026","Open Ad")</f>
        <v>Open Ad</v>
      </c>
      <c r="E3301" s="4" t="s">
        <v>78</v>
      </c>
      <c r="F3301" s="4" t="s">
        <v>54</v>
      </c>
      <c r="G3301" s="4" t="s">
        <v>6640</v>
      </c>
      <c r="H3301" s="4" t="s">
        <v>49</v>
      </c>
      <c r="I3301" s="4" t="s">
        <v>6005</v>
      </c>
      <c r="J3301" s="4" t="s">
        <v>78</v>
      </c>
      <c r="K3301" s="5" t="str">
        <f>HYPERLINK("https://media.licdn.com/dms/image/v2/D4E22AQEx8AKZoHZPIg/feedshare-shrink_1280/B4EZukIRruL4As-/0/1767985193186?e=2147483647&amp;v=beta&amp;t=3V-Z4CrkE-Ux5ByG6zC6dRbL0nFQsiLy0m_1f7pkNcE","View Creative")</f>
        <v>View Creative</v>
      </c>
      <c r="L3301" s="4" t="s">
        <v>106</v>
      </c>
      <c r="M3301" s="4" t="s">
        <v>5965</v>
      </c>
      <c r="O3301" s="4" t="s">
        <v>63</v>
      </c>
      <c r="P3301" s="4" t="s">
        <v>64</v>
      </c>
    </row>
    <row r="3302">
      <c r="A3302" s="4" t="s">
        <v>5965</v>
      </c>
      <c r="B3302" s="4" t="s">
        <v>5965</v>
      </c>
      <c r="C3302" s="4">
        <v>1691.0</v>
      </c>
      <c r="D3302" s="5" t="str">
        <f>HYPERLINK("https://www.linkedin.com/ad-library/detail/1157315396","Open Ad")</f>
        <v>Open Ad</v>
      </c>
      <c r="E3302" s="4" t="s">
        <v>78</v>
      </c>
      <c r="F3302" s="4" t="s">
        <v>54</v>
      </c>
      <c r="G3302" s="4" t="s">
        <v>6637</v>
      </c>
      <c r="H3302" s="4" t="s">
        <v>49</v>
      </c>
      <c r="I3302" s="4" t="s">
        <v>6005</v>
      </c>
      <c r="J3302" s="4" t="s">
        <v>78</v>
      </c>
      <c r="K3302" s="5" t="str">
        <f>HYPERLINK("https://media.licdn.com/dms/image/v2/D4E10AQEaYdDfeSEzPA/image-shrink_1280/B4EZxDoFitKgAg-/0/1770661108367?e=2147483647&amp;v=beta&amp;t=RjaWW3t39fQmnJ0UJaRyZwS38lLgIKvrjYTnj1sDJYs","View Creative")</f>
        <v>View Creative</v>
      </c>
      <c r="L3302" s="4" t="s">
        <v>106</v>
      </c>
      <c r="M3302" s="4" t="s">
        <v>5965</v>
      </c>
      <c r="O3302" s="4" t="s">
        <v>63</v>
      </c>
      <c r="P3302" s="4" t="s">
        <v>64</v>
      </c>
    </row>
    <row r="3303">
      <c r="A3303" s="4" t="s">
        <v>5965</v>
      </c>
      <c r="B3303" s="4" t="s">
        <v>5965</v>
      </c>
      <c r="C3303" s="4">
        <v>1692.0</v>
      </c>
      <c r="D3303" s="5" t="str">
        <f>HYPERLINK("https://www.linkedin.com/ad-library/detail/1322191246","Open Ad")</f>
        <v>Open Ad</v>
      </c>
      <c r="E3303" s="4" t="s">
        <v>121</v>
      </c>
      <c r="F3303" s="4" t="s">
        <v>54</v>
      </c>
      <c r="G3303" s="4" t="s">
        <v>6636</v>
      </c>
      <c r="H3303" s="4" t="s">
        <v>49</v>
      </c>
      <c r="I3303" s="4" t="s">
        <v>6005</v>
      </c>
      <c r="J3303" s="4" t="s">
        <v>121</v>
      </c>
      <c r="K3303" s="5" t="str">
        <f>HYPERLINK("https://dms.licdn.com/playlist/vid/v2/D4E05AQEpBWsyXLYxVA/mp4-720p-30fp-crf28/B4EZxShjNpLECM-/0/1770911055018?e=2147483647&amp;v=beta&amp;t=jF08yNbgegZJ7F81kQkBFCOxMy5tel4vGsQQMa4yiTY","View Creative")</f>
        <v>View Creative</v>
      </c>
      <c r="L3303" s="4" t="s">
        <v>106</v>
      </c>
      <c r="M3303" s="4" t="s">
        <v>5965</v>
      </c>
      <c r="O3303" s="4" t="s">
        <v>63</v>
      </c>
      <c r="P3303" s="4" t="s">
        <v>64</v>
      </c>
    </row>
    <row r="3304">
      <c r="A3304" s="4" t="s">
        <v>5965</v>
      </c>
      <c r="B3304" s="4" t="s">
        <v>5965</v>
      </c>
      <c r="C3304" s="4">
        <v>1693.0</v>
      </c>
      <c r="D3304" s="5" t="str">
        <f>HYPERLINK("https://www.linkedin.com/ad-library/detail/1157316076","Open Ad")</f>
        <v>Open Ad</v>
      </c>
      <c r="E3304" s="4" t="s">
        <v>78</v>
      </c>
      <c r="F3304" s="4" t="s">
        <v>54</v>
      </c>
      <c r="G3304" s="4" t="s">
        <v>6641</v>
      </c>
      <c r="H3304" s="4" t="s">
        <v>49</v>
      </c>
      <c r="I3304" s="4" t="s">
        <v>6398</v>
      </c>
      <c r="J3304" s="4" t="s">
        <v>78</v>
      </c>
      <c r="K3304" s="5" t="str">
        <f>HYPERLINK("https://media.licdn.com/dms/image/v2/D4E22AQExkjAY740wqA/feedshare-shrink_1280/B4EZxIrWnaKkAc-/0/1770745851223?e=2147483647&amp;v=beta&amp;t=gKprXqwt0j8gbn_gXMX1H0YAALCx-II5H6j0bV1KqUc","View Creative")</f>
        <v>View Creative</v>
      </c>
      <c r="L3304" s="4" t="s">
        <v>106</v>
      </c>
      <c r="M3304" s="4" t="s">
        <v>5965</v>
      </c>
      <c r="O3304" s="4" t="s">
        <v>63</v>
      </c>
      <c r="P3304" s="4" t="s">
        <v>64</v>
      </c>
    </row>
    <row r="3305">
      <c r="A3305" s="4" t="s">
        <v>5965</v>
      </c>
      <c r="B3305" s="4" t="s">
        <v>5965</v>
      </c>
      <c r="C3305" s="4">
        <v>1694.0</v>
      </c>
      <c r="D3305" s="5" t="str">
        <f>HYPERLINK("https://www.linkedin.com/ad-library/detail/1154610206","Open Ad")</f>
        <v>Open Ad</v>
      </c>
      <c r="E3305" s="4" t="s">
        <v>5970</v>
      </c>
      <c r="F3305" s="4" t="s">
        <v>54</v>
      </c>
      <c r="G3305" s="4" t="s">
        <v>6481</v>
      </c>
      <c r="H3305" s="4" t="s">
        <v>49</v>
      </c>
      <c r="I3305" s="4" t="s">
        <v>6005</v>
      </c>
      <c r="J3305" s="4" t="s">
        <v>5973</v>
      </c>
      <c r="K3305" s="4" t="s">
        <v>59</v>
      </c>
      <c r="L3305" s="4" t="s">
        <v>106</v>
      </c>
      <c r="M3305" s="4" t="s">
        <v>5965</v>
      </c>
      <c r="O3305" s="4" t="s">
        <v>63</v>
      </c>
      <c r="P3305" s="4" t="s">
        <v>64</v>
      </c>
    </row>
    <row r="3306">
      <c r="A3306" s="4" t="s">
        <v>5965</v>
      </c>
      <c r="B3306" s="4" t="s">
        <v>5965</v>
      </c>
      <c r="C3306" s="4">
        <v>1695.0</v>
      </c>
      <c r="D3306" s="5" t="str">
        <f>HYPERLINK("https://www.linkedin.com/ad-library/detail/1154610326","Open Ad")</f>
        <v>Open Ad</v>
      </c>
      <c r="E3306" s="4" t="s">
        <v>78</v>
      </c>
      <c r="F3306" s="4" t="s">
        <v>54</v>
      </c>
      <c r="G3306" s="4" t="s">
        <v>6642</v>
      </c>
      <c r="H3306" s="4" t="s">
        <v>49</v>
      </c>
      <c r="I3306" s="4" t="s">
        <v>6005</v>
      </c>
      <c r="J3306" s="4" t="s">
        <v>78</v>
      </c>
      <c r="K3306" s="5" t="str">
        <f t="shared" ref="K3306:K3307" si="180">HYPERLINK("https://media.licdn.com/dms/image/v2/D4E22AQHBPXRtp0yTUA/feedshare-shrink_1280/B4EZw1BE3MHcAc-/0/1770416001530?e=2147483647&amp;v=beta&amp;t=pa-pwgHe5MWFsf8WaIA99iA7pdVnpWiUnuNOnPjXsd4","View Creative")</f>
        <v>View Creative</v>
      </c>
      <c r="L3306" s="4" t="s">
        <v>106</v>
      </c>
      <c r="M3306" s="4" t="s">
        <v>5965</v>
      </c>
      <c r="O3306" s="4" t="s">
        <v>74</v>
      </c>
      <c r="P3306" s="4" t="s">
        <v>6643</v>
      </c>
    </row>
    <row r="3307">
      <c r="A3307" s="4" t="s">
        <v>5965</v>
      </c>
      <c r="B3307" s="4" t="s">
        <v>5965</v>
      </c>
      <c r="C3307" s="4">
        <v>1696.0</v>
      </c>
      <c r="D3307" s="5" t="str">
        <f>HYPERLINK("https://www.linkedin.com/ad-library/detail/1131026566","Open Ad")</f>
        <v>Open Ad</v>
      </c>
      <c r="E3307" s="4" t="s">
        <v>78</v>
      </c>
      <c r="F3307" s="4" t="s">
        <v>54</v>
      </c>
      <c r="G3307" s="4" t="s">
        <v>6642</v>
      </c>
      <c r="H3307" s="4" t="s">
        <v>49</v>
      </c>
      <c r="I3307" s="4" t="s">
        <v>6005</v>
      </c>
      <c r="J3307" s="4" t="s">
        <v>78</v>
      </c>
      <c r="K3307" s="5" t="str">
        <f t="shared" si="180"/>
        <v>View Creative</v>
      </c>
      <c r="L3307" s="4" t="s">
        <v>106</v>
      </c>
      <c r="M3307" s="4" t="s">
        <v>5965</v>
      </c>
      <c r="O3307" s="4" t="s">
        <v>74</v>
      </c>
      <c r="P3307" s="4" t="s">
        <v>6644</v>
      </c>
    </row>
    <row r="3308">
      <c r="A3308" s="4" t="s">
        <v>5965</v>
      </c>
      <c r="B3308" s="4" t="s">
        <v>5965</v>
      </c>
      <c r="C3308" s="4">
        <v>1697.0</v>
      </c>
      <c r="D3308" s="5" t="str">
        <f>HYPERLINK("https://www.linkedin.com/ad-library/detail/1299990246","Open Ad")</f>
        <v>Open Ad</v>
      </c>
      <c r="E3308" s="4" t="s">
        <v>78</v>
      </c>
      <c r="F3308" s="4" t="s">
        <v>54</v>
      </c>
      <c r="G3308" s="4" t="s">
        <v>6632</v>
      </c>
      <c r="H3308" s="4" t="s">
        <v>49</v>
      </c>
      <c r="I3308" s="4" t="s">
        <v>6427</v>
      </c>
      <c r="J3308" s="4" t="s">
        <v>78</v>
      </c>
      <c r="K3308" s="5" t="str">
        <f>HYPERLINK("https://media.licdn.com/dms/image/v2/D4E10AQFCQW8fh4aY8A/image-shrink_1280/B4EZxTAotgHQAg-/0/1770919203244?e=2147483647&amp;v=beta&amp;t=LXe_24UJFPiVAOmUta1JT6QrVMpSXntHxsQxYhRYSMs","View Creative")</f>
        <v>View Creative</v>
      </c>
      <c r="L3308" s="4" t="s">
        <v>60</v>
      </c>
      <c r="M3308" s="4" t="s">
        <v>5965</v>
      </c>
      <c r="N3308" s="4" t="s">
        <v>6645</v>
      </c>
      <c r="O3308" s="4" t="s">
        <v>74</v>
      </c>
      <c r="P3308" s="4" t="s">
        <v>6646</v>
      </c>
    </row>
    <row r="3309">
      <c r="A3309" s="4" t="s">
        <v>5965</v>
      </c>
      <c r="B3309" s="4" t="s">
        <v>5965</v>
      </c>
      <c r="C3309" s="4">
        <v>1698.0</v>
      </c>
      <c r="D3309" s="5" t="str">
        <f>HYPERLINK("https://www.linkedin.com/ad-library/detail/1156455266","Open Ad")</f>
        <v>Open Ad</v>
      </c>
      <c r="E3309" s="4" t="s">
        <v>78</v>
      </c>
      <c r="F3309" s="4" t="s">
        <v>54</v>
      </c>
      <c r="G3309" s="4" t="s">
        <v>6641</v>
      </c>
      <c r="H3309" s="4" t="s">
        <v>49</v>
      </c>
      <c r="I3309" s="4" t="s">
        <v>6398</v>
      </c>
      <c r="J3309" s="4" t="s">
        <v>78</v>
      </c>
      <c r="K3309" s="5" t="str">
        <f>HYPERLINK("https://media.licdn.com/dms/image/v2/D4E22AQExkjAY740wqA/feedshare-shrink_1280/B4EZxIrWnaKkAc-/0/1770745851223?e=2147483647&amp;v=beta&amp;t=gKprXqwt0j8gbn_gXMX1H0YAALCx-II5H6j0bV1KqUc","View Creative")</f>
        <v>View Creative</v>
      </c>
      <c r="L3309" s="4" t="s">
        <v>106</v>
      </c>
      <c r="M3309" s="4" t="s">
        <v>5965</v>
      </c>
      <c r="O3309" s="4" t="s">
        <v>74</v>
      </c>
      <c r="P3309" s="4" t="s">
        <v>6647</v>
      </c>
    </row>
    <row r="3310">
      <c r="A3310" s="4" t="s">
        <v>5965</v>
      </c>
      <c r="B3310" s="4" t="s">
        <v>5965</v>
      </c>
      <c r="C3310" s="4">
        <v>1699.0</v>
      </c>
      <c r="D3310" s="5" t="str">
        <f>HYPERLINK("https://www.linkedin.com/ad-library/detail/1154671536","Open Ad")</f>
        <v>Open Ad</v>
      </c>
      <c r="E3310" s="4" t="s">
        <v>78</v>
      </c>
      <c r="F3310" s="4" t="s">
        <v>54</v>
      </c>
      <c r="G3310" s="4" t="s">
        <v>6637</v>
      </c>
      <c r="H3310" s="4" t="s">
        <v>49</v>
      </c>
      <c r="I3310" s="4" t="s">
        <v>6398</v>
      </c>
      <c r="J3310" s="4" t="s">
        <v>78</v>
      </c>
      <c r="K3310" s="5" t="str">
        <f>HYPERLINK("https://media.licdn.com/dms/image/v2/D4E10AQEaYdDfeSEzPA/image-shrink_1280/B4EZxDoFitKgAg-/0/1770661108367?e=2147483647&amp;v=beta&amp;t=RjaWW3t39fQmnJ0UJaRyZwS38lLgIKvrjYTnj1sDJYs","View Creative")</f>
        <v>View Creative</v>
      </c>
      <c r="L3310" s="4" t="s">
        <v>106</v>
      </c>
      <c r="M3310" s="4" t="s">
        <v>5965</v>
      </c>
      <c r="O3310" s="4" t="s">
        <v>74</v>
      </c>
      <c r="P3310" s="4" t="s">
        <v>6648</v>
      </c>
    </row>
    <row r="3311">
      <c r="A3311" s="4" t="s">
        <v>5965</v>
      </c>
      <c r="B3311" s="4" t="s">
        <v>5965</v>
      </c>
      <c r="C3311" s="4">
        <v>1700.0</v>
      </c>
      <c r="D3311" s="5" t="str">
        <f>HYPERLINK("https://www.linkedin.com/ad-library/detail/1156943406","Open Ad")</f>
        <v>Open Ad</v>
      </c>
      <c r="E3311" s="4" t="s">
        <v>78</v>
      </c>
      <c r="F3311" s="4" t="s">
        <v>54</v>
      </c>
      <c r="G3311" s="4" t="s">
        <v>6641</v>
      </c>
      <c r="H3311" s="4" t="s">
        <v>49</v>
      </c>
      <c r="I3311" s="4" t="s">
        <v>6398</v>
      </c>
      <c r="J3311" s="4" t="s">
        <v>78</v>
      </c>
      <c r="K3311" s="5" t="str">
        <f>HYPERLINK("https://media.licdn.com/dms/image/v2/D4E22AQExkjAY740wqA/feedshare-shrink_1280/B4EZxIrWnaKkAc-/0/1770745851223?e=2147483647&amp;v=beta&amp;t=gKprXqwt0j8gbn_gXMX1H0YAALCx-II5H6j0bV1KqUc","View Creative")</f>
        <v>View Creative</v>
      </c>
      <c r="L3311" s="4" t="s">
        <v>106</v>
      </c>
      <c r="M3311" s="4" t="s">
        <v>5965</v>
      </c>
      <c r="O3311" s="4" t="s">
        <v>74</v>
      </c>
      <c r="P3311" s="4" t="s">
        <v>6649</v>
      </c>
    </row>
    <row r="3312">
      <c r="A3312" s="4" t="s">
        <v>5965</v>
      </c>
      <c r="B3312" s="4" t="s">
        <v>5965</v>
      </c>
      <c r="C3312" s="4">
        <v>1701.0</v>
      </c>
      <c r="D3312" s="5" t="str">
        <f>HYPERLINK("https://www.linkedin.com/ad-library/detail/1158692306","Open Ad")</f>
        <v>Open Ad</v>
      </c>
      <c r="E3312" s="4" t="s">
        <v>78</v>
      </c>
      <c r="F3312" s="4" t="s">
        <v>54</v>
      </c>
      <c r="G3312" s="4" t="s">
        <v>6638</v>
      </c>
      <c r="H3312" s="4" t="s">
        <v>49</v>
      </c>
      <c r="I3312" s="4" t="s">
        <v>6005</v>
      </c>
      <c r="J3312" s="4" t="s">
        <v>78</v>
      </c>
      <c r="K3312" s="5" t="str">
        <f>HYPERLINK("https://media.licdn.com/dms/image/v2/D5610AQGb6jO680kAqQ/image-shrink_1280/B56ZxNCu__IoAc-/0/1770819089050/CopyofPROFOUNDADSERIES2zip-Coverpng?e=2147483647&amp;v=beta&amp;t=V8-thkcgR0WUB_lUIdvhct4WN7FtSPmYy4EFypBsmQE","View Creative")</f>
        <v>View Creative</v>
      </c>
      <c r="L3312" s="4" t="s">
        <v>106</v>
      </c>
      <c r="M3312" s="4" t="s">
        <v>5965</v>
      </c>
      <c r="O3312" s="4" t="s">
        <v>63</v>
      </c>
      <c r="P3312" s="4" t="s">
        <v>64</v>
      </c>
    </row>
    <row r="3313">
      <c r="A3313" s="4" t="s">
        <v>5965</v>
      </c>
      <c r="B3313" s="4" t="s">
        <v>5965</v>
      </c>
      <c r="C3313" s="4">
        <v>1702.0</v>
      </c>
      <c r="D3313" s="5" t="str">
        <f>HYPERLINK("https://www.linkedin.com/ad-library/detail/1303191316","Open Ad")</f>
        <v>Open Ad</v>
      </c>
      <c r="E3313" s="4" t="s">
        <v>78</v>
      </c>
      <c r="F3313" s="4" t="s">
        <v>54</v>
      </c>
      <c r="G3313" s="4" t="s">
        <v>6632</v>
      </c>
      <c r="H3313" s="4" t="s">
        <v>49</v>
      </c>
      <c r="I3313" s="4" t="s">
        <v>6005</v>
      </c>
      <c r="J3313" s="4" t="s">
        <v>78</v>
      </c>
      <c r="K3313" s="5" t="str">
        <f>HYPERLINK("https://media.licdn.com/dms/image/v2/D4E10AQFCQW8fh4aY8A/image-shrink_1280/B4EZxTAotgHQAg-/0/1770919203244?e=2147483647&amp;v=beta&amp;t=LXe_24UJFPiVAOmUta1JT6QrVMpSXntHxsQxYhRYSMs","View Creative")</f>
        <v>View Creative</v>
      </c>
      <c r="L3313" s="4" t="s">
        <v>106</v>
      </c>
      <c r="M3313" s="4" t="s">
        <v>5965</v>
      </c>
      <c r="O3313" s="4" t="s">
        <v>63</v>
      </c>
      <c r="P3313" s="4" t="s">
        <v>64</v>
      </c>
    </row>
    <row r="3314">
      <c r="A3314" s="4" t="s">
        <v>5965</v>
      </c>
      <c r="B3314" s="4" t="s">
        <v>5965</v>
      </c>
      <c r="C3314" s="4">
        <v>1703.0</v>
      </c>
      <c r="D3314" s="5" t="str">
        <f>HYPERLINK("https://www.linkedin.com/ad-library/detail/1158224686","Open Ad")</f>
        <v>Open Ad</v>
      </c>
      <c r="E3314" s="4" t="s">
        <v>121</v>
      </c>
      <c r="F3314" s="4" t="s">
        <v>54</v>
      </c>
      <c r="G3314" s="4" t="s">
        <v>6650</v>
      </c>
      <c r="H3314" s="4" t="s">
        <v>49</v>
      </c>
      <c r="I3314" s="4" t="s">
        <v>6005</v>
      </c>
      <c r="J3314" s="4" t="s">
        <v>121</v>
      </c>
      <c r="K3314" s="5" t="str">
        <f>HYPERLINK("https://dms.licdn.com/playlist/vid/v2/D4E10AQFlG4d8rrDZ-Q/mp4-640p-30fp-crf28/B4EZwAfPQ2HsBs-/0/1769534723409?e=2147483647&amp;v=beta&amp;t=giK77Oa4XBDTRNHFAxFeKO7KXXvNKrb87qel5J-q29I","View Creative")</f>
        <v>View Creative</v>
      </c>
      <c r="L3314" s="4" t="s">
        <v>106</v>
      </c>
      <c r="M3314" s="4" t="s">
        <v>5965</v>
      </c>
      <c r="O3314" s="4" t="s">
        <v>63</v>
      </c>
      <c r="P3314" s="4" t="s">
        <v>64</v>
      </c>
    </row>
    <row r="3315">
      <c r="A3315" s="4" t="s">
        <v>5965</v>
      </c>
      <c r="B3315" s="4" t="s">
        <v>5965</v>
      </c>
      <c r="C3315" s="4">
        <v>1704.0</v>
      </c>
      <c r="D3315" s="5" t="str">
        <f>HYPERLINK("https://www.linkedin.com/ad-library/detail/1069399876","Open Ad")</f>
        <v>Open Ad</v>
      </c>
      <c r="E3315" s="4" t="s">
        <v>78</v>
      </c>
      <c r="F3315" s="4" t="s">
        <v>54</v>
      </c>
      <c r="G3315" s="4" t="s">
        <v>6651</v>
      </c>
      <c r="H3315" s="4" t="s">
        <v>49</v>
      </c>
      <c r="I3315" s="4" t="s">
        <v>6005</v>
      </c>
      <c r="J3315" s="4" t="s">
        <v>78</v>
      </c>
      <c r="K3315" s="5" t="str">
        <f>HYPERLINK("https://media.licdn.com/dms/image/v2/D4E22AQFhn0zmfk9_FQ/feedshare-shrink_1280/B4EZwvtxd0JYAo-/0/1770327056002?e=2147483647&amp;v=beta&amp;t=qA9_TzFt9dvRS_5HjP0bbenaXJm7wB41sU1YDUQS_yE","View Creative")</f>
        <v>View Creative</v>
      </c>
      <c r="L3315" s="4" t="s">
        <v>106</v>
      </c>
      <c r="M3315" s="4" t="s">
        <v>5965</v>
      </c>
      <c r="O3315" s="4" t="s">
        <v>63</v>
      </c>
      <c r="P3315" s="4" t="s">
        <v>64</v>
      </c>
    </row>
    <row r="3316">
      <c r="A3316" s="4" t="s">
        <v>5965</v>
      </c>
      <c r="B3316" s="4" t="s">
        <v>5965</v>
      </c>
      <c r="C3316" s="4">
        <v>1705.0</v>
      </c>
      <c r="D3316" s="5" t="str">
        <f>HYPERLINK("https://www.linkedin.com/ad-library/detail/1059074636","Open Ad")</f>
        <v>Open Ad</v>
      </c>
      <c r="E3316" s="4" t="s">
        <v>121</v>
      </c>
      <c r="F3316" s="4" t="s">
        <v>54</v>
      </c>
      <c r="G3316" s="4" t="s">
        <v>6610</v>
      </c>
      <c r="H3316" s="4" t="s">
        <v>49</v>
      </c>
      <c r="I3316" s="4" t="s">
        <v>6005</v>
      </c>
      <c r="J3316" s="4" t="s">
        <v>121</v>
      </c>
      <c r="K3316" s="5" t="str">
        <f>HYPERLINK("https://dms.licdn.com/playlist/vid/v2/D4E05AQGAOnplbh8hAw/mp4-720p-30fp-crf28/B4EZwQtYHkJ8CI-/0/1769806864428?e=2147483647&amp;v=beta&amp;t=3-UIWf1rDZw5tlZrHM0UonIMZWbkC01VTW3-pNMlJPE","View Creative")</f>
        <v>View Creative</v>
      </c>
      <c r="L3316" s="4" t="s">
        <v>106</v>
      </c>
      <c r="M3316" s="4" t="s">
        <v>5965</v>
      </c>
      <c r="O3316" s="4" t="s">
        <v>63</v>
      </c>
      <c r="P3316" s="4" t="s">
        <v>64</v>
      </c>
    </row>
    <row r="3317">
      <c r="A3317" s="4" t="s">
        <v>5965</v>
      </c>
      <c r="B3317" s="4" t="s">
        <v>5965</v>
      </c>
      <c r="C3317" s="4">
        <v>1706.0</v>
      </c>
      <c r="D3317" s="5" t="str">
        <f>HYPERLINK("https://www.linkedin.com/ad-library/detail/1070083616","Open Ad")</f>
        <v>Open Ad</v>
      </c>
      <c r="E3317" s="4" t="s">
        <v>78</v>
      </c>
      <c r="F3317" s="4" t="s">
        <v>54</v>
      </c>
      <c r="G3317" s="4" t="s">
        <v>6651</v>
      </c>
      <c r="H3317" s="4" t="s">
        <v>49</v>
      </c>
      <c r="I3317" s="4" t="s">
        <v>6005</v>
      </c>
      <c r="J3317" s="4" t="s">
        <v>78</v>
      </c>
      <c r="K3317" s="5" t="str">
        <f>HYPERLINK("https://media.licdn.com/dms/image/v2/D4E22AQFhn0zmfk9_FQ/feedshare-shrink_1280/B4EZwvtxd0JYAo-/0/1770327056002?e=2147483647&amp;v=beta&amp;t=qA9_TzFt9dvRS_5HjP0bbenaXJm7wB41sU1YDUQS_yE","View Creative")</f>
        <v>View Creative</v>
      </c>
      <c r="L3317" s="4" t="s">
        <v>106</v>
      </c>
      <c r="M3317" s="4" t="s">
        <v>5965</v>
      </c>
      <c r="O3317" s="4" t="s">
        <v>63</v>
      </c>
      <c r="P3317" s="4" t="s">
        <v>64</v>
      </c>
    </row>
    <row r="3318">
      <c r="A3318" s="4" t="s">
        <v>5965</v>
      </c>
      <c r="B3318" s="4" t="s">
        <v>5965</v>
      </c>
      <c r="C3318" s="4">
        <v>1707.0</v>
      </c>
      <c r="D3318" s="5" t="str">
        <f>HYPERLINK("https://www.linkedin.com/ad-library/detail/1133185954","Open Ad")</f>
        <v>Open Ad</v>
      </c>
      <c r="E3318" s="4" t="s">
        <v>78</v>
      </c>
      <c r="F3318" s="4" t="s">
        <v>54</v>
      </c>
      <c r="G3318" s="4" t="s">
        <v>6652</v>
      </c>
      <c r="H3318" s="4" t="s">
        <v>49</v>
      </c>
      <c r="I3318" s="4" t="s">
        <v>6005</v>
      </c>
      <c r="J3318" s="4" t="s">
        <v>78</v>
      </c>
      <c r="K3318" s="5" t="str">
        <f>HYPERLINK("https://media.licdn.com/dms/image/v2/D4E10AQE0zsNqT0YGaQ/image-shrink_1280/B4EZv65CXGKYAg-/0/1769440815038?e=2147483647&amp;v=beta&amp;t=GmpzxeHlyLaTRFDq9r81RMVfETj97b_IkNXKVkw18l8","View Creative")</f>
        <v>View Creative</v>
      </c>
      <c r="L3318" s="4" t="s">
        <v>106</v>
      </c>
      <c r="M3318" s="4" t="s">
        <v>5965</v>
      </c>
      <c r="O3318" s="4" t="s">
        <v>63</v>
      </c>
      <c r="P3318" s="4" t="s">
        <v>64</v>
      </c>
    </row>
    <row r="3319">
      <c r="A3319" s="4" t="s">
        <v>5965</v>
      </c>
      <c r="B3319" s="4" t="s">
        <v>5965</v>
      </c>
      <c r="C3319" s="4">
        <v>1708.0</v>
      </c>
      <c r="D3319" s="5" t="str">
        <f>HYPERLINK("https://www.linkedin.com/ad-library/detail/1063324026","Open Ad")</f>
        <v>Open Ad</v>
      </c>
      <c r="E3319" s="4" t="s">
        <v>78</v>
      </c>
      <c r="F3319" s="4" t="s">
        <v>54</v>
      </c>
      <c r="G3319" s="4" t="s">
        <v>6653</v>
      </c>
      <c r="H3319" s="4" t="s">
        <v>49</v>
      </c>
      <c r="I3319" s="4" t="s">
        <v>6005</v>
      </c>
      <c r="J3319" s="4" t="s">
        <v>78</v>
      </c>
      <c r="K3319" s="5" t="str">
        <f t="shared" ref="K3319:K3321" si="181">HYPERLINK("https://media.licdn.com/dms/image/v2/D4E22AQF2T21gSA94tg/feedshare-shrink_1280/B4EZwknhU6HoAc-/0/1770140867610?e=2147483647&amp;v=beta&amp;t=L9setBOyJT6VOicNf54YmaWqmulUBSKVJyMYTwpN3rU","View Creative")</f>
        <v>View Creative</v>
      </c>
      <c r="L3319" s="4" t="s">
        <v>106</v>
      </c>
      <c r="M3319" s="4" t="s">
        <v>5965</v>
      </c>
      <c r="O3319" s="4" t="s">
        <v>63</v>
      </c>
      <c r="P3319" s="4" t="s">
        <v>64</v>
      </c>
    </row>
    <row r="3320">
      <c r="A3320" s="4" t="s">
        <v>5965</v>
      </c>
      <c r="B3320" s="4" t="s">
        <v>5965</v>
      </c>
      <c r="C3320" s="4">
        <v>1709.0</v>
      </c>
      <c r="D3320" s="5" t="str">
        <f>HYPERLINK("https://www.linkedin.com/ad-library/detail/1063625006","Open Ad")</f>
        <v>Open Ad</v>
      </c>
      <c r="E3320" s="4" t="s">
        <v>78</v>
      </c>
      <c r="F3320" s="4" t="s">
        <v>54</v>
      </c>
      <c r="G3320" s="4" t="s">
        <v>6653</v>
      </c>
      <c r="H3320" s="4" t="s">
        <v>49</v>
      </c>
      <c r="I3320" s="4" t="s">
        <v>6005</v>
      </c>
      <c r="J3320" s="4" t="s">
        <v>78</v>
      </c>
      <c r="K3320" s="5" t="str">
        <f t="shared" si="181"/>
        <v>View Creative</v>
      </c>
      <c r="L3320" s="4" t="s">
        <v>106</v>
      </c>
      <c r="M3320" s="4" t="s">
        <v>5965</v>
      </c>
      <c r="O3320" s="4" t="s">
        <v>63</v>
      </c>
      <c r="P3320" s="4" t="s">
        <v>64</v>
      </c>
    </row>
    <row r="3321">
      <c r="A3321" s="4" t="s">
        <v>5965</v>
      </c>
      <c r="B3321" s="4" t="s">
        <v>5965</v>
      </c>
      <c r="C3321" s="4">
        <v>1710.0</v>
      </c>
      <c r="D3321" s="5" t="str">
        <f>HYPERLINK("https://www.linkedin.com/ad-library/detail/1065880496","Open Ad")</f>
        <v>Open Ad</v>
      </c>
      <c r="E3321" s="4" t="s">
        <v>78</v>
      </c>
      <c r="F3321" s="4" t="s">
        <v>54</v>
      </c>
      <c r="G3321" s="4" t="s">
        <v>6653</v>
      </c>
      <c r="H3321" s="4" t="s">
        <v>49</v>
      </c>
      <c r="I3321" s="4" t="s">
        <v>6005</v>
      </c>
      <c r="J3321" s="4" t="s">
        <v>78</v>
      </c>
      <c r="K3321" s="5" t="str">
        <f t="shared" si="181"/>
        <v>View Creative</v>
      </c>
      <c r="L3321" s="4" t="s">
        <v>106</v>
      </c>
      <c r="M3321" s="4" t="s">
        <v>5965</v>
      </c>
      <c r="O3321" s="4" t="s">
        <v>63</v>
      </c>
      <c r="P3321" s="4" t="s">
        <v>64</v>
      </c>
    </row>
    <row r="3322">
      <c r="A3322" s="4" t="s">
        <v>5965</v>
      </c>
      <c r="B3322" s="4" t="s">
        <v>5965</v>
      </c>
      <c r="C3322" s="4">
        <v>1711.0</v>
      </c>
      <c r="D3322" s="5" t="str">
        <f>HYPERLINK("https://www.linkedin.com/ad-library/detail/1059516586","Open Ad")</f>
        <v>Open Ad</v>
      </c>
      <c r="E3322" s="4" t="s">
        <v>121</v>
      </c>
      <c r="F3322" s="4" t="s">
        <v>54</v>
      </c>
      <c r="G3322" s="4" t="s">
        <v>6654</v>
      </c>
      <c r="H3322" s="4" t="s">
        <v>49</v>
      </c>
      <c r="I3322" s="4" t="s">
        <v>6005</v>
      </c>
      <c r="J3322" s="4" t="s">
        <v>121</v>
      </c>
      <c r="K3322" s="5" t="str">
        <f>HYPERLINK("https://dms.licdn.com/playlist/vid/v2/D4D05AQETr2QzRyu-OQ/mp4-720p-30fp-crf28/B4DZwLiCx7I8CI-/0/1769720005892?e=2147483647&amp;v=beta&amp;t=SCmUDOpPNyffVP67iEgf3VLSnGMzu0y4E5CLWlFwN5o","View Creative")</f>
        <v>View Creative</v>
      </c>
      <c r="L3322" s="4" t="s">
        <v>106</v>
      </c>
      <c r="M3322" s="4" t="s">
        <v>5965</v>
      </c>
      <c r="O3322" s="4" t="s">
        <v>63</v>
      </c>
      <c r="P3322" s="4" t="s">
        <v>64</v>
      </c>
    </row>
    <row r="3323">
      <c r="A3323" s="4" t="s">
        <v>5965</v>
      </c>
      <c r="B3323" s="4" t="s">
        <v>5965</v>
      </c>
      <c r="C3323" s="4">
        <v>1712.0</v>
      </c>
      <c r="D3323" s="5" t="str">
        <f>HYPERLINK("https://www.linkedin.com/ad-library/detail/1051639906","Open Ad")</f>
        <v>Open Ad</v>
      </c>
      <c r="E3323" s="4" t="s">
        <v>78</v>
      </c>
      <c r="F3323" s="4" t="s">
        <v>54</v>
      </c>
      <c r="G3323" s="4" t="s">
        <v>6550</v>
      </c>
      <c r="H3323" s="4" t="s">
        <v>49</v>
      </c>
      <c r="I3323" s="4" t="s">
        <v>6005</v>
      </c>
      <c r="J3323" s="4" t="s">
        <v>78</v>
      </c>
      <c r="K3323" s="5" t="str">
        <f>HYPERLINK("https://media.licdn.com/dms/image/v2/D4E10AQHdbrM3G0dcfA/image-shrink_1280/B4EZvmBd80GsAc-/0/1769090704089?e=2147483647&amp;v=beta&amp;t=dlO5yfiP1MV6jnBsM651Qg2abmJfMecqFy-8C9PrRFA","View Creative")</f>
        <v>View Creative</v>
      </c>
      <c r="L3323" s="4" t="s">
        <v>106</v>
      </c>
      <c r="M3323" s="4" t="s">
        <v>5965</v>
      </c>
      <c r="O3323" s="4" t="s">
        <v>63</v>
      </c>
      <c r="P3323" s="4" t="s">
        <v>64</v>
      </c>
    </row>
    <row r="3324">
      <c r="A3324" s="4" t="s">
        <v>5965</v>
      </c>
      <c r="B3324" s="4" t="s">
        <v>5965</v>
      </c>
      <c r="C3324" s="4">
        <v>1713.0</v>
      </c>
      <c r="D3324" s="5" t="str">
        <f>HYPERLINK("https://www.linkedin.com/ad-library/detail/1052610796","Open Ad")</f>
        <v>Open Ad</v>
      </c>
      <c r="E3324" s="4" t="s">
        <v>78</v>
      </c>
      <c r="F3324" s="4" t="s">
        <v>54</v>
      </c>
      <c r="G3324" s="4" t="s">
        <v>6655</v>
      </c>
      <c r="H3324" s="4" t="s">
        <v>49</v>
      </c>
      <c r="I3324" s="4" t="s">
        <v>6005</v>
      </c>
      <c r="J3324" s="4" t="s">
        <v>78</v>
      </c>
      <c r="K3324" s="5" t="str">
        <f>HYPERLINK("https://media.licdn.com/dms/image/v2/D4E10AQENXDW58D0pMw/image-shrink_1280/B4EZvsPijkKgAc-/0/1769195055784?e=2147483647&amp;v=beta&amp;t=yuW_x9goTnBSuCjQkni8-geTyegE0mo5YidKApSK_aU","View Creative")</f>
        <v>View Creative</v>
      </c>
      <c r="L3324" s="4" t="s">
        <v>106</v>
      </c>
      <c r="M3324" s="4" t="s">
        <v>5965</v>
      </c>
      <c r="O3324" s="4" t="s">
        <v>63</v>
      </c>
      <c r="P3324" s="4" t="s">
        <v>64</v>
      </c>
    </row>
    <row r="3325">
      <c r="A3325" s="4" t="s">
        <v>5965</v>
      </c>
      <c r="B3325" s="4" t="s">
        <v>5965</v>
      </c>
      <c r="C3325" s="4">
        <v>1714.0</v>
      </c>
      <c r="D3325" s="5" t="str">
        <f>HYPERLINK("https://www.linkedin.com/ad-library/detail/1058974246","Open Ad")</f>
        <v>Open Ad</v>
      </c>
      <c r="E3325" s="4" t="s">
        <v>121</v>
      </c>
      <c r="F3325" s="4" t="s">
        <v>54</v>
      </c>
      <c r="G3325" s="4" t="s">
        <v>6610</v>
      </c>
      <c r="H3325" s="4" t="s">
        <v>49</v>
      </c>
      <c r="I3325" s="4" t="s">
        <v>6005</v>
      </c>
      <c r="J3325" s="4" t="s">
        <v>121</v>
      </c>
      <c r="K3325" s="5" t="str">
        <f>HYPERLINK("https://dms.licdn.com/playlist/vid/v2/D4E05AQGAOnplbh8hAw/mp4-720p-30fp-crf28/B4EZwQtYHkJ8CI-/0/1769806864428?e=2147483647&amp;v=beta&amp;t=3-UIWf1rDZw5tlZrHM0UonIMZWbkC01VTW3-pNMlJPE","View Creative")</f>
        <v>View Creative</v>
      </c>
      <c r="L3325" s="4" t="s">
        <v>106</v>
      </c>
      <c r="M3325" s="4" t="s">
        <v>5965</v>
      </c>
      <c r="O3325" s="4" t="s">
        <v>63</v>
      </c>
      <c r="P3325" s="4" t="s">
        <v>64</v>
      </c>
    </row>
    <row r="3326">
      <c r="A3326" s="4" t="s">
        <v>5965</v>
      </c>
      <c r="B3326" s="4" t="s">
        <v>5965</v>
      </c>
      <c r="C3326" s="4">
        <v>1715.0</v>
      </c>
      <c r="D3326" s="5" t="str">
        <f>HYPERLINK("https://www.linkedin.com/ad-library/detail/1053410576","Open Ad")</f>
        <v>Open Ad</v>
      </c>
      <c r="E3326" s="4" t="s">
        <v>78</v>
      </c>
      <c r="F3326" s="4" t="s">
        <v>54</v>
      </c>
      <c r="G3326" s="4" t="s">
        <v>6655</v>
      </c>
      <c r="H3326" s="4" t="s">
        <v>49</v>
      </c>
      <c r="I3326" s="4" t="s">
        <v>6005</v>
      </c>
      <c r="J3326" s="4" t="s">
        <v>78</v>
      </c>
      <c r="K3326" s="5" t="str">
        <f>HYPERLINK("https://media.licdn.com/dms/image/v2/D4E10AQENXDW58D0pMw/image-shrink_1280/B4EZvsPijkKgAc-/0/1769195055784?e=2147483647&amp;v=beta&amp;t=yuW_x9goTnBSuCjQkni8-geTyegE0mo5YidKApSK_aU","View Creative")</f>
        <v>View Creative</v>
      </c>
      <c r="L3326" s="4" t="s">
        <v>106</v>
      </c>
      <c r="M3326" s="4" t="s">
        <v>5965</v>
      </c>
      <c r="O3326" s="4" t="s">
        <v>63</v>
      </c>
      <c r="P3326" s="4" t="s">
        <v>64</v>
      </c>
    </row>
    <row r="3327">
      <c r="A3327" s="4" t="s">
        <v>5965</v>
      </c>
      <c r="B3327" s="4" t="s">
        <v>5965</v>
      </c>
      <c r="C3327" s="4">
        <v>1716.0</v>
      </c>
      <c r="D3327" s="5" t="str">
        <f>HYPERLINK("https://www.linkedin.com/ad-library/detail/1064825396","Open Ad")</f>
        <v>Open Ad</v>
      </c>
      <c r="E3327" s="4" t="s">
        <v>78</v>
      </c>
      <c r="F3327" s="4" t="s">
        <v>54</v>
      </c>
      <c r="G3327" s="4" t="s">
        <v>6653</v>
      </c>
      <c r="H3327" s="4" t="s">
        <v>49</v>
      </c>
      <c r="I3327" s="4" t="s">
        <v>6005</v>
      </c>
      <c r="J3327" s="4" t="s">
        <v>78</v>
      </c>
      <c r="K3327" s="5" t="str">
        <f>HYPERLINK("https://media.licdn.com/dms/image/v2/D4E22AQF2T21gSA94tg/feedshare-shrink_1280/B4EZwknhU6HoAc-/0/1770140867610?e=2147483647&amp;v=beta&amp;t=L9setBOyJT6VOicNf54YmaWqmulUBSKVJyMYTwpN3rU","View Creative")</f>
        <v>View Creative</v>
      </c>
      <c r="L3327" s="4" t="s">
        <v>106</v>
      </c>
      <c r="M3327" s="4" t="s">
        <v>5965</v>
      </c>
      <c r="O3327" s="4" t="s">
        <v>63</v>
      </c>
      <c r="P3327" s="4" t="s">
        <v>64</v>
      </c>
    </row>
    <row r="3328">
      <c r="A3328" s="4" t="s">
        <v>5965</v>
      </c>
      <c r="B3328" s="4" t="s">
        <v>5965</v>
      </c>
      <c r="C3328" s="4">
        <v>1717.0</v>
      </c>
      <c r="D3328" s="5" t="str">
        <f>HYPERLINK("https://www.linkedin.com/ad-library/detail/1068086256","Open Ad")</f>
        <v>Open Ad</v>
      </c>
      <c r="E3328" s="4" t="s">
        <v>78</v>
      </c>
      <c r="F3328" s="4" t="s">
        <v>54</v>
      </c>
      <c r="G3328" s="4" t="s">
        <v>6656</v>
      </c>
      <c r="H3328" s="4" t="s">
        <v>49</v>
      </c>
      <c r="I3328" s="4" t="s">
        <v>6005</v>
      </c>
      <c r="J3328" s="4" t="s">
        <v>78</v>
      </c>
      <c r="K3328" s="5" t="str">
        <f>HYPERLINK("https://media.licdn.com/dms/image/v2/D4D22AQFYV76QG5CnmQ/feedshare-shrink_1280/B4DZwpXbJmJ8Ag-/0/1770220532793?e=2147483647&amp;v=beta&amp;t=m3toCdHiddzJqX5jljiyPJxJMalndn7l_Uh9ROLF1hQ","View Creative")</f>
        <v>View Creative</v>
      </c>
      <c r="L3328" s="4" t="s">
        <v>106</v>
      </c>
      <c r="M3328" s="4" t="s">
        <v>5965</v>
      </c>
      <c r="O3328" s="4" t="s">
        <v>63</v>
      </c>
      <c r="P3328" s="4" t="s">
        <v>64</v>
      </c>
    </row>
    <row r="3329">
      <c r="A3329" s="4" t="s">
        <v>5965</v>
      </c>
      <c r="B3329" s="4" t="s">
        <v>5965</v>
      </c>
      <c r="C3329" s="4">
        <v>1718.0</v>
      </c>
      <c r="D3329" s="5" t="str">
        <f>HYPERLINK("https://www.linkedin.com/ad-library/detail/1064681986","Open Ad")</f>
        <v>Open Ad</v>
      </c>
      <c r="E3329" s="4" t="s">
        <v>121</v>
      </c>
      <c r="F3329" s="4" t="s">
        <v>54</v>
      </c>
      <c r="G3329" s="4" t="s">
        <v>6657</v>
      </c>
      <c r="H3329" s="4" t="s">
        <v>49</v>
      </c>
      <c r="I3329" s="4" t="s">
        <v>6005</v>
      </c>
      <c r="J3329" s="4" t="s">
        <v>121</v>
      </c>
      <c r="K3329" s="5" t="str">
        <f>HYPERLINK("https://dms.licdn.com/playlist/vid/v2/D4E05AQG9VPioqjw3Fg/mp4-640p-30fp-crf28/B4EZwPcgJ7IMBw-/0/1769785665794?e=2147483647&amp;v=beta&amp;t=vf6LWk_3XlKTRmhD5ypXrURYcExMyuannvorq9Sf0Mc","View Creative")</f>
        <v>View Creative</v>
      </c>
      <c r="L3329" s="4" t="s">
        <v>106</v>
      </c>
      <c r="M3329" s="4" t="s">
        <v>5965</v>
      </c>
      <c r="O3329" s="4" t="s">
        <v>63</v>
      </c>
      <c r="P3329" s="4" t="s">
        <v>64</v>
      </c>
    </row>
    <row r="3330">
      <c r="A3330" s="4" t="s">
        <v>5965</v>
      </c>
      <c r="B3330" s="4" t="s">
        <v>5965</v>
      </c>
      <c r="C3330" s="4">
        <v>1719.0</v>
      </c>
      <c r="D3330" s="5" t="str">
        <f>HYPERLINK("https://www.linkedin.com/ad-library/detail/1059597256","Open Ad")</f>
        <v>Open Ad</v>
      </c>
      <c r="E3330" s="4" t="s">
        <v>121</v>
      </c>
      <c r="F3330" s="4" t="s">
        <v>54</v>
      </c>
      <c r="G3330" s="4" t="s">
        <v>6654</v>
      </c>
      <c r="H3330" s="4" t="s">
        <v>49</v>
      </c>
      <c r="I3330" s="4" t="s">
        <v>6005</v>
      </c>
      <c r="J3330" s="4" t="s">
        <v>121</v>
      </c>
      <c r="K3330" s="5" t="str">
        <f>HYPERLINK("https://dms.licdn.com/playlist/vid/v2/D4D05AQETr2QzRyu-OQ/mp4-720p-30fp-crf28/B4DZwLiCx7I8CI-/0/1769720005892?e=2147483647&amp;v=beta&amp;t=SCmUDOpPNyffVP67iEgf3VLSnGMzu0y4E5CLWlFwN5o","View Creative")</f>
        <v>View Creative</v>
      </c>
      <c r="L3330" s="4" t="s">
        <v>106</v>
      </c>
      <c r="M3330" s="4" t="s">
        <v>5965</v>
      </c>
      <c r="O3330" s="4" t="s">
        <v>63</v>
      </c>
      <c r="P3330" s="4" t="s">
        <v>64</v>
      </c>
    </row>
    <row r="3331">
      <c r="A3331" s="4" t="s">
        <v>5965</v>
      </c>
      <c r="B3331" s="4" t="s">
        <v>5965</v>
      </c>
      <c r="C3331" s="4">
        <v>1720.0</v>
      </c>
      <c r="D3331" s="5" t="str">
        <f>HYPERLINK("https://www.linkedin.com/ad-library/detail/1068404726","Open Ad")</f>
        <v>Open Ad</v>
      </c>
      <c r="E3331" s="4" t="s">
        <v>78</v>
      </c>
      <c r="F3331" s="4" t="s">
        <v>54</v>
      </c>
      <c r="G3331" s="4" t="s">
        <v>6651</v>
      </c>
      <c r="H3331" s="4" t="s">
        <v>49</v>
      </c>
      <c r="I3331" s="4" t="s">
        <v>6005</v>
      </c>
      <c r="J3331" s="4" t="s">
        <v>78</v>
      </c>
      <c r="K3331" s="5" t="str">
        <f>HYPERLINK("https://media.licdn.com/dms/image/v2/D4E22AQFhn0zmfk9_FQ/feedshare-shrink_1280/B4EZwvtxd0JYAo-/0/1770327056002?e=2147483647&amp;v=beta&amp;t=qA9_TzFt9dvRS_5HjP0bbenaXJm7wB41sU1YDUQS_yE","View Creative")</f>
        <v>View Creative</v>
      </c>
      <c r="L3331" s="4" t="s">
        <v>106</v>
      </c>
      <c r="M3331" s="4" t="s">
        <v>5965</v>
      </c>
      <c r="O3331" s="4" t="s">
        <v>63</v>
      </c>
      <c r="P3331" s="4" t="s">
        <v>64</v>
      </c>
    </row>
    <row r="3332">
      <c r="A3332" s="4" t="s">
        <v>5965</v>
      </c>
      <c r="B3332" s="4" t="s">
        <v>5965</v>
      </c>
      <c r="C3332" s="4">
        <v>1721.0</v>
      </c>
      <c r="D3332" s="5" t="str">
        <f>HYPERLINK("https://www.linkedin.com/ad-library/detail/1065484246","Open Ad")</f>
        <v>Open Ad</v>
      </c>
      <c r="E3332" s="4" t="s">
        <v>78</v>
      </c>
      <c r="F3332" s="4" t="s">
        <v>54</v>
      </c>
      <c r="G3332" s="4" t="s">
        <v>6658</v>
      </c>
      <c r="H3332" s="4" t="s">
        <v>49</v>
      </c>
      <c r="I3332" s="4" t="s">
        <v>6005</v>
      </c>
      <c r="J3332" s="4" t="s">
        <v>78</v>
      </c>
      <c r="K3332" s="5" t="str">
        <f>HYPERLINK("https://media.licdn.com/dms/image/v2/D4E22AQEXI-KDGQUZ_A/feedshare-shrink_1280/B4EZwk9oDRIIAc-/0/1770146661146?e=2147483647&amp;v=beta&amp;t=ebEiq_3yT2olKYeypw5peMmUXFUyc3pTlQ59M0kjHqo","View Creative")</f>
        <v>View Creative</v>
      </c>
      <c r="L3332" s="4" t="s">
        <v>106</v>
      </c>
      <c r="M3332" s="4" t="s">
        <v>5965</v>
      </c>
      <c r="O3332" s="4" t="s">
        <v>63</v>
      </c>
      <c r="P3332" s="4" t="s">
        <v>64</v>
      </c>
    </row>
    <row r="3333">
      <c r="A3333" s="4" t="s">
        <v>5965</v>
      </c>
      <c r="B3333" s="4" t="s">
        <v>5965</v>
      </c>
      <c r="C3333" s="4">
        <v>1722.0</v>
      </c>
      <c r="D3333" s="5" t="str">
        <f>HYPERLINK("https://www.linkedin.com/ad-library/detail/1056304526","Open Ad")</f>
        <v>Open Ad</v>
      </c>
      <c r="E3333" s="4" t="s">
        <v>121</v>
      </c>
      <c r="F3333" s="4" t="s">
        <v>54</v>
      </c>
      <c r="G3333" s="4" t="s">
        <v>6650</v>
      </c>
      <c r="H3333" s="4" t="s">
        <v>49</v>
      </c>
      <c r="I3333" s="4" t="s">
        <v>6005</v>
      </c>
      <c r="J3333" s="4" t="s">
        <v>121</v>
      </c>
      <c r="K3333" s="5" t="str">
        <f>HYPERLINK("https://dms.licdn.com/playlist/vid/v2/D4E10AQFlG4d8rrDZ-Q/mp4-640p-30fp-crf28/B4EZwAfPQ2HsBs-/0/1769534723409?e=2147483647&amp;v=beta&amp;t=giK77Oa4XBDTRNHFAxFeKO7KXXvNKrb87qel5J-q29I","View Creative")</f>
        <v>View Creative</v>
      </c>
      <c r="L3333" s="4" t="s">
        <v>106</v>
      </c>
      <c r="M3333" s="4" t="s">
        <v>5965</v>
      </c>
      <c r="O3333" s="4" t="s">
        <v>63</v>
      </c>
      <c r="P3333" s="4" t="s">
        <v>64</v>
      </c>
    </row>
    <row r="3334">
      <c r="A3334" s="4" t="s">
        <v>5965</v>
      </c>
      <c r="B3334" s="4" t="s">
        <v>5965</v>
      </c>
      <c r="C3334" s="4">
        <v>1723.0</v>
      </c>
      <c r="D3334" s="5" t="str">
        <f>HYPERLINK("https://www.linkedin.com/ad-library/detail/1139382524","Open Ad")</f>
        <v>Open Ad</v>
      </c>
      <c r="E3334" s="4" t="s">
        <v>5970</v>
      </c>
      <c r="F3334" s="4" t="s">
        <v>54</v>
      </c>
      <c r="G3334" s="4" t="s">
        <v>6607</v>
      </c>
      <c r="H3334" s="4" t="s">
        <v>49</v>
      </c>
      <c r="I3334" s="4" t="s">
        <v>6005</v>
      </c>
      <c r="J3334" s="4" t="s">
        <v>5973</v>
      </c>
      <c r="K3334" s="4" t="s">
        <v>59</v>
      </c>
      <c r="L3334" s="4" t="s">
        <v>106</v>
      </c>
      <c r="M3334" s="4" t="s">
        <v>5965</v>
      </c>
      <c r="O3334" s="4" t="s">
        <v>63</v>
      </c>
      <c r="P3334" s="4" t="s">
        <v>64</v>
      </c>
    </row>
    <row r="3335">
      <c r="A3335" s="4" t="s">
        <v>5965</v>
      </c>
      <c r="B3335" s="4" t="s">
        <v>5965</v>
      </c>
      <c r="C3335" s="4">
        <v>1724.0</v>
      </c>
      <c r="D3335" s="5" t="str">
        <f>HYPERLINK("https://www.linkedin.com/ad-library/detail/1052810676","Open Ad")</f>
        <v>Open Ad</v>
      </c>
      <c r="E3335" s="4" t="s">
        <v>5970</v>
      </c>
      <c r="F3335" s="4" t="s">
        <v>54</v>
      </c>
      <c r="G3335" s="4" t="s">
        <v>6659</v>
      </c>
      <c r="H3335" s="4" t="s">
        <v>49</v>
      </c>
      <c r="I3335" s="4" t="s">
        <v>6005</v>
      </c>
      <c r="J3335" s="4" t="s">
        <v>5973</v>
      </c>
      <c r="K3335" s="4" t="s">
        <v>59</v>
      </c>
      <c r="L3335" s="4" t="s">
        <v>106</v>
      </c>
      <c r="M3335" s="4" t="s">
        <v>5965</v>
      </c>
      <c r="O3335" s="4" t="s">
        <v>63</v>
      </c>
      <c r="P3335" s="4" t="s">
        <v>64</v>
      </c>
    </row>
    <row r="3336">
      <c r="A3336" s="4" t="s">
        <v>5965</v>
      </c>
      <c r="B3336" s="4" t="s">
        <v>5965</v>
      </c>
      <c r="C3336" s="4">
        <v>1725.0</v>
      </c>
      <c r="D3336" s="5" t="str">
        <f>HYPERLINK("https://www.linkedin.com/ad-library/detail/1139336494","Open Ad")</f>
        <v>Open Ad</v>
      </c>
      <c r="E3336" s="4" t="s">
        <v>78</v>
      </c>
      <c r="F3336" s="4" t="s">
        <v>54</v>
      </c>
      <c r="G3336" s="4" t="s">
        <v>6458</v>
      </c>
      <c r="H3336" s="4" t="s">
        <v>49</v>
      </c>
      <c r="I3336" s="4" t="s">
        <v>6005</v>
      </c>
      <c r="J3336" s="4" t="s">
        <v>78</v>
      </c>
      <c r="K3336" s="5" t="str">
        <f>HYPERLINK("https://media.licdn.com/dms/image/v2/D4E10AQGFNQod3_uzbw/image_627_1200/B4DZwmN._pIAAg-/0/1770167726234/LinkedInAdFeb2026jpg?e=2147483647&amp;v=beta&amp;t=43kHJ9rU3AQbInWsIIeEMoUoZKR1eKKl1nAWIAbmCVo","View Creative")</f>
        <v>View Creative</v>
      </c>
      <c r="L3336" s="4" t="s">
        <v>106</v>
      </c>
      <c r="M3336" s="4" t="s">
        <v>5965</v>
      </c>
      <c r="O3336" s="4" t="s">
        <v>63</v>
      </c>
      <c r="P3336" s="4" t="s">
        <v>64</v>
      </c>
    </row>
    <row r="3337">
      <c r="A3337" s="4" t="s">
        <v>5965</v>
      </c>
      <c r="B3337" s="4" t="s">
        <v>5965</v>
      </c>
      <c r="C3337" s="4">
        <v>1726.0</v>
      </c>
      <c r="D3337" s="5" t="str">
        <f>HYPERLINK("https://www.linkedin.com/ad-library/detail/1166998473","Open Ad")</f>
        <v>Open Ad</v>
      </c>
      <c r="E3337" s="4" t="s">
        <v>78</v>
      </c>
      <c r="F3337" s="4" t="s">
        <v>54</v>
      </c>
      <c r="G3337" s="4" t="s">
        <v>6660</v>
      </c>
      <c r="H3337" s="4" t="s">
        <v>49</v>
      </c>
      <c r="I3337" s="4" t="s">
        <v>6005</v>
      </c>
      <c r="J3337" s="4" t="s">
        <v>78</v>
      </c>
      <c r="K3337" s="5" t="str">
        <f>HYPERLINK("https://media.licdn.com/dms/image/v2/D4D10AQEgOVb1lomxkg/image-shrink_1280/B4DZwU0LBLJcAc-/0/1769875747188/WhatsAppImage2026-01-29at100910PMjpeg?e=2147483647&amp;v=beta&amp;t=dfIFZn7hDWICL2GTKb_M8QC5YmQBgf3LoYTxzdtUawg","View Creative")</f>
        <v>View Creative</v>
      </c>
      <c r="L3337" s="4" t="s">
        <v>106</v>
      </c>
      <c r="M3337" s="4" t="s">
        <v>5965</v>
      </c>
      <c r="O3337" s="4" t="s">
        <v>63</v>
      </c>
      <c r="P3337" s="4" t="s">
        <v>64</v>
      </c>
    </row>
    <row r="3338">
      <c r="A3338" s="4" t="s">
        <v>5965</v>
      </c>
      <c r="B3338" s="4" t="s">
        <v>5965</v>
      </c>
      <c r="C3338" s="4">
        <v>1727.0</v>
      </c>
      <c r="D3338" s="5" t="str">
        <f>HYPERLINK("https://www.linkedin.com/ad-library/detail/1137982874","Open Ad")</f>
        <v>Open Ad</v>
      </c>
      <c r="E3338" s="4" t="s">
        <v>5970</v>
      </c>
      <c r="F3338" s="4" t="s">
        <v>54</v>
      </c>
      <c r="G3338" s="4" t="s">
        <v>6602</v>
      </c>
      <c r="H3338" s="4" t="s">
        <v>49</v>
      </c>
      <c r="I3338" s="4" t="s">
        <v>6005</v>
      </c>
      <c r="J3338" s="4" t="s">
        <v>5973</v>
      </c>
      <c r="K3338" s="4" t="s">
        <v>59</v>
      </c>
      <c r="L3338" s="4" t="s">
        <v>106</v>
      </c>
      <c r="M3338" s="4" t="s">
        <v>5965</v>
      </c>
      <c r="O3338" s="4" t="s">
        <v>63</v>
      </c>
      <c r="P3338" s="4" t="s">
        <v>64</v>
      </c>
    </row>
    <row r="3339">
      <c r="A3339" s="4" t="s">
        <v>5965</v>
      </c>
      <c r="B3339" s="4" t="s">
        <v>5965</v>
      </c>
      <c r="C3339" s="4">
        <v>1728.0</v>
      </c>
      <c r="D3339" s="5" t="str">
        <f>HYPERLINK("https://www.linkedin.com/ad-library/detail/1058503716","Open Ad")</f>
        <v>Open Ad</v>
      </c>
      <c r="E3339" s="4" t="s">
        <v>121</v>
      </c>
      <c r="F3339" s="4" t="s">
        <v>54</v>
      </c>
      <c r="G3339" s="4" t="s">
        <v>6650</v>
      </c>
      <c r="H3339" s="4" t="s">
        <v>49</v>
      </c>
      <c r="I3339" s="4" t="s">
        <v>6005</v>
      </c>
      <c r="J3339" s="4" t="s">
        <v>121</v>
      </c>
      <c r="K3339" s="5" t="str">
        <f>HYPERLINK("https://dms.licdn.com/playlist/vid/v2/D4E10AQFlG4d8rrDZ-Q/mp4-640p-30fp-crf28/B4EZwAfPQ2HsBs-/0/1769534723409?e=2147483647&amp;v=beta&amp;t=giK77Oa4XBDTRNHFAxFeKO7KXXvNKrb87qel5J-q29I","View Creative")</f>
        <v>View Creative</v>
      </c>
      <c r="L3339" s="4" t="s">
        <v>106</v>
      </c>
      <c r="M3339" s="4" t="s">
        <v>5965</v>
      </c>
      <c r="O3339" s="4" t="s">
        <v>63</v>
      </c>
      <c r="P3339" s="4" t="s">
        <v>64</v>
      </c>
    </row>
    <row r="3340">
      <c r="A3340" s="4" t="s">
        <v>5965</v>
      </c>
      <c r="B3340" s="4" t="s">
        <v>5965</v>
      </c>
      <c r="C3340" s="4">
        <v>1729.0</v>
      </c>
      <c r="D3340" s="5" t="str">
        <f>HYPERLINK("https://www.linkedin.com/ad-library/detail/1048783436","Open Ad")</f>
        <v>Open Ad</v>
      </c>
      <c r="E3340" s="4" t="s">
        <v>121</v>
      </c>
      <c r="F3340" s="4" t="s">
        <v>54</v>
      </c>
      <c r="G3340" s="4" t="s">
        <v>6661</v>
      </c>
      <c r="H3340" s="4" t="s">
        <v>49</v>
      </c>
      <c r="I3340" s="4" t="s">
        <v>6005</v>
      </c>
      <c r="J3340" s="4" t="s">
        <v>121</v>
      </c>
      <c r="K3340" s="5" t="str">
        <f>HYPERLINK("https://dms.licdn.com/playlist/vid/v2/D4E05AQHyk4x1-Kyh_Q/mp4-720p-30fp-crf28/B4EZvONefdKkCE-/0/1768691209240?e=2147483647&amp;v=beta&amp;t=7Ff_PXOJ4jFBCh9hcVO5qkwepEhaVfGJB6BWL8TsnXE","View Creative")</f>
        <v>View Creative</v>
      </c>
      <c r="L3340" s="4" t="s">
        <v>106</v>
      </c>
      <c r="M3340" s="4" t="s">
        <v>5965</v>
      </c>
      <c r="O3340" s="4" t="s">
        <v>63</v>
      </c>
      <c r="P3340" s="4" t="s">
        <v>64</v>
      </c>
    </row>
    <row r="3341">
      <c r="A3341" s="4" t="s">
        <v>5965</v>
      </c>
      <c r="B3341" s="4" t="s">
        <v>5965</v>
      </c>
      <c r="C3341" s="4">
        <v>1730.0</v>
      </c>
      <c r="D3341" s="5" t="str">
        <f>HYPERLINK("https://www.linkedin.com/ad-library/detail/1049648266","Open Ad")</f>
        <v>Open Ad</v>
      </c>
      <c r="E3341" s="4" t="s">
        <v>78</v>
      </c>
      <c r="F3341" s="4" t="s">
        <v>54</v>
      </c>
      <c r="G3341" s="4" t="s">
        <v>6550</v>
      </c>
      <c r="H3341" s="4" t="s">
        <v>49</v>
      </c>
      <c r="I3341" s="4" t="s">
        <v>6005</v>
      </c>
      <c r="J3341" s="4" t="s">
        <v>78</v>
      </c>
      <c r="K3341" s="5" t="str">
        <f>HYPERLINK("https://media.licdn.com/dms/image/v2/D4E10AQHdbrM3G0dcfA/image-shrink_1280/B4EZvmBd80GsAc-/0/1769090704089?e=2147483647&amp;v=beta&amp;t=dlO5yfiP1MV6jnBsM651Qg2abmJfMecqFy-8C9PrRFA","View Creative")</f>
        <v>View Creative</v>
      </c>
      <c r="L3341" s="4" t="s">
        <v>106</v>
      </c>
      <c r="M3341" s="4" t="s">
        <v>5965</v>
      </c>
      <c r="O3341" s="4" t="s">
        <v>63</v>
      </c>
      <c r="P3341" s="4" t="s">
        <v>64</v>
      </c>
    </row>
    <row r="3342">
      <c r="A3342" s="4" t="s">
        <v>5965</v>
      </c>
      <c r="B3342" s="4" t="s">
        <v>5965</v>
      </c>
      <c r="C3342" s="4">
        <v>1731.0</v>
      </c>
      <c r="D3342" s="5" t="str">
        <f>HYPERLINK("https://www.linkedin.com/ad-library/detail/1038382476","Open Ad")</f>
        <v>Open Ad</v>
      </c>
      <c r="E3342" s="4" t="s">
        <v>5970</v>
      </c>
      <c r="F3342" s="4" t="s">
        <v>54</v>
      </c>
      <c r="G3342" s="4" t="s">
        <v>6602</v>
      </c>
      <c r="H3342" s="4" t="s">
        <v>49</v>
      </c>
      <c r="I3342" s="4" t="s">
        <v>6005</v>
      </c>
      <c r="J3342" s="4" t="s">
        <v>5973</v>
      </c>
      <c r="K3342" s="4" t="s">
        <v>59</v>
      </c>
      <c r="L3342" s="4" t="s">
        <v>106</v>
      </c>
      <c r="M3342" s="4" t="s">
        <v>5965</v>
      </c>
      <c r="O3342" s="4" t="s">
        <v>63</v>
      </c>
      <c r="P3342" s="4" t="s">
        <v>64</v>
      </c>
    </row>
    <row r="3343">
      <c r="A3343" s="4" t="s">
        <v>5965</v>
      </c>
      <c r="B3343" s="4" t="s">
        <v>5965</v>
      </c>
      <c r="C3343" s="4">
        <v>1732.0</v>
      </c>
      <c r="D3343" s="5" t="str">
        <f>HYPERLINK("https://www.linkedin.com/ad-library/detail/1027166146","Open Ad")</f>
        <v>Open Ad</v>
      </c>
      <c r="E3343" s="4" t="s">
        <v>78</v>
      </c>
      <c r="F3343" s="4" t="s">
        <v>54</v>
      </c>
      <c r="G3343" s="4" t="s">
        <v>6662</v>
      </c>
      <c r="H3343" s="4" t="s">
        <v>49</v>
      </c>
      <c r="I3343" s="4" t="s">
        <v>6005</v>
      </c>
      <c r="J3343" s="4" t="s">
        <v>78</v>
      </c>
      <c r="K3343" s="5" t="str">
        <f>HYPERLINK("https://media.licdn.com/dms/image/v2/D4E10AQHbIaVHcKJVJQ/image-shrink_1280/B4EZuyyuyIJEAg-/0/1768231203459?e=2147483647&amp;v=beta&amp;t=bC88HLz9u3vafjZ_5_5WZAF0Oj0yROwqacDKoPzpFig","View Creative")</f>
        <v>View Creative</v>
      </c>
      <c r="L3343" s="4" t="s">
        <v>106</v>
      </c>
      <c r="M3343" s="4" t="s">
        <v>5965</v>
      </c>
      <c r="O3343" s="4" t="s">
        <v>63</v>
      </c>
      <c r="P3343" s="4" t="s">
        <v>64</v>
      </c>
    </row>
    <row r="3344">
      <c r="A3344" s="4" t="s">
        <v>5965</v>
      </c>
      <c r="B3344" s="4" t="s">
        <v>5965</v>
      </c>
      <c r="C3344" s="4">
        <v>1733.0</v>
      </c>
      <c r="D3344" s="5" t="str">
        <f>HYPERLINK("https://www.linkedin.com/ad-library/detail/1022681156","Open Ad")</f>
        <v>Open Ad</v>
      </c>
      <c r="E3344" s="4" t="s">
        <v>78</v>
      </c>
      <c r="F3344" s="4" t="s">
        <v>54</v>
      </c>
      <c r="G3344" s="4" t="s">
        <v>6612</v>
      </c>
      <c r="H3344" s="4" t="s">
        <v>49</v>
      </c>
      <c r="I3344" s="4" t="s">
        <v>6005</v>
      </c>
      <c r="J3344" s="4" t="s">
        <v>78</v>
      </c>
      <c r="K3344" s="5" t="str">
        <f>HYPERLINK("https://media.licdn.com/dms/image/v2/D4E22AQGSTukpFdZDmw/feedshare-shrink_1280/B4EZud_VF7K8As-/0/1767882183787?e=2147483647&amp;v=beta&amp;t=FCfv5eRdq1jL7SmRWSLlJuRvnvLS1FLmcswXIV-lxPA","View Creative")</f>
        <v>View Creative</v>
      </c>
      <c r="L3344" s="4" t="s">
        <v>106</v>
      </c>
      <c r="M3344" s="4" t="s">
        <v>5965</v>
      </c>
      <c r="O3344" s="4" t="s">
        <v>63</v>
      </c>
      <c r="P3344" s="4" t="s">
        <v>64</v>
      </c>
    </row>
    <row r="3345">
      <c r="A3345" s="4" t="s">
        <v>5965</v>
      </c>
      <c r="B3345" s="4" t="s">
        <v>5965</v>
      </c>
      <c r="C3345" s="4">
        <v>1734.0</v>
      </c>
      <c r="D3345" s="5" t="str">
        <f>HYPERLINK("https://www.linkedin.com/ad-library/detail/1037040256","Open Ad")</f>
        <v>Open Ad</v>
      </c>
      <c r="E3345" s="4" t="s">
        <v>5970</v>
      </c>
      <c r="F3345" s="4" t="s">
        <v>54</v>
      </c>
      <c r="G3345" s="4" t="s">
        <v>6523</v>
      </c>
      <c r="H3345" s="4" t="s">
        <v>49</v>
      </c>
      <c r="I3345" s="4" t="s">
        <v>6005</v>
      </c>
      <c r="J3345" s="4" t="s">
        <v>5973</v>
      </c>
      <c r="K3345" s="4" t="s">
        <v>59</v>
      </c>
      <c r="L3345" s="4" t="s">
        <v>106</v>
      </c>
      <c r="M3345" s="4" t="s">
        <v>5965</v>
      </c>
      <c r="O3345" s="4" t="s">
        <v>63</v>
      </c>
      <c r="P3345" s="4" t="s">
        <v>64</v>
      </c>
    </row>
    <row r="3346">
      <c r="A3346" s="4" t="s">
        <v>5965</v>
      </c>
      <c r="B3346" s="4" t="s">
        <v>5965</v>
      </c>
      <c r="C3346" s="4">
        <v>1735.0</v>
      </c>
      <c r="D3346" s="5" t="str">
        <f>HYPERLINK("https://www.linkedin.com/ad-library/detail/1037439616","Open Ad")</f>
        <v>Open Ad</v>
      </c>
      <c r="E3346" s="4" t="s">
        <v>5970</v>
      </c>
      <c r="F3346" s="4" t="s">
        <v>54</v>
      </c>
      <c r="G3346" s="4" t="s">
        <v>6602</v>
      </c>
      <c r="H3346" s="4" t="s">
        <v>49</v>
      </c>
      <c r="I3346" s="4" t="s">
        <v>6005</v>
      </c>
      <c r="J3346" s="4" t="s">
        <v>5973</v>
      </c>
      <c r="K3346" s="4" t="s">
        <v>59</v>
      </c>
      <c r="L3346" s="4" t="s">
        <v>106</v>
      </c>
      <c r="M3346" s="4" t="s">
        <v>5965</v>
      </c>
      <c r="O3346" s="4" t="s">
        <v>63</v>
      </c>
      <c r="P3346" s="4" t="s">
        <v>64</v>
      </c>
    </row>
    <row r="3347">
      <c r="A3347" s="4" t="s">
        <v>5965</v>
      </c>
      <c r="B3347" s="4" t="s">
        <v>5965</v>
      </c>
      <c r="C3347" s="4">
        <v>1736.0</v>
      </c>
      <c r="D3347" s="5" t="str">
        <f>HYPERLINK("https://www.linkedin.com/ad-library/detail/1022681176","Open Ad")</f>
        <v>Open Ad</v>
      </c>
      <c r="E3347" s="4" t="s">
        <v>78</v>
      </c>
      <c r="F3347" s="4" t="s">
        <v>54</v>
      </c>
      <c r="G3347" s="4" t="s">
        <v>6663</v>
      </c>
      <c r="H3347" s="4" t="s">
        <v>49</v>
      </c>
      <c r="I3347" s="4" t="s">
        <v>6005</v>
      </c>
      <c r="J3347" s="4" t="s">
        <v>78</v>
      </c>
      <c r="K3347" s="5" t="str">
        <f>HYPERLINK("https://media.licdn.com/dms/image/v2/D4E22AQEzqwE01tuTtA/feedshare-shrink_1280/B4EZuaA0lkHsAs-/0/1767815465899?e=2147483647&amp;v=beta&amp;t=FRykyXw4iJspg6TBKd2eedcHm1nbiIKHBf9GUuKUmCA","View Creative")</f>
        <v>View Creative</v>
      </c>
      <c r="L3347" s="4" t="s">
        <v>106</v>
      </c>
      <c r="M3347" s="4" t="s">
        <v>5965</v>
      </c>
      <c r="O3347" s="4" t="s">
        <v>63</v>
      </c>
      <c r="P3347" s="4" t="s">
        <v>64</v>
      </c>
    </row>
    <row r="3348">
      <c r="A3348" s="4" t="s">
        <v>5965</v>
      </c>
      <c r="B3348" s="4" t="s">
        <v>5965</v>
      </c>
      <c r="C3348" s="4">
        <v>1737.0</v>
      </c>
      <c r="D3348" s="5" t="str">
        <f>HYPERLINK("https://www.linkedin.com/ad-library/detail/1027584546","Open Ad")</f>
        <v>Open Ad</v>
      </c>
      <c r="E3348" s="4" t="s">
        <v>78</v>
      </c>
      <c r="F3348" s="4" t="s">
        <v>54</v>
      </c>
      <c r="G3348" s="4" t="s">
        <v>6640</v>
      </c>
      <c r="H3348" s="4" t="s">
        <v>49</v>
      </c>
      <c r="I3348" s="4" t="s">
        <v>6005</v>
      </c>
      <c r="J3348" s="4" t="s">
        <v>78</v>
      </c>
      <c r="K3348" s="5" t="str">
        <f>HYPERLINK("https://media.licdn.com/dms/image/v2/D4E22AQEx8AKZoHZPIg/feedshare-shrink_1280/B4EZukIRruL4As-/0/1767985193186?e=2147483647&amp;v=beta&amp;t=3V-Z4CrkE-Ux5ByG6zC6dRbL0nFQsiLy0m_1f7pkNcE","View Creative")</f>
        <v>View Creative</v>
      </c>
      <c r="L3348" s="4" t="s">
        <v>106</v>
      </c>
      <c r="M3348" s="4" t="s">
        <v>5965</v>
      </c>
      <c r="O3348" s="4" t="s">
        <v>63</v>
      </c>
      <c r="P3348" s="4" t="s">
        <v>64</v>
      </c>
    </row>
    <row r="3349">
      <c r="A3349" s="4" t="s">
        <v>5965</v>
      </c>
      <c r="B3349" s="4" t="s">
        <v>5965</v>
      </c>
      <c r="C3349" s="4">
        <v>1738.0</v>
      </c>
      <c r="D3349" s="5" t="str">
        <f>HYPERLINK("https://www.linkedin.com/ad-library/detail/1021702956","Open Ad")</f>
        <v>Open Ad</v>
      </c>
      <c r="E3349" s="4" t="s">
        <v>78</v>
      </c>
      <c r="F3349" s="4" t="s">
        <v>54</v>
      </c>
      <c r="G3349" s="4" t="s">
        <v>6612</v>
      </c>
      <c r="H3349" s="4" t="s">
        <v>49</v>
      </c>
      <c r="I3349" s="4" t="s">
        <v>6005</v>
      </c>
      <c r="J3349" s="4" t="s">
        <v>78</v>
      </c>
      <c r="K3349" s="5" t="str">
        <f>HYPERLINK("https://media.licdn.com/dms/image/v2/D4E22AQGSTukpFdZDmw/feedshare-shrink_1280/B4EZud_VF7K8As-/0/1767882183787?e=2147483647&amp;v=beta&amp;t=FCfv5eRdq1jL7SmRWSLlJuRvnvLS1FLmcswXIV-lxPA","View Creative")</f>
        <v>View Creative</v>
      </c>
      <c r="L3349" s="4" t="s">
        <v>106</v>
      </c>
      <c r="M3349" s="4" t="s">
        <v>5965</v>
      </c>
      <c r="O3349" s="4" t="s">
        <v>63</v>
      </c>
      <c r="P3349" s="4" t="s">
        <v>64</v>
      </c>
    </row>
    <row r="3350">
      <c r="A3350" s="4" t="s">
        <v>5965</v>
      </c>
      <c r="B3350" s="4" t="s">
        <v>5965</v>
      </c>
      <c r="C3350" s="4">
        <v>1739.0</v>
      </c>
      <c r="D3350" s="5" t="str">
        <f>HYPERLINK("https://www.linkedin.com/ad-library/detail/1036942056","Open Ad")</f>
        <v>Open Ad</v>
      </c>
      <c r="E3350" s="4" t="s">
        <v>5970</v>
      </c>
      <c r="F3350" s="4" t="s">
        <v>54</v>
      </c>
      <c r="G3350" s="4" t="s">
        <v>6523</v>
      </c>
      <c r="H3350" s="4" t="s">
        <v>49</v>
      </c>
      <c r="I3350" s="4" t="s">
        <v>6005</v>
      </c>
      <c r="J3350" s="4" t="s">
        <v>5973</v>
      </c>
      <c r="K3350" s="4" t="s">
        <v>59</v>
      </c>
      <c r="L3350" s="4" t="s">
        <v>106</v>
      </c>
      <c r="M3350" s="4" t="s">
        <v>5965</v>
      </c>
      <c r="O3350" s="4" t="s">
        <v>63</v>
      </c>
      <c r="P3350" s="4" t="s">
        <v>64</v>
      </c>
    </row>
    <row r="3351">
      <c r="A3351" s="4" t="s">
        <v>5965</v>
      </c>
      <c r="B3351" s="4" t="s">
        <v>5965</v>
      </c>
      <c r="C3351" s="4">
        <v>1740.0</v>
      </c>
      <c r="D3351" s="5" t="str">
        <f>HYPERLINK("https://www.linkedin.com/ad-library/detail/1028285166","Open Ad")</f>
        <v>Open Ad</v>
      </c>
      <c r="E3351" s="4" t="s">
        <v>78</v>
      </c>
      <c r="F3351" s="4" t="s">
        <v>54</v>
      </c>
      <c r="G3351" s="4" t="s">
        <v>6640</v>
      </c>
      <c r="H3351" s="4" t="s">
        <v>49</v>
      </c>
      <c r="I3351" s="4" t="s">
        <v>6005</v>
      </c>
      <c r="J3351" s="4" t="s">
        <v>78</v>
      </c>
      <c r="K3351" s="5" t="str">
        <f>HYPERLINK("https://media.licdn.com/dms/image/v2/D4E22AQEx8AKZoHZPIg/feedshare-shrink_1280/B4EZukIRruL4As-/0/1767985193186?e=2147483647&amp;v=beta&amp;t=3V-Z4CrkE-Ux5ByG6zC6dRbL0nFQsiLy0m_1f7pkNcE","View Creative")</f>
        <v>View Creative</v>
      </c>
      <c r="L3351" s="4" t="s">
        <v>106</v>
      </c>
      <c r="M3351" s="4" t="s">
        <v>5965</v>
      </c>
      <c r="O3351" s="4" t="s">
        <v>63</v>
      </c>
      <c r="P3351" s="4" t="s">
        <v>64</v>
      </c>
    </row>
    <row r="3352">
      <c r="A3352" s="4" t="s">
        <v>5965</v>
      </c>
      <c r="B3352" s="4" t="s">
        <v>5965</v>
      </c>
      <c r="C3352" s="4">
        <v>1741.0</v>
      </c>
      <c r="D3352" s="5" t="str">
        <f>HYPERLINK("https://www.linkedin.com/ad-library/detail/1036942066","Open Ad")</f>
        <v>Open Ad</v>
      </c>
      <c r="E3352" s="4" t="s">
        <v>5970</v>
      </c>
      <c r="F3352" s="4" t="s">
        <v>54</v>
      </c>
      <c r="G3352" s="4" t="s">
        <v>6481</v>
      </c>
      <c r="H3352" s="4" t="s">
        <v>49</v>
      </c>
      <c r="I3352" s="4" t="s">
        <v>6005</v>
      </c>
      <c r="J3352" s="4" t="s">
        <v>5973</v>
      </c>
      <c r="K3352" s="4" t="s">
        <v>59</v>
      </c>
      <c r="L3352" s="4" t="s">
        <v>106</v>
      </c>
      <c r="M3352" s="4" t="s">
        <v>5965</v>
      </c>
      <c r="O3352" s="4" t="s">
        <v>63</v>
      </c>
      <c r="P3352" s="4" t="s">
        <v>64</v>
      </c>
    </row>
    <row r="3353">
      <c r="A3353" s="4" t="s">
        <v>5965</v>
      </c>
      <c r="B3353" s="4" t="s">
        <v>5965</v>
      </c>
      <c r="C3353" s="4">
        <v>1742.0</v>
      </c>
      <c r="D3353" s="5" t="str">
        <f>HYPERLINK("https://www.linkedin.com/ad-library/detail/1036743346","Open Ad")</f>
        <v>Open Ad</v>
      </c>
      <c r="E3353" s="4" t="s">
        <v>5970</v>
      </c>
      <c r="F3353" s="4" t="s">
        <v>54</v>
      </c>
      <c r="G3353" s="4" t="s">
        <v>6481</v>
      </c>
      <c r="H3353" s="4" t="s">
        <v>49</v>
      </c>
      <c r="I3353" s="4" t="s">
        <v>6005</v>
      </c>
      <c r="J3353" s="4" t="s">
        <v>5973</v>
      </c>
      <c r="K3353" s="4" t="s">
        <v>59</v>
      </c>
      <c r="L3353" s="4" t="s">
        <v>106</v>
      </c>
      <c r="M3353" s="4" t="s">
        <v>5965</v>
      </c>
      <c r="O3353" s="4" t="s">
        <v>63</v>
      </c>
      <c r="P3353" s="4" t="s">
        <v>64</v>
      </c>
    </row>
    <row r="3354">
      <c r="A3354" s="4" t="s">
        <v>5965</v>
      </c>
      <c r="B3354" s="4" t="s">
        <v>5965</v>
      </c>
      <c r="C3354" s="4">
        <v>1743.0</v>
      </c>
      <c r="D3354" s="5" t="str">
        <f>HYPERLINK("https://www.linkedin.com/ad-library/detail/1034311436","Open Ad")</f>
        <v>Open Ad</v>
      </c>
      <c r="E3354" s="4" t="s">
        <v>78</v>
      </c>
      <c r="F3354" s="4" t="s">
        <v>54</v>
      </c>
      <c r="G3354" s="4" t="s">
        <v>6664</v>
      </c>
      <c r="H3354" s="4" t="s">
        <v>49</v>
      </c>
      <c r="I3354" s="4" t="s">
        <v>6005</v>
      </c>
      <c r="J3354" s="4" t="s">
        <v>78</v>
      </c>
      <c r="K3354" s="5" t="str">
        <f>HYPERLINK("https://media.licdn.com/dms/image/v2/D4E22AQEqrKSkNTHD2Q/feedshare-shrink_1280/B4EZu4wl.QGYAs-/0/1768331307356?e=2147483647&amp;v=beta&amp;t=30rHfhVrkaJlhPQ3npA5cFjC5hMF18gcBf8Hzf5UcoI","View Creative")</f>
        <v>View Creative</v>
      </c>
      <c r="L3354" s="4" t="s">
        <v>106</v>
      </c>
      <c r="M3354" s="4" t="s">
        <v>5965</v>
      </c>
      <c r="O3354" s="4" t="s">
        <v>63</v>
      </c>
      <c r="P3354" s="4" t="s">
        <v>64</v>
      </c>
    </row>
    <row r="3355">
      <c r="A3355" s="4" t="s">
        <v>5965</v>
      </c>
      <c r="B3355" s="4" t="s">
        <v>5965</v>
      </c>
      <c r="C3355" s="4">
        <v>1744.0</v>
      </c>
      <c r="D3355" s="5" t="str">
        <f>HYPERLINK("https://www.linkedin.com/ad-library/detail/1022102366","Open Ad")</f>
        <v>Open Ad</v>
      </c>
      <c r="E3355" s="4" t="s">
        <v>78</v>
      </c>
      <c r="F3355" s="4" t="s">
        <v>54</v>
      </c>
      <c r="G3355" s="4" t="s">
        <v>6612</v>
      </c>
      <c r="H3355" s="4" t="s">
        <v>49</v>
      </c>
      <c r="I3355" s="4" t="s">
        <v>6005</v>
      </c>
      <c r="J3355" s="4" t="s">
        <v>78</v>
      </c>
      <c r="K3355" s="5" t="str">
        <f>HYPERLINK("https://media.licdn.com/dms/image/v2/D4E22AQGSTukpFdZDmw/feedshare-shrink_1280/B4EZud_VF7K8As-/0/1767882183787?e=2147483647&amp;v=beta&amp;t=FCfv5eRdq1jL7SmRWSLlJuRvnvLS1FLmcswXIV-lxPA","View Creative")</f>
        <v>View Creative</v>
      </c>
      <c r="L3355" s="4" t="s">
        <v>106</v>
      </c>
      <c r="M3355" s="4" t="s">
        <v>5965</v>
      </c>
      <c r="O3355" s="4" t="s">
        <v>63</v>
      </c>
      <c r="P3355" s="4" t="s">
        <v>64</v>
      </c>
    </row>
    <row r="3356">
      <c r="A3356" s="4" t="s">
        <v>5965</v>
      </c>
      <c r="B3356" s="4" t="s">
        <v>5965</v>
      </c>
      <c r="C3356" s="4">
        <v>1745.0</v>
      </c>
      <c r="D3356" s="5" t="str">
        <f>HYPERLINK("https://www.linkedin.com/ad-library/detail/1051639896","Open Ad")</f>
        <v>Open Ad</v>
      </c>
      <c r="E3356" s="4" t="s">
        <v>78</v>
      </c>
      <c r="F3356" s="4" t="s">
        <v>54</v>
      </c>
      <c r="G3356" s="4" t="s">
        <v>6550</v>
      </c>
      <c r="H3356" s="4" t="s">
        <v>49</v>
      </c>
      <c r="I3356" s="4" t="s">
        <v>6005</v>
      </c>
      <c r="J3356" s="4" t="s">
        <v>78</v>
      </c>
      <c r="K3356" s="5" t="str">
        <f>HYPERLINK("https://media.licdn.com/dms/image/v2/D4E10AQHdbrM3G0dcfA/image-shrink_1280/B4EZvmBd80GsAc-/0/1769090704089?e=2147483647&amp;v=beta&amp;t=dlO5yfiP1MV6jnBsM651Qg2abmJfMecqFy-8C9PrRFA","View Creative")</f>
        <v>View Creative</v>
      </c>
      <c r="L3356" s="4" t="s">
        <v>106</v>
      </c>
      <c r="M3356" s="4" t="s">
        <v>5965</v>
      </c>
      <c r="O3356" s="4" t="s">
        <v>63</v>
      </c>
      <c r="P3356" s="4" t="s">
        <v>64</v>
      </c>
    </row>
    <row r="3357">
      <c r="A3357" s="4" t="s">
        <v>5965</v>
      </c>
      <c r="B3357" s="4" t="s">
        <v>5965</v>
      </c>
      <c r="C3357" s="4">
        <v>1746.0</v>
      </c>
      <c r="D3357" s="5" t="str">
        <f>HYPERLINK("https://www.linkedin.com/ad-library/detail/1047483766","Open Ad")</f>
        <v>Open Ad</v>
      </c>
      <c r="E3357" s="4" t="s">
        <v>5970</v>
      </c>
      <c r="F3357" s="4" t="s">
        <v>54</v>
      </c>
      <c r="G3357" s="4" t="s">
        <v>6607</v>
      </c>
      <c r="H3357" s="4" t="s">
        <v>49</v>
      </c>
      <c r="I3357" s="4" t="s">
        <v>6005</v>
      </c>
      <c r="J3357" s="4" t="s">
        <v>5973</v>
      </c>
      <c r="K3357" s="4" t="s">
        <v>59</v>
      </c>
      <c r="L3357" s="4" t="s">
        <v>106</v>
      </c>
      <c r="M3357" s="4" t="s">
        <v>5965</v>
      </c>
      <c r="O3357" s="4" t="s">
        <v>63</v>
      </c>
      <c r="P3357" s="4" t="s">
        <v>64</v>
      </c>
    </row>
    <row r="3358">
      <c r="A3358" s="4" t="s">
        <v>5965</v>
      </c>
      <c r="B3358" s="4" t="s">
        <v>5965</v>
      </c>
      <c r="C3358" s="4">
        <v>1747.0</v>
      </c>
      <c r="D3358" s="5" t="str">
        <f>HYPERLINK("https://www.linkedin.com/ad-library/detail/1036541226","Open Ad")</f>
        <v>Open Ad</v>
      </c>
      <c r="E3358" s="4" t="s">
        <v>5970</v>
      </c>
      <c r="F3358" s="4" t="s">
        <v>54</v>
      </c>
      <c r="G3358" s="4" t="s">
        <v>6607</v>
      </c>
      <c r="H3358" s="4" t="s">
        <v>49</v>
      </c>
      <c r="I3358" s="4" t="s">
        <v>6005</v>
      </c>
      <c r="J3358" s="4" t="s">
        <v>5973</v>
      </c>
      <c r="K3358" s="4" t="s">
        <v>59</v>
      </c>
      <c r="L3358" s="4" t="s">
        <v>106</v>
      </c>
      <c r="M3358" s="4" t="s">
        <v>5965</v>
      </c>
      <c r="O3358" s="4" t="s">
        <v>63</v>
      </c>
      <c r="P3358" s="4" t="s">
        <v>64</v>
      </c>
    </row>
    <row r="3359">
      <c r="A3359" s="4" t="s">
        <v>5965</v>
      </c>
      <c r="B3359" s="4" t="s">
        <v>5965</v>
      </c>
      <c r="C3359" s="4">
        <v>1748.0</v>
      </c>
      <c r="D3359" s="5" t="str">
        <f>HYPERLINK("https://www.linkedin.com/ad-library/detail/1027285086","Open Ad")</f>
        <v>Open Ad</v>
      </c>
      <c r="E3359" s="4" t="s">
        <v>78</v>
      </c>
      <c r="F3359" s="4" t="s">
        <v>54</v>
      </c>
      <c r="G3359" s="4" t="s">
        <v>6640</v>
      </c>
      <c r="H3359" s="4" t="s">
        <v>49</v>
      </c>
      <c r="I3359" s="4" t="s">
        <v>6005</v>
      </c>
      <c r="J3359" s="4" t="s">
        <v>78</v>
      </c>
      <c r="K3359" s="5" t="str">
        <f>HYPERLINK("https://media.licdn.com/dms/image/v2/D4E22AQEx8AKZoHZPIg/feedshare-shrink_1280/B4EZukIRruL4As-/0/1767985193186?e=2147483647&amp;v=beta&amp;t=3V-Z4CrkE-Ux5ByG6zC6dRbL0nFQsiLy0m_1f7pkNcE","View Creative")</f>
        <v>View Creative</v>
      </c>
      <c r="L3359" s="4" t="s">
        <v>106</v>
      </c>
      <c r="M3359" s="4" t="s">
        <v>5965</v>
      </c>
      <c r="O3359" s="4" t="s">
        <v>63</v>
      </c>
      <c r="P3359" s="4" t="s">
        <v>64</v>
      </c>
    </row>
    <row r="3360">
      <c r="A3360" s="4" t="s">
        <v>5965</v>
      </c>
      <c r="B3360" s="4" t="s">
        <v>5965</v>
      </c>
      <c r="C3360" s="4">
        <v>1749.0</v>
      </c>
      <c r="D3360" s="5" t="str">
        <f>HYPERLINK("https://www.linkedin.com/ad-library/detail/1020466966","Open Ad")</f>
        <v>Open Ad</v>
      </c>
      <c r="E3360" s="4" t="s">
        <v>78</v>
      </c>
      <c r="F3360" s="4" t="s">
        <v>54</v>
      </c>
      <c r="G3360" s="4" t="s">
        <v>6665</v>
      </c>
      <c r="H3360" s="4" t="s">
        <v>49</v>
      </c>
      <c r="I3360" s="4" t="s">
        <v>6005</v>
      </c>
      <c r="J3360" s="4" t="s">
        <v>78</v>
      </c>
      <c r="K3360" s="5" t="str">
        <f>HYPERLINK("https://media.licdn.com/dms/image/v2/D4E22AQE5LeNkrKu5xQ/feedshare-image-high-res/B4EZuZwPjeKkAs-/0/1767811119900?e=2147483647&amp;v=beta&amp;t=tXqI2sAhwH-50II5GdDTEjc8mdsAUb-atfhsziFhMk8","View Creative")</f>
        <v>View Creative</v>
      </c>
      <c r="L3360" s="4" t="s">
        <v>106</v>
      </c>
      <c r="M3360" s="4" t="s">
        <v>5965</v>
      </c>
      <c r="O3360" s="4" t="s">
        <v>63</v>
      </c>
      <c r="P3360" s="4" t="s">
        <v>64</v>
      </c>
    </row>
    <row r="3361">
      <c r="A3361" s="4" t="s">
        <v>5965</v>
      </c>
      <c r="B3361" s="4" t="s">
        <v>5965</v>
      </c>
      <c r="C3361" s="4">
        <v>1750.0</v>
      </c>
      <c r="D3361" s="5" t="str">
        <f>HYPERLINK("https://www.linkedin.com/ad-library/detail/1036342276","Open Ad")</f>
        <v>Open Ad</v>
      </c>
      <c r="E3361" s="4" t="s">
        <v>5970</v>
      </c>
      <c r="F3361" s="4" t="s">
        <v>54</v>
      </c>
      <c r="G3361" s="4" t="s">
        <v>6607</v>
      </c>
      <c r="H3361" s="4" t="s">
        <v>49</v>
      </c>
      <c r="I3361" s="4" t="s">
        <v>6005</v>
      </c>
      <c r="J3361" s="4" t="s">
        <v>5973</v>
      </c>
      <c r="K3361" s="4" t="s">
        <v>59</v>
      </c>
      <c r="L3361" s="4" t="s">
        <v>106</v>
      </c>
      <c r="M3361" s="4" t="s">
        <v>5965</v>
      </c>
      <c r="O3361" s="4" t="s">
        <v>63</v>
      </c>
      <c r="P3361" s="4" t="s">
        <v>64</v>
      </c>
    </row>
    <row r="3362">
      <c r="A3362" s="4" t="s">
        <v>5965</v>
      </c>
      <c r="B3362" s="4" t="s">
        <v>5965</v>
      </c>
      <c r="C3362" s="4">
        <v>1751.0</v>
      </c>
      <c r="D3362" s="5" t="str">
        <f>HYPERLINK("https://www.linkedin.com/ad-library/detail/1021803596","Open Ad")</f>
        <v>Open Ad</v>
      </c>
      <c r="E3362" s="4" t="s">
        <v>78</v>
      </c>
      <c r="F3362" s="4" t="s">
        <v>54</v>
      </c>
      <c r="G3362" s="4" t="s">
        <v>6612</v>
      </c>
      <c r="H3362" s="4" t="s">
        <v>49</v>
      </c>
      <c r="I3362" s="4" t="s">
        <v>6005</v>
      </c>
      <c r="J3362" s="4" t="s">
        <v>78</v>
      </c>
      <c r="K3362" s="5" t="str">
        <f>HYPERLINK("https://media.licdn.com/dms/image/v2/D4E22AQGSTukpFdZDmw/feedshare-shrink_1280/B4EZud_VF7K8As-/0/1767882183787?e=2147483647&amp;v=beta&amp;t=FCfv5eRdq1jL7SmRWSLlJuRvnvLS1FLmcswXIV-lxPA","View Creative")</f>
        <v>View Creative</v>
      </c>
      <c r="L3362" s="4" t="s">
        <v>106</v>
      </c>
      <c r="M3362" s="4" t="s">
        <v>5965</v>
      </c>
      <c r="O3362" s="4" t="s">
        <v>63</v>
      </c>
      <c r="P3362" s="4" t="s">
        <v>64</v>
      </c>
    </row>
    <row r="3363">
      <c r="A3363" s="4" t="s">
        <v>5965</v>
      </c>
      <c r="B3363" s="4" t="s">
        <v>5965</v>
      </c>
      <c r="C3363" s="4">
        <v>1752.0</v>
      </c>
      <c r="D3363" s="5" t="str">
        <f>HYPERLINK("https://www.linkedin.com/ad-library/detail/1046490016","Open Ad")</f>
        <v>Open Ad</v>
      </c>
      <c r="E3363" s="4" t="s">
        <v>121</v>
      </c>
      <c r="F3363" s="4" t="s">
        <v>54</v>
      </c>
      <c r="G3363" s="4" t="s">
        <v>6661</v>
      </c>
      <c r="H3363" s="4" t="s">
        <v>49</v>
      </c>
      <c r="I3363" s="4" t="s">
        <v>6005</v>
      </c>
      <c r="J3363" s="4" t="s">
        <v>121</v>
      </c>
      <c r="K3363" s="5" t="str">
        <f>HYPERLINK("https://dms.licdn.com/playlist/vid/v2/D4E05AQHyk4x1-Kyh_Q/mp4-720p-30fp-crf28/B4EZvONefdKkCE-/0/1768691209240?e=2147483647&amp;v=beta&amp;t=7Ff_PXOJ4jFBCh9hcVO5qkwepEhaVfGJB6BWL8TsnXE","View Creative")</f>
        <v>View Creative</v>
      </c>
      <c r="L3363" s="4" t="s">
        <v>106</v>
      </c>
      <c r="M3363" s="4" t="s">
        <v>5965</v>
      </c>
      <c r="O3363" s="4" t="s">
        <v>63</v>
      </c>
      <c r="P3363" s="4" t="s">
        <v>64</v>
      </c>
    </row>
    <row r="3364">
      <c r="A3364" s="4" t="s">
        <v>5965</v>
      </c>
      <c r="B3364" s="4" t="s">
        <v>5965</v>
      </c>
      <c r="C3364" s="4">
        <v>1753.0</v>
      </c>
      <c r="D3364" s="5" t="str">
        <f>HYPERLINK("https://www.linkedin.com/ad-library/detail/1003219496","Open Ad")</f>
        <v>Open Ad</v>
      </c>
      <c r="E3364" s="4" t="s">
        <v>78</v>
      </c>
      <c r="F3364" s="4" t="s">
        <v>54</v>
      </c>
      <c r="G3364" s="4" t="s">
        <v>6666</v>
      </c>
      <c r="H3364" s="4" t="s">
        <v>49</v>
      </c>
      <c r="I3364" s="4" t="s">
        <v>6005</v>
      </c>
      <c r="J3364" s="4" t="s">
        <v>78</v>
      </c>
      <c r="K3364" s="5" t="str">
        <f>HYPERLINK("https://media.licdn.com/dms/image/v2/D4E10AQHzpN3wNQhKBw/image-shrink_1280/B4EZsohCl1KoAQ-/0/1765911311222?e=2147483647&amp;v=beta&amp;t=MG1A-WUe3DDwpCnqdmDztrryhRGFjYDaOY6KiIjrpoY","View Creative")</f>
        <v>View Creative</v>
      </c>
      <c r="L3364" s="4" t="s">
        <v>106</v>
      </c>
      <c r="M3364" s="4" t="s">
        <v>5965</v>
      </c>
      <c r="O3364" s="4" t="s">
        <v>63</v>
      </c>
      <c r="P3364" s="4" t="s">
        <v>64</v>
      </c>
    </row>
    <row r="3365">
      <c r="A3365" s="4" t="s">
        <v>5965</v>
      </c>
      <c r="B3365" s="4" t="s">
        <v>5965</v>
      </c>
      <c r="C3365" s="4">
        <v>1754.0</v>
      </c>
      <c r="D3365" s="5" t="str">
        <f>HYPERLINK("https://www.linkedin.com/ad-library/detail/1021311796","Open Ad")</f>
        <v>Open Ad</v>
      </c>
      <c r="E3365" s="4" t="s">
        <v>78</v>
      </c>
      <c r="F3365" s="4" t="s">
        <v>54</v>
      </c>
      <c r="G3365" s="4" t="s">
        <v>6667</v>
      </c>
      <c r="H3365" s="4" t="s">
        <v>49</v>
      </c>
      <c r="I3365" s="4" t="s">
        <v>6005</v>
      </c>
      <c r="J3365" s="4" t="s">
        <v>78</v>
      </c>
      <c r="K3365" s="5" t="str">
        <f>HYPERLINK("https://media.licdn.com/dms/image/v2/D4E10AQGcFRCJ6TAi5g/image-shrink_1280/B4EZuOx5YAJwAM-/0/1767627004111?e=2147483647&amp;v=beta&amp;t=_tuqiN_2vQYeo3rNfd4-_rXsRxBb_R7D7PouLD5jDKE","View Creative")</f>
        <v>View Creative</v>
      </c>
      <c r="L3365" s="4" t="s">
        <v>106</v>
      </c>
      <c r="M3365" s="4" t="s">
        <v>5965</v>
      </c>
      <c r="O3365" s="4" t="s">
        <v>63</v>
      </c>
      <c r="P3365" s="4" t="s">
        <v>64</v>
      </c>
    </row>
    <row r="3366">
      <c r="A3366" s="4" t="s">
        <v>5965</v>
      </c>
      <c r="B3366" s="4" t="s">
        <v>5965</v>
      </c>
      <c r="C3366" s="4">
        <v>1755.0</v>
      </c>
      <c r="D3366" s="5" t="str">
        <f>HYPERLINK("https://www.linkedin.com/ad-library/detail/1016833646","Open Ad")</f>
        <v>Open Ad</v>
      </c>
      <c r="E3366" s="4" t="s">
        <v>5970</v>
      </c>
      <c r="F3366" s="4" t="s">
        <v>54</v>
      </c>
      <c r="G3366" s="4" t="s">
        <v>6523</v>
      </c>
      <c r="H3366" s="4" t="s">
        <v>49</v>
      </c>
      <c r="I3366" s="4" t="s">
        <v>6005</v>
      </c>
      <c r="J3366" s="4" t="s">
        <v>5973</v>
      </c>
      <c r="K3366" s="4" t="s">
        <v>59</v>
      </c>
      <c r="L3366" s="4" t="s">
        <v>106</v>
      </c>
      <c r="M3366" s="4" t="s">
        <v>5965</v>
      </c>
      <c r="O3366" s="4" t="s">
        <v>63</v>
      </c>
      <c r="P3366" s="4" t="s">
        <v>64</v>
      </c>
    </row>
    <row r="3367">
      <c r="A3367" s="4" t="s">
        <v>5965</v>
      </c>
      <c r="B3367" s="4" t="s">
        <v>5965</v>
      </c>
      <c r="C3367" s="4">
        <v>1756.0</v>
      </c>
      <c r="D3367" s="5" t="str">
        <f>HYPERLINK("https://www.linkedin.com/ad-library/detail/1017686146","Open Ad")</f>
        <v>Open Ad</v>
      </c>
      <c r="E3367" s="4" t="s">
        <v>5970</v>
      </c>
      <c r="F3367" s="4" t="s">
        <v>54</v>
      </c>
      <c r="G3367" s="4" t="s">
        <v>6481</v>
      </c>
      <c r="H3367" s="4" t="s">
        <v>49</v>
      </c>
      <c r="I3367" s="4" t="s">
        <v>6005</v>
      </c>
      <c r="J3367" s="4" t="s">
        <v>5973</v>
      </c>
      <c r="K3367" s="4" t="s">
        <v>59</v>
      </c>
      <c r="L3367" s="4" t="s">
        <v>106</v>
      </c>
      <c r="M3367" s="4" t="s">
        <v>5965</v>
      </c>
      <c r="O3367" s="4" t="s">
        <v>63</v>
      </c>
      <c r="P3367" s="4" t="s">
        <v>64</v>
      </c>
    </row>
    <row r="3368">
      <c r="A3368" s="4" t="s">
        <v>5965</v>
      </c>
      <c r="B3368" s="4" t="s">
        <v>5965</v>
      </c>
      <c r="C3368" s="4">
        <v>1757.0</v>
      </c>
      <c r="D3368" s="5" t="str">
        <f>HYPERLINK("https://www.linkedin.com/ad-library/detail/1001769976","Open Ad")</f>
        <v>Open Ad</v>
      </c>
      <c r="E3368" s="4" t="s">
        <v>121</v>
      </c>
      <c r="F3368" s="4" t="s">
        <v>54</v>
      </c>
      <c r="G3368" s="4" t="s">
        <v>6639</v>
      </c>
      <c r="H3368" s="4" t="s">
        <v>49</v>
      </c>
      <c r="I3368" s="4" t="s">
        <v>6005</v>
      </c>
      <c r="J3368" s="4" t="s">
        <v>121</v>
      </c>
      <c r="K3368" s="5" t="str">
        <f>HYPERLINK("https://dms.licdn.com/playlist/vid/v2/D4E10AQEaXGmA13DdTQ/mp4-360p-30fp-crf28/B4EZszVEkrIUB0-/0/1766092726845?e=2147483647&amp;v=beta&amp;t=EByfypCCsRqkjXTNM3hjWwx3xz46YgCuWmn6mZinX9Y","View Creative")</f>
        <v>View Creative</v>
      </c>
      <c r="L3368" s="4" t="s">
        <v>106</v>
      </c>
      <c r="M3368" s="4" t="s">
        <v>5965</v>
      </c>
      <c r="O3368" s="4" t="s">
        <v>63</v>
      </c>
      <c r="P3368" s="4" t="s">
        <v>64</v>
      </c>
    </row>
    <row r="3369">
      <c r="A3369" s="4" t="s">
        <v>5965</v>
      </c>
      <c r="B3369" s="4" t="s">
        <v>5965</v>
      </c>
      <c r="C3369" s="4">
        <v>1758.0</v>
      </c>
      <c r="D3369" s="5" t="str">
        <f>HYPERLINK("https://www.linkedin.com/ad-library/detail/1102789443","Open Ad")</f>
        <v>Open Ad</v>
      </c>
      <c r="E3369" s="4" t="s">
        <v>78</v>
      </c>
      <c r="F3369" s="4" t="s">
        <v>54</v>
      </c>
      <c r="G3369" s="4" t="s">
        <v>6668</v>
      </c>
      <c r="H3369" s="4" t="s">
        <v>49</v>
      </c>
      <c r="I3369" s="4" t="s">
        <v>6005</v>
      </c>
      <c r="J3369" s="4" t="s">
        <v>78</v>
      </c>
      <c r="K3369" s="4" t="s">
        <v>59</v>
      </c>
      <c r="L3369" s="4" t="s">
        <v>106</v>
      </c>
      <c r="M3369" s="4" t="s">
        <v>5965</v>
      </c>
      <c r="O3369" s="4" t="s">
        <v>63</v>
      </c>
      <c r="P3369" s="4" t="s">
        <v>64</v>
      </c>
    </row>
    <row r="3370">
      <c r="A3370" s="4" t="s">
        <v>5965</v>
      </c>
      <c r="B3370" s="4" t="s">
        <v>5965</v>
      </c>
      <c r="C3370" s="4">
        <v>1759.0</v>
      </c>
      <c r="D3370" s="5" t="str">
        <f>HYPERLINK("https://www.linkedin.com/ad-library/detail/1022002616","Open Ad")</f>
        <v>Open Ad</v>
      </c>
      <c r="E3370" s="4" t="s">
        <v>78</v>
      </c>
      <c r="F3370" s="4" t="s">
        <v>54</v>
      </c>
      <c r="G3370" s="4" t="s">
        <v>6612</v>
      </c>
      <c r="H3370" s="4" t="s">
        <v>49</v>
      </c>
      <c r="I3370" s="4" t="s">
        <v>6005</v>
      </c>
      <c r="J3370" s="4" t="s">
        <v>78</v>
      </c>
      <c r="K3370" s="5" t="str">
        <f>HYPERLINK("https://media.licdn.com/dms/image/v2/D4E22AQGSTukpFdZDmw/feedshare-shrink_1280/B4EZud_VF7K8As-/0/1767882183787?e=2147483647&amp;v=beta&amp;t=FCfv5eRdq1jL7SmRWSLlJuRvnvLS1FLmcswXIV-lxPA","View Creative")</f>
        <v>View Creative</v>
      </c>
      <c r="L3370" s="4" t="s">
        <v>106</v>
      </c>
      <c r="M3370" s="4" t="s">
        <v>5965</v>
      </c>
      <c r="O3370" s="4" t="s">
        <v>63</v>
      </c>
      <c r="P3370" s="4" t="s">
        <v>64</v>
      </c>
    </row>
    <row r="3371">
      <c r="A3371" s="4" t="s">
        <v>5965</v>
      </c>
      <c r="B3371" s="4" t="s">
        <v>5965</v>
      </c>
      <c r="C3371" s="4">
        <v>1760.0</v>
      </c>
      <c r="D3371" s="5" t="str">
        <f>HYPERLINK("https://www.linkedin.com/ad-library/detail/1017228016","Open Ad")</f>
        <v>Open Ad</v>
      </c>
      <c r="E3371" s="4" t="s">
        <v>78</v>
      </c>
      <c r="F3371" s="4" t="s">
        <v>54</v>
      </c>
      <c r="G3371" s="4" t="s">
        <v>6669</v>
      </c>
      <c r="H3371" s="4" t="s">
        <v>49</v>
      </c>
      <c r="I3371" s="4" t="s">
        <v>6005</v>
      </c>
      <c r="J3371" s="4" t="s">
        <v>78</v>
      </c>
      <c r="K3371" s="5" t="str">
        <f>HYPERLINK("https://media.licdn.com/dms/image/v2/D4E22AQHIYtF4xvm4Xg/feedshare-shrink_1280/B4EZs24EXEHUAs-/0/1766152234306?e=2147483647&amp;v=beta&amp;t=30xGZUDQHJs7CgIJeGFvGmqxkud8eNfb6xzZHB_psM8","View Creative")</f>
        <v>View Creative</v>
      </c>
      <c r="L3371" s="4" t="s">
        <v>106</v>
      </c>
      <c r="M3371" s="4" t="s">
        <v>5965</v>
      </c>
      <c r="O3371" s="4" t="s">
        <v>63</v>
      </c>
      <c r="P3371" s="4" t="s">
        <v>64</v>
      </c>
    </row>
    <row r="3372">
      <c r="A3372" s="4" t="s">
        <v>5965</v>
      </c>
      <c r="B3372" s="4" t="s">
        <v>5965</v>
      </c>
      <c r="C3372" s="4">
        <v>1761.0</v>
      </c>
      <c r="D3372" s="5" t="str">
        <f>HYPERLINK("https://www.linkedin.com/ad-library/detail/1016079006","Open Ad")</f>
        <v>Open Ad</v>
      </c>
      <c r="E3372" s="4" t="s">
        <v>78</v>
      </c>
      <c r="F3372" s="4" t="s">
        <v>54</v>
      </c>
      <c r="G3372" s="4" t="s">
        <v>6670</v>
      </c>
      <c r="H3372" s="4" t="s">
        <v>49</v>
      </c>
      <c r="I3372" s="4" t="s">
        <v>6005</v>
      </c>
      <c r="J3372" s="4" t="s">
        <v>78</v>
      </c>
      <c r="K3372" s="5" t="str">
        <f>HYPERLINK("https://media.licdn.com/dms/image/v2/D4E10AQFx2gJJf5OGJg/image-shrink_1280/B4EZuOhaKKI0AM-/0/1767622682224?e=2147483647&amp;v=beta&amp;t=9jRLhonS6MLOFYIYIYZlcLcyqex480Qs1gpq3pc5Od8","View Creative")</f>
        <v>View Creative</v>
      </c>
      <c r="L3372" s="4" t="s">
        <v>106</v>
      </c>
      <c r="M3372" s="4" t="s">
        <v>5965</v>
      </c>
      <c r="O3372" s="4" t="s">
        <v>63</v>
      </c>
      <c r="P3372" s="4" t="s">
        <v>64</v>
      </c>
    </row>
    <row r="3373">
      <c r="A3373" s="4" t="s">
        <v>5965</v>
      </c>
      <c r="B3373" s="4" t="s">
        <v>5965</v>
      </c>
      <c r="C3373" s="4">
        <v>1762.0</v>
      </c>
      <c r="D3373" s="5" t="str">
        <f>HYPERLINK("https://www.linkedin.com/ad-library/detail/1001025586","Open Ad")</f>
        <v>Open Ad</v>
      </c>
      <c r="E3373" s="4" t="s">
        <v>78</v>
      </c>
      <c r="F3373" s="4" t="s">
        <v>54</v>
      </c>
      <c r="G3373" s="4" t="s">
        <v>6666</v>
      </c>
      <c r="H3373" s="4" t="s">
        <v>49</v>
      </c>
      <c r="I3373" s="4" t="s">
        <v>6005</v>
      </c>
      <c r="J3373" s="4" t="s">
        <v>78</v>
      </c>
      <c r="K3373" s="5" t="str">
        <f>HYPERLINK("https://media.licdn.com/dms/image/v2/D4E10AQHzpN3wNQhKBw/image-shrink_1280/B4EZsohCl1KoAQ-/0/1765911311222?e=2147483647&amp;v=beta&amp;t=MG1A-WUe3DDwpCnqdmDztrryhRGFjYDaOY6KiIjrpoY","View Creative")</f>
        <v>View Creative</v>
      </c>
      <c r="L3373" s="4" t="s">
        <v>106</v>
      </c>
      <c r="M3373" s="4" t="s">
        <v>5965</v>
      </c>
      <c r="O3373" s="4" t="s">
        <v>63</v>
      </c>
      <c r="P3373" s="4" t="s">
        <v>64</v>
      </c>
    </row>
    <row r="3374">
      <c r="A3374" s="4" t="s">
        <v>5965</v>
      </c>
      <c r="B3374" s="4" t="s">
        <v>5965</v>
      </c>
      <c r="C3374" s="4">
        <v>1763.0</v>
      </c>
      <c r="D3374" s="5" t="str">
        <f>HYPERLINK("https://www.linkedin.com/ad-library/detail/1020610846","Open Ad")</f>
        <v>Open Ad</v>
      </c>
      <c r="E3374" s="4" t="s">
        <v>78</v>
      </c>
      <c r="F3374" s="4" t="s">
        <v>54</v>
      </c>
      <c r="G3374" s="4" t="s">
        <v>6671</v>
      </c>
      <c r="H3374" s="4" t="s">
        <v>49</v>
      </c>
      <c r="I3374" s="4" t="s">
        <v>6005</v>
      </c>
      <c r="J3374" s="4" t="s">
        <v>78</v>
      </c>
      <c r="K3374" s="5" t="str">
        <f>HYPERLINK("https://media.licdn.com/dms/image/v2/D4E10AQENwhEqfT_qmw/image-shrink_1280/B4EZuTtvuPJwAg-/0/1767709801857?e=2147483647&amp;v=beta&amp;t=cqZMn2Q8qFic9XeA_ry4x_evi2dWpt4kpc9wPMb1MiM","View Creative")</f>
        <v>View Creative</v>
      </c>
      <c r="L3374" s="4" t="s">
        <v>106</v>
      </c>
      <c r="M3374" s="4" t="s">
        <v>5965</v>
      </c>
      <c r="O3374" s="4" t="s">
        <v>63</v>
      </c>
      <c r="P3374" s="4" t="s">
        <v>64</v>
      </c>
    </row>
    <row r="3375">
      <c r="A3375" s="4" t="s">
        <v>5965</v>
      </c>
      <c r="B3375" s="4" t="s">
        <v>5965</v>
      </c>
      <c r="C3375" s="4">
        <v>1764.0</v>
      </c>
      <c r="D3375" s="5" t="str">
        <f>HYPERLINK("https://www.linkedin.com/ad-library/detail/1016933776","Open Ad")</f>
        <v>Open Ad</v>
      </c>
      <c r="E3375" s="4" t="s">
        <v>78</v>
      </c>
      <c r="F3375" s="4" t="s">
        <v>54</v>
      </c>
      <c r="G3375" s="4" t="s">
        <v>6669</v>
      </c>
      <c r="H3375" s="4" t="s">
        <v>49</v>
      </c>
      <c r="I3375" s="4" t="s">
        <v>6005</v>
      </c>
      <c r="J3375" s="4" t="s">
        <v>78</v>
      </c>
      <c r="K3375" s="5" t="str">
        <f>HYPERLINK("https://media.licdn.com/dms/image/v2/D4E22AQHIYtF4xvm4Xg/feedshare-shrink_1280/B4EZs24EXEHUAs-/0/1766152234306?e=2147483647&amp;v=beta&amp;t=30xGZUDQHJs7CgIJeGFvGmqxkud8eNfb6xzZHB_psM8","View Creative")</f>
        <v>View Creative</v>
      </c>
      <c r="L3375" s="4" t="s">
        <v>106</v>
      </c>
      <c r="M3375" s="4" t="s">
        <v>5965</v>
      </c>
      <c r="O3375" s="4" t="s">
        <v>63</v>
      </c>
      <c r="P3375" s="4" t="s">
        <v>64</v>
      </c>
    </row>
    <row r="3376">
      <c r="A3376" s="4" t="s">
        <v>5965</v>
      </c>
      <c r="B3376" s="4" t="s">
        <v>5965</v>
      </c>
      <c r="C3376" s="4">
        <v>1765.0</v>
      </c>
      <c r="D3376" s="5" t="str">
        <f>HYPERLINK("https://www.linkedin.com/ad-library/detail/1021411586","Open Ad")</f>
        <v>Open Ad</v>
      </c>
      <c r="E3376" s="4" t="s">
        <v>78</v>
      </c>
      <c r="F3376" s="4" t="s">
        <v>54</v>
      </c>
      <c r="G3376" s="4" t="s">
        <v>6671</v>
      </c>
      <c r="H3376" s="4" t="s">
        <v>49</v>
      </c>
      <c r="I3376" s="4" t="s">
        <v>6005</v>
      </c>
      <c r="J3376" s="4" t="s">
        <v>78</v>
      </c>
      <c r="K3376" s="5" t="str">
        <f>HYPERLINK("https://media.licdn.com/dms/image/v2/D4E10AQENwhEqfT_qmw/image-shrink_1280/B4EZuTtvuPJwAg-/0/1767709801857?e=2147483647&amp;v=beta&amp;t=cqZMn2Q8qFic9XeA_ry4x_evi2dWpt4kpc9wPMb1MiM","View Creative")</f>
        <v>View Creative</v>
      </c>
      <c r="L3376" s="4" t="s">
        <v>106</v>
      </c>
      <c r="M3376" s="4" t="s">
        <v>5965</v>
      </c>
      <c r="O3376" s="4" t="s">
        <v>63</v>
      </c>
      <c r="P3376" s="4" t="s">
        <v>64</v>
      </c>
    </row>
    <row r="3377">
      <c r="A3377" s="4" t="s">
        <v>5965</v>
      </c>
      <c r="B3377" s="4" t="s">
        <v>5965</v>
      </c>
      <c r="C3377" s="4">
        <v>1766.0</v>
      </c>
      <c r="D3377" s="5" t="str">
        <f>HYPERLINK("https://www.linkedin.com/ad-library/detail/1018184686","Open Ad")</f>
        <v>Open Ad</v>
      </c>
      <c r="E3377" s="4" t="s">
        <v>78</v>
      </c>
      <c r="F3377" s="4" t="s">
        <v>54</v>
      </c>
      <c r="G3377" s="4" t="s">
        <v>6669</v>
      </c>
      <c r="H3377" s="4" t="s">
        <v>49</v>
      </c>
      <c r="I3377" s="4" t="s">
        <v>6005</v>
      </c>
      <c r="J3377" s="4" t="s">
        <v>78</v>
      </c>
      <c r="K3377" s="5" t="str">
        <f>HYPERLINK("https://media.licdn.com/dms/image/v2/D4E22AQHIYtF4xvm4Xg/feedshare-shrink_1280/B4EZs24EXEHUAs-/0/1766152234306?e=2147483647&amp;v=beta&amp;t=30xGZUDQHJs7CgIJeGFvGmqxkud8eNfb6xzZHB_psM8","View Creative")</f>
        <v>View Creative</v>
      </c>
      <c r="L3377" s="4" t="s">
        <v>106</v>
      </c>
      <c r="M3377" s="4" t="s">
        <v>5965</v>
      </c>
      <c r="O3377" s="4" t="s">
        <v>63</v>
      </c>
      <c r="P3377" s="4" t="s">
        <v>64</v>
      </c>
    </row>
    <row r="3378">
      <c r="A3378" s="4" t="s">
        <v>5965</v>
      </c>
      <c r="B3378" s="4" t="s">
        <v>5965</v>
      </c>
      <c r="C3378" s="4">
        <v>1767.0</v>
      </c>
      <c r="D3378" s="5" t="str">
        <f>HYPERLINK("https://www.linkedin.com/ad-library/detail/1011790306","Open Ad")</f>
        <v>Open Ad</v>
      </c>
      <c r="E3378" s="4" t="s">
        <v>5970</v>
      </c>
      <c r="F3378" s="4" t="s">
        <v>54</v>
      </c>
      <c r="G3378" s="4" t="s">
        <v>6672</v>
      </c>
      <c r="H3378" s="4" t="s">
        <v>49</v>
      </c>
      <c r="I3378" s="4" t="s">
        <v>6005</v>
      </c>
      <c r="J3378" s="4" t="s">
        <v>5973</v>
      </c>
      <c r="K3378" s="4" t="s">
        <v>59</v>
      </c>
      <c r="L3378" s="4" t="s">
        <v>106</v>
      </c>
      <c r="M3378" s="4" t="s">
        <v>5965</v>
      </c>
      <c r="O3378" s="4" t="s">
        <v>63</v>
      </c>
      <c r="P3378" s="4" t="s">
        <v>64</v>
      </c>
    </row>
    <row r="3379">
      <c r="A3379" s="4" t="s">
        <v>5965</v>
      </c>
      <c r="B3379" s="4" t="s">
        <v>5965</v>
      </c>
      <c r="C3379" s="4">
        <v>1768.0</v>
      </c>
      <c r="D3379" s="5" t="str">
        <f>HYPERLINK("https://www.linkedin.com/ad-library/detail/1017129666","Open Ad")</f>
        <v>Open Ad</v>
      </c>
      <c r="E3379" s="4" t="s">
        <v>78</v>
      </c>
      <c r="F3379" s="4" t="s">
        <v>54</v>
      </c>
      <c r="G3379" s="4" t="s">
        <v>6670</v>
      </c>
      <c r="H3379" s="4" t="s">
        <v>49</v>
      </c>
      <c r="I3379" s="4" t="s">
        <v>6005</v>
      </c>
      <c r="J3379" s="4" t="s">
        <v>78</v>
      </c>
      <c r="K3379" s="5" t="str">
        <f>HYPERLINK("https://media.licdn.com/dms/image/v2/D4E10AQFx2gJJf5OGJg/image-shrink_1280/B4EZuOhaKKI0AM-/0/1767622682224?e=2147483647&amp;v=beta&amp;t=9jRLhonS6MLOFYIYIYZlcLcyqex480Qs1gpq3pc5Od8","View Creative")</f>
        <v>View Creative</v>
      </c>
      <c r="L3379" s="4" t="s">
        <v>106</v>
      </c>
      <c r="M3379" s="4" t="s">
        <v>5965</v>
      </c>
      <c r="O3379" s="4" t="s">
        <v>63</v>
      </c>
      <c r="P3379" s="4" t="s">
        <v>64</v>
      </c>
    </row>
    <row r="3380">
      <c r="A3380" s="4" t="s">
        <v>5965</v>
      </c>
      <c r="B3380" s="4" t="s">
        <v>5965</v>
      </c>
      <c r="C3380" s="4">
        <v>1769.0</v>
      </c>
      <c r="D3380" s="5" t="str">
        <f>HYPERLINK("https://www.linkedin.com/ad-library/detail/1019611686","Open Ad")</f>
        <v>Open Ad</v>
      </c>
      <c r="E3380" s="4" t="s">
        <v>78</v>
      </c>
      <c r="F3380" s="4" t="s">
        <v>54</v>
      </c>
      <c r="G3380" s="4" t="s">
        <v>6667</v>
      </c>
      <c r="H3380" s="4" t="s">
        <v>49</v>
      </c>
      <c r="I3380" s="4" t="s">
        <v>6005</v>
      </c>
      <c r="J3380" s="4" t="s">
        <v>78</v>
      </c>
      <c r="K3380" s="5" t="str">
        <f t="shared" ref="K3380:K3381" si="182">HYPERLINK("https://media.licdn.com/dms/image/v2/D4E10AQGcFRCJ6TAi5g/image-shrink_1280/B4EZuOx5YAJwAM-/0/1767627004111?e=2147483647&amp;v=beta&amp;t=_tuqiN_2vQYeo3rNfd4-_rXsRxBb_R7D7PouLD5jDKE","View Creative")</f>
        <v>View Creative</v>
      </c>
      <c r="L3380" s="4" t="s">
        <v>106</v>
      </c>
      <c r="M3380" s="4" t="s">
        <v>5965</v>
      </c>
      <c r="O3380" s="4" t="s">
        <v>63</v>
      </c>
      <c r="P3380" s="4" t="s">
        <v>64</v>
      </c>
    </row>
    <row r="3381">
      <c r="A3381" s="4" t="s">
        <v>5965</v>
      </c>
      <c r="B3381" s="4" t="s">
        <v>5965</v>
      </c>
      <c r="C3381" s="4">
        <v>1770.0</v>
      </c>
      <c r="D3381" s="5" t="str">
        <f>HYPERLINK("https://www.linkedin.com/ad-library/detail/1019611676","Open Ad")</f>
        <v>Open Ad</v>
      </c>
      <c r="E3381" s="4" t="s">
        <v>78</v>
      </c>
      <c r="F3381" s="4" t="s">
        <v>54</v>
      </c>
      <c r="G3381" s="4" t="s">
        <v>6667</v>
      </c>
      <c r="H3381" s="4" t="s">
        <v>49</v>
      </c>
      <c r="I3381" s="4" t="s">
        <v>6005</v>
      </c>
      <c r="J3381" s="4" t="s">
        <v>78</v>
      </c>
      <c r="K3381" s="5" t="str">
        <f t="shared" si="182"/>
        <v>View Creative</v>
      </c>
      <c r="L3381" s="4" t="s">
        <v>106</v>
      </c>
      <c r="M3381" s="4" t="s">
        <v>5965</v>
      </c>
      <c r="O3381" s="4" t="s">
        <v>63</v>
      </c>
      <c r="P3381" s="4" t="s">
        <v>64</v>
      </c>
    </row>
    <row r="3382">
      <c r="A3382" s="4" t="s">
        <v>5965</v>
      </c>
      <c r="B3382" s="4" t="s">
        <v>5965</v>
      </c>
      <c r="C3382" s="4">
        <v>1771.0</v>
      </c>
      <c r="D3382" s="5" t="str">
        <f>HYPERLINK("https://www.linkedin.com/ad-library/detail/1016735946","Open Ad")</f>
        <v>Open Ad</v>
      </c>
      <c r="E3382" s="4" t="s">
        <v>5970</v>
      </c>
      <c r="F3382" s="4" t="s">
        <v>54</v>
      </c>
      <c r="G3382" s="4" t="s">
        <v>6673</v>
      </c>
      <c r="H3382" s="4" t="s">
        <v>49</v>
      </c>
      <c r="I3382" s="4" t="s">
        <v>6005</v>
      </c>
      <c r="J3382" s="4" t="s">
        <v>5973</v>
      </c>
      <c r="K3382" s="4" t="s">
        <v>59</v>
      </c>
      <c r="L3382" s="4" t="s">
        <v>106</v>
      </c>
      <c r="M3382" s="4" t="s">
        <v>5965</v>
      </c>
      <c r="O3382" s="4" t="s">
        <v>63</v>
      </c>
      <c r="P3382" s="4" t="s">
        <v>64</v>
      </c>
    </row>
    <row r="3383">
      <c r="A3383" s="4" t="s">
        <v>5965</v>
      </c>
      <c r="B3383" s="4" t="s">
        <v>5965</v>
      </c>
      <c r="C3383" s="4">
        <v>1772.0</v>
      </c>
      <c r="D3383" s="5" t="str">
        <f>HYPERLINK("https://www.linkedin.com/ad-library/detail/1016933486","Open Ad")</f>
        <v>Open Ad</v>
      </c>
      <c r="E3383" s="4" t="s">
        <v>5970</v>
      </c>
      <c r="F3383" s="4" t="s">
        <v>54</v>
      </c>
      <c r="G3383" s="4" t="s">
        <v>6481</v>
      </c>
      <c r="H3383" s="4" t="s">
        <v>49</v>
      </c>
      <c r="I3383" s="4" t="s">
        <v>6005</v>
      </c>
      <c r="J3383" s="4" t="s">
        <v>5973</v>
      </c>
      <c r="K3383" s="4" t="s">
        <v>59</v>
      </c>
      <c r="L3383" s="4" t="s">
        <v>106</v>
      </c>
      <c r="M3383" s="4" t="s">
        <v>5965</v>
      </c>
      <c r="O3383" s="4" t="s">
        <v>63</v>
      </c>
      <c r="P3383" s="4" t="s">
        <v>64</v>
      </c>
    </row>
    <row r="3384">
      <c r="A3384" s="4" t="s">
        <v>5965</v>
      </c>
      <c r="B3384" s="4" t="s">
        <v>5965</v>
      </c>
      <c r="C3384" s="4">
        <v>1773.0</v>
      </c>
      <c r="D3384" s="5" t="str">
        <f>HYPERLINK("https://www.linkedin.com/ad-library/detail/1003426416","Open Ad")</f>
        <v>Open Ad</v>
      </c>
      <c r="E3384" s="4" t="s">
        <v>5970</v>
      </c>
      <c r="F3384" s="4" t="s">
        <v>54</v>
      </c>
      <c r="G3384" s="4" t="s">
        <v>6673</v>
      </c>
      <c r="H3384" s="4" t="s">
        <v>49</v>
      </c>
      <c r="I3384" s="4" t="s">
        <v>6005</v>
      </c>
      <c r="J3384" s="4" t="s">
        <v>5973</v>
      </c>
      <c r="K3384" s="4" t="s">
        <v>59</v>
      </c>
      <c r="L3384" s="4" t="s">
        <v>106</v>
      </c>
      <c r="M3384" s="4" t="s">
        <v>5965</v>
      </c>
      <c r="O3384" s="4" t="s">
        <v>63</v>
      </c>
      <c r="P3384" s="4" t="s">
        <v>64</v>
      </c>
    </row>
    <row r="3385">
      <c r="A3385" s="4" t="s">
        <v>5965</v>
      </c>
      <c r="B3385" s="4" t="s">
        <v>5965</v>
      </c>
      <c r="C3385" s="4">
        <v>1774.0</v>
      </c>
      <c r="D3385" s="5" t="str">
        <f>HYPERLINK("https://www.linkedin.com/ad-library/detail/1018184496","Open Ad")</f>
        <v>Open Ad</v>
      </c>
      <c r="E3385" s="4" t="s">
        <v>5970</v>
      </c>
      <c r="F3385" s="4" t="s">
        <v>54</v>
      </c>
      <c r="G3385" s="4" t="s">
        <v>6523</v>
      </c>
      <c r="H3385" s="4" t="s">
        <v>49</v>
      </c>
      <c r="I3385" s="4" t="s">
        <v>6005</v>
      </c>
      <c r="J3385" s="4" t="s">
        <v>5973</v>
      </c>
      <c r="K3385" s="4" t="s">
        <v>59</v>
      </c>
      <c r="L3385" s="4" t="s">
        <v>106</v>
      </c>
      <c r="M3385" s="4" t="s">
        <v>5965</v>
      </c>
      <c r="O3385" s="4" t="s">
        <v>63</v>
      </c>
      <c r="P3385" s="4" t="s">
        <v>64</v>
      </c>
    </row>
    <row r="3386">
      <c r="A3386" s="4" t="s">
        <v>5965</v>
      </c>
      <c r="B3386" s="4" t="s">
        <v>5965</v>
      </c>
      <c r="C3386" s="4">
        <v>1775.0</v>
      </c>
      <c r="D3386" s="5" t="str">
        <f>HYPERLINK("https://www.linkedin.com/ad-library/detail/1002569366","Open Ad")</f>
        <v>Open Ad</v>
      </c>
      <c r="E3386" s="4" t="s">
        <v>121</v>
      </c>
      <c r="F3386" s="4" t="s">
        <v>54</v>
      </c>
      <c r="G3386" s="4" t="s">
        <v>6639</v>
      </c>
      <c r="H3386" s="4" t="s">
        <v>49</v>
      </c>
      <c r="I3386" s="4" t="s">
        <v>6005</v>
      </c>
      <c r="J3386" s="4" t="s">
        <v>121</v>
      </c>
      <c r="K3386" s="5" t="str">
        <f>HYPERLINK("https://dms.licdn.com/playlist/vid/v2/D4E10AQEaXGmA13DdTQ/mp4-360p-30fp-crf28/B4EZszVEkrIUB0-/0/1766092726845?e=2147483647&amp;v=beta&amp;t=EByfypCCsRqkjXTNM3hjWwx3xz46YgCuWmn6mZinX9Y","View Creative")</f>
        <v>View Creative</v>
      </c>
      <c r="L3386" s="4" t="s">
        <v>106</v>
      </c>
      <c r="M3386" s="4" t="s">
        <v>5965</v>
      </c>
      <c r="O3386" s="4" t="s">
        <v>63</v>
      </c>
      <c r="P3386" s="4" t="s">
        <v>64</v>
      </c>
    </row>
    <row r="3387">
      <c r="A3387" s="4" t="s">
        <v>5965</v>
      </c>
      <c r="B3387" s="4" t="s">
        <v>5965</v>
      </c>
      <c r="C3387" s="4">
        <v>1776.0</v>
      </c>
      <c r="D3387" s="5" t="str">
        <f>HYPERLINK("https://www.linkedin.com/ad-library/detail/1020111016","Open Ad")</f>
        <v>Open Ad</v>
      </c>
      <c r="E3387" s="4" t="s">
        <v>78</v>
      </c>
      <c r="F3387" s="4" t="s">
        <v>54</v>
      </c>
      <c r="G3387" s="4" t="s">
        <v>6667</v>
      </c>
      <c r="H3387" s="4" t="s">
        <v>49</v>
      </c>
      <c r="I3387" s="4" t="s">
        <v>6005</v>
      </c>
      <c r="J3387" s="4" t="s">
        <v>78</v>
      </c>
      <c r="K3387" s="5" t="str">
        <f>HYPERLINK("https://media.licdn.com/dms/image/v2/D4E10AQGcFRCJ6TAi5g/image-shrink_1280/B4EZuOx5YAJwAM-/0/1767627004111?e=2147483647&amp;v=beta&amp;t=_tuqiN_2vQYeo3rNfd4-_rXsRxBb_R7D7PouLD5jDKE","View Creative")</f>
        <v>View Creative</v>
      </c>
      <c r="L3387" s="4" t="s">
        <v>106</v>
      </c>
      <c r="M3387" s="4" t="s">
        <v>5965</v>
      </c>
      <c r="O3387" s="4" t="s">
        <v>63</v>
      </c>
      <c r="P3387" s="4" t="s">
        <v>64</v>
      </c>
    </row>
    <row r="3388">
      <c r="A3388" s="4" t="s">
        <v>5965</v>
      </c>
      <c r="B3388" s="4" t="s">
        <v>5965</v>
      </c>
      <c r="C3388" s="4">
        <v>1777.0</v>
      </c>
      <c r="D3388" s="5" t="str">
        <f>HYPERLINK("https://www.linkedin.com/ad-library/detail/992480636","Open Ad")</f>
        <v>Open Ad</v>
      </c>
      <c r="E3388" s="4" t="s">
        <v>121</v>
      </c>
      <c r="F3388" s="4" t="s">
        <v>54</v>
      </c>
      <c r="G3388" s="4" t="s">
        <v>6674</v>
      </c>
      <c r="H3388" s="4" t="s">
        <v>49</v>
      </c>
      <c r="I3388" s="4" t="s">
        <v>6005</v>
      </c>
      <c r="J3388" s="4" t="s">
        <v>121</v>
      </c>
      <c r="K3388" s="5" t="str">
        <f>HYPERLINK("https://dms.licdn.com/playlist/vid/v2/D4E05AQEqyLBEQDJ0nQ/mp4-640p-30fp-crf28/B4EZsOaRoVKMBw-/0/1765473335491?e=2147483647&amp;v=beta&amp;t=TJkmTd-e0OPsg2HoyxOnWCFlA5Rv0QLL-YWJmUHSn3k","View Creative")</f>
        <v>View Creative</v>
      </c>
      <c r="L3388" s="4" t="s">
        <v>106</v>
      </c>
      <c r="M3388" s="4" t="s">
        <v>5965</v>
      </c>
      <c r="O3388" s="4" t="s">
        <v>63</v>
      </c>
      <c r="P3388" s="4" t="s">
        <v>64</v>
      </c>
    </row>
    <row r="3389">
      <c r="A3389" s="4" t="s">
        <v>5965</v>
      </c>
      <c r="B3389" s="4" t="s">
        <v>5965</v>
      </c>
      <c r="C3389" s="4">
        <v>1778.0</v>
      </c>
      <c r="D3389" s="5" t="str">
        <f>HYPERLINK("https://www.linkedin.com/ad-library/detail/981517536","Open Ad")</f>
        <v>Open Ad</v>
      </c>
      <c r="E3389" s="4" t="s">
        <v>78</v>
      </c>
      <c r="F3389" s="4" t="s">
        <v>54</v>
      </c>
      <c r="G3389" s="4" t="s">
        <v>6675</v>
      </c>
      <c r="H3389" s="4" t="s">
        <v>49</v>
      </c>
      <c r="I3389" s="4" t="s">
        <v>6005</v>
      </c>
      <c r="J3389" s="4" t="s">
        <v>78</v>
      </c>
      <c r="K3389" s="5" t="str">
        <f>HYPERLINK("https://media.licdn.com/dms/image/v2/D4E22AQF3C3EkKbs0DA/feedshare-shrink_1280/B4EZrlz1RAIQAs-/0/1764792161971?e=2147483647&amp;v=beta&amp;t=X-EQn9cNIDgr9AFf-qarM-nJJsCMdb5br7yo-45B_Ao","View Creative")</f>
        <v>View Creative</v>
      </c>
      <c r="L3389" s="4" t="s">
        <v>106</v>
      </c>
      <c r="M3389" s="4" t="s">
        <v>5965</v>
      </c>
      <c r="O3389" s="4" t="s">
        <v>63</v>
      </c>
      <c r="P3389" s="4" t="s">
        <v>64</v>
      </c>
    </row>
    <row r="3390">
      <c r="A3390" s="4" t="s">
        <v>5965</v>
      </c>
      <c r="B3390" s="4" t="s">
        <v>5965</v>
      </c>
      <c r="C3390" s="4">
        <v>1779.0</v>
      </c>
      <c r="D3390" s="5" t="str">
        <f>HYPERLINK("https://www.linkedin.com/ad-library/detail/984499706","Open Ad")</f>
        <v>Open Ad</v>
      </c>
      <c r="E3390" s="4" t="s">
        <v>78</v>
      </c>
      <c r="F3390" s="4" t="s">
        <v>54</v>
      </c>
      <c r="G3390" s="4" t="s">
        <v>6676</v>
      </c>
      <c r="H3390" s="4" t="s">
        <v>49</v>
      </c>
      <c r="I3390" s="4" t="s">
        <v>6005</v>
      </c>
      <c r="J3390" s="4" t="s">
        <v>78</v>
      </c>
      <c r="K3390" s="5" t="str">
        <f>HYPERLINK("https://media.licdn.com/dms/image/v2/D4E22AQH83ZgSoXBKhQ/feedshare-shrink_1280/B4EZrphvEoGUAw-/0/1764854527251?e=2147483647&amp;v=beta&amp;t=T_eYpJgdvpqecMBc-uSxVBkZk3bEYRj-PgU0FhrKDwk","View Creative")</f>
        <v>View Creative</v>
      </c>
      <c r="L3390" s="4" t="s">
        <v>106</v>
      </c>
      <c r="M3390" s="4" t="s">
        <v>5965</v>
      </c>
      <c r="O3390" s="4" t="s">
        <v>63</v>
      </c>
      <c r="P3390" s="4" t="s">
        <v>64</v>
      </c>
    </row>
    <row r="3391">
      <c r="A3391" s="4" t="s">
        <v>5965</v>
      </c>
      <c r="B3391" s="4" t="s">
        <v>5965</v>
      </c>
      <c r="C3391" s="4">
        <v>1780.0</v>
      </c>
      <c r="D3391" s="5" t="str">
        <f>HYPERLINK("https://www.linkedin.com/ad-library/detail/990009346","Open Ad")</f>
        <v>Open Ad</v>
      </c>
      <c r="E3391" s="4" t="s">
        <v>121</v>
      </c>
      <c r="F3391" s="4" t="s">
        <v>54</v>
      </c>
      <c r="G3391" s="4" t="s">
        <v>6674</v>
      </c>
      <c r="H3391" s="4" t="s">
        <v>49</v>
      </c>
      <c r="I3391" s="4" t="s">
        <v>6005</v>
      </c>
      <c r="J3391" s="4" t="s">
        <v>121</v>
      </c>
      <c r="K3391" s="5" t="str">
        <f>HYPERLINK("https://dms.licdn.com/playlist/vid/v2/D4E05AQEqyLBEQDJ0nQ/mp4-640p-30fp-crf28/B4EZsOaRoVKMBw-/0/1765473335491?e=2147483647&amp;v=beta&amp;t=TJkmTd-e0OPsg2HoyxOnWCFlA5Rv0QLL-YWJmUHSn3k","View Creative")</f>
        <v>View Creative</v>
      </c>
      <c r="L3391" s="4" t="s">
        <v>106</v>
      </c>
      <c r="M3391" s="4" t="s">
        <v>5965</v>
      </c>
      <c r="O3391" s="4" t="s">
        <v>63</v>
      </c>
      <c r="P3391" s="4" t="s">
        <v>64</v>
      </c>
    </row>
    <row r="3392">
      <c r="A3392" s="4" t="s">
        <v>5965</v>
      </c>
      <c r="B3392" s="4" t="s">
        <v>5965</v>
      </c>
      <c r="C3392" s="4">
        <v>1781.0</v>
      </c>
      <c r="D3392" s="5" t="str">
        <f>HYPERLINK("https://www.linkedin.com/ad-library/detail/986974096","Open Ad")</f>
        <v>Open Ad</v>
      </c>
      <c r="E3392" s="4" t="s">
        <v>78</v>
      </c>
      <c r="F3392" s="4" t="s">
        <v>54</v>
      </c>
      <c r="G3392" s="4" t="s">
        <v>6677</v>
      </c>
      <c r="H3392" s="4" t="s">
        <v>49</v>
      </c>
      <c r="I3392" s="4" t="s">
        <v>6005</v>
      </c>
      <c r="J3392" s="4" t="s">
        <v>78</v>
      </c>
      <c r="K3392" s="5" t="str">
        <f>HYPERLINK("https://media.licdn.com/dms/image/v2/D4E22AQHrMWuu8o51wQ/feedshare-shrink_1280/B4EZsDZxc7IUAw-/0/1765288647680?e=2147483647&amp;v=beta&amp;t=9ra1feLMzU3I4fccmn0nNdKfsKM4HynURnsOS7HFma4","View Creative")</f>
        <v>View Creative</v>
      </c>
      <c r="L3392" s="4" t="s">
        <v>106</v>
      </c>
      <c r="M3392" s="4" t="s">
        <v>5965</v>
      </c>
      <c r="O3392" s="4" t="s">
        <v>63</v>
      </c>
      <c r="P3392" s="4" t="s">
        <v>64</v>
      </c>
    </row>
    <row r="3393">
      <c r="A3393" s="4" t="s">
        <v>5965</v>
      </c>
      <c r="B3393" s="4" t="s">
        <v>5965</v>
      </c>
      <c r="C3393" s="4">
        <v>1782.0</v>
      </c>
      <c r="D3393" s="5" t="str">
        <f>HYPERLINK("https://www.linkedin.com/ad-library/detail/981719426","Open Ad")</f>
        <v>Open Ad</v>
      </c>
      <c r="E3393" s="4" t="s">
        <v>78</v>
      </c>
      <c r="F3393" s="4" t="s">
        <v>54</v>
      </c>
      <c r="G3393" s="4" t="s">
        <v>6678</v>
      </c>
      <c r="H3393" s="4" t="s">
        <v>49</v>
      </c>
      <c r="I3393" s="4" t="s">
        <v>6005</v>
      </c>
      <c r="J3393" s="4" t="s">
        <v>78</v>
      </c>
      <c r="K3393" s="5" t="str">
        <f>HYPERLINK("https://media.licdn.com/dms/image/v2/D4E22AQH_9U9L6unTIQ/feedshare-shrink_1280/B4EZrmNcb7GUAs-/0/1764798876253?e=2147483647&amp;v=beta&amp;t=NeYDJB1MD77kcw4CxKAT-yn3SREY5GDx_M6aZnp9s6k","View Creative")</f>
        <v>View Creative</v>
      </c>
      <c r="L3393" s="4" t="s">
        <v>106</v>
      </c>
      <c r="M3393" s="4" t="s">
        <v>5965</v>
      </c>
      <c r="O3393" s="4" t="s">
        <v>63</v>
      </c>
      <c r="P3393" s="4" t="s">
        <v>64</v>
      </c>
    </row>
    <row r="3394">
      <c r="A3394" s="4" t="s">
        <v>5965</v>
      </c>
      <c r="B3394" s="4" t="s">
        <v>5965</v>
      </c>
      <c r="C3394" s="4">
        <v>1783.0</v>
      </c>
      <c r="D3394" s="5" t="str">
        <f>HYPERLINK("https://www.linkedin.com/ad-library/detail/990114246","Open Ad")</f>
        <v>Open Ad</v>
      </c>
      <c r="E3394" s="4" t="s">
        <v>121</v>
      </c>
      <c r="F3394" s="4" t="s">
        <v>54</v>
      </c>
      <c r="G3394" s="4" t="s">
        <v>6679</v>
      </c>
      <c r="H3394" s="4" t="s">
        <v>49</v>
      </c>
      <c r="I3394" s="4" t="s">
        <v>6005</v>
      </c>
      <c r="J3394" s="4" t="s">
        <v>121</v>
      </c>
      <c r="K3394" s="5" t="str">
        <f>HYPERLINK("https://dms.licdn.com/playlist/vid/v2/D4E05AQH3EuvMATNWyQ/mp4-640p-30fp-crf28/B4EZsOcqX_IUBw-/0/1765473966308?e=2147483647&amp;v=beta&amp;t=cWByNt-2tYjMfVG6S-bsGDG2tg3ztYYVgSJxcM5WN_4","View Creative")</f>
        <v>View Creative</v>
      </c>
      <c r="L3394" s="4" t="s">
        <v>106</v>
      </c>
      <c r="M3394" s="4" t="s">
        <v>5965</v>
      </c>
      <c r="O3394" s="4" t="s">
        <v>63</v>
      </c>
      <c r="P3394" s="4" t="s">
        <v>64</v>
      </c>
    </row>
    <row r="3395">
      <c r="A3395" s="4" t="s">
        <v>5965</v>
      </c>
      <c r="B3395" s="4" t="s">
        <v>5965</v>
      </c>
      <c r="C3395" s="4">
        <v>1784.0</v>
      </c>
      <c r="D3395" s="5" t="str">
        <f>HYPERLINK("https://www.linkedin.com/ad-library/detail/988619416","Open Ad")</f>
        <v>Open Ad</v>
      </c>
      <c r="E3395" s="4" t="s">
        <v>78</v>
      </c>
      <c r="F3395" s="4" t="s">
        <v>54</v>
      </c>
      <c r="G3395" s="4" t="s">
        <v>6677</v>
      </c>
      <c r="H3395" s="4" t="s">
        <v>49</v>
      </c>
      <c r="I3395" s="4" t="s">
        <v>6005</v>
      </c>
      <c r="J3395" s="4" t="s">
        <v>78</v>
      </c>
      <c r="K3395" s="5" t="str">
        <f>HYPERLINK("https://media.licdn.com/dms/image/v2/D4E22AQHrMWuu8o51wQ/feedshare-shrink_1280/B4EZsDZxc7IUAw-/0/1765288647680?e=2147483647&amp;v=beta&amp;t=9ra1feLMzU3I4fccmn0nNdKfsKM4HynURnsOS7HFma4","View Creative")</f>
        <v>View Creative</v>
      </c>
      <c r="L3395" s="4" t="s">
        <v>106</v>
      </c>
      <c r="M3395" s="4" t="s">
        <v>5965</v>
      </c>
      <c r="O3395" s="4" t="s">
        <v>63</v>
      </c>
      <c r="P3395" s="4" t="s">
        <v>64</v>
      </c>
    </row>
    <row r="3396">
      <c r="A3396" s="4" t="s">
        <v>5965</v>
      </c>
      <c r="B3396" s="4" t="s">
        <v>5965</v>
      </c>
      <c r="C3396" s="4">
        <v>1785.0</v>
      </c>
      <c r="D3396" s="5" t="str">
        <f>HYPERLINK("https://www.linkedin.com/ad-library/detail/982089486","Open Ad")</f>
        <v>Open Ad</v>
      </c>
      <c r="E3396" s="4" t="s">
        <v>78</v>
      </c>
      <c r="F3396" s="4" t="s">
        <v>54</v>
      </c>
      <c r="G3396" s="4" t="s">
        <v>6678</v>
      </c>
      <c r="H3396" s="4" t="s">
        <v>49</v>
      </c>
      <c r="I3396" s="4" t="s">
        <v>6005</v>
      </c>
      <c r="J3396" s="4" t="s">
        <v>78</v>
      </c>
      <c r="K3396" s="5" t="str">
        <f>HYPERLINK("https://media.licdn.com/dms/image/v2/D4E22AQH_9U9L6unTIQ/feedshare-shrink_1280/B4EZrmNcb7GUAs-/0/1764798876253?e=2147483647&amp;v=beta&amp;t=NeYDJB1MD77kcw4CxKAT-yn3SREY5GDx_M6aZnp9s6k","View Creative")</f>
        <v>View Creative</v>
      </c>
      <c r="L3396" s="4" t="s">
        <v>106</v>
      </c>
      <c r="M3396" s="4" t="s">
        <v>5965</v>
      </c>
      <c r="O3396" s="4" t="s">
        <v>63</v>
      </c>
      <c r="P3396" s="4" t="s">
        <v>64</v>
      </c>
    </row>
    <row r="3397">
      <c r="A3397" s="4" t="s">
        <v>5965</v>
      </c>
      <c r="B3397" s="4" t="s">
        <v>5965</v>
      </c>
      <c r="C3397" s="4">
        <v>1786.0</v>
      </c>
      <c r="D3397" s="5" t="str">
        <f>HYPERLINK("https://www.linkedin.com/ad-library/detail/980941106","Open Ad")</f>
        <v>Open Ad</v>
      </c>
      <c r="E3397" s="4" t="s">
        <v>78</v>
      </c>
      <c r="F3397" s="4" t="s">
        <v>54</v>
      </c>
      <c r="G3397" s="4" t="s">
        <v>6675</v>
      </c>
      <c r="H3397" s="4" t="s">
        <v>49</v>
      </c>
      <c r="I3397" s="4" t="s">
        <v>6005</v>
      </c>
      <c r="J3397" s="4" t="s">
        <v>78</v>
      </c>
      <c r="K3397" s="5" t="str">
        <f>HYPERLINK("https://media.licdn.com/dms/image/v2/D4E22AQF3C3EkKbs0DA/feedshare-shrink_1280/B4EZrlz1RAIQAs-/0/1764792161971?e=2147483647&amp;v=beta&amp;t=X-EQn9cNIDgr9AFf-qarM-nJJsCMdb5br7yo-45B_Ao","View Creative")</f>
        <v>View Creative</v>
      </c>
      <c r="L3397" s="4" t="s">
        <v>106</v>
      </c>
      <c r="M3397" s="4" t="s">
        <v>5965</v>
      </c>
      <c r="O3397" s="4" t="s">
        <v>63</v>
      </c>
      <c r="P3397" s="4" t="s">
        <v>64</v>
      </c>
    </row>
    <row r="3398">
      <c r="A3398" s="4" t="s">
        <v>5965</v>
      </c>
      <c r="B3398" s="4" t="s">
        <v>5965</v>
      </c>
      <c r="C3398" s="4">
        <v>1787.0</v>
      </c>
      <c r="D3398" s="5" t="str">
        <f>HYPERLINK("https://www.linkedin.com/ad-library/detail/984785416","Open Ad")</f>
        <v>Open Ad</v>
      </c>
      <c r="E3398" s="4" t="s">
        <v>78</v>
      </c>
      <c r="F3398" s="4" t="s">
        <v>54</v>
      </c>
      <c r="G3398" s="4" t="s">
        <v>6676</v>
      </c>
      <c r="H3398" s="4" t="s">
        <v>49</v>
      </c>
      <c r="I3398" s="4" t="s">
        <v>6005</v>
      </c>
      <c r="J3398" s="4" t="s">
        <v>78</v>
      </c>
      <c r="K3398" s="5" t="str">
        <f>HYPERLINK("https://media.licdn.com/dms/image/v2/D4E22AQH83ZgSoXBKhQ/feedshare-shrink_1280/B4EZrphvEoGUAw-/0/1764854527251?e=2147483647&amp;v=beta&amp;t=T_eYpJgdvpqecMBc-uSxVBkZk3bEYRj-PgU0FhrKDwk","View Creative")</f>
        <v>View Creative</v>
      </c>
      <c r="L3398" s="4" t="s">
        <v>106</v>
      </c>
      <c r="M3398" s="4" t="s">
        <v>5965</v>
      </c>
      <c r="O3398" s="4" t="s">
        <v>63</v>
      </c>
      <c r="P3398" s="4" t="s">
        <v>64</v>
      </c>
    </row>
    <row r="3399">
      <c r="A3399" s="4" t="s">
        <v>5965</v>
      </c>
      <c r="B3399" s="4" t="s">
        <v>5965</v>
      </c>
      <c r="C3399" s="4">
        <v>1788.0</v>
      </c>
      <c r="D3399" s="5" t="str">
        <f>HYPERLINK("https://www.linkedin.com/ad-library/detail/992087776","Open Ad")</f>
        <v>Open Ad</v>
      </c>
      <c r="E3399" s="4" t="s">
        <v>121</v>
      </c>
      <c r="F3399" s="4" t="s">
        <v>54</v>
      </c>
      <c r="G3399" s="4" t="s">
        <v>6679</v>
      </c>
      <c r="H3399" s="4" t="s">
        <v>49</v>
      </c>
      <c r="I3399" s="4" t="s">
        <v>6005</v>
      </c>
      <c r="J3399" s="4" t="s">
        <v>121</v>
      </c>
      <c r="K3399" s="5" t="str">
        <f>HYPERLINK("https://dms.licdn.com/playlist/vid/v2/D4E05AQH3EuvMATNWyQ/mp4-640p-30fp-crf28/B4EZsOcqX_IUBw-/0/1765473966308?e=2147483647&amp;v=beta&amp;t=cWByNt-2tYjMfVG6S-bsGDG2tg3ztYYVgSJxcM5WN_4","View Creative")</f>
        <v>View Creative</v>
      </c>
      <c r="L3399" s="4" t="s">
        <v>106</v>
      </c>
      <c r="M3399" s="4" t="s">
        <v>5965</v>
      </c>
      <c r="O3399" s="4" t="s">
        <v>63</v>
      </c>
      <c r="P3399" s="4" t="s">
        <v>64</v>
      </c>
    </row>
    <row r="3400">
      <c r="A3400" s="4" t="s">
        <v>5965</v>
      </c>
      <c r="B3400" s="4" t="s">
        <v>5965</v>
      </c>
      <c r="C3400" s="4">
        <v>1789.0</v>
      </c>
      <c r="D3400" s="5" t="str">
        <f>HYPERLINK("https://www.linkedin.com/ad-library/detail/989383866","Open Ad")</f>
        <v>Open Ad</v>
      </c>
      <c r="E3400" s="4" t="s">
        <v>78</v>
      </c>
      <c r="F3400" s="4" t="s">
        <v>54</v>
      </c>
      <c r="G3400" s="4" t="s">
        <v>6680</v>
      </c>
      <c r="H3400" s="4" t="s">
        <v>49</v>
      </c>
      <c r="I3400" s="4" t="s">
        <v>6005</v>
      </c>
      <c r="J3400" s="4" t="s">
        <v>78</v>
      </c>
      <c r="K3400" s="5" t="str">
        <f>HYPERLINK("https://media.licdn.com/dms/image/v2/D4E22AQG41UwTJZGyZA/feedshare-shrink_1280/B4EZr.7qUNHUAs-/0/1765213645199?e=2147483647&amp;v=beta&amp;t=Cn3I9dKHrFrvQDZhLu8OdUtuOylxN6F0RjswCzqiKhc","View Creative")</f>
        <v>View Creative</v>
      </c>
      <c r="L3400" s="4" t="s">
        <v>106</v>
      </c>
      <c r="M3400" s="4" t="s">
        <v>5965</v>
      </c>
      <c r="O3400" s="4" t="s">
        <v>63</v>
      </c>
      <c r="P3400" s="4" t="s">
        <v>64</v>
      </c>
    </row>
    <row r="3401">
      <c r="A3401" s="4" t="s">
        <v>5965</v>
      </c>
      <c r="B3401" s="4" t="s">
        <v>5965</v>
      </c>
      <c r="C3401" s="4">
        <v>1790.0</v>
      </c>
      <c r="D3401" s="5" t="str">
        <f>HYPERLINK("https://www.linkedin.com/ad-library/detail/983572856","Open Ad")</f>
        <v>Open Ad</v>
      </c>
      <c r="E3401" s="4" t="s">
        <v>78</v>
      </c>
      <c r="F3401" s="4" t="s">
        <v>54</v>
      </c>
      <c r="G3401" s="4" t="s">
        <v>6676</v>
      </c>
      <c r="H3401" s="4" t="s">
        <v>49</v>
      </c>
      <c r="I3401" s="4" t="s">
        <v>6005</v>
      </c>
      <c r="J3401" s="4" t="s">
        <v>78</v>
      </c>
      <c r="K3401" s="5" t="str">
        <f>HYPERLINK("https://media.licdn.com/dms/image/v2/D4E22AQH83ZgSoXBKhQ/feedshare-shrink_1280/B4EZrphvEoGUAw-/0/1764854527251?e=2147483647&amp;v=beta&amp;t=T_eYpJgdvpqecMBc-uSxVBkZk3bEYRj-PgU0FhrKDwk","View Creative")</f>
        <v>View Creative</v>
      </c>
      <c r="L3401" s="4" t="s">
        <v>106</v>
      </c>
      <c r="M3401" s="4" t="s">
        <v>5965</v>
      </c>
      <c r="O3401" s="4" t="s">
        <v>63</v>
      </c>
      <c r="P3401" s="4" t="s">
        <v>64</v>
      </c>
    </row>
    <row r="3402">
      <c r="A3402" s="4" t="s">
        <v>5965</v>
      </c>
      <c r="B3402" s="4" t="s">
        <v>5965</v>
      </c>
      <c r="C3402" s="4">
        <v>1791.0</v>
      </c>
      <c r="D3402" s="5" t="str">
        <f>HYPERLINK("https://www.linkedin.com/ad-library/detail/1072060324","Open Ad")</f>
        <v>Open Ad</v>
      </c>
      <c r="E3402" s="4" t="s">
        <v>78</v>
      </c>
      <c r="F3402" s="4" t="s">
        <v>54</v>
      </c>
      <c r="G3402" s="4" t="s">
        <v>6681</v>
      </c>
      <c r="H3402" s="4" t="s">
        <v>49</v>
      </c>
      <c r="I3402" s="4" t="s">
        <v>6005</v>
      </c>
      <c r="J3402" s="4" t="s">
        <v>78</v>
      </c>
      <c r="K3402" s="5" t="str">
        <f>HYPERLINK("https://media.licdn.com/dms/image/v2/D4E10AQHzdvhJPOR5JQ/image_627_1200/B4DZr1agcUIMAY-/0/1765053958077/WebinarAdA-LinkedInpng?e=2147483647&amp;v=beta&amp;t=ly9MYA5NgvBuNq4jSy6Mmm6UiBeEHJWyA__oTi4hEcc","View Creative")</f>
        <v>View Creative</v>
      </c>
      <c r="L3402" s="4" t="s">
        <v>106</v>
      </c>
      <c r="M3402" s="4" t="s">
        <v>5965</v>
      </c>
      <c r="O3402" s="4" t="s">
        <v>63</v>
      </c>
      <c r="P3402" s="4" t="s">
        <v>64</v>
      </c>
    </row>
    <row r="3403">
      <c r="A3403" s="4" t="s">
        <v>5965</v>
      </c>
      <c r="B3403" s="4" t="s">
        <v>5965</v>
      </c>
      <c r="C3403" s="4">
        <v>1792.0</v>
      </c>
      <c r="D3403" s="5" t="str">
        <f>HYPERLINK("https://www.linkedin.com/ad-library/detail/987769756","Open Ad")</f>
        <v>Open Ad</v>
      </c>
      <c r="E3403" s="4" t="s">
        <v>121</v>
      </c>
      <c r="F3403" s="4" t="s">
        <v>54</v>
      </c>
      <c r="G3403" s="4" t="s">
        <v>6674</v>
      </c>
      <c r="H3403" s="4" t="s">
        <v>49</v>
      </c>
      <c r="I3403" s="4" t="s">
        <v>6005</v>
      </c>
      <c r="J3403" s="4" t="s">
        <v>121</v>
      </c>
      <c r="K3403" s="5" t="str">
        <f>HYPERLINK("https://dms.licdn.com/playlist/vid/v2/D4E05AQEqyLBEQDJ0nQ/mp4-640p-30fp-crf28/B4EZsOaRoVKMBw-/0/1765473335491?e=2147483647&amp;v=beta&amp;t=TJkmTd-e0OPsg2HoyxOnWCFlA5Rv0QLL-YWJmUHSn3k","View Creative")</f>
        <v>View Creative</v>
      </c>
      <c r="L3403" s="4" t="s">
        <v>106</v>
      </c>
      <c r="M3403" s="4" t="s">
        <v>5965</v>
      </c>
      <c r="O3403" s="4" t="s">
        <v>63</v>
      </c>
      <c r="P3403" s="4" t="s">
        <v>64</v>
      </c>
    </row>
    <row r="3404">
      <c r="A3404" s="4" t="s">
        <v>5965</v>
      </c>
      <c r="B3404" s="4" t="s">
        <v>5965</v>
      </c>
      <c r="C3404" s="4">
        <v>1793.0</v>
      </c>
      <c r="D3404" s="5" t="str">
        <f>HYPERLINK("https://www.linkedin.com/ad-library/detail/983473806","Open Ad")</f>
        <v>Open Ad</v>
      </c>
      <c r="E3404" s="4" t="s">
        <v>78</v>
      </c>
      <c r="F3404" s="4" t="s">
        <v>54</v>
      </c>
      <c r="G3404" s="4" t="s">
        <v>6676</v>
      </c>
      <c r="H3404" s="4" t="s">
        <v>49</v>
      </c>
      <c r="I3404" s="4" t="s">
        <v>6005</v>
      </c>
      <c r="J3404" s="4" t="s">
        <v>78</v>
      </c>
      <c r="K3404" s="5" t="str">
        <f>HYPERLINK("https://media.licdn.com/dms/image/v2/D4E22AQH83ZgSoXBKhQ/feedshare-shrink_1280/B4EZrphvEoGUAw-/0/1764854527251?e=2147483647&amp;v=beta&amp;t=T_eYpJgdvpqecMBc-uSxVBkZk3bEYRj-PgU0FhrKDwk","View Creative")</f>
        <v>View Creative</v>
      </c>
      <c r="L3404" s="4" t="s">
        <v>106</v>
      </c>
      <c r="M3404" s="4" t="s">
        <v>5965</v>
      </c>
      <c r="O3404" s="4" t="s">
        <v>63</v>
      </c>
      <c r="P3404" s="4" t="s">
        <v>64</v>
      </c>
    </row>
    <row r="3405">
      <c r="A3405" s="4" t="s">
        <v>5965</v>
      </c>
      <c r="B3405" s="4" t="s">
        <v>5965</v>
      </c>
      <c r="C3405" s="4">
        <v>1794.0</v>
      </c>
      <c r="D3405" s="5" t="str">
        <f>HYPERLINK("https://www.linkedin.com/ad-library/detail/980045266","Open Ad")</f>
        <v>Open Ad</v>
      </c>
      <c r="E3405" s="4" t="s">
        <v>78</v>
      </c>
      <c r="F3405" s="4" t="s">
        <v>54</v>
      </c>
      <c r="G3405" s="4" t="s">
        <v>6678</v>
      </c>
      <c r="H3405" s="4" t="s">
        <v>49</v>
      </c>
      <c r="I3405" s="4" t="s">
        <v>6005</v>
      </c>
      <c r="J3405" s="4" t="s">
        <v>78</v>
      </c>
      <c r="K3405" s="5" t="str">
        <f>HYPERLINK("https://media.licdn.com/dms/image/v2/D4E22AQH_9U9L6unTIQ/feedshare-shrink_1280/B4EZrmNcb7GUAs-/0/1764798876253?e=2147483647&amp;v=beta&amp;t=NeYDJB1MD77kcw4CxKAT-yn3SREY5GDx_M6aZnp9s6k","View Creative")</f>
        <v>View Creative</v>
      </c>
      <c r="L3405" s="4" t="s">
        <v>106</v>
      </c>
      <c r="M3405" s="4" t="s">
        <v>5965</v>
      </c>
      <c r="O3405" s="4" t="s">
        <v>63</v>
      </c>
      <c r="P3405" s="4" t="s">
        <v>64</v>
      </c>
    </row>
    <row r="3406">
      <c r="A3406" s="4" t="s">
        <v>5965</v>
      </c>
      <c r="B3406" s="4" t="s">
        <v>5965</v>
      </c>
      <c r="C3406" s="4">
        <v>1795.0</v>
      </c>
      <c r="D3406" s="5" t="str">
        <f>HYPERLINK("https://www.linkedin.com/ad-library/detail/983172686","Open Ad")</f>
        <v>Open Ad</v>
      </c>
      <c r="E3406" s="4" t="s">
        <v>78</v>
      </c>
      <c r="F3406" s="4" t="s">
        <v>54</v>
      </c>
      <c r="G3406" s="4" t="s">
        <v>6676</v>
      </c>
      <c r="H3406" s="4" t="s">
        <v>49</v>
      </c>
      <c r="I3406" s="4" t="s">
        <v>6005</v>
      </c>
      <c r="J3406" s="4" t="s">
        <v>78</v>
      </c>
      <c r="K3406" s="5" t="str">
        <f t="shared" ref="K3406:K3407" si="183">HYPERLINK("https://media.licdn.com/dms/image/v2/D4E22AQH83ZgSoXBKhQ/feedshare-shrink_1280/B4EZrphvEoGUAw-/0/1764854527251?e=2147483647&amp;v=beta&amp;t=T_eYpJgdvpqecMBc-uSxVBkZk3bEYRj-PgU0FhrKDwk","View Creative")</f>
        <v>View Creative</v>
      </c>
      <c r="L3406" s="4" t="s">
        <v>106</v>
      </c>
      <c r="M3406" s="4" t="s">
        <v>5965</v>
      </c>
      <c r="O3406" s="4" t="s">
        <v>63</v>
      </c>
      <c r="P3406" s="4" t="s">
        <v>64</v>
      </c>
    </row>
    <row r="3407">
      <c r="A3407" s="4" t="s">
        <v>5965</v>
      </c>
      <c r="B3407" s="4" t="s">
        <v>5965</v>
      </c>
      <c r="C3407" s="4">
        <v>1796.0</v>
      </c>
      <c r="D3407" s="5" t="str">
        <f>HYPERLINK("https://www.linkedin.com/ad-library/detail/983345456","Open Ad")</f>
        <v>Open Ad</v>
      </c>
      <c r="E3407" s="4" t="s">
        <v>78</v>
      </c>
      <c r="F3407" s="4" t="s">
        <v>54</v>
      </c>
      <c r="G3407" s="4" t="s">
        <v>6676</v>
      </c>
      <c r="H3407" s="4" t="s">
        <v>49</v>
      </c>
      <c r="I3407" s="4" t="s">
        <v>6005</v>
      </c>
      <c r="J3407" s="4" t="s">
        <v>78</v>
      </c>
      <c r="K3407" s="5" t="str">
        <f t="shared" si="183"/>
        <v>View Creative</v>
      </c>
      <c r="L3407" s="4" t="s">
        <v>106</v>
      </c>
      <c r="M3407" s="4" t="s">
        <v>5965</v>
      </c>
      <c r="O3407" s="4" t="s">
        <v>63</v>
      </c>
      <c r="P3407" s="4" t="s">
        <v>64</v>
      </c>
    </row>
    <row r="3408">
      <c r="A3408" s="4" t="s">
        <v>5965</v>
      </c>
      <c r="B3408" s="4" t="s">
        <v>5965</v>
      </c>
      <c r="C3408" s="4">
        <v>1797.0</v>
      </c>
      <c r="D3408" s="5" t="str">
        <f>HYPERLINK("https://www.linkedin.com/ad-library/detail/981426296","Open Ad")</f>
        <v>Open Ad</v>
      </c>
      <c r="E3408" s="4" t="s">
        <v>78</v>
      </c>
      <c r="F3408" s="4" t="s">
        <v>54</v>
      </c>
      <c r="G3408" s="4" t="s">
        <v>6678</v>
      </c>
      <c r="H3408" s="4" t="s">
        <v>49</v>
      </c>
      <c r="I3408" s="4" t="s">
        <v>6005</v>
      </c>
      <c r="J3408" s="4" t="s">
        <v>78</v>
      </c>
      <c r="K3408" s="5" t="str">
        <f t="shared" ref="K3408:K3409" si="184">HYPERLINK("https://media.licdn.com/dms/image/v2/D4E22AQH_9U9L6unTIQ/feedshare-shrink_1280/B4EZrmNcb7GUAs-/0/1764798876253?e=2147483647&amp;v=beta&amp;t=NeYDJB1MD77kcw4CxKAT-yn3SREY5GDx_M6aZnp9s6k","View Creative")</f>
        <v>View Creative</v>
      </c>
      <c r="L3408" s="4" t="s">
        <v>106</v>
      </c>
      <c r="M3408" s="4" t="s">
        <v>5965</v>
      </c>
      <c r="O3408" s="4" t="s">
        <v>63</v>
      </c>
      <c r="P3408" s="4" t="s">
        <v>64</v>
      </c>
    </row>
    <row r="3409">
      <c r="A3409" s="4" t="s">
        <v>5965</v>
      </c>
      <c r="B3409" s="4" t="s">
        <v>5965</v>
      </c>
      <c r="C3409" s="4">
        <v>1798.0</v>
      </c>
      <c r="D3409" s="5" t="str">
        <f>HYPERLINK("https://www.linkedin.com/ad-library/detail/981912746","Open Ad")</f>
        <v>Open Ad</v>
      </c>
      <c r="E3409" s="4" t="s">
        <v>78</v>
      </c>
      <c r="F3409" s="4" t="s">
        <v>54</v>
      </c>
      <c r="G3409" s="4" t="s">
        <v>6678</v>
      </c>
      <c r="H3409" s="4" t="s">
        <v>49</v>
      </c>
      <c r="I3409" s="4" t="s">
        <v>6005</v>
      </c>
      <c r="J3409" s="4" t="s">
        <v>78</v>
      </c>
      <c r="K3409" s="5" t="str">
        <f t="shared" si="184"/>
        <v>View Creative</v>
      </c>
      <c r="L3409" s="4" t="s">
        <v>106</v>
      </c>
      <c r="M3409" s="4" t="s">
        <v>5965</v>
      </c>
      <c r="O3409" s="4" t="s">
        <v>63</v>
      </c>
      <c r="P3409" s="4" t="s">
        <v>64</v>
      </c>
    </row>
    <row r="3410">
      <c r="A3410" s="4" t="s">
        <v>5965</v>
      </c>
      <c r="B3410" s="4" t="s">
        <v>5965</v>
      </c>
      <c r="C3410" s="4">
        <v>1799.0</v>
      </c>
      <c r="D3410" s="5" t="str">
        <f>HYPERLINK("https://www.linkedin.com/ad-library/detail/979641186","Open Ad")</f>
        <v>Open Ad</v>
      </c>
      <c r="E3410" s="4" t="s">
        <v>78</v>
      </c>
      <c r="F3410" s="4" t="s">
        <v>54</v>
      </c>
      <c r="G3410" s="4" t="s">
        <v>6675</v>
      </c>
      <c r="H3410" s="4" t="s">
        <v>49</v>
      </c>
      <c r="I3410" s="4" t="s">
        <v>6005</v>
      </c>
      <c r="J3410" s="4" t="s">
        <v>78</v>
      </c>
      <c r="K3410" s="5" t="str">
        <f>HYPERLINK("https://media.licdn.com/dms/image/v2/D4E22AQF3C3EkKbs0DA/feedshare-shrink_1280/B4EZrlz1RAIQAs-/0/1764792161971?e=2147483647&amp;v=beta&amp;t=X-EQn9cNIDgr9AFf-qarM-nJJsCMdb5br7yo-45B_Ao","View Creative")</f>
        <v>View Creative</v>
      </c>
      <c r="L3410" s="4" t="s">
        <v>106</v>
      </c>
      <c r="M3410" s="4" t="s">
        <v>5965</v>
      </c>
      <c r="O3410" s="4" t="s">
        <v>63</v>
      </c>
      <c r="P3410" s="4" t="s">
        <v>64</v>
      </c>
    </row>
    <row r="3411">
      <c r="A3411" s="4" t="s">
        <v>5965</v>
      </c>
      <c r="B3411" s="4" t="s">
        <v>5965</v>
      </c>
      <c r="C3411" s="4">
        <v>1800.0</v>
      </c>
      <c r="D3411" s="5" t="str">
        <f>HYPERLINK("https://www.linkedin.com/ad-library/detail/987774916","Open Ad")</f>
        <v>Open Ad</v>
      </c>
      <c r="E3411" s="4" t="s">
        <v>121</v>
      </c>
      <c r="F3411" s="4" t="s">
        <v>54</v>
      </c>
      <c r="G3411" s="4" t="s">
        <v>6679</v>
      </c>
      <c r="H3411" s="4" t="s">
        <v>49</v>
      </c>
      <c r="I3411" s="4" t="s">
        <v>6005</v>
      </c>
      <c r="J3411" s="4" t="s">
        <v>121</v>
      </c>
      <c r="K3411" s="5" t="str">
        <f>HYPERLINK("https://dms.licdn.com/playlist/vid/v2/D4E05AQH3EuvMATNWyQ/mp4-640p-30fp-crf28/B4EZsOcqX_IUBw-/0/1765473966308?e=2147483647&amp;v=beta&amp;t=cWByNt-2tYjMfVG6S-bsGDG2tg3ztYYVgSJxcM5WN_4","View Creative")</f>
        <v>View Creative</v>
      </c>
      <c r="L3411" s="4" t="s">
        <v>106</v>
      </c>
      <c r="M3411" s="4" t="s">
        <v>5965</v>
      </c>
      <c r="O3411" s="4" t="s">
        <v>63</v>
      </c>
      <c r="P3411" s="4" t="s">
        <v>64</v>
      </c>
    </row>
    <row r="3412">
      <c r="A3412" s="4" t="s">
        <v>5965</v>
      </c>
      <c r="B3412" s="4" t="s">
        <v>5965</v>
      </c>
      <c r="C3412" s="4">
        <v>1801.0</v>
      </c>
      <c r="D3412" s="5" t="str">
        <f>HYPERLINK("https://www.linkedin.com/ad-library/detail/959110886","Open Ad")</f>
        <v>Open Ad</v>
      </c>
      <c r="E3412" s="4" t="s">
        <v>78</v>
      </c>
      <c r="F3412" s="4" t="s">
        <v>54</v>
      </c>
      <c r="G3412" s="4" t="s">
        <v>6618</v>
      </c>
      <c r="H3412" s="4" t="s">
        <v>49</v>
      </c>
      <c r="I3412" s="4" t="s">
        <v>6005</v>
      </c>
      <c r="J3412" s="4" t="s">
        <v>78</v>
      </c>
      <c r="K3412" s="5" t="str">
        <f>HYPERLINK("https://media.licdn.com/dms/image/v2/D4E22AQFicauXoZbtgA/feedshare-shrink_1280/B4EZp41Bo.KcAs-/0/1762963759302?e=2147483647&amp;v=beta&amp;t=Q9_WQd3fUm2lq_LyH8MrkZZfebmukr0s9NebbnGh9cI","View Creative")</f>
        <v>View Creative</v>
      </c>
      <c r="L3412" s="4" t="s">
        <v>106</v>
      </c>
      <c r="M3412" s="4" t="s">
        <v>5965</v>
      </c>
      <c r="O3412" s="4" t="s">
        <v>63</v>
      </c>
      <c r="P3412" s="4" t="s">
        <v>64</v>
      </c>
    </row>
    <row r="3413">
      <c r="A3413" s="4" t="s">
        <v>5965</v>
      </c>
      <c r="B3413" s="4" t="s">
        <v>5965</v>
      </c>
      <c r="C3413" s="4">
        <v>1802.0</v>
      </c>
      <c r="D3413" s="5" t="str">
        <f>HYPERLINK("https://www.linkedin.com/ad-library/detail/958812296","Open Ad")</f>
        <v>Open Ad</v>
      </c>
      <c r="E3413" s="4" t="s">
        <v>78</v>
      </c>
      <c r="F3413" s="4" t="s">
        <v>54</v>
      </c>
      <c r="G3413" s="4" t="s">
        <v>6682</v>
      </c>
      <c r="H3413" s="4" t="s">
        <v>49</v>
      </c>
      <c r="I3413" s="4" t="s">
        <v>6005</v>
      </c>
      <c r="J3413" s="4" t="s">
        <v>78</v>
      </c>
      <c r="K3413" s="5" t="str">
        <f>HYPERLINK("https://media.licdn.com/dms/image/v2/D4E22AQFfQc1IvIgvZA/feedshare-shrink_1280/B4EZp.bb29KMAs-/0/1763057713180?e=2147483647&amp;v=beta&amp;t=wFYg95h2czNQV5k4bU52vcUC-_DccJY6NhsYqILukaw","View Creative")</f>
        <v>View Creative</v>
      </c>
      <c r="L3413" s="4" t="s">
        <v>106</v>
      </c>
      <c r="M3413" s="4" t="s">
        <v>5965</v>
      </c>
      <c r="O3413" s="4" t="s">
        <v>63</v>
      </c>
      <c r="P3413" s="4" t="s">
        <v>64</v>
      </c>
    </row>
    <row r="3414">
      <c r="A3414" s="4" t="s">
        <v>5965</v>
      </c>
      <c r="B3414" s="4" t="s">
        <v>5965</v>
      </c>
      <c r="C3414" s="4">
        <v>1803.0</v>
      </c>
      <c r="D3414" s="5" t="str">
        <f>HYPERLINK("https://www.linkedin.com/ad-library/detail/975427506","Open Ad")</f>
        <v>Open Ad</v>
      </c>
      <c r="E3414" s="4" t="s">
        <v>121</v>
      </c>
      <c r="F3414" s="4" t="s">
        <v>54</v>
      </c>
      <c r="G3414" s="4" t="s">
        <v>6389</v>
      </c>
      <c r="H3414" s="4" t="s">
        <v>49</v>
      </c>
      <c r="I3414" s="4" t="s">
        <v>6005</v>
      </c>
      <c r="J3414" s="4" t="s">
        <v>121</v>
      </c>
      <c r="K3414" s="5" t="str">
        <f>HYPERLINK("https://dms.licdn.com/playlist/vid/v2/D4E05AQEZIBMQ5dvMiw/mp4-640p-30fp-crf28/B4EZq7fWtpGcB0-/0/1764082160741?e=2147483647&amp;v=beta&amp;t=XFL1jBqfg-_iulKKPx99xtiUuPTR1oKXosCHSzSTLSs","View Creative")</f>
        <v>View Creative</v>
      </c>
      <c r="L3414" s="4" t="s">
        <v>106</v>
      </c>
      <c r="M3414" s="4" t="s">
        <v>5965</v>
      </c>
      <c r="O3414" s="4" t="s">
        <v>63</v>
      </c>
      <c r="P3414" s="4" t="s">
        <v>64</v>
      </c>
    </row>
    <row r="3415">
      <c r="A3415" s="4" t="s">
        <v>5965</v>
      </c>
      <c r="B3415" s="4" t="s">
        <v>5965</v>
      </c>
      <c r="C3415" s="4">
        <v>1804.0</v>
      </c>
      <c r="D3415" s="5" t="str">
        <f>HYPERLINK("https://www.linkedin.com/ad-library/detail/972897616","Open Ad")</f>
        <v>Open Ad</v>
      </c>
      <c r="E3415" s="4" t="s">
        <v>78</v>
      </c>
      <c r="F3415" s="4" t="s">
        <v>54</v>
      </c>
      <c r="G3415" s="4" t="s">
        <v>6683</v>
      </c>
      <c r="H3415" s="4" t="s">
        <v>49</v>
      </c>
      <c r="I3415" s="4" t="s">
        <v>6005</v>
      </c>
      <c r="J3415" s="4" t="s">
        <v>78</v>
      </c>
      <c r="K3415" s="5" t="str">
        <f>HYPERLINK("https://media.licdn.com/dms/image/v2/D4E22AQFvRq2j2DIsQw/feedshare-shrink_1280/B4EZh7CNOYHgAk-/0/1754410833402?e=2147483647&amp;v=beta&amp;t=s24uwfUsaXqukSWitS8dOJx_EafSxhqZjlKyYBdt_34","View Creative")</f>
        <v>View Creative</v>
      </c>
      <c r="L3415" s="4" t="s">
        <v>106</v>
      </c>
      <c r="M3415" s="4" t="s">
        <v>5965</v>
      </c>
      <c r="O3415" s="4" t="s">
        <v>63</v>
      </c>
      <c r="P3415" s="4" t="s">
        <v>64</v>
      </c>
    </row>
    <row r="3416">
      <c r="A3416" s="4" t="s">
        <v>5965</v>
      </c>
      <c r="B3416" s="4" t="s">
        <v>5965</v>
      </c>
      <c r="C3416" s="4">
        <v>1805.0</v>
      </c>
      <c r="D3416" s="5" t="str">
        <f>HYPERLINK("https://www.linkedin.com/ad-library/detail/981714886","Open Ad")</f>
        <v>Open Ad</v>
      </c>
      <c r="E3416" s="4" t="s">
        <v>78</v>
      </c>
      <c r="F3416" s="4" t="s">
        <v>54</v>
      </c>
      <c r="G3416" s="4" t="s">
        <v>6675</v>
      </c>
      <c r="H3416" s="4" t="s">
        <v>49</v>
      </c>
      <c r="I3416" s="4" t="s">
        <v>6005</v>
      </c>
      <c r="J3416" s="4" t="s">
        <v>78</v>
      </c>
      <c r="K3416" s="5" t="str">
        <f>HYPERLINK("https://media.licdn.com/dms/image/v2/D4E22AQF3C3EkKbs0DA/feedshare-shrink_1280/B4EZrlz1RAIQAs-/0/1764792161971?e=2147483647&amp;v=beta&amp;t=X-EQn9cNIDgr9AFf-qarM-nJJsCMdb5br7yo-45B_Ao","View Creative")</f>
        <v>View Creative</v>
      </c>
      <c r="L3416" s="4" t="s">
        <v>106</v>
      </c>
      <c r="M3416" s="4" t="s">
        <v>5965</v>
      </c>
      <c r="O3416" s="4" t="s">
        <v>63</v>
      </c>
      <c r="P3416" s="4" t="s">
        <v>64</v>
      </c>
    </row>
    <row r="3417">
      <c r="A3417" s="4" t="s">
        <v>5965</v>
      </c>
      <c r="B3417" s="4" t="s">
        <v>5965</v>
      </c>
      <c r="C3417" s="4">
        <v>1806.0</v>
      </c>
      <c r="D3417" s="5" t="str">
        <f>HYPERLINK("https://www.linkedin.com/ad-library/detail/979999626","Open Ad")</f>
        <v>Open Ad</v>
      </c>
      <c r="E3417" s="4" t="s">
        <v>78</v>
      </c>
      <c r="F3417" s="4" t="s">
        <v>54</v>
      </c>
      <c r="G3417" s="4" t="s">
        <v>6684</v>
      </c>
      <c r="H3417" s="4" t="s">
        <v>49</v>
      </c>
      <c r="I3417" s="4" t="s">
        <v>6005</v>
      </c>
      <c r="J3417" s="4" t="s">
        <v>78</v>
      </c>
      <c r="K3417" s="5" t="str">
        <f>HYPERLINK("https://media.licdn.com/dms/image/v2/D4E22AQEy6PU3K8VYlQ/feedshare-shrink_1280/B4EZrcjq1kHcAs-/0/1764636929763?e=2147483647&amp;v=beta&amp;t=BpGNtDU20i9tVilAZU2E9d9O9tiURE_4dG95ARM3vEs","View Creative")</f>
        <v>View Creative</v>
      </c>
      <c r="L3417" s="4" t="s">
        <v>106</v>
      </c>
      <c r="M3417" s="4" t="s">
        <v>5965</v>
      </c>
      <c r="O3417" s="4" t="s">
        <v>63</v>
      </c>
      <c r="P3417" s="4" t="s">
        <v>64</v>
      </c>
    </row>
    <row r="3418">
      <c r="A3418" s="4" t="s">
        <v>5965</v>
      </c>
      <c r="B3418" s="4" t="s">
        <v>5965</v>
      </c>
      <c r="C3418" s="4">
        <v>1807.0</v>
      </c>
      <c r="D3418" s="5" t="str">
        <f>HYPERLINK("https://www.linkedin.com/ad-library/detail/965381216","Open Ad")</f>
        <v>Open Ad</v>
      </c>
      <c r="E3418" s="4" t="s">
        <v>121</v>
      </c>
      <c r="F3418" s="4" t="s">
        <v>54</v>
      </c>
      <c r="G3418" s="4" t="s">
        <v>6685</v>
      </c>
      <c r="H3418" s="4" t="s">
        <v>49</v>
      </c>
      <c r="I3418" s="4" t="s">
        <v>6005</v>
      </c>
      <c r="J3418" s="4" t="s">
        <v>121</v>
      </c>
      <c r="K3418" s="5" t="str">
        <f>HYPERLINK("https://dms.licdn.com/playlist/vid/v2/D4E05AQGCiNaRA_-J1Q/mp4-640p-30fp-crf28/B4EZqXfFdvKYB0-/0/1763478103219?e=2147483647&amp;v=beta&amp;t=YlsPzyU67g3Sx5C4KmYB6r9N-iFT_d7xWhSPjvwDT_k","View Creative")</f>
        <v>View Creative</v>
      </c>
      <c r="L3418" s="4" t="s">
        <v>106</v>
      </c>
      <c r="M3418" s="4" t="s">
        <v>5965</v>
      </c>
      <c r="O3418" s="4" t="s">
        <v>63</v>
      </c>
      <c r="P3418" s="4" t="s">
        <v>64</v>
      </c>
    </row>
    <row r="3419">
      <c r="A3419" s="4" t="s">
        <v>5965</v>
      </c>
      <c r="B3419" s="4" t="s">
        <v>5965</v>
      </c>
      <c r="C3419" s="4">
        <v>1808.0</v>
      </c>
      <c r="D3419" s="5" t="str">
        <f>HYPERLINK("https://www.linkedin.com/ad-library/detail/957837356","Open Ad")</f>
        <v>Open Ad</v>
      </c>
      <c r="E3419" s="4" t="s">
        <v>78</v>
      </c>
      <c r="F3419" s="4" t="s">
        <v>54</v>
      </c>
      <c r="G3419" s="4" t="s">
        <v>6682</v>
      </c>
      <c r="H3419" s="4" t="s">
        <v>49</v>
      </c>
      <c r="I3419" s="4" t="s">
        <v>6005</v>
      </c>
      <c r="J3419" s="4" t="s">
        <v>78</v>
      </c>
      <c r="K3419" s="5" t="str">
        <f>HYPERLINK("https://media.licdn.com/dms/image/v2/D4E22AQFfQc1IvIgvZA/feedshare-shrink_1280/B4EZp.bb29KMAs-/0/1763057713180?e=2147483647&amp;v=beta&amp;t=wFYg95h2czNQV5k4bU52vcUC-_DccJY6NhsYqILukaw","View Creative")</f>
        <v>View Creative</v>
      </c>
      <c r="L3419" s="4" t="s">
        <v>106</v>
      </c>
      <c r="M3419" s="4" t="s">
        <v>5965</v>
      </c>
      <c r="O3419" s="4" t="s">
        <v>63</v>
      </c>
      <c r="P3419" s="4" t="s">
        <v>64</v>
      </c>
    </row>
    <row r="3420">
      <c r="A3420" s="4" t="s">
        <v>5965</v>
      </c>
      <c r="B3420" s="4" t="s">
        <v>5965</v>
      </c>
      <c r="C3420" s="4">
        <v>1809.0</v>
      </c>
      <c r="D3420" s="5" t="str">
        <f>HYPERLINK("https://www.linkedin.com/ad-library/detail/967220546","Open Ad")</f>
        <v>Open Ad</v>
      </c>
      <c r="E3420" s="4" t="s">
        <v>78</v>
      </c>
      <c r="F3420" s="4" t="s">
        <v>54</v>
      </c>
      <c r="G3420" s="4" t="s">
        <v>6686</v>
      </c>
      <c r="H3420" s="4" t="s">
        <v>49</v>
      </c>
      <c r="I3420" s="4" t="s">
        <v>6005</v>
      </c>
      <c r="J3420" s="4" t="s">
        <v>78</v>
      </c>
      <c r="K3420" s="5" t="str">
        <f>HYPERLINK("https://media.licdn.com/dms/image/v2/D5610AQEoptN2wRz3Tw/image-shrink_1280/B56ZqdGhuAG0AU-/0/1763572326270/ICG-Shelby-Clark-Masterclasspng?e=2147483647&amp;v=beta&amp;t=FfIUZWbX5UwxEOjlQmQEgQOVSF63nEhoz66DDVieeIQ","View Creative")</f>
        <v>View Creative</v>
      </c>
      <c r="L3420" s="4" t="s">
        <v>106</v>
      </c>
      <c r="M3420" s="4" t="s">
        <v>5965</v>
      </c>
      <c r="O3420" s="4" t="s">
        <v>63</v>
      </c>
      <c r="P3420" s="4" t="s">
        <v>64</v>
      </c>
    </row>
    <row r="3421">
      <c r="A3421" s="4" t="s">
        <v>5965</v>
      </c>
      <c r="B3421" s="4" t="s">
        <v>5965</v>
      </c>
      <c r="C3421" s="4">
        <v>1810.0</v>
      </c>
      <c r="D3421" s="5" t="str">
        <f>HYPERLINK("https://www.linkedin.com/ad-library/detail/959979806","Open Ad")</f>
        <v>Open Ad</v>
      </c>
      <c r="E3421" s="4" t="s">
        <v>78</v>
      </c>
      <c r="F3421" s="4" t="s">
        <v>54</v>
      </c>
      <c r="G3421" s="4" t="s">
        <v>6618</v>
      </c>
      <c r="H3421" s="4" t="s">
        <v>49</v>
      </c>
      <c r="I3421" s="4" t="s">
        <v>6005</v>
      </c>
      <c r="J3421" s="4" t="s">
        <v>78</v>
      </c>
      <c r="K3421" s="5" t="str">
        <f>HYPERLINK("https://media.licdn.com/dms/image/v2/D4E22AQFicauXoZbtgA/feedshare-shrink_1280/B4EZp41Bo.KcAs-/0/1762963759302?e=2147483647&amp;v=beta&amp;t=Q9_WQd3fUm2lq_LyH8MrkZZfebmukr0s9NebbnGh9cI","View Creative")</f>
        <v>View Creative</v>
      </c>
      <c r="L3421" s="4" t="s">
        <v>106</v>
      </c>
      <c r="M3421" s="4" t="s">
        <v>5965</v>
      </c>
      <c r="O3421" s="4" t="s">
        <v>63</v>
      </c>
      <c r="P3421" s="4" t="s">
        <v>64</v>
      </c>
    </row>
    <row r="3422">
      <c r="A3422" s="4" t="s">
        <v>5965</v>
      </c>
      <c r="B3422" s="4" t="s">
        <v>5965</v>
      </c>
      <c r="C3422" s="4">
        <v>1811.0</v>
      </c>
      <c r="D3422" s="5" t="str">
        <f>HYPERLINK("https://www.linkedin.com/ad-library/detail/979999726","Open Ad")</f>
        <v>Open Ad</v>
      </c>
      <c r="E3422" s="4" t="s">
        <v>121</v>
      </c>
      <c r="F3422" s="4" t="s">
        <v>54</v>
      </c>
      <c r="G3422" s="4" t="s">
        <v>6687</v>
      </c>
      <c r="H3422" s="4" t="s">
        <v>49</v>
      </c>
      <c r="I3422" s="4" t="s">
        <v>6005</v>
      </c>
      <c r="J3422" s="4" t="s">
        <v>121</v>
      </c>
      <c r="K3422" s="5" t="str">
        <f>HYPERLINK("https://dms.licdn.com/playlist/vid/v2/D5605AQFmbcoAQEcf9A/mp4-640p-30fp-crf28/B56Zq8vQrjJ8Bw-/0/1764103120122?e=2147483647&amp;v=beta&amp;t=WkiqqeBxK4zRqZn8J1s0uO6TlPlsev69aY6g3Ch2Bqg","View Creative")</f>
        <v>View Creative</v>
      </c>
      <c r="L3422" s="4" t="s">
        <v>106</v>
      </c>
      <c r="M3422" s="4" t="s">
        <v>5965</v>
      </c>
      <c r="O3422" s="4" t="s">
        <v>63</v>
      </c>
      <c r="P3422" s="4" t="s">
        <v>64</v>
      </c>
    </row>
    <row r="3423">
      <c r="A3423" s="4" t="s">
        <v>5965</v>
      </c>
      <c r="B3423" s="4" t="s">
        <v>5965</v>
      </c>
      <c r="C3423" s="4">
        <v>1812.0</v>
      </c>
      <c r="D3423" s="5" t="str">
        <f>HYPERLINK("https://www.linkedin.com/ad-library/detail/974097466","Open Ad")</f>
        <v>Open Ad</v>
      </c>
      <c r="E3423" s="4" t="s">
        <v>78</v>
      </c>
      <c r="F3423" s="4" t="s">
        <v>54</v>
      </c>
      <c r="G3423" s="4" t="s">
        <v>6683</v>
      </c>
      <c r="H3423" s="4" t="s">
        <v>49</v>
      </c>
      <c r="I3423" s="4" t="s">
        <v>6005</v>
      </c>
      <c r="J3423" s="4" t="s">
        <v>78</v>
      </c>
      <c r="K3423" s="5" t="str">
        <f>HYPERLINK("https://media.licdn.com/dms/image/v2/D4E22AQFvRq2j2DIsQw/feedshare-shrink_1280/B4EZh7CNOYHgAk-/0/1754410833402?e=2147483647&amp;v=beta&amp;t=s24uwfUsaXqukSWitS8dOJx_EafSxhqZjlKyYBdt_34","View Creative")</f>
        <v>View Creative</v>
      </c>
      <c r="L3423" s="4" t="s">
        <v>106</v>
      </c>
      <c r="M3423" s="4" t="s">
        <v>5965</v>
      </c>
      <c r="O3423" s="4" t="s">
        <v>63</v>
      </c>
      <c r="P3423" s="4" t="s">
        <v>64</v>
      </c>
    </row>
    <row r="3424">
      <c r="A3424" s="4" t="s">
        <v>5965</v>
      </c>
      <c r="B3424" s="4" t="s">
        <v>5965</v>
      </c>
      <c r="C3424" s="4">
        <v>1813.0</v>
      </c>
      <c r="D3424" s="5" t="str">
        <f>HYPERLINK("https://www.linkedin.com/ad-library/detail/977773416","Open Ad")</f>
        <v>Open Ad</v>
      </c>
      <c r="E3424" s="4" t="s">
        <v>78</v>
      </c>
      <c r="F3424" s="4" t="s">
        <v>54</v>
      </c>
      <c r="G3424" s="4" t="s">
        <v>6684</v>
      </c>
      <c r="H3424" s="4" t="s">
        <v>49</v>
      </c>
      <c r="I3424" s="4" t="s">
        <v>6005</v>
      </c>
      <c r="J3424" s="4" t="s">
        <v>78</v>
      </c>
      <c r="K3424" s="5" t="str">
        <f>HYPERLINK("https://media.licdn.com/dms/image/v2/D4E22AQEy6PU3K8VYlQ/feedshare-shrink_1280/B4EZrcjq1kHcAs-/0/1764636929763?e=2147483647&amp;v=beta&amp;t=BpGNtDU20i9tVilAZU2E9d9O9tiURE_4dG95ARM3vEs","View Creative")</f>
        <v>View Creative</v>
      </c>
      <c r="L3424" s="4" t="s">
        <v>106</v>
      </c>
      <c r="M3424" s="4" t="s">
        <v>5965</v>
      </c>
      <c r="O3424" s="4" t="s">
        <v>63</v>
      </c>
      <c r="P3424" s="4" t="s">
        <v>64</v>
      </c>
    </row>
    <row r="3425">
      <c r="A3425" s="4" t="s">
        <v>5965</v>
      </c>
      <c r="B3425" s="4" t="s">
        <v>5965</v>
      </c>
      <c r="C3425" s="4">
        <v>1814.0</v>
      </c>
      <c r="D3425" s="5" t="str">
        <f>HYPERLINK("https://www.linkedin.com/ad-library/detail/979487766","Open Ad")</f>
        <v>Open Ad</v>
      </c>
      <c r="E3425" s="4" t="s">
        <v>5970</v>
      </c>
      <c r="F3425" s="4" t="s">
        <v>54</v>
      </c>
      <c r="G3425" s="4" t="s">
        <v>6688</v>
      </c>
      <c r="H3425" s="4" t="s">
        <v>49</v>
      </c>
      <c r="I3425" s="4" t="s">
        <v>6005</v>
      </c>
      <c r="J3425" s="4" t="s">
        <v>5973</v>
      </c>
      <c r="K3425" s="4" t="s">
        <v>59</v>
      </c>
      <c r="L3425" s="4" t="s">
        <v>106</v>
      </c>
      <c r="M3425" s="4" t="s">
        <v>5965</v>
      </c>
      <c r="O3425" s="4" t="s">
        <v>63</v>
      </c>
      <c r="P3425" s="4" t="s">
        <v>64</v>
      </c>
    </row>
    <row r="3426">
      <c r="A3426" s="4" t="s">
        <v>5965</v>
      </c>
      <c r="B3426" s="4" t="s">
        <v>5965</v>
      </c>
      <c r="C3426" s="4">
        <v>1815.0</v>
      </c>
      <c r="D3426" s="5" t="str">
        <f>HYPERLINK("https://www.linkedin.com/ad-library/detail/964981456","Open Ad")</f>
        <v>Open Ad</v>
      </c>
      <c r="E3426" s="4" t="s">
        <v>121</v>
      </c>
      <c r="F3426" s="4" t="s">
        <v>54</v>
      </c>
      <c r="G3426" s="4" t="s">
        <v>6685</v>
      </c>
      <c r="H3426" s="4" t="s">
        <v>49</v>
      </c>
      <c r="I3426" s="4" t="s">
        <v>6005</v>
      </c>
      <c r="J3426" s="4" t="s">
        <v>121</v>
      </c>
      <c r="K3426" s="5" t="str">
        <f>HYPERLINK("https://dms.licdn.com/playlist/vid/v2/D4E05AQGCiNaRA_-J1Q/mp4-640p-30fp-crf28/B4EZqXfFdvKYB0-/0/1763478103219?e=2147483647&amp;v=beta&amp;t=YlsPzyU67g3Sx5C4KmYB6r9N-iFT_d7xWhSPjvwDT_k","View Creative")</f>
        <v>View Creative</v>
      </c>
      <c r="L3426" s="4" t="s">
        <v>106</v>
      </c>
      <c r="M3426" s="4" t="s">
        <v>5965</v>
      </c>
      <c r="O3426" s="4" t="s">
        <v>63</v>
      </c>
      <c r="P3426" s="4" t="s">
        <v>64</v>
      </c>
    </row>
    <row r="3427">
      <c r="A3427" s="4" t="s">
        <v>5965</v>
      </c>
      <c r="B3427" s="4" t="s">
        <v>5965</v>
      </c>
      <c r="C3427" s="4">
        <v>1816.0</v>
      </c>
      <c r="D3427" s="5" t="str">
        <f>HYPERLINK("https://www.linkedin.com/ad-library/detail/981200116","Open Ad")</f>
        <v>Open Ad</v>
      </c>
      <c r="E3427" s="4" t="s">
        <v>5970</v>
      </c>
      <c r="F3427" s="4" t="s">
        <v>54</v>
      </c>
      <c r="G3427" s="4" t="s">
        <v>6689</v>
      </c>
      <c r="H3427" s="4" t="s">
        <v>49</v>
      </c>
      <c r="I3427" s="4" t="s">
        <v>6005</v>
      </c>
      <c r="J3427" s="4" t="s">
        <v>5973</v>
      </c>
      <c r="K3427" s="4" t="s">
        <v>59</v>
      </c>
      <c r="L3427" s="4" t="s">
        <v>106</v>
      </c>
      <c r="M3427" s="4" t="s">
        <v>5965</v>
      </c>
      <c r="O3427" s="4" t="s">
        <v>63</v>
      </c>
      <c r="P3427" s="4" t="s">
        <v>64</v>
      </c>
    </row>
    <row r="3428">
      <c r="A3428" s="4" t="s">
        <v>5965</v>
      </c>
      <c r="B3428" s="4" t="s">
        <v>5965</v>
      </c>
      <c r="C3428" s="4">
        <v>1817.0</v>
      </c>
      <c r="D3428" s="5" t="str">
        <f>HYPERLINK("https://www.linkedin.com/ad-library/detail/979588286","Open Ad")</f>
        <v>Open Ad</v>
      </c>
      <c r="E3428" s="4" t="s">
        <v>5970</v>
      </c>
      <c r="F3428" s="4" t="s">
        <v>54</v>
      </c>
      <c r="G3428" s="4" t="s">
        <v>6690</v>
      </c>
      <c r="H3428" s="4" t="s">
        <v>49</v>
      </c>
      <c r="I3428" s="4" t="s">
        <v>6005</v>
      </c>
      <c r="J3428" s="4" t="s">
        <v>5973</v>
      </c>
      <c r="K3428" s="4" t="s">
        <v>59</v>
      </c>
      <c r="L3428" s="4" t="s">
        <v>106</v>
      </c>
      <c r="M3428" s="4" t="s">
        <v>5965</v>
      </c>
      <c r="O3428" s="4" t="s">
        <v>63</v>
      </c>
      <c r="P3428" s="4" t="s">
        <v>64</v>
      </c>
    </row>
    <row r="3429">
      <c r="A3429" s="4" t="s">
        <v>5965</v>
      </c>
      <c r="B3429" s="4" t="s">
        <v>5965</v>
      </c>
      <c r="C3429" s="4">
        <v>1818.0</v>
      </c>
      <c r="D3429" s="5" t="str">
        <f>HYPERLINK("https://www.linkedin.com/ad-library/detail/979487746","Open Ad")</f>
        <v>Open Ad</v>
      </c>
      <c r="E3429" s="4" t="s">
        <v>5970</v>
      </c>
      <c r="F3429" s="4" t="s">
        <v>54</v>
      </c>
      <c r="G3429" s="4" t="s">
        <v>6688</v>
      </c>
      <c r="H3429" s="4" t="s">
        <v>49</v>
      </c>
      <c r="I3429" s="4" t="s">
        <v>6005</v>
      </c>
      <c r="J3429" s="4" t="s">
        <v>5973</v>
      </c>
      <c r="K3429" s="4" t="s">
        <v>59</v>
      </c>
      <c r="L3429" s="4" t="s">
        <v>106</v>
      </c>
      <c r="M3429" s="4" t="s">
        <v>5965</v>
      </c>
      <c r="O3429" s="4" t="s">
        <v>63</v>
      </c>
      <c r="P3429" s="4" t="s">
        <v>64</v>
      </c>
    </row>
    <row r="3430">
      <c r="A3430" s="4" t="s">
        <v>5965</v>
      </c>
      <c r="B3430" s="4" t="s">
        <v>5965</v>
      </c>
      <c r="C3430" s="4">
        <v>1819.0</v>
      </c>
      <c r="D3430" s="5" t="str">
        <f>HYPERLINK("https://www.linkedin.com/ad-library/detail/958812316","Open Ad")</f>
        <v>Open Ad</v>
      </c>
      <c r="E3430" s="4" t="s">
        <v>78</v>
      </c>
      <c r="F3430" s="4" t="s">
        <v>54</v>
      </c>
      <c r="G3430" s="4" t="s">
        <v>6618</v>
      </c>
      <c r="H3430" s="4" t="s">
        <v>49</v>
      </c>
      <c r="I3430" s="4" t="s">
        <v>6005</v>
      </c>
      <c r="J3430" s="4" t="s">
        <v>78</v>
      </c>
      <c r="K3430" s="5" t="str">
        <f>HYPERLINK("https://media.licdn.com/dms/image/v2/D4E22AQFicauXoZbtgA/feedshare-shrink_1280/B4EZp41Bo.KcAs-/0/1762963759302?e=2147483647&amp;v=beta&amp;t=Q9_WQd3fUm2lq_LyH8MrkZZfebmukr0s9NebbnGh9cI","View Creative")</f>
        <v>View Creative</v>
      </c>
      <c r="L3430" s="4" t="s">
        <v>106</v>
      </c>
      <c r="M3430" s="4" t="s">
        <v>5965</v>
      </c>
      <c r="O3430" s="4" t="s">
        <v>63</v>
      </c>
      <c r="P3430" s="4" t="s">
        <v>64</v>
      </c>
    </row>
    <row r="3431">
      <c r="A3431" s="4" t="s">
        <v>5965</v>
      </c>
      <c r="B3431" s="4" t="s">
        <v>5965</v>
      </c>
      <c r="C3431" s="4">
        <v>1820.0</v>
      </c>
      <c r="D3431" s="5" t="str">
        <f>HYPERLINK("https://www.linkedin.com/ad-library/detail/979799526","Open Ad")</f>
        <v>Open Ad</v>
      </c>
      <c r="E3431" s="4" t="s">
        <v>78</v>
      </c>
      <c r="F3431" s="4" t="s">
        <v>54</v>
      </c>
      <c r="G3431" s="4" t="s">
        <v>6684</v>
      </c>
      <c r="H3431" s="4" t="s">
        <v>49</v>
      </c>
      <c r="I3431" s="4" t="s">
        <v>6005</v>
      </c>
      <c r="J3431" s="4" t="s">
        <v>78</v>
      </c>
      <c r="K3431" s="5" t="str">
        <f>HYPERLINK("https://media.licdn.com/dms/image/v2/D4E22AQEy6PU3K8VYlQ/feedshare-shrink_1280/B4EZrcjq1kHcAs-/0/1764636929763?e=2147483647&amp;v=beta&amp;t=BpGNtDU20i9tVilAZU2E9d9O9tiURE_4dG95ARM3vEs","View Creative")</f>
        <v>View Creative</v>
      </c>
      <c r="L3431" s="4" t="s">
        <v>106</v>
      </c>
      <c r="M3431" s="4" t="s">
        <v>5965</v>
      </c>
      <c r="O3431" s="4" t="s">
        <v>63</v>
      </c>
      <c r="P3431" s="4" t="s">
        <v>64</v>
      </c>
    </row>
    <row r="3432">
      <c r="A3432" s="4" t="s">
        <v>5965</v>
      </c>
      <c r="B3432" s="4" t="s">
        <v>5965</v>
      </c>
      <c r="C3432" s="4">
        <v>1821.0</v>
      </c>
      <c r="D3432" s="5" t="str">
        <f>HYPERLINK("https://www.linkedin.com/ad-library/detail/979740746","Open Ad")</f>
        <v>Open Ad</v>
      </c>
      <c r="E3432" s="4" t="s">
        <v>78</v>
      </c>
      <c r="F3432" s="4" t="s">
        <v>54</v>
      </c>
      <c r="G3432" s="4" t="s">
        <v>6675</v>
      </c>
      <c r="H3432" s="4" t="s">
        <v>49</v>
      </c>
      <c r="I3432" s="4" t="s">
        <v>6005</v>
      </c>
      <c r="J3432" s="4" t="s">
        <v>78</v>
      </c>
      <c r="K3432" s="5" t="str">
        <f>HYPERLINK("https://media.licdn.com/dms/image/v2/D4E22AQF3C3EkKbs0DA/feedshare-shrink_1280/B4EZrlz1RAIQAs-/0/1764792161971?e=2147483647&amp;v=beta&amp;t=X-EQn9cNIDgr9AFf-qarM-nJJsCMdb5br7yo-45B_Ao","View Creative")</f>
        <v>View Creative</v>
      </c>
      <c r="L3432" s="4" t="s">
        <v>106</v>
      </c>
      <c r="M3432" s="4" t="s">
        <v>5965</v>
      </c>
      <c r="O3432" s="4" t="s">
        <v>63</v>
      </c>
      <c r="P3432" s="4" t="s">
        <v>64</v>
      </c>
    </row>
    <row r="3433">
      <c r="A3433" s="4" t="s">
        <v>5965</v>
      </c>
      <c r="B3433" s="4" t="s">
        <v>5965</v>
      </c>
      <c r="C3433" s="4">
        <v>1822.0</v>
      </c>
      <c r="D3433" s="5" t="str">
        <f>HYPERLINK("https://www.linkedin.com/ad-library/detail/958216466","Open Ad")</f>
        <v>Open Ad</v>
      </c>
      <c r="E3433" s="4" t="s">
        <v>78</v>
      </c>
      <c r="F3433" s="4" t="s">
        <v>54</v>
      </c>
      <c r="G3433" s="4" t="s">
        <v>6682</v>
      </c>
      <c r="H3433" s="4" t="s">
        <v>49</v>
      </c>
      <c r="I3433" s="4" t="s">
        <v>6005</v>
      </c>
      <c r="J3433" s="4" t="s">
        <v>78</v>
      </c>
      <c r="K3433" s="5" t="str">
        <f>HYPERLINK("https://media.licdn.com/dms/image/v2/D4E22AQFfQc1IvIgvZA/feedshare-shrink_1280/B4EZp.bb29KMAs-/0/1763057713180?e=2147483647&amp;v=beta&amp;t=wFYg95h2czNQV5k4bU52vcUC-_DccJY6NhsYqILukaw","View Creative")</f>
        <v>View Creative</v>
      </c>
      <c r="L3433" s="4" t="s">
        <v>106</v>
      </c>
      <c r="M3433" s="4" t="s">
        <v>5965</v>
      </c>
      <c r="O3433" s="4" t="s">
        <v>63</v>
      </c>
      <c r="P3433" s="4" t="s">
        <v>64</v>
      </c>
    </row>
    <row r="3434">
      <c r="A3434" s="4" t="s">
        <v>5965</v>
      </c>
      <c r="B3434" s="4" t="s">
        <v>5965</v>
      </c>
      <c r="C3434" s="4">
        <v>1823.0</v>
      </c>
      <c r="D3434" s="5" t="str">
        <f>HYPERLINK("https://www.linkedin.com/ad-library/detail/979487706","Open Ad")</f>
        <v>Open Ad</v>
      </c>
      <c r="E3434" s="4" t="s">
        <v>5970</v>
      </c>
      <c r="F3434" s="4" t="s">
        <v>54</v>
      </c>
      <c r="G3434" s="4" t="s">
        <v>6688</v>
      </c>
      <c r="H3434" s="4" t="s">
        <v>49</v>
      </c>
      <c r="I3434" s="4" t="s">
        <v>6005</v>
      </c>
      <c r="J3434" s="4" t="s">
        <v>5973</v>
      </c>
      <c r="K3434" s="4" t="s">
        <v>59</v>
      </c>
      <c r="L3434" s="4" t="s">
        <v>106</v>
      </c>
      <c r="M3434" s="4" t="s">
        <v>5965</v>
      </c>
      <c r="O3434" s="4" t="s">
        <v>63</v>
      </c>
      <c r="P3434" s="4" t="s">
        <v>64</v>
      </c>
    </row>
    <row r="3435">
      <c r="A3435" s="4" t="s">
        <v>5965</v>
      </c>
      <c r="B3435" s="4" t="s">
        <v>5965</v>
      </c>
      <c r="C3435" s="4">
        <v>1824.0</v>
      </c>
      <c r="D3435" s="5" t="str">
        <f>HYPERLINK("https://www.linkedin.com/ad-library/detail/975485856","Open Ad")</f>
        <v>Open Ad</v>
      </c>
      <c r="E3435" s="4" t="s">
        <v>121</v>
      </c>
      <c r="F3435" s="4" t="s">
        <v>54</v>
      </c>
      <c r="G3435" s="4" t="s">
        <v>6389</v>
      </c>
      <c r="H3435" s="4" t="s">
        <v>49</v>
      </c>
      <c r="I3435" s="4" t="s">
        <v>6005</v>
      </c>
      <c r="J3435" s="4" t="s">
        <v>121</v>
      </c>
      <c r="K3435" s="5" t="str">
        <f>HYPERLINK("https://dms.licdn.com/playlist/vid/v2/D4E05AQEZIBMQ5dvMiw/mp4-640p-30fp-crf28/B4EZq7fWtpGcB0-/0/1764082160741?e=2147483647&amp;v=beta&amp;t=XFL1jBqfg-_iulKKPx99xtiUuPTR1oKXosCHSzSTLSs","View Creative")</f>
        <v>View Creative</v>
      </c>
      <c r="L3435" s="4" t="s">
        <v>106</v>
      </c>
      <c r="M3435" s="4" t="s">
        <v>5965</v>
      </c>
      <c r="O3435" s="4" t="s">
        <v>63</v>
      </c>
      <c r="P3435" s="4" t="s">
        <v>64</v>
      </c>
    </row>
    <row r="3436">
      <c r="A3436" s="4" t="s">
        <v>5965</v>
      </c>
      <c r="B3436" s="4" t="s">
        <v>5965</v>
      </c>
      <c r="C3436" s="4">
        <v>1825.0</v>
      </c>
      <c r="D3436" s="5" t="str">
        <f>HYPERLINK("https://www.linkedin.com/ad-library/detail/955042776","Open Ad")</f>
        <v>Open Ad</v>
      </c>
      <c r="E3436" s="4" t="s">
        <v>5970</v>
      </c>
      <c r="F3436" s="4" t="s">
        <v>54</v>
      </c>
      <c r="G3436" s="4" t="s">
        <v>6691</v>
      </c>
      <c r="H3436" s="4" t="s">
        <v>49</v>
      </c>
      <c r="I3436" s="4" t="s">
        <v>6005</v>
      </c>
      <c r="J3436" s="4" t="s">
        <v>5973</v>
      </c>
      <c r="K3436" s="4" t="s">
        <v>59</v>
      </c>
      <c r="L3436" s="4" t="s">
        <v>106</v>
      </c>
      <c r="M3436" s="4" t="s">
        <v>5965</v>
      </c>
      <c r="O3436" s="4" t="s">
        <v>63</v>
      </c>
      <c r="P3436" s="4" t="s">
        <v>64</v>
      </c>
    </row>
    <row r="3437">
      <c r="A3437" s="4" t="s">
        <v>5965</v>
      </c>
      <c r="B3437" s="4" t="s">
        <v>5965</v>
      </c>
      <c r="C3437" s="4">
        <v>1826.0</v>
      </c>
      <c r="D3437" s="5" t="str">
        <f>HYPERLINK("https://www.linkedin.com/ad-library/detail/895443864","Open Ad")</f>
        <v>Open Ad</v>
      </c>
      <c r="E3437" s="4" t="s">
        <v>78</v>
      </c>
      <c r="F3437" s="4" t="s">
        <v>54</v>
      </c>
      <c r="G3437" s="4" t="s">
        <v>6692</v>
      </c>
      <c r="H3437" s="4" t="s">
        <v>49</v>
      </c>
      <c r="I3437" s="4" t="s">
        <v>6005</v>
      </c>
      <c r="J3437" s="4" t="s">
        <v>78</v>
      </c>
      <c r="K3437" s="5" t="str">
        <f>HYPERLINK("https://media.licdn.com/dms/image/v2/D4E10AQE2eHmkk8IaFw/image-shrink_1280/B4EZpYS_0aKkAM-/0/1762417974016/CopyofPROFOUNDADSERIES2zip-32png?e=2147483647&amp;v=beta&amp;t=Apg8EHKhHu3V52wdsJFnRyKc5_VH7p6uoK-z18PcM7Q","View Creative")</f>
        <v>View Creative</v>
      </c>
      <c r="L3437" s="4" t="s">
        <v>106</v>
      </c>
      <c r="M3437" s="4" t="s">
        <v>5965</v>
      </c>
      <c r="O3437" s="4" t="s">
        <v>63</v>
      </c>
      <c r="P3437" s="4" t="s">
        <v>64</v>
      </c>
    </row>
    <row r="3438">
      <c r="A3438" s="4" t="s">
        <v>5965</v>
      </c>
      <c r="B3438" s="4" t="s">
        <v>5965</v>
      </c>
      <c r="C3438" s="4">
        <v>1827.0</v>
      </c>
      <c r="D3438" s="5" t="str">
        <f>HYPERLINK("https://www.linkedin.com/ad-library/detail/955777506","Open Ad")</f>
        <v>Open Ad</v>
      </c>
      <c r="E3438" s="4" t="s">
        <v>78</v>
      </c>
      <c r="F3438" s="4" t="s">
        <v>54</v>
      </c>
      <c r="G3438" s="4" t="s">
        <v>6693</v>
      </c>
      <c r="H3438" s="4" t="s">
        <v>49</v>
      </c>
      <c r="I3438" s="4" t="s">
        <v>6005</v>
      </c>
      <c r="J3438" s="4" t="s">
        <v>78</v>
      </c>
      <c r="K3438" s="5" t="str">
        <f>HYPERLINK("https://media.licdn.com/dms/image/v2/D4E22AQFjBlUIfkAfBw/feedshare-shrink_1280/B4EZp0pXtGKsAs-/0/1762893593922?e=2147483647&amp;v=beta&amp;t=qiXfP8dgyXd5dkEFb3xU6Mv5XUA5RmpvXzSlOKHriBw","View Creative")</f>
        <v>View Creative</v>
      </c>
      <c r="L3438" s="4" t="s">
        <v>106</v>
      </c>
      <c r="M3438" s="4" t="s">
        <v>5965</v>
      </c>
      <c r="O3438" s="4" t="s">
        <v>63</v>
      </c>
      <c r="P3438" s="4" t="s">
        <v>64</v>
      </c>
    </row>
    <row r="3439">
      <c r="A3439" s="4" t="s">
        <v>5965</v>
      </c>
      <c r="B3439" s="4" t="s">
        <v>5965</v>
      </c>
      <c r="C3439" s="4">
        <v>1828.0</v>
      </c>
      <c r="D3439" s="5" t="str">
        <f>HYPERLINK("https://www.linkedin.com/ad-library/detail/954996606","Open Ad")</f>
        <v>Open Ad</v>
      </c>
      <c r="E3439" s="4" t="s">
        <v>78</v>
      </c>
      <c r="F3439" s="4" t="s">
        <v>54</v>
      </c>
      <c r="G3439" s="4" t="s">
        <v>6694</v>
      </c>
      <c r="H3439" s="4" t="s">
        <v>49</v>
      </c>
      <c r="I3439" s="4" t="s">
        <v>6005</v>
      </c>
      <c r="J3439" s="4" t="s">
        <v>78</v>
      </c>
      <c r="K3439" s="5" t="str">
        <f>HYPERLINK("https://media.licdn.com/dms/image/v2/D4E22AQEHt8VYpL5Meg/feedshare-shrink_1280/B4EZpVX45dKkAs-/0/1762368917799?e=2147483647&amp;v=beta&amp;t=oHje3mLIquhOxjLUvAt_bBSV2c6iZ8hSAlZUFUMn3B8","View Creative")</f>
        <v>View Creative</v>
      </c>
      <c r="L3439" s="4" t="s">
        <v>106</v>
      </c>
      <c r="M3439" s="4" t="s">
        <v>5965</v>
      </c>
      <c r="O3439" s="4" t="s">
        <v>63</v>
      </c>
      <c r="P3439" s="4" t="s">
        <v>64</v>
      </c>
    </row>
    <row r="3440">
      <c r="A3440" s="4" t="s">
        <v>5965</v>
      </c>
      <c r="B3440" s="4" t="s">
        <v>5965</v>
      </c>
      <c r="C3440" s="4">
        <v>1829.0</v>
      </c>
      <c r="D3440" s="5" t="str">
        <f>HYPERLINK("https://www.linkedin.com/ad-library/detail/956379036","Open Ad")</f>
        <v>Open Ad</v>
      </c>
      <c r="E3440" s="4" t="s">
        <v>78</v>
      </c>
      <c r="F3440" s="4" t="s">
        <v>54</v>
      </c>
      <c r="G3440" s="4" t="s">
        <v>6695</v>
      </c>
      <c r="H3440" s="4" t="s">
        <v>49</v>
      </c>
      <c r="I3440" s="4" t="s">
        <v>6005</v>
      </c>
      <c r="J3440" s="4" t="s">
        <v>78</v>
      </c>
      <c r="K3440" s="5" t="str">
        <f>HYPERLINK("https://media.licdn.com/dms/image/v2/D4E22AQFO_kMqumirAw/feedshare-shrink_1280/B4EZmW6bmrIIAs-/0/1759173525412?e=2147483647&amp;v=beta&amp;t=CgStZqkZO3BtWGvFFXdtH22rWgz_4YDm1Cxg9TqOEn8","View Creative")</f>
        <v>View Creative</v>
      </c>
      <c r="L3440" s="4" t="s">
        <v>106</v>
      </c>
      <c r="M3440" s="4" t="s">
        <v>5965</v>
      </c>
      <c r="O3440" s="4" t="s">
        <v>63</v>
      </c>
      <c r="P3440" s="4" t="s">
        <v>64</v>
      </c>
    </row>
    <row r="3441">
      <c r="A3441" s="4" t="s">
        <v>5965</v>
      </c>
      <c r="B3441" s="4" t="s">
        <v>5965</v>
      </c>
      <c r="C3441" s="4">
        <v>1830.0</v>
      </c>
      <c r="D3441" s="5" t="str">
        <f>HYPERLINK("https://www.linkedin.com/ad-library/detail/953286986","Open Ad")</f>
        <v>Open Ad</v>
      </c>
      <c r="E3441" s="4" t="s">
        <v>121</v>
      </c>
      <c r="F3441" s="4" t="s">
        <v>54</v>
      </c>
      <c r="G3441" s="4" t="s">
        <v>6696</v>
      </c>
      <c r="H3441" s="4" t="s">
        <v>49</v>
      </c>
      <c r="I3441" s="4" t="s">
        <v>6005</v>
      </c>
      <c r="J3441" s="4" t="s">
        <v>121</v>
      </c>
      <c r="K3441" s="5" t="str">
        <f>HYPERLINK("https://dms.licdn.com/playlist/vid/v2/D4E05AQFI0GRpLVeN0w/mp4-640p-30fp-crf28/B4EZpaGbzJGoBw-/0/1762448234920?e=2147483647&amp;v=beta&amp;t=t_LU17pDJ7_SFGBlTRaDec_Its_tVMhxITjwuZmLt-w","View Creative")</f>
        <v>View Creative</v>
      </c>
      <c r="L3441" s="4" t="s">
        <v>106</v>
      </c>
      <c r="M3441" s="4" t="s">
        <v>5965</v>
      </c>
      <c r="O3441" s="4" t="s">
        <v>63</v>
      </c>
      <c r="P3441" s="4" t="s">
        <v>64</v>
      </c>
    </row>
    <row r="3442">
      <c r="A3442" s="4" t="s">
        <v>5965</v>
      </c>
      <c r="B3442" s="4" t="s">
        <v>5965</v>
      </c>
      <c r="C3442" s="4">
        <v>1831.0</v>
      </c>
      <c r="D3442" s="5" t="str">
        <f>HYPERLINK("https://www.linkedin.com/ad-library/detail/895267054","Open Ad")</f>
        <v>Open Ad</v>
      </c>
      <c r="E3442" s="4" t="s">
        <v>78</v>
      </c>
      <c r="F3442" s="4" t="s">
        <v>54</v>
      </c>
      <c r="G3442" s="4" t="s">
        <v>6697</v>
      </c>
      <c r="H3442" s="4" t="s">
        <v>49</v>
      </c>
      <c r="I3442" s="4" t="s">
        <v>6005</v>
      </c>
      <c r="J3442" s="4" t="s">
        <v>78</v>
      </c>
      <c r="K3442" s="5" t="str">
        <f>HYPERLINK("https://media.licdn.com/dms/image/v2/D4E10AQFOSYLJdVGO-g/image-shrink_1280/B4EZpYTD9LKcAM-/0/1762417994627/CopyofPROFOUNDADSERIES2zip-33png?e=2147483647&amp;v=beta&amp;t=lbP40aIyRb8uSbf0EOOF1-Q_5UGvX9hxS5GB1ZjR3L0","View Creative")</f>
        <v>View Creative</v>
      </c>
      <c r="L3442" s="4" t="s">
        <v>106</v>
      </c>
      <c r="M3442" s="4" t="s">
        <v>5965</v>
      </c>
      <c r="O3442" s="4" t="s">
        <v>63</v>
      </c>
      <c r="P3442" s="4" t="s">
        <v>64</v>
      </c>
    </row>
    <row r="3443">
      <c r="A3443" s="4" t="s">
        <v>5965</v>
      </c>
      <c r="B3443" s="4" t="s">
        <v>5965</v>
      </c>
      <c r="C3443" s="4">
        <v>1832.0</v>
      </c>
      <c r="D3443" s="5" t="str">
        <f>HYPERLINK("https://www.linkedin.com/ad-library/detail/957090316","Open Ad")</f>
        <v>Open Ad</v>
      </c>
      <c r="E3443" s="4" t="s">
        <v>78</v>
      </c>
      <c r="F3443" s="4" t="s">
        <v>54</v>
      </c>
      <c r="G3443" s="4" t="s">
        <v>6698</v>
      </c>
      <c r="H3443" s="4" t="s">
        <v>49</v>
      </c>
      <c r="I3443" s="4" t="s">
        <v>6005</v>
      </c>
      <c r="J3443" s="4" t="s">
        <v>78</v>
      </c>
      <c r="K3443" s="5" t="str">
        <f>HYPERLINK("https://media.licdn.com/dms/image/v2/D4E22AQHN-K6uPq-dAQ/feedshare-shrink_1280/B4EZoTDS1eIIAs-/0/1761256222868?e=2147483647&amp;v=beta&amp;t=ueETDe2sLOFgltNPPVDsRhu-G1k7i_nU17vvha4ffWY","View Creative")</f>
        <v>View Creative</v>
      </c>
      <c r="L3443" s="4" t="s">
        <v>106</v>
      </c>
      <c r="M3443" s="4" t="s">
        <v>5965</v>
      </c>
      <c r="O3443" s="4" t="s">
        <v>63</v>
      </c>
      <c r="P3443" s="4" t="s">
        <v>64</v>
      </c>
    </row>
    <row r="3444">
      <c r="A3444" s="4" t="s">
        <v>5965</v>
      </c>
      <c r="B3444" s="4" t="s">
        <v>5965</v>
      </c>
      <c r="C3444" s="4">
        <v>1833.0</v>
      </c>
      <c r="D3444" s="5" t="str">
        <f>HYPERLINK("https://www.linkedin.com/ad-library/detail/952886876","Open Ad")</f>
        <v>Open Ad</v>
      </c>
      <c r="E3444" s="4" t="s">
        <v>121</v>
      </c>
      <c r="F3444" s="4" t="s">
        <v>54</v>
      </c>
      <c r="G3444" s="4" t="s">
        <v>6696</v>
      </c>
      <c r="H3444" s="4" t="s">
        <v>49</v>
      </c>
      <c r="I3444" s="4" t="s">
        <v>6005</v>
      </c>
      <c r="J3444" s="4" t="s">
        <v>121</v>
      </c>
      <c r="K3444" s="5" t="str">
        <f>HYPERLINK("https://dms.licdn.com/playlist/vid/v2/D4E05AQFI0GRpLVeN0w/mp4-640p-30fp-crf28/B4EZpaGbzJGoBw-/0/1762448234920?e=2147483647&amp;v=beta&amp;t=t_LU17pDJ7_SFGBlTRaDec_Its_tVMhxITjwuZmLt-w","View Creative")</f>
        <v>View Creative</v>
      </c>
      <c r="L3444" s="4" t="s">
        <v>106</v>
      </c>
      <c r="M3444" s="4" t="s">
        <v>5965</v>
      </c>
      <c r="O3444" s="4" t="s">
        <v>63</v>
      </c>
      <c r="P3444" s="4" t="s">
        <v>64</v>
      </c>
    </row>
    <row r="3445">
      <c r="A3445" s="4" t="s">
        <v>5965</v>
      </c>
      <c r="B3445" s="4" t="s">
        <v>5965</v>
      </c>
      <c r="C3445" s="4">
        <v>1834.0</v>
      </c>
      <c r="D3445" s="5" t="str">
        <f>HYPERLINK("https://www.linkedin.com/ad-library/detail/952986846","Open Ad")</f>
        <v>Open Ad</v>
      </c>
      <c r="E3445" s="4" t="s">
        <v>78</v>
      </c>
      <c r="F3445" s="4" t="s">
        <v>54</v>
      </c>
      <c r="G3445" s="4" t="s">
        <v>6699</v>
      </c>
      <c r="H3445" s="4" t="s">
        <v>49</v>
      </c>
      <c r="I3445" s="4" t="s">
        <v>6005</v>
      </c>
      <c r="J3445" s="4" t="s">
        <v>78</v>
      </c>
      <c r="K3445" s="5" t="str">
        <f>HYPERLINK("https://media.licdn.com/dms/image/v2/D5622AQHKfln_JoguBg/feedshare-shrink_1280/B56Zpaf8PzJoAs-/0/1762454917818?e=2147483647&amp;v=beta&amp;t=HKqfeCiq9q8r9e8_wOBM6WJqx7UXOlnY179AbZapMoI","View Creative")</f>
        <v>View Creative</v>
      </c>
      <c r="L3445" s="4" t="s">
        <v>106</v>
      </c>
      <c r="M3445" s="4" t="s">
        <v>5965</v>
      </c>
      <c r="O3445" s="4" t="s">
        <v>63</v>
      </c>
      <c r="P3445" s="4" t="s">
        <v>64</v>
      </c>
    </row>
    <row r="3446">
      <c r="A3446" s="4" t="s">
        <v>5965</v>
      </c>
      <c r="B3446" s="4" t="s">
        <v>5965</v>
      </c>
      <c r="C3446" s="4">
        <v>1835.0</v>
      </c>
      <c r="D3446" s="5" t="str">
        <f>HYPERLINK("https://www.linkedin.com/ad-library/detail/895433924","Open Ad")</f>
        <v>Open Ad</v>
      </c>
      <c r="E3446" s="4" t="s">
        <v>78</v>
      </c>
      <c r="F3446" s="4" t="s">
        <v>54</v>
      </c>
      <c r="G3446" s="4" t="s">
        <v>6700</v>
      </c>
      <c r="H3446" s="4" t="s">
        <v>49</v>
      </c>
      <c r="I3446" s="4" t="s">
        <v>6005</v>
      </c>
      <c r="J3446" s="4" t="s">
        <v>78</v>
      </c>
      <c r="K3446" s="5" t="str">
        <f>HYPERLINK("https://media.licdn.com/dms/image/v2/D4E10AQGbmDYyyZ741A/image-shrink_1280/B4EZpYTJDSJgAM-/0/1762418011087/CopyofPROFOUNDADSERIES2zip-34png?e=2147483647&amp;v=beta&amp;t=pYW70r8vHvM43GMhEFLkvskaKWJzWYvW75kkb0a3f2Y","View Creative")</f>
        <v>View Creative</v>
      </c>
      <c r="L3446" s="4" t="s">
        <v>106</v>
      </c>
      <c r="M3446" s="4" t="s">
        <v>5965</v>
      </c>
      <c r="O3446" s="4" t="s">
        <v>63</v>
      </c>
      <c r="P3446" s="4" t="s">
        <v>64</v>
      </c>
    </row>
    <row r="3447">
      <c r="A3447" s="4" t="s">
        <v>5965</v>
      </c>
      <c r="B3447" s="4" t="s">
        <v>5965</v>
      </c>
      <c r="C3447" s="4">
        <v>1836.0</v>
      </c>
      <c r="D3447" s="5" t="str">
        <f>HYPERLINK("https://www.linkedin.com/ad-library/detail/955042796","Open Ad")</f>
        <v>Open Ad</v>
      </c>
      <c r="E3447" s="4" t="s">
        <v>5970</v>
      </c>
      <c r="F3447" s="4" t="s">
        <v>54</v>
      </c>
      <c r="G3447" s="4" t="s">
        <v>6691</v>
      </c>
      <c r="H3447" s="4" t="s">
        <v>49</v>
      </c>
      <c r="I3447" s="4" t="s">
        <v>6005</v>
      </c>
      <c r="J3447" s="4" t="s">
        <v>5973</v>
      </c>
      <c r="K3447" s="4" t="s">
        <v>59</v>
      </c>
      <c r="L3447" s="4" t="s">
        <v>106</v>
      </c>
      <c r="M3447" s="4" t="s">
        <v>5965</v>
      </c>
      <c r="O3447" s="4" t="s">
        <v>63</v>
      </c>
      <c r="P3447" s="4" t="s">
        <v>64</v>
      </c>
    </row>
    <row r="3448">
      <c r="A3448" s="4" t="s">
        <v>5965</v>
      </c>
      <c r="B3448" s="4" t="s">
        <v>5965</v>
      </c>
      <c r="C3448" s="4">
        <v>1837.0</v>
      </c>
      <c r="D3448" s="5" t="str">
        <f>HYPERLINK("https://www.linkedin.com/ad-library/detail/958088036","Open Ad")</f>
        <v>Open Ad</v>
      </c>
      <c r="E3448" s="4" t="s">
        <v>78</v>
      </c>
      <c r="F3448" s="4" t="s">
        <v>54</v>
      </c>
      <c r="G3448" s="4" t="s">
        <v>6494</v>
      </c>
      <c r="H3448" s="4" t="s">
        <v>49</v>
      </c>
      <c r="I3448" s="4" t="s">
        <v>6005</v>
      </c>
      <c r="J3448" s="4" t="s">
        <v>78</v>
      </c>
      <c r="K3448" s="5" t="str">
        <f>HYPERLINK("https://media.licdn.com/dms/image/v2/D4E22AQHbFCQCDCGG3g/feedshare-image-high-res/B4EZpOeqO1HgAw-/0/1762253252103?e=2147483647&amp;v=beta&amp;t=Br5vflKeqacS-e7vktti7ZfaCAL9Qm6QJloy5pf7CYw","View Creative")</f>
        <v>View Creative</v>
      </c>
      <c r="L3448" s="4" t="s">
        <v>106</v>
      </c>
      <c r="M3448" s="4" t="s">
        <v>5965</v>
      </c>
      <c r="O3448" s="4" t="s">
        <v>63</v>
      </c>
      <c r="P3448" s="4" t="s">
        <v>64</v>
      </c>
    </row>
    <row r="3449">
      <c r="A3449" s="4" t="s">
        <v>5965</v>
      </c>
      <c r="B3449" s="4" t="s">
        <v>5965</v>
      </c>
      <c r="C3449" s="4">
        <v>1838.0</v>
      </c>
      <c r="D3449" s="5" t="str">
        <f>HYPERLINK("https://www.linkedin.com/ad-library/detail/946265786","Open Ad")</f>
        <v>Open Ad</v>
      </c>
      <c r="E3449" s="4" t="s">
        <v>5970</v>
      </c>
      <c r="F3449" s="4" t="s">
        <v>54</v>
      </c>
      <c r="G3449" s="4" t="s">
        <v>6701</v>
      </c>
      <c r="H3449" s="4" t="s">
        <v>49</v>
      </c>
      <c r="I3449" s="4" t="s">
        <v>6005</v>
      </c>
      <c r="J3449" s="4" t="s">
        <v>5973</v>
      </c>
      <c r="K3449" s="4" t="s">
        <v>59</v>
      </c>
      <c r="L3449" s="4" t="s">
        <v>106</v>
      </c>
      <c r="M3449" s="4" t="s">
        <v>5965</v>
      </c>
      <c r="O3449" s="4" t="s">
        <v>63</v>
      </c>
      <c r="P3449" s="4" t="s">
        <v>64</v>
      </c>
    </row>
    <row r="3450">
      <c r="A3450" s="4" t="s">
        <v>5965</v>
      </c>
      <c r="B3450" s="4" t="s">
        <v>5965</v>
      </c>
      <c r="C3450" s="4">
        <v>1839.0</v>
      </c>
      <c r="D3450" s="5" t="str">
        <f>HYPERLINK("https://www.linkedin.com/ad-library/detail/958284886","Open Ad")</f>
        <v>Open Ad</v>
      </c>
      <c r="E3450" s="4" t="s">
        <v>121</v>
      </c>
      <c r="F3450" s="4" t="s">
        <v>54</v>
      </c>
      <c r="G3450" s="4" t="s">
        <v>6696</v>
      </c>
      <c r="H3450" s="4" t="s">
        <v>49</v>
      </c>
      <c r="I3450" s="4" t="s">
        <v>6005</v>
      </c>
      <c r="J3450" s="4" t="s">
        <v>121</v>
      </c>
      <c r="K3450" s="5" t="str">
        <f>HYPERLINK("https://dms.licdn.com/playlist/vid/v2/D4E05AQFI0GRpLVeN0w/mp4-640p-30fp-crf28/B4EZpaGbzJGoBw-/0/1762448234920?e=2147483647&amp;v=beta&amp;t=t_LU17pDJ7_SFGBlTRaDec_Its_tVMhxITjwuZmLt-w","View Creative")</f>
        <v>View Creative</v>
      </c>
      <c r="L3450" s="4" t="s">
        <v>106</v>
      </c>
      <c r="M3450" s="4" t="s">
        <v>5965</v>
      </c>
      <c r="O3450" s="4" t="s">
        <v>63</v>
      </c>
      <c r="P3450" s="4" t="s">
        <v>64</v>
      </c>
    </row>
    <row r="3451">
      <c r="A3451" s="4" t="s">
        <v>5965</v>
      </c>
      <c r="B3451" s="4" t="s">
        <v>5965</v>
      </c>
      <c r="C3451" s="4">
        <v>1840.0</v>
      </c>
      <c r="D3451" s="5" t="str">
        <f>HYPERLINK("https://www.linkedin.com/ad-library/detail/954086656","Open Ad")</f>
        <v>Open Ad</v>
      </c>
      <c r="E3451" s="4" t="s">
        <v>78</v>
      </c>
      <c r="F3451" s="4" t="s">
        <v>54</v>
      </c>
      <c r="G3451" s="4" t="s">
        <v>6699</v>
      </c>
      <c r="H3451" s="4" t="s">
        <v>49</v>
      </c>
      <c r="I3451" s="4" t="s">
        <v>6005</v>
      </c>
      <c r="J3451" s="4" t="s">
        <v>78</v>
      </c>
      <c r="K3451" s="5" t="str">
        <f>HYPERLINK("https://media.licdn.com/dms/image/v2/D5622AQHKfln_JoguBg/feedshare-shrink_1280/B56Zpaf8PzJoAs-/0/1762454917818?e=2147483647&amp;v=beta&amp;t=HKqfeCiq9q8r9e8_wOBM6WJqx7UXOlnY179AbZapMoI","View Creative")</f>
        <v>View Creative</v>
      </c>
      <c r="L3451" s="4" t="s">
        <v>106</v>
      </c>
      <c r="M3451" s="4" t="s">
        <v>5965</v>
      </c>
      <c r="O3451" s="4" t="s">
        <v>63</v>
      </c>
      <c r="P3451" s="4" t="s">
        <v>64</v>
      </c>
    </row>
    <row r="3452">
      <c r="A3452" s="4" t="s">
        <v>5965</v>
      </c>
      <c r="B3452" s="4" t="s">
        <v>5965</v>
      </c>
      <c r="C3452" s="4">
        <v>1841.0</v>
      </c>
      <c r="D3452" s="5" t="str">
        <f>HYPERLINK("https://www.linkedin.com/ad-library/detail/895405144","Open Ad")</f>
        <v>Open Ad</v>
      </c>
      <c r="E3452" s="4" t="s">
        <v>78</v>
      </c>
      <c r="F3452" s="4" t="s">
        <v>54</v>
      </c>
      <c r="G3452" s="4" t="s">
        <v>6702</v>
      </c>
      <c r="H3452" s="4" t="s">
        <v>49</v>
      </c>
      <c r="I3452" s="4" t="s">
        <v>6005</v>
      </c>
      <c r="J3452" s="4" t="s">
        <v>78</v>
      </c>
      <c r="K3452" s="5" t="str">
        <f>HYPERLINK("https://media.licdn.com/dms/image/v2/D4E10AQH1NbvoA_HJpg/image-shrink_1280/B4EZpYS6QVGoAM-/0/1762417951821/CopyofPROFOUNDADSERIES2zip-31png?e=2147483647&amp;v=beta&amp;t=KRe3-BtIb6XK7zedn_mRGl9ServPPhf-a_RnanzqDV8","View Creative")</f>
        <v>View Creative</v>
      </c>
      <c r="L3452" s="4" t="s">
        <v>106</v>
      </c>
      <c r="M3452" s="4" t="s">
        <v>5965</v>
      </c>
      <c r="O3452" s="4" t="s">
        <v>63</v>
      </c>
      <c r="P3452" s="4" t="s">
        <v>64</v>
      </c>
    </row>
    <row r="3453">
      <c r="A3453" s="4" t="s">
        <v>5965</v>
      </c>
      <c r="B3453" s="4" t="s">
        <v>5965</v>
      </c>
      <c r="C3453" s="4">
        <v>1842.0</v>
      </c>
      <c r="D3453" s="5" t="str">
        <f>HYPERLINK("https://www.linkedin.com/ad-library/detail/957712406","Open Ad")</f>
        <v>Open Ad</v>
      </c>
      <c r="E3453" s="4" t="s">
        <v>78</v>
      </c>
      <c r="F3453" s="4" t="s">
        <v>54</v>
      </c>
      <c r="G3453" s="4" t="s">
        <v>6703</v>
      </c>
      <c r="H3453" s="4" t="s">
        <v>49</v>
      </c>
      <c r="I3453" s="4" t="s">
        <v>6005</v>
      </c>
      <c r="J3453" s="4" t="s">
        <v>78</v>
      </c>
      <c r="K3453" s="5" t="str">
        <f>HYPERLINK("https://media.licdn.com/dms/image/v2/D4E22AQE1-cHMShzcIg/feedshare-shrink_1280/B4EZoIcku6J0As-/0/1761078300183?e=2147483647&amp;v=beta&amp;t=v6qe_4gseca8di_345HzdV-Xq0ZiH-0IHhQ4XukEvK4","View Creative")</f>
        <v>View Creative</v>
      </c>
      <c r="L3453" s="4" t="s">
        <v>106</v>
      </c>
      <c r="M3453" s="4" t="s">
        <v>5965</v>
      </c>
      <c r="O3453" s="4" t="s">
        <v>63</v>
      </c>
      <c r="P3453" s="4" t="s">
        <v>64</v>
      </c>
    </row>
    <row r="3454">
      <c r="A3454" s="4" t="s">
        <v>5965</v>
      </c>
      <c r="B3454" s="4" t="s">
        <v>5965</v>
      </c>
      <c r="C3454" s="4">
        <v>1843.0</v>
      </c>
      <c r="D3454" s="5" t="str">
        <f>HYPERLINK("https://www.linkedin.com/ad-library/detail/956577256","Open Ad")</f>
        <v>Open Ad</v>
      </c>
      <c r="E3454" s="4" t="s">
        <v>78</v>
      </c>
      <c r="F3454" s="4" t="s">
        <v>54</v>
      </c>
      <c r="G3454" s="4" t="s">
        <v>6704</v>
      </c>
      <c r="H3454" s="4" t="s">
        <v>49</v>
      </c>
      <c r="I3454" s="4" t="s">
        <v>6005</v>
      </c>
      <c r="J3454" s="4" t="s">
        <v>78</v>
      </c>
      <c r="K3454" s="5" t="str">
        <f>HYPERLINK("https://media.licdn.com/dms/image/v2/D4E22AQF2brM9_mbtbw/feedshare-shrink_1280/B4EZoHNGbzHcAs-/0/1761057466594?e=2147483647&amp;v=beta&amp;t=CpMEhfPGSXjRM9qOuXujN_G6IIOizRwVi5HHt-5mIeU","View Creative")</f>
        <v>View Creative</v>
      </c>
      <c r="L3454" s="4" t="s">
        <v>106</v>
      </c>
      <c r="M3454" s="4" t="s">
        <v>5965</v>
      </c>
      <c r="O3454" s="4" t="s">
        <v>63</v>
      </c>
      <c r="P3454" s="4" t="s">
        <v>64</v>
      </c>
    </row>
    <row r="3455">
      <c r="A3455" s="4" t="s">
        <v>5965</v>
      </c>
      <c r="B3455" s="4" t="s">
        <v>5965</v>
      </c>
      <c r="C3455" s="4">
        <v>1844.0</v>
      </c>
      <c r="D3455" s="5" t="str">
        <f>HYPERLINK("https://www.linkedin.com/ad-library/detail/957177846","Open Ad")</f>
        <v>Open Ad</v>
      </c>
      <c r="E3455" s="4" t="s">
        <v>121</v>
      </c>
      <c r="F3455" s="4" t="s">
        <v>54</v>
      </c>
      <c r="G3455" s="4" t="s">
        <v>6705</v>
      </c>
      <c r="H3455" s="4" t="s">
        <v>49</v>
      </c>
      <c r="I3455" s="4" t="s">
        <v>6005</v>
      </c>
      <c r="J3455" s="4" t="s">
        <v>121</v>
      </c>
      <c r="K3455" s="5" t="str">
        <f>HYPERLINK("https://dms.licdn.com/playlist/vid/v2/D4E05AQHr_mzttrd9ag/mp4-640p-30fp-crf28/B4EZoIG45zJ0Bk-/0/1761072620061?e=2147483647&amp;v=beta&amp;t=sk6CQ0gHOuibtSVTE9taT4L2arNXtFd8ajVMTyy6VcY","View Creative")</f>
        <v>View Creative</v>
      </c>
      <c r="L3455" s="4" t="s">
        <v>106</v>
      </c>
      <c r="M3455" s="4" t="s">
        <v>5965</v>
      </c>
      <c r="O3455" s="4" t="s">
        <v>63</v>
      </c>
      <c r="P3455" s="4" t="s">
        <v>64</v>
      </c>
    </row>
    <row r="3456">
      <c r="A3456" s="4" t="s">
        <v>5965</v>
      </c>
      <c r="B3456" s="4" t="s">
        <v>5965</v>
      </c>
      <c r="C3456" s="4">
        <v>1845.0</v>
      </c>
      <c r="D3456" s="5" t="str">
        <f>HYPERLINK("https://www.linkedin.com/ad-library/detail/955578746","Open Ad")</f>
        <v>Open Ad</v>
      </c>
      <c r="E3456" s="4" t="s">
        <v>78</v>
      </c>
      <c r="F3456" s="4" t="s">
        <v>54</v>
      </c>
      <c r="G3456" s="4" t="s">
        <v>6706</v>
      </c>
      <c r="H3456" s="4" t="s">
        <v>49</v>
      </c>
      <c r="I3456" s="4" t="s">
        <v>6005</v>
      </c>
      <c r="J3456" s="4" t="s">
        <v>78</v>
      </c>
      <c r="K3456" s="4" t="s">
        <v>59</v>
      </c>
      <c r="L3456" s="4" t="s">
        <v>106</v>
      </c>
      <c r="M3456" s="4" t="s">
        <v>5965</v>
      </c>
      <c r="O3456" s="4" t="s">
        <v>63</v>
      </c>
      <c r="P3456" s="4" t="s">
        <v>64</v>
      </c>
    </row>
    <row r="3457">
      <c r="A3457" s="4" t="s">
        <v>5965</v>
      </c>
      <c r="B3457" s="4" t="s">
        <v>5965</v>
      </c>
      <c r="C3457" s="4">
        <v>1846.0</v>
      </c>
      <c r="D3457" s="5" t="str">
        <f>HYPERLINK("https://www.linkedin.com/ad-library/detail/957289646","Open Ad")</f>
        <v>Open Ad</v>
      </c>
      <c r="E3457" s="4" t="s">
        <v>78</v>
      </c>
      <c r="F3457" s="4" t="s">
        <v>54</v>
      </c>
      <c r="G3457" s="4" t="s">
        <v>6707</v>
      </c>
      <c r="H3457" s="4" t="s">
        <v>49</v>
      </c>
      <c r="I3457" s="4" t="s">
        <v>6005</v>
      </c>
      <c r="J3457" s="4" t="s">
        <v>78</v>
      </c>
      <c r="K3457" s="5" t="str">
        <f>HYPERLINK("https://media.licdn.com/dms/image/v2/D4E22AQH5Dx2MezqwGg/feedshare-shrink_1280/B4EZoSwRO8IIAs-/0/1761251235575?e=2147483647&amp;v=beta&amp;t=VxNmjnPik8qVjUTQWKc7mWgF0_GzU0CgDPkP-08x8GU","View Creative")</f>
        <v>View Creative</v>
      </c>
      <c r="L3457" s="4" t="s">
        <v>106</v>
      </c>
      <c r="M3457" s="4" t="s">
        <v>5965</v>
      </c>
      <c r="O3457" s="4" t="s">
        <v>63</v>
      </c>
      <c r="P3457" s="4" t="s">
        <v>64</v>
      </c>
    </row>
    <row r="3458">
      <c r="A3458" s="4" t="s">
        <v>5965</v>
      </c>
      <c r="B3458" s="4" t="s">
        <v>5965</v>
      </c>
      <c r="C3458" s="4">
        <v>1847.0</v>
      </c>
      <c r="D3458" s="5" t="str">
        <f>HYPERLINK("https://www.linkedin.com/ad-library/detail/958088556","Open Ad")</f>
        <v>Open Ad</v>
      </c>
      <c r="E3458" s="4" t="s">
        <v>121</v>
      </c>
      <c r="F3458" s="4" t="s">
        <v>54</v>
      </c>
      <c r="G3458" s="4" t="s">
        <v>6708</v>
      </c>
      <c r="H3458" s="4" t="s">
        <v>49</v>
      </c>
      <c r="I3458" s="4" t="s">
        <v>6005</v>
      </c>
      <c r="J3458" s="4" t="s">
        <v>121</v>
      </c>
      <c r="K3458" s="5" t="str">
        <f>HYPERLINK("https://dms.licdn.com/playlist/vid/v2/D4E05AQH-lOoPjeuTXg/mp4-640p-30fp-crf28/B4EZoB.yuJGUBg-/0/1760969833826?e=2147483647&amp;v=beta&amp;t=EuynpswcPuEysl_qid-zHtYRmiashAza_VruTNtEYZ8","View Creative")</f>
        <v>View Creative</v>
      </c>
      <c r="L3458" s="4" t="s">
        <v>106</v>
      </c>
      <c r="M3458" s="4" t="s">
        <v>5965</v>
      </c>
      <c r="O3458" s="4" t="s">
        <v>63</v>
      </c>
      <c r="P3458" s="4" t="s">
        <v>64</v>
      </c>
    </row>
    <row r="3459">
      <c r="A3459" s="4" t="s">
        <v>5965</v>
      </c>
      <c r="B3459" s="4" t="s">
        <v>5965</v>
      </c>
      <c r="C3459" s="4">
        <v>1848.0</v>
      </c>
      <c r="D3459" s="5" t="str">
        <f>HYPERLINK("https://www.linkedin.com/ad-library/detail/945666276","Open Ad")</f>
        <v>Open Ad</v>
      </c>
      <c r="E3459" s="4" t="s">
        <v>5970</v>
      </c>
      <c r="F3459" s="4" t="s">
        <v>54</v>
      </c>
      <c r="G3459" s="4" t="s">
        <v>6709</v>
      </c>
      <c r="H3459" s="4" t="s">
        <v>49</v>
      </c>
      <c r="I3459" s="4" t="s">
        <v>6005</v>
      </c>
      <c r="J3459" s="4" t="s">
        <v>5973</v>
      </c>
      <c r="K3459" s="4" t="s">
        <v>59</v>
      </c>
      <c r="L3459" s="4" t="s">
        <v>106</v>
      </c>
      <c r="M3459" s="4" t="s">
        <v>5965</v>
      </c>
      <c r="O3459" s="4" t="s">
        <v>63</v>
      </c>
      <c r="P3459" s="4" t="s">
        <v>64</v>
      </c>
    </row>
    <row r="3460">
      <c r="A3460" s="4" t="s">
        <v>5965</v>
      </c>
      <c r="B3460" s="4" t="s">
        <v>5965</v>
      </c>
      <c r="C3460" s="4">
        <v>1849.0</v>
      </c>
      <c r="D3460" s="5" t="str">
        <f>HYPERLINK("https://www.linkedin.com/ad-library/detail/945752726","Open Ad")</f>
        <v>Open Ad</v>
      </c>
      <c r="E3460" s="4" t="s">
        <v>78</v>
      </c>
      <c r="F3460" s="4" t="s">
        <v>54</v>
      </c>
      <c r="G3460" s="4" t="s">
        <v>6710</v>
      </c>
      <c r="H3460" s="4" t="s">
        <v>49</v>
      </c>
      <c r="I3460" s="4" t="s">
        <v>6005</v>
      </c>
      <c r="J3460" s="4" t="s">
        <v>78</v>
      </c>
      <c r="K3460" s="5" t="str">
        <f>HYPERLINK("https://media.licdn.com/dms/image/v2/D4E22AQHfYMtHQ8vKLg/feedshare-shrink_1280/B4EZpLHsU9IoAw-/0/1762196901082?e=2147483647&amp;v=beta&amp;t=YzBlHffsBiAbE9TkMtTwryMgHA3hiIIaMhvdpOrWA3Y","View Creative")</f>
        <v>View Creative</v>
      </c>
      <c r="L3460" s="4" t="s">
        <v>106</v>
      </c>
      <c r="M3460" s="4" t="s">
        <v>5965</v>
      </c>
      <c r="O3460" s="4" t="s">
        <v>63</v>
      </c>
      <c r="P3460" s="4" t="s">
        <v>64</v>
      </c>
    </row>
    <row r="3461">
      <c r="A3461" s="4" t="s">
        <v>5965</v>
      </c>
      <c r="B3461" s="4" t="s">
        <v>5965</v>
      </c>
      <c r="C3461" s="4">
        <v>1850.0</v>
      </c>
      <c r="D3461" s="5" t="str">
        <f>HYPERLINK("https://www.linkedin.com/ad-library/detail/945495376","Open Ad")</f>
        <v>Open Ad</v>
      </c>
      <c r="E3461" s="4" t="s">
        <v>121</v>
      </c>
      <c r="F3461" s="4" t="s">
        <v>54</v>
      </c>
      <c r="G3461" s="4" t="s">
        <v>6711</v>
      </c>
      <c r="H3461" s="4" t="s">
        <v>49</v>
      </c>
      <c r="I3461" s="4" t="s">
        <v>6005</v>
      </c>
      <c r="J3461" s="4" t="s">
        <v>121</v>
      </c>
      <c r="K3461" s="5" t="str">
        <f>HYPERLINK("https://dms.licdn.com/playlist/vid/v2/D4E05AQH2bUH3YG0npQ/mp4-640p-30fp-crf28/B4EZoxV.XGHcBs-/0/1761764439194?e=2147483647&amp;v=beta&amp;t=DBK2FkxBxLSfvzT-bkSnNrdo8Hw0A6k_p34axH27VN8","View Creative")</f>
        <v>View Creative</v>
      </c>
      <c r="L3461" s="4" t="s">
        <v>106</v>
      </c>
      <c r="M3461" s="4" t="s">
        <v>5965</v>
      </c>
      <c r="O3461" s="4" t="s">
        <v>63</v>
      </c>
      <c r="P3461" s="4" t="s">
        <v>64</v>
      </c>
    </row>
    <row r="3462">
      <c r="A3462" s="4" t="s">
        <v>5965</v>
      </c>
      <c r="B3462" s="4" t="s">
        <v>5965</v>
      </c>
      <c r="C3462" s="4">
        <v>1851.0</v>
      </c>
      <c r="D3462" s="5" t="str">
        <f>HYPERLINK("https://www.linkedin.com/ad-library/detail/947056686","Open Ad")</f>
        <v>Open Ad</v>
      </c>
      <c r="E3462" s="4" t="s">
        <v>78</v>
      </c>
      <c r="F3462" s="4" t="s">
        <v>54</v>
      </c>
      <c r="G3462" s="4" t="s">
        <v>6494</v>
      </c>
      <c r="H3462" s="4" t="s">
        <v>49</v>
      </c>
      <c r="I3462" s="4" t="s">
        <v>6005</v>
      </c>
      <c r="J3462" s="4" t="s">
        <v>78</v>
      </c>
      <c r="K3462" s="5" t="str">
        <f>HYPERLINK("https://media.licdn.com/dms/image/v2/D4E22AQHbFCQCDCGG3g/feedshare-image-high-res/B4EZpOeqO1HgAw-/0/1762253252103?e=2147483647&amp;v=beta&amp;t=Br5vflKeqacS-e7vktti7ZfaCAL9Qm6QJloy5pf7CYw","View Creative")</f>
        <v>View Creative</v>
      </c>
      <c r="L3462" s="4" t="s">
        <v>106</v>
      </c>
      <c r="M3462" s="4" t="s">
        <v>5965</v>
      </c>
      <c r="O3462" s="4" t="s">
        <v>63</v>
      </c>
      <c r="P3462" s="4" t="s">
        <v>64</v>
      </c>
    </row>
    <row r="3463">
      <c r="A3463" s="4" t="s">
        <v>5965</v>
      </c>
      <c r="B3463" s="4" t="s">
        <v>5965</v>
      </c>
      <c r="C3463" s="4">
        <v>1852.0</v>
      </c>
      <c r="D3463" s="5" t="str">
        <f>HYPERLINK("https://www.linkedin.com/ad-library/detail/945694756","Open Ad")</f>
        <v>Open Ad</v>
      </c>
      <c r="E3463" s="4" t="s">
        <v>78</v>
      </c>
      <c r="F3463" s="4" t="s">
        <v>54</v>
      </c>
      <c r="G3463" s="4" t="s">
        <v>6695</v>
      </c>
      <c r="H3463" s="4" t="s">
        <v>49</v>
      </c>
      <c r="I3463" s="4" t="s">
        <v>6005</v>
      </c>
      <c r="J3463" s="4" t="s">
        <v>78</v>
      </c>
      <c r="K3463" s="5" t="str">
        <f>HYPERLINK("https://media.licdn.com/dms/image/v2/D4E22AQFO_kMqumirAw/feedshare-shrink_1280/B4EZmW6bmrIIAs-/0/1759173525412?e=2147483647&amp;v=beta&amp;t=CgStZqkZO3BtWGvFFXdtH22rWgz_4YDm1Cxg9TqOEn8","View Creative")</f>
        <v>View Creative</v>
      </c>
      <c r="L3463" s="4" t="s">
        <v>106</v>
      </c>
      <c r="M3463" s="4" t="s">
        <v>5965</v>
      </c>
      <c r="O3463" s="4" t="s">
        <v>63</v>
      </c>
      <c r="P3463" s="4" t="s">
        <v>64</v>
      </c>
    </row>
    <row r="3464">
      <c r="A3464" s="4" t="s">
        <v>5965</v>
      </c>
      <c r="B3464" s="4" t="s">
        <v>5965</v>
      </c>
      <c r="C3464" s="4">
        <v>1853.0</v>
      </c>
      <c r="D3464" s="5" t="str">
        <f>HYPERLINK("https://www.linkedin.com/ad-library/detail/946165366","Open Ad")</f>
        <v>Open Ad</v>
      </c>
      <c r="E3464" s="4" t="s">
        <v>5970</v>
      </c>
      <c r="F3464" s="4" t="s">
        <v>54</v>
      </c>
      <c r="G3464" s="4" t="s">
        <v>6709</v>
      </c>
      <c r="H3464" s="4" t="s">
        <v>49</v>
      </c>
      <c r="I3464" s="4" t="s">
        <v>6005</v>
      </c>
      <c r="J3464" s="4" t="s">
        <v>5973</v>
      </c>
      <c r="K3464" s="4" t="s">
        <v>59</v>
      </c>
      <c r="L3464" s="4" t="s">
        <v>106</v>
      </c>
      <c r="M3464" s="4" t="s">
        <v>5965</v>
      </c>
      <c r="O3464" s="4" t="s">
        <v>63</v>
      </c>
      <c r="P3464" s="4" t="s">
        <v>64</v>
      </c>
    </row>
    <row r="3465">
      <c r="A3465" s="4" t="s">
        <v>5965</v>
      </c>
      <c r="B3465" s="4" t="s">
        <v>5965</v>
      </c>
      <c r="C3465" s="4">
        <v>1854.0</v>
      </c>
      <c r="D3465" s="5" t="str">
        <f>HYPERLINK("https://www.linkedin.com/ad-library/detail/946786376","Open Ad")</f>
        <v>Open Ad</v>
      </c>
      <c r="E3465" s="4" t="s">
        <v>78</v>
      </c>
      <c r="F3465" s="4" t="s">
        <v>54</v>
      </c>
      <c r="G3465" s="4" t="s">
        <v>6704</v>
      </c>
      <c r="H3465" s="4" t="s">
        <v>49</v>
      </c>
      <c r="I3465" s="4" t="s">
        <v>6005</v>
      </c>
      <c r="J3465" s="4" t="s">
        <v>78</v>
      </c>
      <c r="K3465" s="5" t="str">
        <f>HYPERLINK("https://media.licdn.com/dms/image/v2/D4E22AQF2brM9_mbtbw/feedshare-shrink_1280/B4EZoHNGbzHcAs-/0/1761057466594?e=2147483647&amp;v=beta&amp;t=CpMEhfPGSXjRM9qOuXujN_G6IIOizRwVi5HHt-5mIeU","View Creative")</f>
        <v>View Creative</v>
      </c>
      <c r="L3465" s="4" t="s">
        <v>106</v>
      </c>
      <c r="M3465" s="4" t="s">
        <v>5965</v>
      </c>
      <c r="O3465" s="4" t="s">
        <v>63</v>
      </c>
      <c r="P3465" s="4" t="s">
        <v>64</v>
      </c>
    </row>
    <row r="3466">
      <c r="A3466" s="4" t="s">
        <v>5965</v>
      </c>
      <c r="B3466" s="4" t="s">
        <v>5965</v>
      </c>
      <c r="C3466" s="4">
        <v>1855.0</v>
      </c>
      <c r="D3466" s="5" t="str">
        <f>HYPERLINK("https://www.linkedin.com/ad-library/detail/945266626","Open Ad")</f>
        <v>Open Ad</v>
      </c>
      <c r="E3466" s="4" t="s">
        <v>5970</v>
      </c>
      <c r="F3466" s="4" t="s">
        <v>54</v>
      </c>
      <c r="G3466" s="4" t="s">
        <v>6701</v>
      </c>
      <c r="H3466" s="4" t="s">
        <v>49</v>
      </c>
      <c r="I3466" s="4" t="s">
        <v>6005</v>
      </c>
      <c r="J3466" s="4" t="s">
        <v>5973</v>
      </c>
      <c r="K3466" s="4" t="s">
        <v>59</v>
      </c>
      <c r="L3466" s="4" t="s">
        <v>106</v>
      </c>
      <c r="M3466" s="4" t="s">
        <v>5965</v>
      </c>
      <c r="O3466" s="4" t="s">
        <v>63</v>
      </c>
      <c r="P3466" s="4" t="s">
        <v>64</v>
      </c>
    </row>
    <row r="3467">
      <c r="A3467" s="4" t="s">
        <v>5965</v>
      </c>
      <c r="B3467" s="4" t="s">
        <v>5965</v>
      </c>
      <c r="C3467" s="4">
        <v>1856.0</v>
      </c>
      <c r="D3467" s="5" t="str">
        <f>HYPERLINK("https://www.linkedin.com/ad-library/detail/945395216","Open Ad")</f>
        <v>Open Ad</v>
      </c>
      <c r="E3467" s="4" t="s">
        <v>121</v>
      </c>
      <c r="F3467" s="4" t="s">
        <v>54</v>
      </c>
      <c r="G3467" s="4" t="s">
        <v>6708</v>
      </c>
      <c r="H3467" s="4" t="s">
        <v>49</v>
      </c>
      <c r="I3467" s="4" t="s">
        <v>6005</v>
      </c>
      <c r="J3467" s="4" t="s">
        <v>121</v>
      </c>
      <c r="K3467" s="5" t="str">
        <f>HYPERLINK("https://dms.licdn.com/playlist/vid/v2/D4E05AQH-lOoPjeuTXg/mp4-640p-30fp-crf28/B4EZoB.yuJGUBg-/0/1760969833826?e=2147483647&amp;v=beta&amp;t=EuynpswcPuEysl_qid-zHtYRmiashAza_VruTNtEYZ8","View Creative")</f>
        <v>View Creative</v>
      </c>
      <c r="L3467" s="4" t="s">
        <v>106</v>
      </c>
      <c r="M3467" s="4" t="s">
        <v>5965</v>
      </c>
      <c r="O3467" s="4" t="s">
        <v>63</v>
      </c>
      <c r="P3467" s="4" t="s">
        <v>64</v>
      </c>
    </row>
    <row r="3468">
      <c r="A3468" s="4" t="s">
        <v>5965</v>
      </c>
      <c r="B3468" s="4" t="s">
        <v>5965</v>
      </c>
      <c r="C3468" s="4">
        <v>1857.0</v>
      </c>
      <c r="D3468" s="5" t="str">
        <f>HYPERLINK("https://www.linkedin.com/ad-library/detail/947185126","Open Ad")</f>
        <v>Open Ad</v>
      </c>
      <c r="E3468" s="4" t="s">
        <v>121</v>
      </c>
      <c r="F3468" s="4" t="s">
        <v>54</v>
      </c>
      <c r="G3468" s="4" t="s">
        <v>6712</v>
      </c>
      <c r="H3468" s="4" t="s">
        <v>49</v>
      </c>
      <c r="I3468" s="4" t="s">
        <v>6005</v>
      </c>
      <c r="J3468" s="4" t="s">
        <v>121</v>
      </c>
      <c r="K3468" s="5" t="str">
        <f>HYPERLINK("https://dms.licdn.com/playlist/vid/v2/D4E05AQH5EBXBJ0kmlg/mp4-640p-30fp-crf28/B4EZn4hGzPIIBg-/0/1760811058754?e=2147483647&amp;v=beta&amp;t=imZHK86HgN3lpi6yW63ahpdSHRaT9yI8VCCvkh14v4c","View Creative")</f>
        <v>View Creative</v>
      </c>
      <c r="L3468" s="4" t="s">
        <v>106</v>
      </c>
      <c r="M3468" s="4" t="s">
        <v>5965</v>
      </c>
      <c r="O3468" s="4" t="s">
        <v>63</v>
      </c>
      <c r="P3468" s="4" t="s">
        <v>64</v>
      </c>
    </row>
    <row r="3469">
      <c r="A3469" s="4" t="s">
        <v>5965</v>
      </c>
      <c r="B3469" s="4" t="s">
        <v>5965</v>
      </c>
      <c r="C3469" s="4">
        <v>1858.0</v>
      </c>
      <c r="D3469" s="5" t="str">
        <f>HYPERLINK("https://www.linkedin.com/ad-library/detail/946886616","Open Ad")</f>
        <v>Open Ad</v>
      </c>
      <c r="E3469" s="4" t="s">
        <v>78</v>
      </c>
      <c r="F3469" s="4" t="s">
        <v>54</v>
      </c>
      <c r="G3469" s="4" t="s">
        <v>6704</v>
      </c>
      <c r="H3469" s="4" t="s">
        <v>49</v>
      </c>
      <c r="I3469" s="4" t="s">
        <v>6005</v>
      </c>
      <c r="J3469" s="4" t="s">
        <v>78</v>
      </c>
      <c r="K3469" s="5" t="str">
        <f>HYPERLINK("https://media.licdn.com/dms/image/v2/D4E22AQF2brM9_mbtbw/feedshare-shrink_1280/B4EZoHNGbzHcAs-/0/1761057466594?e=2147483647&amp;v=beta&amp;t=CpMEhfPGSXjRM9qOuXujN_G6IIOizRwVi5HHt-5mIeU","View Creative")</f>
        <v>View Creative</v>
      </c>
      <c r="L3469" s="4" t="s">
        <v>106</v>
      </c>
      <c r="M3469" s="4" t="s">
        <v>5965</v>
      </c>
      <c r="O3469" s="4" t="s">
        <v>63</v>
      </c>
      <c r="P3469" s="4" t="s">
        <v>64</v>
      </c>
    </row>
    <row r="3470">
      <c r="A3470" s="4" t="s">
        <v>5965</v>
      </c>
      <c r="B3470" s="4" t="s">
        <v>5965</v>
      </c>
      <c r="C3470" s="4">
        <v>1859.0</v>
      </c>
      <c r="D3470" s="5" t="str">
        <f>HYPERLINK("https://www.linkedin.com/ad-library/detail/945694776","Open Ad")</f>
        <v>Open Ad</v>
      </c>
      <c r="E3470" s="4" t="s">
        <v>78</v>
      </c>
      <c r="F3470" s="4" t="s">
        <v>54</v>
      </c>
      <c r="G3470" s="4" t="s">
        <v>6706</v>
      </c>
      <c r="H3470" s="4" t="s">
        <v>49</v>
      </c>
      <c r="I3470" s="4" t="s">
        <v>6005</v>
      </c>
      <c r="J3470" s="4" t="s">
        <v>78</v>
      </c>
      <c r="K3470" s="4" t="s">
        <v>59</v>
      </c>
      <c r="L3470" s="4" t="s">
        <v>106</v>
      </c>
      <c r="M3470" s="4" t="s">
        <v>5965</v>
      </c>
      <c r="O3470" s="4" t="s">
        <v>63</v>
      </c>
      <c r="P3470" s="4" t="s">
        <v>64</v>
      </c>
    </row>
    <row r="3471">
      <c r="A3471" s="4" t="s">
        <v>5965</v>
      </c>
      <c r="B3471" s="4" t="s">
        <v>5965</v>
      </c>
      <c r="C3471" s="4">
        <v>1860.0</v>
      </c>
      <c r="D3471" s="5" t="str">
        <f>HYPERLINK("https://www.linkedin.com/ad-library/detail/946164756","Open Ad")</f>
        <v>Open Ad</v>
      </c>
      <c r="E3471" s="4" t="s">
        <v>78</v>
      </c>
      <c r="F3471" s="4" t="s">
        <v>54</v>
      </c>
      <c r="G3471" s="4" t="s">
        <v>6494</v>
      </c>
      <c r="H3471" s="4" t="s">
        <v>49</v>
      </c>
      <c r="I3471" s="4" t="s">
        <v>6005</v>
      </c>
      <c r="J3471" s="4" t="s">
        <v>78</v>
      </c>
      <c r="K3471" s="5" t="str">
        <f>HYPERLINK("https://media.licdn.com/dms/image/v2/D4E22AQHbFCQCDCGG3g/feedshare-image-high-res/B4EZpOeqO1HgAw-/0/1762253252103?e=2147483647&amp;v=beta&amp;t=Br5vflKeqacS-e7vktti7ZfaCAL9Qm6QJloy5pf7CYw","View Creative")</f>
        <v>View Creative</v>
      </c>
      <c r="L3471" s="4" t="s">
        <v>106</v>
      </c>
      <c r="M3471" s="4" t="s">
        <v>5965</v>
      </c>
      <c r="O3471" s="4" t="s">
        <v>63</v>
      </c>
      <c r="P3471" s="4" t="s">
        <v>64</v>
      </c>
    </row>
    <row r="3472">
      <c r="A3472" s="4" t="s">
        <v>5965</v>
      </c>
      <c r="B3472" s="4" t="s">
        <v>5965</v>
      </c>
      <c r="C3472" s="4">
        <v>1861.0</v>
      </c>
      <c r="D3472" s="5" t="str">
        <f>HYPERLINK("https://www.linkedin.com/ad-library/detail/946293846","Open Ad")</f>
        <v>Open Ad</v>
      </c>
      <c r="E3472" s="4" t="s">
        <v>78</v>
      </c>
      <c r="F3472" s="4" t="s">
        <v>54</v>
      </c>
      <c r="G3472" s="4" t="s">
        <v>6713</v>
      </c>
      <c r="H3472" s="4" t="s">
        <v>49</v>
      </c>
      <c r="I3472" s="4" t="s">
        <v>6005</v>
      </c>
      <c r="J3472" s="4" t="s">
        <v>78</v>
      </c>
      <c r="K3472" s="5" t="str">
        <f>HYPERLINK("https://media.licdn.com/dms/image/v2/D4E22AQHC7j3zWNJnCQ/feedshare-shrink_1280/B4EZloCJxnKUAs-/0/1758387019309?e=2147483647&amp;v=beta&amp;t=rx3wTM29qmVx4eWfzcaz7Y9yazcwLQEpvT-E-44D3K4","View Creative")</f>
        <v>View Creative</v>
      </c>
      <c r="L3472" s="4" t="s">
        <v>106</v>
      </c>
      <c r="M3472" s="4" t="s">
        <v>5965</v>
      </c>
      <c r="O3472" s="4" t="s">
        <v>63</v>
      </c>
      <c r="P3472" s="4" t="s">
        <v>64</v>
      </c>
    </row>
    <row r="3473">
      <c r="A3473" s="4" t="s">
        <v>5965</v>
      </c>
      <c r="B3473" s="4" t="s">
        <v>5965</v>
      </c>
      <c r="C3473" s="4">
        <v>1862.0</v>
      </c>
      <c r="D3473" s="5" t="str">
        <f>HYPERLINK("https://www.linkedin.com/ad-library/detail/945455536","Open Ad")</f>
        <v>Open Ad</v>
      </c>
      <c r="E3473" s="4" t="s">
        <v>78</v>
      </c>
      <c r="F3473" s="4" t="s">
        <v>54</v>
      </c>
      <c r="G3473" s="4" t="s">
        <v>6710</v>
      </c>
      <c r="H3473" s="4" t="s">
        <v>49</v>
      </c>
      <c r="I3473" s="4" t="s">
        <v>6005</v>
      </c>
      <c r="J3473" s="4" t="s">
        <v>78</v>
      </c>
      <c r="K3473" s="5" t="str">
        <f>HYPERLINK("https://media.licdn.com/dms/image/v2/D4E22AQHfYMtHQ8vKLg/feedshare-shrink_1280/B4EZpLHsU9IoAw-/0/1762196901082?e=2147483647&amp;v=beta&amp;t=YzBlHffsBiAbE9TkMtTwryMgHA3hiIIaMhvdpOrWA3Y","View Creative")</f>
        <v>View Creative</v>
      </c>
      <c r="L3473" s="4" t="s">
        <v>106</v>
      </c>
      <c r="M3473" s="4" t="s">
        <v>5965</v>
      </c>
      <c r="O3473" s="4" t="s">
        <v>63</v>
      </c>
      <c r="P3473" s="4" t="s">
        <v>64</v>
      </c>
    </row>
    <row r="3474">
      <c r="A3474" s="4" t="s">
        <v>5965</v>
      </c>
      <c r="B3474" s="4" t="s">
        <v>5965</v>
      </c>
      <c r="C3474" s="4">
        <v>1863.0</v>
      </c>
      <c r="D3474" s="5" t="str">
        <f>HYPERLINK("https://www.linkedin.com/ad-library/detail/945762856","Open Ad")</f>
        <v>Open Ad</v>
      </c>
      <c r="E3474" s="4" t="s">
        <v>78</v>
      </c>
      <c r="F3474" s="4" t="s">
        <v>54</v>
      </c>
      <c r="G3474" s="4" t="s">
        <v>6494</v>
      </c>
      <c r="H3474" s="4" t="s">
        <v>49</v>
      </c>
      <c r="I3474" s="4" t="s">
        <v>6005</v>
      </c>
      <c r="J3474" s="4" t="s">
        <v>78</v>
      </c>
      <c r="K3474" s="5" t="str">
        <f>HYPERLINK("https://media.licdn.com/dms/image/v2/D4E22AQHbFCQCDCGG3g/feedshare-image-high-res/B4EZpOeqO1HgAw-/0/1762253252103?e=2147483647&amp;v=beta&amp;t=Br5vflKeqacS-e7vktti7ZfaCAL9Qm6QJloy5pf7CYw","View Creative")</f>
        <v>View Creative</v>
      </c>
      <c r="L3474" s="4" t="s">
        <v>106</v>
      </c>
      <c r="M3474" s="4" t="s">
        <v>5965</v>
      </c>
      <c r="O3474" s="4" t="s">
        <v>63</v>
      </c>
      <c r="P3474" s="4" t="s">
        <v>64</v>
      </c>
    </row>
    <row r="3475">
      <c r="A3475" s="4" t="s">
        <v>5965</v>
      </c>
      <c r="B3475" s="4" t="s">
        <v>5965</v>
      </c>
      <c r="C3475" s="4">
        <v>1864.0</v>
      </c>
      <c r="D3475" s="5" t="str">
        <f>HYPERLINK("https://www.linkedin.com/ad-library/detail/945595836","Open Ad")</f>
        <v>Open Ad</v>
      </c>
      <c r="E3475" s="4" t="s">
        <v>78</v>
      </c>
      <c r="F3475" s="4" t="s">
        <v>54</v>
      </c>
      <c r="G3475" s="4" t="s">
        <v>6706</v>
      </c>
      <c r="H3475" s="4" t="s">
        <v>49</v>
      </c>
      <c r="I3475" s="4" t="s">
        <v>6005</v>
      </c>
      <c r="J3475" s="4" t="s">
        <v>78</v>
      </c>
      <c r="K3475" s="4" t="s">
        <v>59</v>
      </c>
      <c r="L3475" s="4" t="s">
        <v>106</v>
      </c>
      <c r="M3475" s="4" t="s">
        <v>5965</v>
      </c>
      <c r="O3475" s="4" t="s">
        <v>63</v>
      </c>
      <c r="P3475" s="4" t="s">
        <v>64</v>
      </c>
    </row>
    <row r="3476">
      <c r="A3476" s="4" t="s">
        <v>5965</v>
      </c>
      <c r="B3476" s="4" t="s">
        <v>5965</v>
      </c>
      <c r="C3476" s="4">
        <v>1865.0</v>
      </c>
      <c r="D3476" s="5" t="str">
        <f>HYPERLINK("https://www.linkedin.com/ad-library/detail/945895236","Open Ad")</f>
        <v>Open Ad</v>
      </c>
      <c r="E3476" s="4" t="s">
        <v>78</v>
      </c>
      <c r="F3476" s="4" t="s">
        <v>54</v>
      </c>
      <c r="G3476" s="4" t="s">
        <v>6714</v>
      </c>
      <c r="H3476" s="4" t="s">
        <v>49</v>
      </c>
      <c r="I3476" s="4" t="s">
        <v>6005</v>
      </c>
      <c r="J3476" s="4" t="s">
        <v>78</v>
      </c>
      <c r="K3476" s="5" t="str">
        <f>HYPERLINK("https://media.licdn.com/dms/image/v2/D4E22AQGsxI6fMWHVtw/feedshare-shrink_1280/B4EZjIyNr0GUAw-/0/1755715263608?e=2147483647&amp;v=beta&amp;t=aYXR97LeIfrucp1eJzNjUcZIiq9aW1kCAQBbojwgL6o","View Creative")</f>
        <v>View Creative</v>
      </c>
      <c r="L3476" s="4" t="s">
        <v>106</v>
      </c>
      <c r="M3476" s="4" t="s">
        <v>5965</v>
      </c>
      <c r="O3476" s="4" t="s">
        <v>63</v>
      </c>
      <c r="P3476" s="4" t="s">
        <v>64</v>
      </c>
    </row>
    <row r="3477">
      <c r="A3477" s="4" t="s">
        <v>5965</v>
      </c>
      <c r="B3477" s="4" t="s">
        <v>5965</v>
      </c>
      <c r="C3477" s="4">
        <v>1866.0</v>
      </c>
      <c r="D3477" s="5" t="str">
        <f>HYPERLINK("https://www.linkedin.com/ad-library/detail/945355376","Open Ad")</f>
        <v>Open Ad</v>
      </c>
      <c r="E3477" s="4" t="s">
        <v>78</v>
      </c>
      <c r="F3477" s="4" t="s">
        <v>54</v>
      </c>
      <c r="G3477" s="4" t="s">
        <v>6710</v>
      </c>
      <c r="H3477" s="4" t="s">
        <v>49</v>
      </c>
      <c r="I3477" s="4" t="s">
        <v>6005</v>
      </c>
      <c r="J3477" s="4" t="s">
        <v>78</v>
      </c>
      <c r="K3477" s="5" t="str">
        <f>HYPERLINK("https://media.licdn.com/dms/image/v2/D4E22AQHfYMtHQ8vKLg/feedshare-shrink_1280/B4EZpLHsU9IoAw-/0/1762196901082?e=2147483647&amp;v=beta&amp;t=YzBlHffsBiAbE9TkMtTwryMgHA3hiIIaMhvdpOrWA3Y","View Creative")</f>
        <v>View Creative</v>
      </c>
      <c r="L3477" s="4" t="s">
        <v>106</v>
      </c>
      <c r="M3477" s="4" t="s">
        <v>5965</v>
      </c>
      <c r="O3477" s="4" t="s">
        <v>63</v>
      </c>
      <c r="P3477" s="4" t="s">
        <v>64</v>
      </c>
    </row>
    <row r="3478">
      <c r="A3478" s="4" t="s">
        <v>5965</v>
      </c>
      <c r="B3478" s="4" t="s">
        <v>5965</v>
      </c>
      <c r="C3478" s="4">
        <v>1867.0</v>
      </c>
      <c r="D3478" s="5" t="str">
        <f>HYPERLINK("https://www.linkedin.com/ad-library/detail/946786126","Open Ad")</f>
        <v>Open Ad</v>
      </c>
      <c r="E3478" s="4" t="s">
        <v>121</v>
      </c>
      <c r="F3478" s="4" t="s">
        <v>54</v>
      </c>
      <c r="G3478" s="4" t="s">
        <v>6711</v>
      </c>
      <c r="H3478" s="4" t="s">
        <v>49</v>
      </c>
      <c r="I3478" s="4" t="s">
        <v>6005</v>
      </c>
      <c r="J3478" s="4" t="s">
        <v>121</v>
      </c>
      <c r="K3478" s="5" t="str">
        <f>HYPERLINK("https://dms.licdn.com/playlist/vid/v2/D4E05AQH2bUH3YG0npQ/mp4-640p-30fp-crf28/B4EZoxV.XGHcBs-/0/1761764439194?e=2147483647&amp;v=beta&amp;t=DBK2FkxBxLSfvzT-bkSnNrdo8Hw0A6k_p34axH27VN8","View Creative")</f>
        <v>View Creative</v>
      </c>
      <c r="L3478" s="4" t="s">
        <v>106</v>
      </c>
      <c r="M3478" s="4" t="s">
        <v>5965</v>
      </c>
      <c r="O3478" s="4" t="s">
        <v>63</v>
      </c>
      <c r="P3478" s="4" t="s">
        <v>64</v>
      </c>
    </row>
    <row r="3479">
      <c r="A3479" s="4" t="s">
        <v>5965</v>
      </c>
      <c r="B3479" s="4" t="s">
        <v>5965</v>
      </c>
      <c r="C3479" s="4">
        <v>1868.0</v>
      </c>
      <c r="D3479" s="5" t="str">
        <f>HYPERLINK("https://www.linkedin.com/ad-library/detail/1155644756","Open Ad")</f>
        <v>Open Ad</v>
      </c>
      <c r="E3479" s="4" t="s">
        <v>78</v>
      </c>
      <c r="F3479" s="4" t="s">
        <v>54</v>
      </c>
      <c r="G3479" s="4" t="s">
        <v>6715</v>
      </c>
      <c r="H3479" s="4" t="s">
        <v>49</v>
      </c>
      <c r="I3479" s="4" t="s">
        <v>6005</v>
      </c>
      <c r="J3479" s="4" t="s">
        <v>78</v>
      </c>
      <c r="K3479" s="5" t="str">
        <f>HYPERLINK("https://static.licdn.com/aero-v1/sc/h/9l8dv1r8a09nem281grvopn9l","View Creative")</f>
        <v>View Creative</v>
      </c>
      <c r="L3479" s="4" t="s">
        <v>106</v>
      </c>
      <c r="M3479" s="4" t="s">
        <v>5965</v>
      </c>
      <c r="O3479" s="4" t="s">
        <v>63</v>
      </c>
      <c r="P3479" s="4" t="s">
        <v>64</v>
      </c>
    </row>
    <row r="3480">
      <c r="A3480" s="4" t="s">
        <v>5965</v>
      </c>
      <c r="B3480" s="4" t="s">
        <v>5965</v>
      </c>
      <c r="C3480" s="4">
        <v>1869.0</v>
      </c>
      <c r="D3480" s="5" t="str">
        <f>HYPERLINK("https://www.linkedin.com/ad-library/detail/946394246","Open Ad")</f>
        <v>Open Ad</v>
      </c>
      <c r="E3480" s="4" t="s">
        <v>78</v>
      </c>
      <c r="F3480" s="4" t="s">
        <v>54</v>
      </c>
      <c r="G3480" s="4" t="s">
        <v>6703</v>
      </c>
      <c r="H3480" s="4" t="s">
        <v>49</v>
      </c>
      <c r="I3480" s="4" t="s">
        <v>6005</v>
      </c>
      <c r="J3480" s="4" t="s">
        <v>78</v>
      </c>
      <c r="K3480" s="5" t="str">
        <f>HYPERLINK("https://media.licdn.com/dms/image/v2/D4E22AQE1-cHMShzcIg/feedshare-shrink_1280/B4EZoIcku6J0As-/0/1761078300183?e=2147483647&amp;v=beta&amp;t=v6qe_4gseca8di_345HzdV-Xq0ZiH-0IHhQ4XukEvK4","View Creative")</f>
        <v>View Creative</v>
      </c>
      <c r="L3480" s="4" t="s">
        <v>106</v>
      </c>
      <c r="M3480" s="4" t="s">
        <v>5965</v>
      </c>
      <c r="O3480" s="4" t="s">
        <v>63</v>
      </c>
      <c r="P3480" s="4" t="s">
        <v>64</v>
      </c>
    </row>
    <row r="3481">
      <c r="A3481" s="4" t="s">
        <v>5965</v>
      </c>
      <c r="B3481" s="4" t="s">
        <v>5965</v>
      </c>
      <c r="C3481" s="4">
        <v>1870.0</v>
      </c>
      <c r="D3481" s="5" t="str">
        <f>HYPERLINK("https://www.linkedin.com/ad-library/detail/945595796","Open Ad")</f>
        <v>Open Ad</v>
      </c>
      <c r="E3481" s="4" t="s">
        <v>121</v>
      </c>
      <c r="F3481" s="4" t="s">
        <v>54</v>
      </c>
      <c r="G3481" s="4" t="s">
        <v>6716</v>
      </c>
      <c r="H3481" s="4" t="s">
        <v>49</v>
      </c>
      <c r="I3481" s="4" t="s">
        <v>6005</v>
      </c>
      <c r="J3481" s="4" t="s">
        <v>121</v>
      </c>
      <c r="K3481" s="5" t="str">
        <f>HYPERLINK("https://dms.licdn.com/playlist/vid/v2/D4E05AQE9siAfSuYXCQ/mp4-720p-30fp-crf28/B4EZno0Pq8GUBk-/0/1760547754042?e=2147483647&amp;v=beta&amp;t=k7qYD3GnVR7NZX6JucAQ6ojJymoQ5iaRIl5kldNgWMI","View Creative")</f>
        <v>View Creative</v>
      </c>
      <c r="L3481" s="4" t="s">
        <v>106</v>
      </c>
      <c r="M3481" s="4" t="s">
        <v>5965</v>
      </c>
      <c r="O3481" s="4" t="s">
        <v>63</v>
      </c>
      <c r="P3481" s="4" t="s">
        <v>64</v>
      </c>
    </row>
    <row r="3482">
      <c r="A3482" s="4" t="s">
        <v>5965</v>
      </c>
      <c r="B3482" s="4" t="s">
        <v>5965</v>
      </c>
      <c r="C3482" s="4">
        <v>1871.0</v>
      </c>
      <c r="D3482" s="5" t="str">
        <f>HYPERLINK("https://www.linkedin.com/ad-library/detail/946201266","Open Ad")</f>
        <v>Open Ad</v>
      </c>
      <c r="E3482" s="4" t="s">
        <v>78</v>
      </c>
      <c r="F3482" s="4" t="s">
        <v>54</v>
      </c>
      <c r="G3482" s="4" t="s">
        <v>6717</v>
      </c>
      <c r="H3482" s="4" t="s">
        <v>49</v>
      </c>
      <c r="I3482" s="4" t="s">
        <v>6005</v>
      </c>
      <c r="J3482" s="4" t="s">
        <v>78</v>
      </c>
      <c r="K3482" s="5" t="str">
        <f>HYPERLINK("https://media.licdn.com/dms/image/v2/D5622AQG24L_-sHYaeQ/feedshare-shrink_1280/B56Zo2FyoPJkAw-/0/1761844081057?e=2147483647&amp;v=beta&amp;t=jIbUbsjS3i0t2SNyuMS9k5zLK2B3LcX58HlivMBJNwg","View Creative")</f>
        <v>View Creative</v>
      </c>
      <c r="L3482" s="4" t="s">
        <v>106</v>
      </c>
      <c r="M3482" s="4" t="s">
        <v>5965</v>
      </c>
      <c r="O3482" s="4" t="s">
        <v>63</v>
      </c>
      <c r="P3482" s="4" t="s">
        <v>64</v>
      </c>
    </row>
    <row r="3483">
      <c r="A3483" s="4" t="s">
        <v>5965</v>
      </c>
      <c r="B3483" s="4" t="s">
        <v>5965</v>
      </c>
      <c r="C3483" s="4">
        <v>1872.0</v>
      </c>
      <c r="D3483" s="5" t="str">
        <f>HYPERLINK("https://www.linkedin.com/ad-library/detail/946786216","Open Ad")</f>
        <v>Open Ad</v>
      </c>
      <c r="E3483" s="4" t="s">
        <v>78</v>
      </c>
      <c r="F3483" s="4" t="s">
        <v>54</v>
      </c>
      <c r="G3483" s="4" t="s">
        <v>6703</v>
      </c>
      <c r="H3483" s="4" t="s">
        <v>49</v>
      </c>
      <c r="I3483" s="4" t="s">
        <v>6005</v>
      </c>
      <c r="J3483" s="4" t="s">
        <v>78</v>
      </c>
      <c r="K3483" s="5" t="str">
        <f>HYPERLINK("https://media.licdn.com/dms/image/v2/D4E22AQE1-cHMShzcIg/feedshare-shrink_1280/B4EZoIcku6J0As-/0/1761078300183?e=2147483647&amp;v=beta&amp;t=v6qe_4gseca8di_345HzdV-Xq0ZiH-0IHhQ4XukEvK4","View Creative")</f>
        <v>View Creative</v>
      </c>
      <c r="L3483" s="4" t="s">
        <v>106</v>
      </c>
      <c r="M3483" s="4" t="s">
        <v>5965</v>
      </c>
      <c r="O3483" s="4" t="s">
        <v>63</v>
      </c>
      <c r="P3483" s="4" t="s">
        <v>64</v>
      </c>
    </row>
    <row r="3484">
      <c r="A3484" s="4" t="s">
        <v>5965</v>
      </c>
      <c r="B3484" s="4" t="s">
        <v>5965</v>
      </c>
      <c r="C3484" s="4">
        <v>1873.0</v>
      </c>
      <c r="D3484" s="5" t="str">
        <f>HYPERLINK("https://www.linkedin.com/ad-library/detail/946493356","Open Ad")</f>
        <v>Open Ad</v>
      </c>
      <c r="E3484" s="4" t="s">
        <v>78</v>
      </c>
      <c r="F3484" s="4" t="s">
        <v>54</v>
      </c>
      <c r="G3484" s="4" t="s">
        <v>6706</v>
      </c>
      <c r="H3484" s="4" t="s">
        <v>49</v>
      </c>
      <c r="I3484" s="4" t="s">
        <v>6005</v>
      </c>
      <c r="J3484" s="4" t="s">
        <v>78</v>
      </c>
      <c r="K3484" s="4" t="s">
        <v>59</v>
      </c>
      <c r="L3484" s="4" t="s">
        <v>106</v>
      </c>
      <c r="M3484" s="4" t="s">
        <v>5965</v>
      </c>
      <c r="O3484" s="4" t="s">
        <v>63</v>
      </c>
      <c r="P3484" s="4" t="s">
        <v>64</v>
      </c>
    </row>
    <row r="3485">
      <c r="A3485" s="4" t="s">
        <v>5965</v>
      </c>
      <c r="B3485" s="4" t="s">
        <v>5965</v>
      </c>
      <c r="C3485" s="4">
        <v>1874.0</v>
      </c>
      <c r="D3485" s="5" t="str">
        <f>HYPERLINK("https://www.linkedin.com/ad-library/detail/930343836","Open Ad")</f>
        <v>Open Ad</v>
      </c>
      <c r="E3485" s="4" t="s">
        <v>78</v>
      </c>
      <c r="F3485" s="4" t="s">
        <v>54</v>
      </c>
      <c r="G3485" s="4" t="s">
        <v>6703</v>
      </c>
      <c r="H3485" s="4" t="s">
        <v>49</v>
      </c>
      <c r="I3485" s="4" t="s">
        <v>6005</v>
      </c>
      <c r="J3485" s="4" t="s">
        <v>78</v>
      </c>
      <c r="K3485" s="5" t="str">
        <f>HYPERLINK("https://media.licdn.com/dms/image/v2/D4E22AQE1-cHMShzcIg/feedshare-shrink_1280/B4EZoIcku6J0As-/0/1761078300183?e=2147483647&amp;v=beta&amp;t=v6qe_4gseca8di_345HzdV-Xq0ZiH-0IHhQ4XukEvK4","View Creative")</f>
        <v>View Creative</v>
      </c>
      <c r="L3485" s="4" t="s">
        <v>106</v>
      </c>
      <c r="M3485" s="4" t="s">
        <v>5965</v>
      </c>
      <c r="O3485" s="4" t="s">
        <v>63</v>
      </c>
      <c r="P3485" s="4" t="s">
        <v>64</v>
      </c>
    </row>
    <row r="3486">
      <c r="A3486" s="4" t="s">
        <v>5965</v>
      </c>
      <c r="B3486" s="4" t="s">
        <v>5965</v>
      </c>
      <c r="C3486" s="4">
        <v>1875.0</v>
      </c>
      <c r="D3486" s="5" t="str">
        <f>HYPERLINK("https://www.linkedin.com/ad-library/detail/938567266","Open Ad")</f>
        <v>Open Ad</v>
      </c>
      <c r="E3486" s="4" t="s">
        <v>78</v>
      </c>
      <c r="F3486" s="4" t="s">
        <v>54</v>
      </c>
      <c r="G3486" s="4" t="s">
        <v>6718</v>
      </c>
      <c r="H3486" s="4" t="s">
        <v>49</v>
      </c>
      <c r="I3486" s="4" t="s">
        <v>6005</v>
      </c>
      <c r="J3486" s="4" t="s">
        <v>78</v>
      </c>
      <c r="K3486" s="5" t="str">
        <f>HYPERLINK("https://media.licdn.com/dms/image/v2/D5610AQHi0jwivwcxLQ/image-shrink_1280/B56ZorXosQJsAM-/0/1761664208477/linkedin_ads_1png?e=2147483647&amp;v=beta&amp;t=3Cb44pIqdpm3vUurEJvOFAvme2XFHoIhHIXNLEFBG-M","View Creative")</f>
        <v>View Creative</v>
      </c>
      <c r="L3486" s="4" t="s">
        <v>106</v>
      </c>
      <c r="M3486" s="4" t="s">
        <v>5965</v>
      </c>
      <c r="O3486" s="4" t="s">
        <v>63</v>
      </c>
      <c r="P3486" s="4" t="s">
        <v>64</v>
      </c>
    </row>
    <row r="3487">
      <c r="A3487" s="4" t="s">
        <v>5965</v>
      </c>
      <c r="B3487" s="4" t="s">
        <v>5965</v>
      </c>
      <c r="C3487" s="4">
        <v>1876.0</v>
      </c>
      <c r="D3487" s="5" t="str">
        <f>HYPERLINK("https://www.linkedin.com/ad-library/detail/928464566","Open Ad")</f>
        <v>Open Ad</v>
      </c>
      <c r="E3487" s="4" t="s">
        <v>78</v>
      </c>
      <c r="F3487" s="4" t="s">
        <v>54</v>
      </c>
      <c r="G3487" s="4" t="s">
        <v>6718</v>
      </c>
      <c r="H3487" s="4" t="s">
        <v>49</v>
      </c>
      <c r="I3487" s="4" t="s">
        <v>6005</v>
      </c>
      <c r="J3487" s="4" t="s">
        <v>78</v>
      </c>
      <c r="K3487" s="5" t="str">
        <f>HYPERLINK("https://media.licdn.com/dms/image/v2/D5610AQGBX4VrjOoWyA/image-shrink_800/B56ZoItz_iIYAc-/0/1761082819260/unnamed7png?e=2147483647&amp;v=beta&amp;t=PjYtZSvAdx-1yxB4Dnd-BqM9eOh09GE-xELn2nGDko8","View Creative")</f>
        <v>View Creative</v>
      </c>
      <c r="L3487" s="4" t="s">
        <v>106</v>
      </c>
      <c r="M3487" s="4" t="s">
        <v>5965</v>
      </c>
      <c r="O3487" s="4" t="s">
        <v>63</v>
      </c>
      <c r="P3487" s="4" t="s">
        <v>64</v>
      </c>
    </row>
    <row r="3488">
      <c r="A3488" s="4" t="s">
        <v>5965</v>
      </c>
      <c r="B3488" s="4" t="s">
        <v>5965</v>
      </c>
      <c r="C3488" s="4">
        <v>1877.0</v>
      </c>
      <c r="D3488" s="5" t="str">
        <f>HYPERLINK("https://www.linkedin.com/ad-library/detail/930284956","Open Ad")</f>
        <v>Open Ad</v>
      </c>
      <c r="E3488" s="4" t="s">
        <v>78</v>
      </c>
      <c r="F3488" s="4" t="s">
        <v>54</v>
      </c>
      <c r="G3488" s="4" t="s">
        <v>6703</v>
      </c>
      <c r="H3488" s="4" t="s">
        <v>49</v>
      </c>
      <c r="I3488" s="4" t="s">
        <v>6005</v>
      </c>
      <c r="J3488" s="4" t="s">
        <v>78</v>
      </c>
      <c r="K3488" s="5" t="str">
        <f>HYPERLINK("https://media.licdn.com/dms/image/v2/D4E22AQE1-cHMShzcIg/feedshare-shrink_1280/B4EZoIcku6J0As-/0/1761078300183?e=2147483647&amp;v=beta&amp;t=v6qe_4gseca8di_345HzdV-Xq0ZiH-0IHhQ4XukEvK4","View Creative")</f>
        <v>View Creative</v>
      </c>
      <c r="L3488" s="4" t="s">
        <v>106</v>
      </c>
      <c r="M3488" s="4" t="s">
        <v>5965</v>
      </c>
      <c r="O3488" s="4" t="s">
        <v>63</v>
      </c>
      <c r="P3488" s="4" t="s">
        <v>64</v>
      </c>
    </row>
    <row r="3489">
      <c r="A3489" s="4" t="s">
        <v>5965</v>
      </c>
      <c r="B3489" s="4" t="s">
        <v>5965</v>
      </c>
      <c r="C3489" s="4">
        <v>1878.0</v>
      </c>
      <c r="D3489" s="5" t="str">
        <f>HYPERLINK("https://www.linkedin.com/ad-library/detail/928626096","Open Ad")</f>
        <v>Open Ad</v>
      </c>
      <c r="E3489" s="4" t="s">
        <v>78</v>
      </c>
      <c r="F3489" s="4" t="s">
        <v>54</v>
      </c>
      <c r="G3489" s="4" t="s">
        <v>6718</v>
      </c>
      <c r="H3489" s="4" t="s">
        <v>49</v>
      </c>
      <c r="I3489" s="4" t="s">
        <v>6005</v>
      </c>
      <c r="J3489" s="4" t="s">
        <v>78</v>
      </c>
      <c r="K3489" s="5" t="str">
        <f>HYPERLINK("https://media.licdn.com/dms/image/v2/D5610AQGBX4VrjOoWyA/image-shrink_800/B56ZoItz_iIYAc-/0/1761082819260/unnamed7png?e=2147483647&amp;v=beta&amp;t=PjYtZSvAdx-1yxB4Dnd-BqM9eOh09GE-xELn2nGDko8","View Creative")</f>
        <v>View Creative</v>
      </c>
      <c r="L3489" s="4" t="s">
        <v>106</v>
      </c>
      <c r="M3489" s="4" t="s">
        <v>5965</v>
      </c>
      <c r="O3489" s="4" t="s">
        <v>63</v>
      </c>
      <c r="P3489" s="4" t="s">
        <v>64</v>
      </c>
    </row>
    <row r="3490">
      <c r="A3490" s="4" t="s">
        <v>5965</v>
      </c>
      <c r="B3490" s="4" t="s">
        <v>5965</v>
      </c>
      <c r="C3490" s="4">
        <v>1879.0</v>
      </c>
      <c r="D3490" s="5" t="str">
        <f>HYPERLINK("https://www.linkedin.com/ad-library/detail/928654116","Open Ad")</f>
        <v>Open Ad</v>
      </c>
      <c r="E3490" s="4" t="s">
        <v>78</v>
      </c>
      <c r="F3490" s="4" t="s">
        <v>54</v>
      </c>
      <c r="G3490" s="4" t="s">
        <v>6719</v>
      </c>
      <c r="H3490" s="4" t="s">
        <v>49</v>
      </c>
      <c r="I3490" s="4" t="s">
        <v>6005</v>
      </c>
      <c r="J3490" s="4" t="s">
        <v>78</v>
      </c>
      <c r="K3490" s="5" t="str">
        <f>HYPERLINK("https://media.licdn.com/dms/image/v2/D5610AQEhV__8rG6BBw/image-shrink_800/B56ZoIwRIzIYAc-/0/1761083462837/unnamed10png?e=2147483647&amp;v=beta&amp;t=kC1lmd7pPrjg-1vW4gjTkO4CB-jPO_egaFO4ixPaCTQ","View Creative")</f>
        <v>View Creative</v>
      </c>
      <c r="L3490" s="4" t="s">
        <v>106</v>
      </c>
      <c r="M3490" s="4" t="s">
        <v>5965</v>
      </c>
      <c r="O3490" s="4" t="s">
        <v>63</v>
      </c>
      <c r="P3490" s="4" t="s">
        <v>64</v>
      </c>
    </row>
    <row r="3491">
      <c r="A3491" s="4" t="s">
        <v>5965</v>
      </c>
      <c r="B3491" s="4" t="s">
        <v>5965</v>
      </c>
      <c r="C3491" s="4">
        <v>1880.0</v>
      </c>
      <c r="D3491" s="5" t="str">
        <f>HYPERLINK("https://www.linkedin.com/ad-library/detail/928554306","Open Ad")</f>
        <v>Open Ad</v>
      </c>
      <c r="E3491" s="4" t="s">
        <v>78</v>
      </c>
      <c r="F3491" s="4" t="s">
        <v>54</v>
      </c>
      <c r="G3491" s="4" t="s">
        <v>6720</v>
      </c>
      <c r="H3491" s="4" t="s">
        <v>49</v>
      </c>
      <c r="I3491" s="4" t="s">
        <v>6005</v>
      </c>
      <c r="J3491" s="4" t="s">
        <v>78</v>
      </c>
      <c r="K3491" s="5" t="str">
        <f>HYPERLINK("https://media.licdn.com/dms/image/v2/D5610AQGqp9Kpgiv5VQ/image-shrink_800/B56ZoIv_GiKIAc-/0/1761083389056/unnamed9png?e=2147483647&amp;v=beta&amp;t=80fcVOhP6QmWT07PtbT9ADgTQhvexFZfzTIvG5DR1ik","View Creative")</f>
        <v>View Creative</v>
      </c>
      <c r="L3491" s="4" t="s">
        <v>106</v>
      </c>
      <c r="M3491" s="4" t="s">
        <v>5965</v>
      </c>
      <c r="O3491" s="4" t="s">
        <v>63</v>
      </c>
      <c r="P3491" s="4" t="s">
        <v>64</v>
      </c>
    </row>
    <row r="3492">
      <c r="A3492" s="4" t="s">
        <v>5965</v>
      </c>
      <c r="B3492" s="4" t="s">
        <v>5965</v>
      </c>
      <c r="C3492" s="4">
        <v>1881.0</v>
      </c>
      <c r="D3492" s="5" t="str">
        <f>HYPERLINK("https://www.linkedin.com/ad-library/detail/928675676","Open Ad")</f>
        <v>Open Ad</v>
      </c>
      <c r="E3492" s="4" t="s">
        <v>78</v>
      </c>
      <c r="F3492" s="4" t="s">
        <v>54</v>
      </c>
      <c r="G3492" s="4" t="s">
        <v>6719</v>
      </c>
      <c r="H3492" s="4" t="s">
        <v>49</v>
      </c>
      <c r="I3492" s="4" t="s">
        <v>6005</v>
      </c>
      <c r="J3492" s="4" t="s">
        <v>78</v>
      </c>
      <c r="K3492" s="5" t="str">
        <f>HYPERLINK("https://media.licdn.com/dms/image/v2/D5610AQEhV__8rG6BBw/image-shrink_800/B56ZoIwRIzIYAc-/0/1761083462837/unnamed10png?e=2147483647&amp;v=beta&amp;t=kC1lmd7pPrjg-1vW4gjTkO4CB-jPO_egaFO4ixPaCTQ","View Creative")</f>
        <v>View Creative</v>
      </c>
      <c r="L3492" s="4" t="s">
        <v>106</v>
      </c>
      <c r="M3492" s="4" t="s">
        <v>5965</v>
      </c>
      <c r="O3492" s="4" t="s">
        <v>63</v>
      </c>
      <c r="P3492" s="4" t="s">
        <v>64</v>
      </c>
    </row>
    <row r="3493">
      <c r="A3493" s="4" t="s">
        <v>5965</v>
      </c>
      <c r="B3493" s="4" t="s">
        <v>5965</v>
      </c>
      <c r="C3493" s="4">
        <v>1882.0</v>
      </c>
      <c r="D3493" s="5" t="str">
        <f>HYPERLINK("https://www.linkedin.com/ad-library/detail/939131456","Open Ad")</f>
        <v>Open Ad</v>
      </c>
      <c r="E3493" s="4" t="s">
        <v>78</v>
      </c>
      <c r="F3493" s="4" t="s">
        <v>54</v>
      </c>
      <c r="G3493" s="4" t="s">
        <v>6721</v>
      </c>
      <c r="H3493" s="4" t="s">
        <v>49</v>
      </c>
      <c r="I3493" s="4" t="s">
        <v>6005</v>
      </c>
      <c r="J3493" s="4" t="s">
        <v>78</v>
      </c>
      <c r="K3493" s="5" t="str">
        <f>HYPERLINK("https://media.licdn.com/dms/image/v2/D4E22AQGGp6BqA_Rn_w/feedshare-shrink_1280/B4EZne1Am1KYAw-/0/1760380062765?e=2147483647&amp;v=beta&amp;t=jQyeFiZRmukTHZGwrxJm-oH0xe2q87PjyAZ9OQ2Bib0","View Creative")</f>
        <v>View Creative</v>
      </c>
      <c r="L3493" s="4" t="s">
        <v>106</v>
      </c>
      <c r="M3493" s="4" t="s">
        <v>5965</v>
      </c>
      <c r="O3493" s="4" t="s">
        <v>63</v>
      </c>
      <c r="P3493" s="4" t="s">
        <v>64</v>
      </c>
    </row>
    <row r="3494">
      <c r="A3494" s="4" t="s">
        <v>5965</v>
      </c>
      <c r="B3494" s="4" t="s">
        <v>5965</v>
      </c>
      <c r="C3494" s="4">
        <v>1883.0</v>
      </c>
      <c r="D3494" s="5" t="str">
        <f>HYPERLINK("https://www.linkedin.com/ad-library/detail/946886536","Open Ad")</f>
        <v>Open Ad</v>
      </c>
      <c r="E3494" s="4" t="s">
        <v>121</v>
      </c>
      <c r="F3494" s="4" t="s">
        <v>54</v>
      </c>
      <c r="G3494" s="4" t="s">
        <v>6708</v>
      </c>
      <c r="H3494" s="4" t="s">
        <v>49</v>
      </c>
      <c r="I3494" s="4" t="s">
        <v>6005</v>
      </c>
      <c r="J3494" s="4" t="s">
        <v>121</v>
      </c>
      <c r="K3494" s="5" t="str">
        <f>HYPERLINK("https://dms.licdn.com/playlist/vid/v2/D4E05AQH-lOoPjeuTXg/mp4-640p-30fp-crf28/B4EZoB.yuJGUBg-/0/1760969833826?e=2147483647&amp;v=beta&amp;t=EuynpswcPuEysl_qid-zHtYRmiashAza_VruTNtEYZ8","View Creative")</f>
        <v>View Creative</v>
      </c>
      <c r="L3494" s="4" t="s">
        <v>106</v>
      </c>
      <c r="M3494" s="4" t="s">
        <v>5965</v>
      </c>
      <c r="O3494" s="4" t="s">
        <v>63</v>
      </c>
      <c r="P3494" s="4" t="s">
        <v>64</v>
      </c>
    </row>
    <row r="3495">
      <c r="A3495" s="4" t="s">
        <v>5965</v>
      </c>
      <c r="B3495" s="4" t="s">
        <v>5965</v>
      </c>
      <c r="C3495" s="4">
        <v>1884.0</v>
      </c>
      <c r="D3495" s="5" t="str">
        <f>HYPERLINK("https://www.linkedin.com/ad-library/detail/1155427536","Open Ad")</f>
        <v>Open Ad</v>
      </c>
      <c r="E3495" s="4" t="s">
        <v>78</v>
      </c>
      <c r="F3495" s="4" t="s">
        <v>54</v>
      </c>
      <c r="G3495" s="4" t="s">
        <v>6722</v>
      </c>
      <c r="H3495" s="4" t="s">
        <v>49</v>
      </c>
      <c r="I3495" s="4" t="s">
        <v>6005</v>
      </c>
      <c r="J3495" s="4" t="s">
        <v>78</v>
      </c>
      <c r="K3495" s="5" t="str">
        <f>HYPERLINK("https://media.licdn.com/dms/image/v2/D5610AQHXXoy-hpag3g/image-shrink_1280/B56ZorXKYwHIAM-/0/1761664084262/linkedin_ads_3png?e=2147483647&amp;v=beta&amp;t=b1FLazEwb4Opy_WY46igHFqOwdcTZNYX7gYm9X9nj4U","View Creative")</f>
        <v>View Creative</v>
      </c>
      <c r="L3495" s="4" t="s">
        <v>106</v>
      </c>
      <c r="M3495" s="4" t="s">
        <v>5965</v>
      </c>
      <c r="O3495" s="4" t="s">
        <v>63</v>
      </c>
      <c r="P3495" s="4" t="s">
        <v>64</v>
      </c>
    </row>
    <row r="3496">
      <c r="A3496" s="4" t="s">
        <v>5965</v>
      </c>
      <c r="B3496" s="4" t="s">
        <v>5965</v>
      </c>
      <c r="C3496" s="4">
        <v>1885.0</v>
      </c>
      <c r="D3496" s="5" t="str">
        <f>HYPERLINK("https://www.linkedin.com/ad-library/detail/930245186","Open Ad")</f>
        <v>Open Ad</v>
      </c>
      <c r="E3496" s="4" t="s">
        <v>78</v>
      </c>
      <c r="F3496" s="4" t="s">
        <v>54</v>
      </c>
      <c r="G3496" s="4" t="s">
        <v>6703</v>
      </c>
      <c r="H3496" s="4" t="s">
        <v>49</v>
      </c>
      <c r="I3496" s="4" t="s">
        <v>6005</v>
      </c>
      <c r="J3496" s="4" t="s">
        <v>78</v>
      </c>
      <c r="K3496" s="5" t="str">
        <f>HYPERLINK("https://media.licdn.com/dms/image/v2/D4E22AQE1-cHMShzcIg/feedshare-shrink_1280/B4EZoIcku6J0As-/0/1761078300183?e=2147483647&amp;v=beta&amp;t=v6qe_4gseca8di_345HzdV-Xq0ZiH-0IHhQ4XukEvK4","View Creative")</f>
        <v>View Creative</v>
      </c>
      <c r="L3496" s="4" t="s">
        <v>106</v>
      </c>
      <c r="M3496" s="4" t="s">
        <v>5965</v>
      </c>
      <c r="O3496" s="4" t="s">
        <v>63</v>
      </c>
      <c r="P3496" s="4" t="s">
        <v>64</v>
      </c>
    </row>
    <row r="3497">
      <c r="A3497" s="4" t="s">
        <v>5965</v>
      </c>
      <c r="B3497" s="4" t="s">
        <v>5965</v>
      </c>
      <c r="C3497" s="4">
        <v>1886.0</v>
      </c>
      <c r="D3497" s="5" t="str">
        <f>HYPERLINK("https://www.linkedin.com/ad-library/detail/928633936","Open Ad")</f>
        <v>Open Ad</v>
      </c>
      <c r="E3497" s="4" t="s">
        <v>78</v>
      </c>
      <c r="F3497" s="4" t="s">
        <v>54</v>
      </c>
      <c r="G3497" s="4" t="s">
        <v>6722</v>
      </c>
      <c r="H3497" s="4" t="s">
        <v>49</v>
      </c>
      <c r="I3497" s="4" t="s">
        <v>6005</v>
      </c>
      <c r="J3497" s="4" t="s">
        <v>78</v>
      </c>
      <c r="K3497" s="5" t="str">
        <f>HYPERLINK("https://media.licdn.com/dms/image/v2/D5610AQFH3LwH198Kvw/image-shrink_1280/B56ZoIvp7MI0AM-/0/1761083302436/unnamed8png?e=2147483647&amp;v=beta&amp;t=fHNt7iiKJ8r_BAsQNMwaNe7Yg_aAhNqqjZFdECrXJqI","View Creative")</f>
        <v>View Creative</v>
      </c>
      <c r="L3497" s="4" t="s">
        <v>106</v>
      </c>
      <c r="M3497" s="4" t="s">
        <v>5965</v>
      </c>
      <c r="O3497" s="4" t="s">
        <v>63</v>
      </c>
      <c r="P3497" s="4" t="s">
        <v>64</v>
      </c>
    </row>
    <row r="3498">
      <c r="A3498" s="4" t="s">
        <v>5965</v>
      </c>
      <c r="B3498" s="4" t="s">
        <v>5965</v>
      </c>
      <c r="C3498" s="4">
        <v>1887.0</v>
      </c>
      <c r="D3498" s="5" t="str">
        <f>HYPERLINK("https://www.linkedin.com/ad-library/detail/928484636","Open Ad")</f>
        <v>Open Ad</v>
      </c>
      <c r="E3498" s="4" t="s">
        <v>78</v>
      </c>
      <c r="F3498" s="4" t="s">
        <v>54</v>
      </c>
      <c r="G3498" s="4" t="s">
        <v>6723</v>
      </c>
      <c r="H3498" s="4" t="s">
        <v>49</v>
      </c>
      <c r="I3498" s="4" t="s">
        <v>6005</v>
      </c>
      <c r="J3498" s="4" t="s">
        <v>78</v>
      </c>
      <c r="K3498" s="5" t="str">
        <f>HYPERLINK("https://media.licdn.com/dms/image/v2/D5610AQEZp0g7CMazxw/image-shrink_800/B56ZoIuhFKIsAc-/0/1761083003805/unnamed7png?e=2147483647&amp;v=beta&amp;t=oGk-zpxBo4dgRt95jedcrzyumTgV4CvK8LUztvmDueI","View Creative")</f>
        <v>View Creative</v>
      </c>
      <c r="L3498" s="4" t="s">
        <v>106</v>
      </c>
      <c r="M3498" s="4" t="s">
        <v>5965</v>
      </c>
      <c r="O3498" s="4" t="s">
        <v>63</v>
      </c>
      <c r="P3498" s="4" t="s">
        <v>64</v>
      </c>
    </row>
    <row r="3499">
      <c r="A3499" s="4" t="s">
        <v>5965</v>
      </c>
      <c r="B3499" s="4" t="s">
        <v>5965</v>
      </c>
      <c r="C3499" s="4">
        <v>1888.0</v>
      </c>
      <c r="D3499" s="5" t="str">
        <f>HYPERLINK("https://www.linkedin.com/ad-library/detail/938616636","Open Ad")</f>
        <v>Open Ad</v>
      </c>
      <c r="E3499" s="4" t="s">
        <v>78</v>
      </c>
      <c r="F3499" s="4" t="s">
        <v>54</v>
      </c>
      <c r="G3499" s="4" t="s">
        <v>6719</v>
      </c>
      <c r="H3499" s="4" t="s">
        <v>49</v>
      </c>
      <c r="I3499" s="4" t="s">
        <v>6005</v>
      </c>
      <c r="J3499" s="4" t="s">
        <v>78</v>
      </c>
      <c r="K3499" s="5" t="str">
        <f>HYPERLINK("https://media.licdn.com/dms/image/v2/D5610AQEhV__8rG6BBw/image-shrink_800/B56ZoIwRIzIYAc-/0/1761083462837/unnamed10png?e=2147483647&amp;v=beta&amp;t=kC1lmd7pPrjg-1vW4gjTkO4CB-jPO_egaFO4ixPaCTQ","View Creative")</f>
        <v>View Creative</v>
      </c>
      <c r="L3499" s="4" t="s">
        <v>106</v>
      </c>
      <c r="M3499" s="4" t="s">
        <v>5965</v>
      </c>
      <c r="O3499" s="4" t="s">
        <v>63</v>
      </c>
      <c r="P3499" s="4" t="s">
        <v>64</v>
      </c>
    </row>
    <row r="3500">
      <c r="A3500" s="4" t="s">
        <v>5965</v>
      </c>
      <c r="B3500" s="4" t="s">
        <v>5965</v>
      </c>
      <c r="C3500" s="4">
        <v>1889.0</v>
      </c>
      <c r="D3500" s="5" t="str">
        <f>HYPERLINK("https://www.linkedin.com/ad-library/detail/946493366","Open Ad")</f>
        <v>Open Ad</v>
      </c>
      <c r="E3500" s="4" t="s">
        <v>78</v>
      </c>
      <c r="F3500" s="4" t="s">
        <v>54</v>
      </c>
      <c r="G3500" s="4" t="s">
        <v>6706</v>
      </c>
      <c r="H3500" s="4" t="s">
        <v>49</v>
      </c>
      <c r="I3500" s="4" t="s">
        <v>6005</v>
      </c>
      <c r="J3500" s="4" t="s">
        <v>78</v>
      </c>
      <c r="K3500" s="4" t="s">
        <v>59</v>
      </c>
      <c r="L3500" s="4" t="s">
        <v>106</v>
      </c>
      <c r="M3500" s="4" t="s">
        <v>5965</v>
      </c>
      <c r="O3500" s="4" t="s">
        <v>63</v>
      </c>
      <c r="P3500" s="4" t="s">
        <v>64</v>
      </c>
    </row>
    <row r="3501">
      <c r="A3501" s="4" t="s">
        <v>5965</v>
      </c>
      <c r="B3501" s="4" t="s">
        <v>5965</v>
      </c>
      <c r="C3501" s="4">
        <v>1890.0</v>
      </c>
      <c r="D3501" s="5" t="str">
        <f>HYPERLINK("https://www.linkedin.com/ad-library/detail/928645656","Open Ad")</f>
        <v>Open Ad</v>
      </c>
      <c r="E3501" s="4" t="s">
        <v>78</v>
      </c>
      <c r="F3501" s="4" t="s">
        <v>54</v>
      </c>
      <c r="G3501" s="4" t="s">
        <v>6722</v>
      </c>
      <c r="H3501" s="4" t="s">
        <v>49</v>
      </c>
      <c r="I3501" s="4" t="s">
        <v>6005</v>
      </c>
      <c r="J3501" s="4" t="s">
        <v>78</v>
      </c>
      <c r="K3501" s="5" t="str">
        <f>HYPERLINK("https://media.licdn.com/dms/image/v2/D5610AQFH3LwH198Kvw/image-shrink_1280/B56ZoIvp7MI0AM-/0/1761083302436/unnamed8png?e=2147483647&amp;v=beta&amp;t=fHNt7iiKJ8r_BAsQNMwaNe7Yg_aAhNqqjZFdECrXJqI","View Creative")</f>
        <v>View Creative</v>
      </c>
      <c r="L3501" s="4" t="s">
        <v>106</v>
      </c>
      <c r="M3501" s="4" t="s">
        <v>5965</v>
      </c>
      <c r="O3501" s="4" t="s">
        <v>63</v>
      </c>
      <c r="P3501" s="4" t="s">
        <v>64</v>
      </c>
    </row>
    <row r="3502">
      <c r="A3502" s="4" t="s">
        <v>5965</v>
      </c>
      <c r="B3502" s="4" t="s">
        <v>5965</v>
      </c>
      <c r="C3502" s="4">
        <v>1891.0</v>
      </c>
      <c r="D3502" s="5" t="str">
        <f>HYPERLINK("https://www.linkedin.com/ad-library/detail/928466096","Open Ad")</f>
        <v>Open Ad</v>
      </c>
      <c r="E3502" s="4" t="s">
        <v>78</v>
      </c>
      <c r="F3502" s="4" t="s">
        <v>54</v>
      </c>
      <c r="G3502" s="4" t="s">
        <v>6720</v>
      </c>
      <c r="H3502" s="4" t="s">
        <v>49</v>
      </c>
      <c r="I3502" s="4" t="s">
        <v>6005</v>
      </c>
      <c r="J3502" s="4" t="s">
        <v>78</v>
      </c>
      <c r="K3502" s="5" t="str">
        <f>HYPERLINK("https://media.licdn.com/dms/image/v2/D5610AQGqp9Kpgiv5VQ/image-shrink_800/B56ZoIv_GiKIAc-/0/1761083389056/unnamed9png?e=2147483647&amp;v=beta&amp;t=80fcVOhP6QmWT07PtbT9ADgTQhvexFZfzTIvG5DR1ik","View Creative")</f>
        <v>View Creative</v>
      </c>
      <c r="L3502" s="4" t="s">
        <v>106</v>
      </c>
      <c r="M3502" s="4" t="s">
        <v>5965</v>
      </c>
      <c r="O3502" s="4" t="s">
        <v>63</v>
      </c>
      <c r="P3502" s="4" t="s">
        <v>64</v>
      </c>
    </row>
    <row r="3503">
      <c r="A3503" s="4" t="s">
        <v>5965</v>
      </c>
      <c r="B3503" s="4" t="s">
        <v>5965</v>
      </c>
      <c r="C3503" s="4">
        <v>1892.0</v>
      </c>
      <c r="D3503" s="5" t="str">
        <f>HYPERLINK("https://www.linkedin.com/ad-library/detail/942589746","Open Ad")</f>
        <v>Open Ad</v>
      </c>
      <c r="E3503" s="4" t="s">
        <v>121</v>
      </c>
      <c r="F3503" s="4" t="s">
        <v>54</v>
      </c>
      <c r="G3503" s="4" t="s">
        <v>6711</v>
      </c>
      <c r="H3503" s="4" t="s">
        <v>49</v>
      </c>
      <c r="I3503" s="4" t="s">
        <v>6005</v>
      </c>
      <c r="J3503" s="4" t="s">
        <v>121</v>
      </c>
      <c r="K3503" s="5" t="str">
        <f>HYPERLINK("https://dms.licdn.com/playlist/vid/v2/D4E05AQH2bUH3YG0npQ/mp4-640p-30fp-crf28/B4EZoxV.XGHcBs-/0/1761764439194?e=2147483647&amp;v=beta&amp;t=DBK2FkxBxLSfvzT-bkSnNrdo8Hw0A6k_p34axH27VN8","View Creative")</f>
        <v>View Creative</v>
      </c>
      <c r="L3503" s="4" t="s">
        <v>106</v>
      </c>
      <c r="M3503" s="4" t="s">
        <v>5965</v>
      </c>
      <c r="O3503" s="4" t="s">
        <v>63</v>
      </c>
      <c r="P3503" s="4" t="s">
        <v>64</v>
      </c>
    </row>
    <row r="3504">
      <c r="A3504" s="4" t="s">
        <v>5965</v>
      </c>
      <c r="B3504" s="4" t="s">
        <v>5965</v>
      </c>
      <c r="C3504" s="4">
        <v>1893.0</v>
      </c>
      <c r="D3504" s="5" t="str">
        <f>HYPERLINK("https://www.linkedin.com/ad-library/detail/938566996","Open Ad")</f>
        <v>Open Ad</v>
      </c>
      <c r="E3504" s="4" t="s">
        <v>78</v>
      </c>
      <c r="F3504" s="4" t="s">
        <v>54</v>
      </c>
      <c r="G3504" s="4" t="s">
        <v>6723</v>
      </c>
      <c r="H3504" s="4" t="s">
        <v>49</v>
      </c>
      <c r="I3504" s="4" t="s">
        <v>6005</v>
      </c>
      <c r="J3504" s="4" t="s">
        <v>78</v>
      </c>
      <c r="K3504" s="5" t="str">
        <f>HYPERLINK("https://media.licdn.com/dms/image/v2/D5610AQEZp0g7CMazxw/image-shrink_800/B56ZoIuhFKIsAc-/0/1761083003805/unnamed7png?e=2147483647&amp;v=beta&amp;t=oGk-zpxBo4dgRt95jedcrzyumTgV4CvK8LUztvmDueI","View Creative")</f>
        <v>View Creative</v>
      </c>
      <c r="L3504" s="4" t="s">
        <v>106</v>
      </c>
      <c r="M3504" s="4" t="s">
        <v>5965</v>
      </c>
      <c r="O3504" s="4" t="s">
        <v>63</v>
      </c>
      <c r="P3504" s="4" t="s">
        <v>64</v>
      </c>
    </row>
    <row r="3505">
      <c r="A3505" s="4" t="s">
        <v>5965</v>
      </c>
      <c r="B3505" s="4" t="s">
        <v>5965</v>
      </c>
      <c r="C3505" s="4">
        <v>1894.0</v>
      </c>
      <c r="D3505" s="5" t="str">
        <f>HYPERLINK("https://www.linkedin.com/ad-library/detail/946194506","Open Ad")</f>
        <v>Open Ad</v>
      </c>
      <c r="E3505" s="4" t="s">
        <v>121</v>
      </c>
      <c r="F3505" s="4" t="s">
        <v>54</v>
      </c>
      <c r="G3505" s="4" t="s">
        <v>6705</v>
      </c>
      <c r="H3505" s="4" t="s">
        <v>49</v>
      </c>
      <c r="I3505" s="4" t="s">
        <v>6005</v>
      </c>
      <c r="J3505" s="4" t="s">
        <v>121</v>
      </c>
      <c r="K3505" s="5" t="str">
        <f>HYPERLINK("https://dms.licdn.com/playlist/vid/v2/D4E05AQHr_mzttrd9ag/mp4-640p-30fp-crf28/B4EZoIG45zJ0Bk-/0/1761072620061?e=2147483647&amp;v=beta&amp;t=sk6CQ0gHOuibtSVTE9taT4L2arNXtFd8ajVMTyy6VcY","View Creative")</f>
        <v>View Creative</v>
      </c>
      <c r="L3505" s="4" t="s">
        <v>106</v>
      </c>
      <c r="M3505" s="4" t="s">
        <v>5965</v>
      </c>
      <c r="O3505" s="4" t="s">
        <v>63</v>
      </c>
      <c r="P3505" s="4" t="s">
        <v>64</v>
      </c>
    </row>
    <row r="3506">
      <c r="A3506" s="4" t="s">
        <v>5965</v>
      </c>
      <c r="B3506" s="4" t="s">
        <v>5965</v>
      </c>
      <c r="C3506" s="4">
        <v>1895.0</v>
      </c>
      <c r="D3506" s="5" t="str">
        <f>HYPERLINK("https://www.linkedin.com/ad-library/detail/945894826","Open Ad")</f>
        <v>Open Ad</v>
      </c>
      <c r="E3506" s="4" t="s">
        <v>78</v>
      </c>
      <c r="F3506" s="4" t="s">
        <v>54</v>
      </c>
      <c r="G3506" s="4" t="s">
        <v>6706</v>
      </c>
      <c r="H3506" s="4" t="s">
        <v>49</v>
      </c>
      <c r="I3506" s="4" t="s">
        <v>6005</v>
      </c>
      <c r="J3506" s="4" t="s">
        <v>78</v>
      </c>
      <c r="K3506" s="4" t="s">
        <v>59</v>
      </c>
      <c r="L3506" s="4" t="s">
        <v>106</v>
      </c>
      <c r="M3506" s="4" t="s">
        <v>5965</v>
      </c>
      <c r="O3506" s="4" t="s">
        <v>63</v>
      </c>
      <c r="P3506" s="4" t="s">
        <v>64</v>
      </c>
    </row>
    <row r="3507">
      <c r="A3507" s="4" t="s">
        <v>5965</v>
      </c>
      <c r="B3507" s="4" t="s">
        <v>5965</v>
      </c>
      <c r="C3507" s="4">
        <v>1896.0</v>
      </c>
      <c r="D3507" s="5" t="str">
        <f>HYPERLINK("https://www.linkedin.com/ad-library/detail/930165536","Open Ad")</f>
        <v>Open Ad</v>
      </c>
      <c r="E3507" s="4" t="s">
        <v>78</v>
      </c>
      <c r="F3507" s="4" t="s">
        <v>54</v>
      </c>
      <c r="G3507" s="4" t="s">
        <v>6703</v>
      </c>
      <c r="H3507" s="4" t="s">
        <v>49</v>
      </c>
      <c r="I3507" s="4" t="s">
        <v>6005</v>
      </c>
      <c r="J3507" s="4" t="s">
        <v>78</v>
      </c>
      <c r="K3507" s="5" t="str">
        <f>HYPERLINK("https://media.licdn.com/dms/image/v2/D4E22AQE1-cHMShzcIg/feedshare-shrink_1280/B4EZoIcku6J0As-/0/1761078300183?e=2147483647&amp;v=beta&amp;t=v6qe_4gseca8di_345HzdV-Xq0ZiH-0IHhQ4XukEvK4","View Creative")</f>
        <v>View Creative</v>
      </c>
      <c r="L3507" s="4" t="s">
        <v>106</v>
      </c>
      <c r="M3507" s="4" t="s">
        <v>5965</v>
      </c>
      <c r="O3507" s="4" t="s">
        <v>63</v>
      </c>
      <c r="P3507" s="4" t="s">
        <v>64</v>
      </c>
    </row>
    <row r="3508">
      <c r="A3508" s="4" t="s">
        <v>5965</v>
      </c>
      <c r="B3508" s="4" t="s">
        <v>5965</v>
      </c>
      <c r="C3508" s="4">
        <v>1897.0</v>
      </c>
      <c r="D3508" s="5" t="str">
        <f>HYPERLINK("https://www.linkedin.com/ad-library/detail/924000796","Open Ad")</f>
        <v>Open Ad</v>
      </c>
      <c r="E3508" s="4" t="s">
        <v>121</v>
      </c>
      <c r="F3508" s="4" t="s">
        <v>54</v>
      </c>
      <c r="G3508" s="4" t="s">
        <v>6716</v>
      </c>
      <c r="H3508" s="4" t="s">
        <v>49</v>
      </c>
      <c r="I3508" s="4" t="s">
        <v>6005</v>
      </c>
      <c r="J3508" s="4" t="s">
        <v>121</v>
      </c>
      <c r="K3508" s="5" t="str">
        <f>HYPERLINK("https://dms.licdn.com/playlist/vid/v2/D4E05AQE9siAfSuYXCQ/mp4-720p-30fp-crf28/B4EZno0Pq8GUBk-/0/1760547754042?e=2147483647&amp;v=beta&amp;t=k7qYD3GnVR7NZX6JucAQ6ojJymoQ5iaRIl5kldNgWMI","View Creative")</f>
        <v>View Creative</v>
      </c>
      <c r="L3508" s="4" t="s">
        <v>106</v>
      </c>
      <c r="M3508" s="4" t="s">
        <v>5965</v>
      </c>
      <c r="O3508" s="4" t="s">
        <v>63</v>
      </c>
      <c r="P3508" s="4" t="s">
        <v>64</v>
      </c>
    </row>
    <row r="3509">
      <c r="A3509" s="4" t="s">
        <v>5965</v>
      </c>
      <c r="B3509" s="4" t="s">
        <v>5965</v>
      </c>
      <c r="C3509" s="4">
        <v>1898.0</v>
      </c>
      <c r="D3509" s="5" t="str">
        <f>HYPERLINK("https://www.linkedin.com/ad-library/detail/928530716","Open Ad")</f>
        <v>Open Ad</v>
      </c>
      <c r="E3509" s="4" t="s">
        <v>121</v>
      </c>
      <c r="F3509" s="4" t="s">
        <v>54</v>
      </c>
      <c r="G3509" s="4" t="s">
        <v>6712</v>
      </c>
      <c r="H3509" s="4" t="s">
        <v>49</v>
      </c>
      <c r="I3509" s="4" t="s">
        <v>6005</v>
      </c>
      <c r="J3509" s="4" t="s">
        <v>121</v>
      </c>
      <c r="K3509" s="5" t="str">
        <f>HYPERLINK("https://dms.licdn.com/playlist/vid/v2/D4E05AQH5EBXBJ0kmlg/mp4-640p-30fp-crf28/B4EZn4hGzPIIBg-/0/1760811058754?e=2147483647&amp;v=beta&amp;t=imZHK86HgN3lpi6yW63ahpdSHRaT9yI8VCCvkh14v4c","View Creative")</f>
        <v>View Creative</v>
      </c>
      <c r="L3509" s="4" t="s">
        <v>106</v>
      </c>
      <c r="M3509" s="4" t="s">
        <v>5965</v>
      </c>
      <c r="O3509" s="4" t="s">
        <v>63</v>
      </c>
      <c r="P3509" s="4" t="s">
        <v>64</v>
      </c>
    </row>
    <row r="3510">
      <c r="A3510" s="4" t="s">
        <v>5965</v>
      </c>
      <c r="B3510" s="4" t="s">
        <v>5965</v>
      </c>
      <c r="C3510" s="4">
        <v>1899.0</v>
      </c>
      <c r="D3510" s="5" t="str">
        <f>HYPERLINK("https://www.linkedin.com/ad-library/detail/921187176","Open Ad")</f>
        <v>Open Ad</v>
      </c>
      <c r="E3510" s="4" t="s">
        <v>78</v>
      </c>
      <c r="F3510" s="4" t="s">
        <v>54</v>
      </c>
      <c r="G3510" s="4" t="s">
        <v>6724</v>
      </c>
      <c r="H3510" s="4" t="s">
        <v>49</v>
      </c>
      <c r="I3510" s="4" t="s">
        <v>6005</v>
      </c>
      <c r="J3510" s="4" t="s">
        <v>78</v>
      </c>
      <c r="K3510" s="5" t="str">
        <f>HYPERLINK("https://media.licdn.com/dms/image/v2/D4E22AQE96lq_yY28gQ/feedshare-shrink_1280/B4EZm5hGQ1HcAs-/0/1759754086345?e=2147483647&amp;v=beta&amp;t=APocWSUl4k4fA-Nkhs1KWo3yYhhTxkk0hVEkr2XC2MQ","View Creative")</f>
        <v>View Creative</v>
      </c>
      <c r="L3510" s="4" t="s">
        <v>106</v>
      </c>
      <c r="M3510" s="4" t="s">
        <v>5965</v>
      </c>
      <c r="O3510" s="4" t="s">
        <v>63</v>
      </c>
      <c r="P3510" s="4" t="s">
        <v>64</v>
      </c>
    </row>
    <row r="3511">
      <c r="A3511" s="4" t="s">
        <v>5965</v>
      </c>
      <c r="B3511" s="4" t="s">
        <v>5965</v>
      </c>
      <c r="C3511" s="4">
        <v>1900.0</v>
      </c>
      <c r="D3511" s="5" t="str">
        <f>HYPERLINK("https://www.linkedin.com/ad-library/detail/869730754","Open Ad")</f>
        <v>Open Ad</v>
      </c>
      <c r="E3511" s="4" t="s">
        <v>121</v>
      </c>
      <c r="F3511" s="4" t="s">
        <v>54</v>
      </c>
      <c r="G3511" s="4" t="s">
        <v>6705</v>
      </c>
      <c r="H3511" s="4" t="s">
        <v>49</v>
      </c>
      <c r="I3511" s="4" t="s">
        <v>6005</v>
      </c>
      <c r="J3511" s="4" t="s">
        <v>121</v>
      </c>
      <c r="K3511" s="5" t="str">
        <f>HYPERLINK("https://dms.licdn.com/playlist/vid/v2/D4E05AQHr_mzttrd9ag/mp4-640p-30fp-crf28/B4EZoIG45zJ0Bk-/0/1761072620061?e=2147483647&amp;v=beta&amp;t=sk6CQ0gHOuibtSVTE9taT4L2arNXtFd8ajVMTyy6VcY","View Creative")</f>
        <v>View Creative</v>
      </c>
      <c r="L3511" s="4" t="s">
        <v>106</v>
      </c>
      <c r="M3511" s="4" t="s">
        <v>5965</v>
      </c>
      <c r="O3511" s="4" t="s">
        <v>63</v>
      </c>
      <c r="P3511" s="4" t="s">
        <v>64</v>
      </c>
    </row>
    <row r="3512">
      <c r="A3512" s="4" t="s">
        <v>5965</v>
      </c>
      <c r="B3512" s="4" t="s">
        <v>5965</v>
      </c>
      <c r="C3512" s="4">
        <v>1901.0</v>
      </c>
      <c r="D3512" s="5" t="str">
        <f>HYPERLINK("https://www.linkedin.com/ad-library/detail/921147306","Open Ad")</f>
        <v>Open Ad</v>
      </c>
      <c r="E3512" s="4" t="s">
        <v>78</v>
      </c>
      <c r="F3512" s="4" t="s">
        <v>54</v>
      </c>
      <c r="G3512" s="4" t="s">
        <v>6725</v>
      </c>
      <c r="H3512" s="4" t="s">
        <v>49</v>
      </c>
      <c r="I3512" s="4" t="s">
        <v>6005</v>
      </c>
      <c r="J3512" s="4" t="s">
        <v>78</v>
      </c>
      <c r="K3512" s="5" t="str">
        <f>HYPERLINK("https://media.licdn.com/dms/image/sync/v2/D4E27AQHqWVMOofIb0A/articleshare-shrink_800/B56aBkDEo9IwAU-/0/1788384923817?e=2147483647&amp;v=beta&amp;t=foqqR249K41MQs4522vxZehQ___RnXnY-aAWs1zgW_Y","View Creative")</f>
        <v>View Creative</v>
      </c>
      <c r="L3512" s="4" t="s">
        <v>106</v>
      </c>
      <c r="M3512" s="4" t="s">
        <v>5965</v>
      </c>
      <c r="O3512" s="4" t="s">
        <v>63</v>
      </c>
      <c r="P3512" s="4" t="s">
        <v>64</v>
      </c>
    </row>
    <row r="3513">
      <c r="A3513" s="4" t="s">
        <v>5965</v>
      </c>
      <c r="B3513" s="4" t="s">
        <v>5965</v>
      </c>
      <c r="C3513" s="4">
        <v>1902.0</v>
      </c>
      <c r="D3513" s="5" t="str">
        <f>HYPERLINK("https://www.linkedin.com/ad-library/detail/921216706","Open Ad")</f>
        <v>Open Ad</v>
      </c>
      <c r="E3513" s="4" t="s">
        <v>78</v>
      </c>
      <c r="F3513" s="4" t="s">
        <v>54</v>
      </c>
      <c r="G3513" s="4" t="s">
        <v>6726</v>
      </c>
      <c r="H3513" s="4" t="s">
        <v>49</v>
      </c>
      <c r="I3513" s="4" t="s">
        <v>6005</v>
      </c>
      <c r="J3513" s="4" t="s">
        <v>78</v>
      </c>
      <c r="K3513" s="5" t="str">
        <f>HYPERLINK("https://media.licdn.com/dms/image/v2/D4E22AQGfZdYcrYrPkA/feedshare-shrink_1280/B4EZmruluHKkAs-/0/1759522743768?e=2147483647&amp;v=beta&amp;t=0Hp-UYkbg_zr8UmJioOOMnZ0qpkSjsz10IG1le70Ji4","View Creative")</f>
        <v>View Creative</v>
      </c>
      <c r="L3513" s="4" t="s">
        <v>106</v>
      </c>
      <c r="M3513" s="4" t="s">
        <v>5965</v>
      </c>
      <c r="O3513" s="4" t="s">
        <v>63</v>
      </c>
      <c r="P3513" s="4" t="s">
        <v>64</v>
      </c>
    </row>
    <row r="3514">
      <c r="A3514" s="4" t="s">
        <v>5965</v>
      </c>
      <c r="B3514" s="4" t="s">
        <v>5965</v>
      </c>
      <c r="C3514" s="4">
        <v>1903.0</v>
      </c>
      <c r="D3514" s="5" t="str">
        <f>HYPERLINK("https://www.linkedin.com/ad-library/detail/928461106","Open Ad")</f>
        <v>Open Ad</v>
      </c>
      <c r="E3514" s="4" t="s">
        <v>121</v>
      </c>
      <c r="F3514" s="4" t="s">
        <v>54</v>
      </c>
      <c r="G3514" s="4" t="s">
        <v>6708</v>
      </c>
      <c r="H3514" s="4" t="s">
        <v>49</v>
      </c>
      <c r="I3514" s="4" t="s">
        <v>6005</v>
      </c>
      <c r="J3514" s="4" t="s">
        <v>121</v>
      </c>
      <c r="K3514" s="5" t="str">
        <f>HYPERLINK("https://dms.licdn.com/playlist/vid/v2/D4E05AQH-lOoPjeuTXg/mp4-640p-30fp-crf28/B4EZoB.yuJGUBg-/0/1760969833826?e=2147483647&amp;v=beta&amp;t=EuynpswcPuEysl_qid-zHtYRmiashAza_VruTNtEYZ8","View Creative")</f>
        <v>View Creative</v>
      </c>
      <c r="L3514" s="4" t="s">
        <v>106</v>
      </c>
      <c r="M3514" s="4" t="s">
        <v>5965</v>
      </c>
      <c r="O3514" s="4" t="s">
        <v>63</v>
      </c>
      <c r="P3514" s="4" t="s">
        <v>64</v>
      </c>
    </row>
    <row r="3515">
      <c r="A3515" s="4" t="s">
        <v>5965</v>
      </c>
      <c r="B3515" s="4" t="s">
        <v>5965</v>
      </c>
      <c r="C3515" s="4">
        <v>1904.0</v>
      </c>
      <c r="D3515" s="5" t="str">
        <f>HYPERLINK("https://www.linkedin.com/ad-library/detail/921107626","Open Ad")</f>
        <v>Open Ad</v>
      </c>
      <c r="E3515" s="4" t="s">
        <v>78</v>
      </c>
      <c r="F3515" s="4" t="s">
        <v>54</v>
      </c>
      <c r="G3515" s="4" t="s">
        <v>6724</v>
      </c>
      <c r="H3515" s="4" t="s">
        <v>49</v>
      </c>
      <c r="I3515" s="4" t="s">
        <v>6005</v>
      </c>
      <c r="J3515" s="4" t="s">
        <v>78</v>
      </c>
      <c r="K3515" s="5" t="str">
        <f>HYPERLINK("https://media.licdn.com/dms/image/v2/D4E22AQE96lq_yY28gQ/feedshare-shrink_1280/B4EZm5hGQ1HcAs-/0/1759754086345?e=2147483647&amp;v=beta&amp;t=APocWSUl4k4fA-Nkhs1KWo3yYhhTxkk0hVEkr2XC2MQ","View Creative")</f>
        <v>View Creative</v>
      </c>
      <c r="L3515" s="4" t="s">
        <v>106</v>
      </c>
      <c r="M3515" s="4" t="s">
        <v>5965</v>
      </c>
      <c r="O3515" s="4" t="s">
        <v>63</v>
      </c>
      <c r="P3515" s="4" t="s">
        <v>64</v>
      </c>
    </row>
    <row r="3516">
      <c r="A3516" s="4" t="s">
        <v>5965</v>
      </c>
      <c r="B3516" s="4" t="s">
        <v>5965</v>
      </c>
      <c r="C3516" s="4">
        <v>1905.0</v>
      </c>
      <c r="D3516" s="5" t="str">
        <f>HYPERLINK("https://www.linkedin.com/ad-library/detail/928298376","Open Ad")</f>
        <v>Open Ad</v>
      </c>
      <c r="E3516" s="4" t="s">
        <v>78</v>
      </c>
      <c r="F3516" s="4" t="s">
        <v>54</v>
      </c>
      <c r="G3516" s="4" t="s">
        <v>6704</v>
      </c>
      <c r="H3516" s="4" t="s">
        <v>49</v>
      </c>
      <c r="I3516" s="4" t="s">
        <v>6005</v>
      </c>
      <c r="J3516" s="4" t="s">
        <v>78</v>
      </c>
      <c r="K3516" s="5" t="str">
        <f t="shared" ref="K3516:K3517" si="185">HYPERLINK("https://media.licdn.com/dms/image/v2/D4E22AQF2brM9_mbtbw/feedshare-shrink_1280/B4EZoHNGbzHcAs-/0/1761057466594?e=2147483647&amp;v=beta&amp;t=CpMEhfPGSXjRM9qOuXujN_G6IIOizRwVi5HHt-5mIeU","View Creative")</f>
        <v>View Creative</v>
      </c>
      <c r="L3516" s="4" t="s">
        <v>106</v>
      </c>
      <c r="M3516" s="4" t="s">
        <v>5965</v>
      </c>
      <c r="O3516" s="4" t="s">
        <v>63</v>
      </c>
      <c r="P3516" s="4" t="s">
        <v>64</v>
      </c>
    </row>
    <row r="3517">
      <c r="A3517" s="4" t="s">
        <v>5965</v>
      </c>
      <c r="B3517" s="4" t="s">
        <v>5965</v>
      </c>
      <c r="C3517" s="4">
        <v>1906.0</v>
      </c>
      <c r="D3517" s="5" t="str">
        <f>HYPERLINK("https://www.linkedin.com/ad-library/detail/928229536","Open Ad")</f>
        <v>Open Ad</v>
      </c>
      <c r="E3517" s="4" t="s">
        <v>78</v>
      </c>
      <c r="F3517" s="4" t="s">
        <v>54</v>
      </c>
      <c r="G3517" s="4" t="s">
        <v>6704</v>
      </c>
      <c r="H3517" s="4" t="s">
        <v>49</v>
      </c>
      <c r="I3517" s="4" t="s">
        <v>6005</v>
      </c>
      <c r="J3517" s="4" t="s">
        <v>78</v>
      </c>
      <c r="K3517" s="5" t="str">
        <f t="shared" si="185"/>
        <v>View Creative</v>
      </c>
      <c r="L3517" s="4" t="s">
        <v>106</v>
      </c>
      <c r="M3517" s="4" t="s">
        <v>5965</v>
      </c>
      <c r="O3517" s="4" t="s">
        <v>63</v>
      </c>
      <c r="P3517" s="4" t="s">
        <v>64</v>
      </c>
    </row>
    <row r="3518">
      <c r="A3518" s="4" t="s">
        <v>5965</v>
      </c>
      <c r="B3518" s="4" t="s">
        <v>5965</v>
      </c>
      <c r="C3518" s="4">
        <v>1907.0</v>
      </c>
      <c r="D3518" s="5" t="str">
        <f>HYPERLINK("https://www.linkedin.com/ad-library/detail/928630426","Open Ad")</f>
        <v>Open Ad</v>
      </c>
      <c r="E3518" s="4" t="s">
        <v>121</v>
      </c>
      <c r="F3518" s="4" t="s">
        <v>54</v>
      </c>
      <c r="G3518" s="4" t="s">
        <v>6708</v>
      </c>
      <c r="H3518" s="4" t="s">
        <v>49</v>
      </c>
      <c r="I3518" s="4" t="s">
        <v>6005</v>
      </c>
      <c r="J3518" s="4" t="s">
        <v>121</v>
      </c>
      <c r="K3518" s="5" t="str">
        <f>HYPERLINK("https://dms.licdn.com/playlist/vid/v2/D4E05AQH-lOoPjeuTXg/mp4-640p-30fp-crf28/B4EZoB.yuJGUBg-/0/1760969833826?e=2147483647&amp;v=beta&amp;t=EuynpswcPuEysl_qid-zHtYRmiashAza_VruTNtEYZ8","View Creative")</f>
        <v>View Creative</v>
      </c>
      <c r="L3518" s="4" t="s">
        <v>106</v>
      </c>
      <c r="M3518" s="4" t="s">
        <v>5965</v>
      </c>
      <c r="O3518" s="4" t="s">
        <v>63</v>
      </c>
      <c r="P3518" s="4" t="s">
        <v>64</v>
      </c>
    </row>
    <row r="3519">
      <c r="A3519" s="4" t="s">
        <v>5965</v>
      </c>
      <c r="B3519" s="4" t="s">
        <v>5965</v>
      </c>
      <c r="C3519" s="4">
        <v>1908.0</v>
      </c>
      <c r="D3519" s="5" t="str">
        <f>HYPERLINK("https://www.linkedin.com/ad-library/detail/921678586","Open Ad")</f>
        <v>Open Ad</v>
      </c>
      <c r="E3519" s="4" t="s">
        <v>78</v>
      </c>
      <c r="F3519" s="4" t="s">
        <v>54</v>
      </c>
      <c r="G3519" s="4" t="s">
        <v>6727</v>
      </c>
      <c r="H3519" s="4" t="s">
        <v>49</v>
      </c>
      <c r="I3519" s="4" t="s">
        <v>6005</v>
      </c>
      <c r="J3519" s="4" t="s">
        <v>78</v>
      </c>
      <c r="K3519" s="5" t="str">
        <f>HYPERLINK("https://media.licdn.com/dms/image/v2/D4E22AQGHFl2JEyx45w/feedshare-shrink_1280/B4EZnfXK_gHEAw-/0/1760389018475?e=2147483647&amp;v=beta&amp;t=W2YWVWt-o8Vp4wNUiEgY-aSIgF91jcRwrUc5g0fMyaU","View Creative")</f>
        <v>View Creative</v>
      </c>
      <c r="L3519" s="4" t="s">
        <v>106</v>
      </c>
      <c r="M3519" s="4" t="s">
        <v>5965</v>
      </c>
      <c r="O3519" s="4" t="s">
        <v>63</v>
      </c>
      <c r="P3519" s="4" t="s">
        <v>64</v>
      </c>
    </row>
    <row r="3520">
      <c r="A3520" s="4" t="s">
        <v>5965</v>
      </c>
      <c r="B3520" s="4" t="s">
        <v>5965</v>
      </c>
      <c r="C3520" s="4">
        <v>1909.0</v>
      </c>
      <c r="D3520" s="5" t="str">
        <f>HYPERLINK("https://www.linkedin.com/ad-library/detail/923632846","Open Ad")</f>
        <v>Open Ad</v>
      </c>
      <c r="E3520" s="4" t="s">
        <v>78</v>
      </c>
      <c r="F3520" s="4" t="s">
        <v>54</v>
      </c>
      <c r="G3520" s="4" t="s">
        <v>6728</v>
      </c>
      <c r="H3520" s="4" t="s">
        <v>49</v>
      </c>
      <c r="I3520" s="4" t="s">
        <v>6005</v>
      </c>
      <c r="J3520" s="4" t="s">
        <v>78</v>
      </c>
      <c r="K3520" s="5" t="str">
        <f>HYPERLINK("https://media.licdn.com/dms/image/v2/D5622AQHZltglF6ohqg/feedshare-shrink_1280/B56ZnkeytbJkAs-/0/1760474902691?e=2147483647&amp;v=beta&amp;t=O7bbcPI3moDRZcPa4IOACzgwBac2JWQLuoA8OJXhAi0","View Creative")</f>
        <v>View Creative</v>
      </c>
      <c r="L3520" s="4" t="s">
        <v>106</v>
      </c>
      <c r="M3520" s="4" t="s">
        <v>5965</v>
      </c>
      <c r="O3520" s="4" t="s">
        <v>63</v>
      </c>
      <c r="P3520" s="4" t="s">
        <v>64</v>
      </c>
    </row>
    <row r="3521">
      <c r="A3521" s="4" t="s">
        <v>5965</v>
      </c>
      <c r="B3521" s="4" t="s">
        <v>5965</v>
      </c>
      <c r="C3521" s="4">
        <v>1910.0</v>
      </c>
      <c r="D3521" s="5" t="str">
        <f>HYPERLINK("https://www.linkedin.com/ad-library/detail/928426386","Open Ad")</f>
        <v>Open Ad</v>
      </c>
      <c r="E3521" s="4" t="s">
        <v>78</v>
      </c>
      <c r="F3521" s="4" t="s">
        <v>54</v>
      </c>
      <c r="G3521" s="4" t="s">
        <v>6704</v>
      </c>
      <c r="H3521" s="4" t="s">
        <v>49</v>
      </c>
      <c r="I3521" s="4" t="s">
        <v>6005</v>
      </c>
      <c r="J3521" s="4" t="s">
        <v>78</v>
      </c>
      <c r="K3521" s="5" t="str">
        <f>HYPERLINK("https://media.licdn.com/dms/image/v2/D4E22AQF2brM9_mbtbw/feedshare-shrink_1280/B4EZoHNGbzHcAs-/0/1761057466594?e=2147483647&amp;v=beta&amp;t=CpMEhfPGSXjRM9qOuXujN_G6IIOizRwVi5HHt-5mIeU","View Creative")</f>
        <v>View Creative</v>
      </c>
      <c r="L3521" s="4" t="s">
        <v>106</v>
      </c>
      <c r="M3521" s="4" t="s">
        <v>5965</v>
      </c>
      <c r="O3521" s="4" t="s">
        <v>63</v>
      </c>
      <c r="P3521" s="4" t="s">
        <v>64</v>
      </c>
    </row>
    <row r="3522">
      <c r="A3522" s="4" t="s">
        <v>5965</v>
      </c>
      <c r="B3522" s="4" t="s">
        <v>5965</v>
      </c>
      <c r="C3522" s="4">
        <v>1911.0</v>
      </c>
      <c r="D3522" s="5" t="str">
        <f>HYPERLINK("https://www.linkedin.com/ad-library/detail/925357326","Open Ad")</f>
        <v>Open Ad</v>
      </c>
      <c r="E3522" s="4" t="s">
        <v>78</v>
      </c>
      <c r="F3522" s="4" t="s">
        <v>54</v>
      </c>
      <c r="G3522" s="4" t="s">
        <v>6729</v>
      </c>
      <c r="H3522" s="4" t="s">
        <v>49</v>
      </c>
      <c r="I3522" s="4" t="s">
        <v>6005</v>
      </c>
      <c r="J3522" s="4" t="s">
        <v>78</v>
      </c>
      <c r="K3522" s="4" t="s">
        <v>59</v>
      </c>
      <c r="L3522" s="4" t="s">
        <v>106</v>
      </c>
      <c r="M3522" s="4" t="s">
        <v>5965</v>
      </c>
      <c r="O3522" s="4" t="s">
        <v>63</v>
      </c>
      <c r="P3522" s="4" t="s">
        <v>64</v>
      </c>
    </row>
    <row r="3523">
      <c r="A3523" s="4" t="s">
        <v>5965</v>
      </c>
      <c r="B3523" s="4" t="s">
        <v>5965</v>
      </c>
      <c r="C3523" s="4">
        <v>1912.0</v>
      </c>
      <c r="D3523" s="5" t="str">
        <f>HYPERLINK("https://www.linkedin.com/ad-library/detail/928620526","Open Ad")</f>
        <v>Open Ad</v>
      </c>
      <c r="E3523" s="4" t="s">
        <v>121</v>
      </c>
      <c r="F3523" s="4" t="s">
        <v>54</v>
      </c>
      <c r="G3523" s="4" t="s">
        <v>6712</v>
      </c>
      <c r="H3523" s="4" t="s">
        <v>49</v>
      </c>
      <c r="I3523" s="4" t="s">
        <v>6005</v>
      </c>
      <c r="J3523" s="4" t="s">
        <v>121</v>
      </c>
      <c r="K3523" s="5" t="str">
        <f>HYPERLINK("https://dms.licdn.com/playlist/vid/v2/D4E05AQH5EBXBJ0kmlg/mp4-640p-30fp-crf28/B4EZn4hGzPIIBg-/0/1760811058754?e=2147483647&amp;v=beta&amp;t=imZHK86HgN3lpi6yW63ahpdSHRaT9yI8VCCvkh14v4c","View Creative")</f>
        <v>View Creative</v>
      </c>
      <c r="L3523" s="4" t="s">
        <v>106</v>
      </c>
      <c r="M3523" s="4" t="s">
        <v>5965</v>
      </c>
      <c r="O3523" s="4" t="s">
        <v>63</v>
      </c>
      <c r="P3523" s="4" t="s">
        <v>64</v>
      </c>
    </row>
    <row r="3524">
      <c r="A3524" s="4" t="s">
        <v>5965</v>
      </c>
      <c r="B3524" s="4" t="s">
        <v>5965</v>
      </c>
      <c r="C3524" s="4">
        <v>1913.0</v>
      </c>
      <c r="D3524" s="5" t="str">
        <f>HYPERLINK("https://www.linkedin.com/ad-library/detail/925446906","Open Ad")</f>
        <v>Open Ad</v>
      </c>
      <c r="E3524" s="4" t="s">
        <v>78</v>
      </c>
      <c r="F3524" s="4" t="s">
        <v>54</v>
      </c>
      <c r="G3524" s="4" t="s">
        <v>6730</v>
      </c>
      <c r="H3524" s="4" t="s">
        <v>49</v>
      </c>
      <c r="I3524" s="4" t="s">
        <v>6005</v>
      </c>
      <c r="J3524" s="4" t="s">
        <v>78</v>
      </c>
      <c r="K3524" s="4" t="s">
        <v>59</v>
      </c>
      <c r="L3524" s="4" t="s">
        <v>106</v>
      </c>
      <c r="M3524" s="4" t="s">
        <v>5965</v>
      </c>
      <c r="O3524" s="4" t="s">
        <v>63</v>
      </c>
      <c r="P3524" s="4" t="s">
        <v>64</v>
      </c>
    </row>
    <row r="3525">
      <c r="A3525" s="4" t="s">
        <v>5965</v>
      </c>
      <c r="B3525" s="4" t="s">
        <v>5965</v>
      </c>
      <c r="C3525" s="4">
        <v>1914.0</v>
      </c>
      <c r="D3525" s="5" t="str">
        <f>HYPERLINK("https://www.linkedin.com/ad-library/detail/928629836","Open Ad")</f>
        <v>Open Ad</v>
      </c>
      <c r="E3525" s="4" t="s">
        <v>78</v>
      </c>
      <c r="F3525" s="4" t="s">
        <v>54</v>
      </c>
      <c r="G3525" s="4" t="s">
        <v>6704</v>
      </c>
      <c r="H3525" s="4" t="s">
        <v>49</v>
      </c>
      <c r="I3525" s="4" t="s">
        <v>6005</v>
      </c>
      <c r="J3525" s="4" t="s">
        <v>78</v>
      </c>
      <c r="K3525" s="5" t="str">
        <f>HYPERLINK("https://media.licdn.com/dms/image/v2/D4E22AQF2brM9_mbtbw/feedshare-shrink_1280/B4EZoHNGbzHcAs-/0/1761057466594?e=2147483647&amp;v=beta&amp;t=CpMEhfPGSXjRM9qOuXujN_G6IIOizRwVi5HHt-5mIeU","View Creative")</f>
        <v>View Creative</v>
      </c>
      <c r="L3525" s="4" t="s">
        <v>106</v>
      </c>
      <c r="M3525" s="4" t="s">
        <v>5965</v>
      </c>
      <c r="O3525" s="4" t="s">
        <v>63</v>
      </c>
      <c r="P3525" s="4" t="s">
        <v>64</v>
      </c>
    </row>
    <row r="3526">
      <c r="A3526" s="4" t="s">
        <v>5965</v>
      </c>
      <c r="B3526" s="4" t="s">
        <v>5965</v>
      </c>
      <c r="C3526" s="4">
        <v>1915.0</v>
      </c>
      <c r="D3526" s="5" t="str">
        <f>HYPERLINK("https://www.linkedin.com/ad-library/detail/921117306","Open Ad")</f>
        <v>Open Ad</v>
      </c>
      <c r="E3526" s="4" t="s">
        <v>78</v>
      </c>
      <c r="F3526" s="4" t="s">
        <v>54</v>
      </c>
      <c r="G3526" s="4" t="s">
        <v>6731</v>
      </c>
      <c r="H3526" s="4" t="s">
        <v>49</v>
      </c>
      <c r="I3526" s="4" t="s">
        <v>6005</v>
      </c>
      <c r="J3526" s="4" t="s">
        <v>78</v>
      </c>
      <c r="K3526" s="5" t="str">
        <f>HYPERLINK("https://media.licdn.com/dms/image/v2/D4E22AQGO0x10QwkqmA/feedshare-shrink_1280/B4EZnJ1_F1KwAs-/0/1760027997121?e=2147483647&amp;v=beta&amp;t=dbPe5WtdiPjz8rN2B6ug1nGP9-vpAuHj9SOXBERqBKk","View Creative")</f>
        <v>View Creative</v>
      </c>
      <c r="L3526" s="4" t="s">
        <v>106</v>
      </c>
      <c r="M3526" s="4" t="s">
        <v>5965</v>
      </c>
      <c r="O3526" s="4" t="s">
        <v>63</v>
      </c>
      <c r="P3526" s="4" t="s">
        <v>64</v>
      </c>
    </row>
    <row r="3527">
      <c r="A3527" s="4" t="s">
        <v>5965</v>
      </c>
      <c r="B3527" s="4" t="s">
        <v>5965</v>
      </c>
      <c r="C3527" s="4">
        <v>1916.0</v>
      </c>
      <c r="D3527" s="5" t="str">
        <f>HYPERLINK("https://www.linkedin.com/ad-library/detail/921688796","Open Ad")</f>
        <v>Open Ad</v>
      </c>
      <c r="E3527" s="4" t="s">
        <v>78</v>
      </c>
      <c r="F3527" s="4" t="s">
        <v>54</v>
      </c>
      <c r="G3527" s="4" t="s">
        <v>6727</v>
      </c>
      <c r="H3527" s="4" t="s">
        <v>49</v>
      </c>
      <c r="I3527" s="4" t="s">
        <v>6005</v>
      </c>
      <c r="J3527" s="4" t="s">
        <v>78</v>
      </c>
      <c r="K3527" s="5" t="str">
        <f t="shared" ref="K3527:K3528" si="186">HYPERLINK("https://media.licdn.com/dms/image/v2/D4E22AQGHFl2JEyx45w/feedshare-shrink_1280/B4EZnfXK_gHEAw-/0/1760389018475?e=2147483647&amp;v=beta&amp;t=W2YWVWt-o8Vp4wNUiEgY-aSIgF91jcRwrUc5g0fMyaU","View Creative")</f>
        <v>View Creative</v>
      </c>
      <c r="L3527" s="4" t="s">
        <v>106</v>
      </c>
      <c r="M3527" s="4" t="s">
        <v>5965</v>
      </c>
      <c r="O3527" s="4" t="s">
        <v>63</v>
      </c>
      <c r="P3527" s="4" t="s">
        <v>64</v>
      </c>
    </row>
    <row r="3528">
      <c r="A3528" s="4" t="s">
        <v>5965</v>
      </c>
      <c r="B3528" s="4" t="s">
        <v>5965</v>
      </c>
      <c r="C3528" s="4">
        <v>1917.0</v>
      </c>
      <c r="D3528" s="5" t="str">
        <f>HYPERLINK("https://www.linkedin.com/ad-library/detail/921688786","Open Ad")</f>
        <v>Open Ad</v>
      </c>
      <c r="E3528" s="4" t="s">
        <v>78</v>
      </c>
      <c r="F3528" s="4" t="s">
        <v>54</v>
      </c>
      <c r="G3528" s="4" t="s">
        <v>6727</v>
      </c>
      <c r="H3528" s="4" t="s">
        <v>49</v>
      </c>
      <c r="I3528" s="4" t="s">
        <v>6005</v>
      </c>
      <c r="J3528" s="4" t="s">
        <v>78</v>
      </c>
      <c r="K3528" s="5" t="str">
        <f t="shared" si="186"/>
        <v>View Creative</v>
      </c>
      <c r="L3528" s="4" t="s">
        <v>106</v>
      </c>
      <c r="M3528" s="4" t="s">
        <v>5965</v>
      </c>
      <c r="O3528" s="4" t="s">
        <v>63</v>
      </c>
      <c r="P3528" s="4" t="s">
        <v>64</v>
      </c>
    </row>
    <row r="3529">
      <c r="A3529" s="4" t="s">
        <v>5965</v>
      </c>
      <c r="B3529" s="4" t="s">
        <v>5965</v>
      </c>
      <c r="C3529" s="4">
        <v>1918.0</v>
      </c>
      <c r="D3529" s="5" t="str">
        <f>HYPERLINK("https://www.linkedin.com/ad-library/detail/928600386","Open Ad")</f>
        <v>Open Ad</v>
      </c>
      <c r="E3529" s="4" t="s">
        <v>121</v>
      </c>
      <c r="F3529" s="4" t="s">
        <v>54</v>
      </c>
      <c r="G3529" s="4" t="s">
        <v>6732</v>
      </c>
      <c r="H3529" s="4" t="s">
        <v>49</v>
      </c>
      <c r="I3529" s="4" t="s">
        <v>6005</v>
      </c>
      <c r="J3529" s="4" t="s">
        <v>121</v>
      </c>
      <c r="K3529" s="5" t="str">
        <f>HYPERLINK("https://dms.licdn.com/playlist/vid/v2/D4E05AQGMj1n3fAPVNg/mp4-720p-30fp-crf28/B4EZmCWUc4GoBk-/0/1758828516478?e=2147483647&amp;v=beta&amp;t=jD4Nkk81Mh4HJXnq3xgvU1Upnrjos5Xnb82MlW0XjBQ","View Creative")</f>
        <v>View Creative</v>
      </c>
      <c r="L3529" s="4" t="s">
        <v>106</v>
      </c>
      <c r="M3529" s="4" t="s">
        <v>5965</v>
      </c>
      <c r="O3529" s="4" t="s">
        <v>63</v>
      </c>
      <c r="P3529" s="4" t="s">
        <v>64</v>
      </c>
    </row>
    <row r="3530">
      <c r="A3530" s="4" t="s">
        <v>5965</v>
      </c>
      <c r="B3530" s="4" t="s">
        <v>5965</v>
      </c>
      <c r="C3530" s="4">
        <v>1919.0</v>
      </c>
      <c r="D3530" s="5" t="str">
        <f>HYPERLINK("https://www.linkedin.com/ad-library/detail/925496096","Open Ad")</f>
        <v>Open Ad</v>
      </c>
      <c r="E3530" s="4" t="s">
        <v>121</v>
      </c>
      <c r="F3530" s="4" t="s">
        <v>54</v>
      </c>
      <c r="G3530" s="4" t="s">
        <v>6733</v>
      </c>
      <c r="H3530" s="4" t="s">
        <v>49</v>
      </c>
      <c r="I3530" s="4" t="s">
        <v>6005</v>
      </c>
      <c r="J3530" s="4" t="s">
        <v>121</v>
      </c>
      <c r="K3530" s="5" t="str">
        <f>HYPERLINK("https://dms.licdn.com/playlist/vid/v2/D4E05AQHBZR88cWOSEw/mp4-720p-30fp-crf28/B4EZnzU3RtKkBk-/0/1760723964854?e=2147483647&amp;v=beta&amp;t=5RAeMWxskmYrJpx7hP5xUEDVvoLslv4_G2ZaAqkcPuY","View Creative")</f>
        <v>View Creative</v>
      </c>
      <c r="L3530" s="4" t="s">
        <v>106</v>
      </c>
      <c r="M3530" s="4" t="s">
        <v>5965</v>
      </c>
      <c r="O3530" s="4" t="s">
        <v>63</v>
      </c>
      <c r="P3530" s="4" t="s">
        <v>64</v>
      </c>
    </row>
    <row r="3531">
      <c r="A3531" s="4" t="s">
        <v>5965</v>
      </c>
      <c r="B3531" s="4" t="s">
        <v>5965</v>
      </c>
      <c r="C3531" s="4">
        <v>1920.0</v>
      </c>
      <c r="D3531" s="5" t="str">
        <f>HYPERLINK("https://www.linkedin.com/ad-library/detail/923921806","Open Ad")</f>
        <v>Open Ad</v>
      </c>
      <c r="E3531" s="4" t="s">
        <v>121</v>
      </c>
      <c r="F3531" s="4" t="s">
        <v>54</v>
      </c>
      <c r="G3531" s="4" t="s">
        <v>6716</v>
      </c>
      <c r="H3531" s="4" t="s">
        <v>49</v>
      </c>
      <c r="I3531" s="4" t="s">
        <v>6005</v>
      </c>
      <c r="J3531" s="4" t="s">
        <v>121</v>
      </c>
      <c r="K3531" s="5" t="str">
        <f>HYPERLINK("https://dms.licdn.com/playlist/vid/v2/D4E05AQE9siAfSuYXCQ/mp4-720p-30fp-crf28/B4EZno0Pq8GUBk-/0/1760547754042?e=2147483647&amp;v=beta&amp;t=k7qYD3GnVR7NZX6JucAQ6ojJymoQ5iaRIl5kldNgWMI","View Creative")</f>
        <v>View Creative</v>
      </c>
      <c r="L3531" s="4" t="s">
        <v>106</v>
      </c>
      <c r="M3531" s="4" t="s">
        <v>5965</v>
      </c>
      <c r="O3531" s="4" t="s">
        <v>63</v>
      </c>
      <c r="P3531" s="4" t="s">
        <v>64</v>
      </c>
    </row>
    <row r="3532">
      <c r="A3532" s="4" t="s">
        <v>5965</v>
      </c>
      <c r="B3532" s="4" t="s">
        <v>5965</v>
      </c>
      <c r="C3532" s="4">
        <v>1921.0</v>
      </c>
      <c r="D3532" s="5" t="str">
        <f>HYPERLINK("https://www.linkedin.com/ad-library/detail/891223406","Open Ad")</f>
        <v>Open Ad</v>
      </c>
      <c r="E3532" s="4" t="s">
        <v>78</v>
      </c>
      <c r="F3532" s="4" t="s">
        <v>54</v>
      </c>
      <c r="G3532" s="4" t="s">
        <v>6695</v>
      </c>
      <c r="H3532" s="4" t="s">
        <v>49</v>
      </c>
      <c r="I3532" s="4" t="s">
        <v>6005</v>
      </c>
      <c r="J3532" s="4" t="s">
        <v>78</v>
      </c>
      <c r="K3532" s="5" t="str">
        <f>HYPERLINK("https://media.licdn.com/dms/image/v2/D4E22AQFO_kMqumirAw/feedshare-shrink_1280/B4EZmW6bmrIIAs-/0/1759173525412?e=2147483647&amp;v=beta&amp;t=CgStZqkZO3BtWGvFFXdtH22rWgz_4YDm1Cxg9TqOEn8","View Creative")</f>
        <v>View Creative</v>
      </c>
      <c r="L3532" s="4" t="s">
        <v>106</v>
      </c>
      <c r="M3532" s="4" t="s">
        <v>5965</v>
      </c>
      <c r="O3532" s="4" t="s">
        <v>63</v>
      </c>
      <c r="P3532" s="4" t="s">
        <v>64</v>
      </c>
    </row>
    <row r="3533">
      <c r="A3533" s="4" t="s">
        <v>5965</v>
      </c>
      <c r="B3533" s="4" t="s">
        <v>5965</v>
      </c>
      <c r="C3533" s="4">
        <v>1922.0</v>
      </c>
      <c r="D3533" s="5" t="str">
        <f>HYPERLINK("https://www.linkedin.com/ad-library/detail/921307076","Open Ad")</f>
        <v>Open Ad</v>
      </c>
      <c r="E3533" s="4" t="s">
        <v>78</v>
      </c>
      <c r="F3533" s="4" t="s">
        <v>54</v>
      </c>
      <c r="G3533" s="4" t="s">
        <v>6726</v>
      </c>
      <c r="H3533" s="4" t="s">
        <v>49</v>
      </c>
      <c r="I3533" s="4" t="s">
        <v>6005</v>
      </c>
      <c r="J3533" s="4" t="s">
        <v>78</v>
      </c>
      <c r="K3533" s="5" t="str">
        <f>HYPERLINK("https://media.licdn.com/dms/image/v2/D4E22AQGfZdYcrYrPkA/feedshare-shrink_1280/B4EZmruluHKkAs-/0/1759522743768?e=2147483647&amp;v=beta&amp;t=0Hp-UYkbg_zr8UmJioOOMnZ0qpkSjsz10IG1le70Ji4","View Creative")</f>
        <v>View Creative</v>
      </c>
      <c r="L3533" s="4" t="s">
        <v>106</v>
      </c>
      <c r="M3533" s="4" t="s">
        <v>5965</v>
      </c>
      <c r="O3533" s="4" t="s">
        <v>63</v>
      </c>
      <c r="P3533" s="4" t="s">
        <v>64</v>
      </c>
    </row>
    <row r="3534">
      <c r="A3534" s="4" t="s">
        <v>5965</v>
      </c>
      <c r="B3534" s="4" t="s">
        <v>5965</v>
      </c>
      <c r="C3534" s="4">
        <v>1923.0</v>
      </c>
      <c r="D3534" s="5" t="str">
        <f>HYPERLINK("https://www.linkedin.com/ad-library/detail/889422386","Open Ad")</f>
        <v>Open Ad</v>
      </c>
      <c r="E3534" s="4" t="s">
        <v>78</v>
      </c>
      <c r="F3534" s="4" t="s">
        <v>54</v>
      </c>
      <c r="G3534" s="4" t="s">
        <v>6734</v>
      </c>
      <c r="H3534" s="4" t="s">
        <v>49</v>
      </c>
      <c r="I3534" s="4" t="s">
        <v>6005</v>
      </c>
      <c r="J3534" s="4" t="s">
        <v>78</v>
      </c>
      <c r="K3534" s="5" t="str">
        <f>HYPERLINK("https://media.licdn.com/dms/image/sync/v2/D5627AQFJQrINiMd0DA/articleshare-shrink_1280_800/B56ZmBEPNWI4AQ-/0/1758806997487?e=2147483647&amp;v=beta&amp;t=Jj2uuFy2bbkJXcfYHtzlevziUbauLRHbpB72IIQ2zoc","View Creative")</f>
        <v>View Creative</v>
      </c>
      <c r="L3534" s="4" t="s">
        <v>106</v>
      </c>
      <c r="M3534" s="4" t="s">
        <v>5965</v>
      </c>
      <c r="O3534" s="4" t="s">
        <v>63</v>
      </c>
      <c r="P3534" s="4" t="s">
        <v>64</v>
      </c>
    </row>
    <row r="3535">
      <c r="A3535" s="4" t="s">
        <v>5965</v>
      </c>
      <c r="B3535" s="4" t="s">
        <v>5965</v>
      </c>
      <c r="C3535" s="4">
        <v>1924.0</v>
      </c>
      <c r="D3535" s="5" t="str">
        <f>HYPERLINK("https://www.linkedin.com/ad-library/detail/889327976","Open Ad")</f>
        <v>Open Ad</v>
      </c>
      <c r="E3535" s="4" t="s">
        <v>121</v>
      </c>
      <c r="F3535" s="4" t="s">
        <v>54</v>
      </c>
      <c r="G3535" s="4" t="s">
        <v>6732</v>
      </c>
      <c r="H3535" s="4" t="s">
        <v>49</v>
      </c>
      <c r="I3535" s="4" t="s">
        <v>6005</v>
      </c>
      <c r="J3535" s="4" t="s">
        <v>121</v>
      </c>
      <c r="K3535" s="5" t="str">
        <f>HYPERLINK("https://dms.licdn.com/playlist/vid/v2/D4E05AQGMj1n3fAPVNg/mp4-720p-30fp-crf28/B4EZmCWUc4GoBk-/0/1758828516478?e=2147483647&amp;v=beta&amp;t=jD4Nkk81Mh4HJXnq3xgvU1Upnrjos5Xnb82MlW0XjBQ","View Creative")</f>
        <v>View Creative</v>
      </c>
      <c r="L3535" s="4" t="s">
        <v>106</v>
      </c>
      <c r="M3535" s="4" t="s">
        <v>5965</v>
      </c>
      <c r="O3535" s="4" t="s">
        <v>63</v>
      </c>
      <c r="P3535" s="4" t="s">
        <v>64</v>
      </c>
    </row>
    <row r="3536">
      <c r="A3536" s="4" t="s">
        <v>5965</v>
      </c>
      <c r="B3536" s="4" t="s">
        <v>5965</v>
      </c>
      <c r="C3536" s="4">
        <v>1925.0</v>
      </c>
      <c r="D3536" s="5" t="str">
        <f>HYPERLINK("https://www.linkedin.com/ad-library/detail/921277656","Open Ad")</f>
        <v>Open Ad</v>
      </c>
      <c r="E3536" s="4" t="s">
        <v>78</v>
      </c>
      <c r="F3536" s="4" t="s">
        <v>54</v>
      </c>
      <c r="G3536" s="4" t="s">
        <v>6731</v>
      </c>
      <c r="H3536" s="4" t="s">
        <v>49</v>
      </c>
      <c r="I3536" s="4" t="s">
        <v>6005</v>
      </c>
      <c r="J3536" s="4" t="s">
        <v>78</v>
      </c>
      <c r="K3536" s="5" t="str">
        <f>HYPERLINK("https://media.licdn.com/dms/image/v2/D4E22AQGO0x10QwkqmA/feedshare-shrink_1280/B4EZnJ1_F1KwAs-/0/1760027997121?e=2147483647&amp;v=beta&amp;t=dbPe5WtdiPjz8rN2B6ug1nGP9-vpAuHj9SOXBERqBKk","View Creative")</f>
        <v>View Creative</v>
      </c>
      <c r="L3536" s="4" t="s">
        <v>106</v>
      </c>
      <c r="M3536" s="4" t="s">
        <v>5965</v>
      </c>
      <c r="O3536" s="4" t="s">
        <v>63</v>
      </c>
      <c r="P3536" s="4" t="s">
        <v>64</v>
      </c>
    </row>
    <row r="3537">
      <c r="A3537" s="4" t="s">
        <v>5965</v>
      </c>
      <c r="B3537" s="4" t="s">
        <v>5965</v>
      </c>
      <c r="C3537" s="4">
        <v>1926.0</v>
      </c>
      <c r="D3537" s="5" t="str">
        <f>HYPERLINK("https://www.linkedin.com/ad-library/detail/890164696","Open Ad")</f>
        <v>Open Ad</v>
      </c>
      <c r="E3537" s="4" t="s">
        <v>78</v>
      </c>
      <c r="F3537" s="4" t="s">
        <v>54</v>
      </c>
      <c r="G3537" s="4" t="s">
        <v>6695</v>
      </c>
      <c r="H3537" s="4" t="s">
        <v>49</v>
      </c>
      <c r="I3537" s="4" t="s">
        <v>6005</v>
      </c>
      <c r="J3537" s="4" t="s">
        <v>78</v>
      </c>
      <c r="K3537" s="5" t="str">
        <f>HYPERLINK("https://media.licdn.com/dms/image/v2/D4E22AQFO_kMqumirAw/feedshare-shrink_1280/B4EZmW6bmrIIAs-/0/1759173525412?e=2147483647&amp;v=beta&amp;t=CgStZqkZO3BtWGvFFXdtH22rWgz_4YDm1Cxg9TqOEn8","View Creative")</f>
        <v>View Creative</v>
      </c>
      <c r="L3537" s="4" t="s">
        <v>106</v>
      </c>
      <c r="M3537" s="4" t="s">
        <v>5965</v>
      </c>
      <c r="O3537" s="4" t="s">
        <v>63</v>
      </c>
      <c r="P3537" s="4" t="s">
        <v>64</v>
      </c>
    </row>
    <row r="3538">
      <c r="A3538" s="4" t="s">
        <v>5965</v>
      </c>
      <c r="B3538" s="4" t="s">
        <v>5965</v>
      </c>
      <c r="C3538" s="4">
        <v>1927.0</v>
      </c>
      <c r="D3538" s="5" t="str">
        <f>HYPERLINK("https://www.linkedin.com/ad-library/detail/881836056","Open Ad")</f>
        <v>Open Ad</v>
      </c>
      <c r="E3538" s="4" t="s">
        <v>78</v>
      </c>
      <c r="F3538" s="4" t="s">
        <v>54</v>
      </c>
      <c r="G3538" s="4" t="s">
        <v>6713</v>
      </c>
      <c r="H3538" s="4" t="s">
        <v>49</v>
      </c>
      <c r="I3538" s="4" t="s">
        <v>6005</v>
      </c>
      <c r="J3538" s="4" t="s">
        <v>78</v>
      </c>
      <c r="K3538" s="5" t="str">
        <f>HYPERLINK("https://media.licdn.com/dms/image/v2/D4E22AQHC7j3zWNJnCQ/feedshare-shrink_1280/B4EZloCJxnKUAs-/0/1758387019309?e=2147483647&amp;v=beta&amp;t=rx3wTM29qmVx4eWfzcaz7Y9yazcwLQEpvT-E-44D3K4","View Creative")</f>
        <v>View Creative</v>
      </c>
      <c r="L3538" s="4" t="s">
        <v>106</v>
      </c>
      <c r="M3538" s="4" t="s">
        <v>5965</v>
      </c>
      <c r="O3538" s="4" t="s">
        <v>63</v>
      </c>
      <c r="P3538" s="4" t="s">
        <v>64</v>
      </c>
    </row>
    <row r="3539">
      <c r="A3539" s="4" t="s">
        <v>5965</v>
      </c>
      <c r="B3539" s="4" t="s">
        <v>5965</v>
      </c>
      <c r="C3539" s="4">
        <v>1928.0</v>
      </c>
      <c r="D3539" s="5" t="str">
        <f>HYPERLINK("https://www.linkedin.com/ad-library/detail/889430706","Open Ad")</f>
        <v>Open Ad</v>
      </c>
      <c r="E3539" s="4" t="s">
        <v>78</v>
      </c>
      <c r="F3539" s="4" t="s">
        <v>54</v>
      </c>
      <c r="G3539" s="4" t="s">
        <v>6714</v>
      </c>
      <c r="H3539" s="4" t="s">
        <v>49</v>
      </c>
      <c r="I3539" s="4" t="s">
        <v>6005</v>
      </c>
      <c r="J3539" s="4" t="s">
        <v>78</v>
      </c>
      <c r="K3539" s="5" t="str">
        <f>HYPERLINK("https://media.licdn.com/dms/image/v2/D4E22AQGsxI6fMWHVtw/feedshare-shrink_1280/B4EZjIyNr0GUAw-/0/1755715263608?e=2147483647&amp;v=beta&amp;t=aYXR97LeIfrucp1eJzNjUcZIiq9aW1kCAQBbojwgL6o","View Creative")</f>
        <v>View Creative</v>
      </c>
      <c r="L3539" s="4" t="s">
        <v>106</v>
      </c>
      <c r="M3539" s="4" t="s">
        <v>5965</v>
      </c>
      <c r="O3539" s="4" t="s">
        <v>63</v>
      </c>
      <c r="P3539" s="4" t="s">
        <v>64</v>
      </c>
    </row>
    <row r="3540">
      <c r="A3540" s="4" t="s">
        <v>5965</v>
      </c>
      <c r="B3540" s="4" t="s">
        <v>5965</v>
      </c>
      <c r="C3540" s="4">
        <v>1929.0</v>
      </c>
      <c r="D3540" s="5" t="str">
        <f>HYPERLINK("https://www.linkedin.com/ad-library/detail/889480196","Open Ad")</f>
        <v>Open Ad</v>
      </c>
      <c r="E3540" s="4" t="s">
        <v>78</v>
      </c>
      <c r="F3540" s="4" t="s">
        <v>54</v>
      </c>
      <c r="G3540" s="4" t="s">
        <v>6725</v>
      </c>
      <c r="H3540" s="4" t="s">
        <v>49</v>
      </c>
      <c r="I3540" s="4" t="s">
        <v>6005</v>
      </c>
      <c r="J3540" s="4" t="s">
        <v>78</v>
      </c>
      <c r="K3540" s="5" t="str">
        <f>HYPERLINK("https://media.licdn.com/dms/image/sync/v2/D4E27AQHqWVMOofIb0A/articleshare-shrink_800/B56aBkDEo9IwAU-/0/1788384923817?e=2147483647&amp;v=beta&amp;t=foqqR249K41MQs4522vxZehQ___RnXnY-aAWs1zgW_Y","View Creative")</f>
        <v>View Creative</v>
      </c>
      <c r="L3540" s="4" t="s">
        <v>106</v>
      </c>
      <c r="M3540" s="4" t="s">
        <v>5965</v>
      </c>
      <c r="O3540" s="4" t="s">
        <v>63</v>
      </c>
      <c r="P3540" s="4" t="s">
        <v>64</v>
      </c>
    </row>
    <row r="3541">
      <c r="A3541" s="4" t="s">
        <v>5965</v>
      </c>
      <c r="B3541" s="4" t="s">
        <v>5965</v>
      </c>
      <c r="C3541" s="4">
        <v>1930.0</v>
      </c>
      <c r="D3541" s="5" t="str">
        <f>HYPERLINK("https://www.linkedin.com/ad-library/detail/889450516","Open Ad")</f>
        <v>Open Ad</v>
      </c>
      <c r="E3541" s="4" t="s">
        <v>78</v>
      </c>
      <c r="F3541" s="4" t="s">
        <v>54</v>
      </c>
      <c r="G3541" s="4" t="s">
        <v>6735</v>
      </c>
      <c r="H3541" s="4" t="s">
        <v>49</v>
      </c>
      <c r="I3541" s="4" t="s">
        <v>6005</v>
      </c>
      <c r="J3541" s="4" t="s">
        <v>78</v>
      </c>
      <c r="K3541" s="5" t="str">
        <f>HYPERLINK("https://media.licdn.com/dms/image/v2/D4E22AQFLNfiZn42lxg/feedshare-shrink_1280/B4EZmCvoiSHEAs-/0/1758835149758?e=2147483647&amp;v=beta&amp;t=jLpbKBJ3wNBXhlex3liLcThD0X6NpZPqSfssGQk2a_k","View Creative")</f>
        <v>View Creative</v>
      </c>
      <c r="L3541" s="4" t="s">
        <v>106</v>
      </c>
      <c r="M3541" s="4" t="s">
        <v>5965</v>
      </c>
      <c r="O3541" s="4" t="s">
        <v>63</v>
      </c>
      <c r="P3541" s="4" t="s">
        <v>64</v>
      </c>
    </row>
    <row r="3542">
      <c r="A3542" s="4" t="s">
        <v>5965</v>
      </c>
      <c r="B3542" s="4" t="s">
        <v>5965</v>
      </c>
      <c r="C3542" s="4">
        <v>1931.0</v>
      </c>
      <c r="D3542" s="5" t="str">
        <f>HYPERLINK("https://www.linkedin.com/ad-library/detail/889371296","Open Ad")</f>
        <v>Open Ad</v>
      </c>
      <c r="E3542" s="4" t="s">
        <v>78</v>
      </c>
      <c r="F3542" s="4" t="s">
        <v>54</v>
      </c>
      <c r="G3542" s="4" t="s">
        <v>6725</v>
      </c>
      <c r="H3542" s="4" t="s">
        <v>49</v>
      </c>
      <c r="I3542" s="4" t="s">
        <v>6005</v>
      </c>
      <c r="J3542" s="4" t="s">
        <v>78</v>
      </c>
      <c r="K3542" s="5" t="str">
        <f t="shared" ref="K3542:K3543" si="187">HYPERLINK("https://media.licdn.com/dms/image/sync/v2/D4E27AQHqWVMOofIb0A/articleshare-shrink_800/B56aBkDEo9IwAU-/0/1788384923817?e=2147483647&amp;v=beta&amp;t=foqqR249K41MQs4522vxZehQ___RnXnY-aAWs1zgW_Y","View Creative")</f>
        <v>View Creative</v>
      </c>
      <c r="L3542" s="4" t="s">
        <v>106</v>
      </c>
      <c r="M3542" s="4" t="s">
        <v>5965</v>
      </c>
      <c r="O3542" s="4" t="s">
        <v>63</v>
      </c>
      <c r="P3542" s="4" t="s">
        <v>64</v>
      </c>
    </row>
    <row r="3543">
      <c r="A3543" s="4" t="s">
        <v>5965</v>
      </c>
      <c r="B3543" s="4" t="s">
        <v>5965</v>
      </c>
      <c r="C3543" s="4">
        <v>1932.0</v>
      </c>
      <c r="D3543" s="5" t="str">
        <f>HYPERLINK("https://www.linkedin.com/ad-library/detail/889430636","Open Ad")</f>
        <v>Open Ad</v>
      </c>
      <c r="E3543" s="4" t="s">
        <v>78</v>
      </c>
      <c r="F3543" s="4" t="s">
        <v>54</v>
      </c>
      <c r="G3543" s="4" t="s">
        <v>6725</v>
      </c>
      <c r="H3543" s="4" t="s">
        <v>49</v>
      </c>
      <c r="I3543" s="4" t="s">
        <v>6005</v>
      </c>
      <c r="J3543" s="4" t="s">
        <v>78</v>
      </c>
      <c r="K3543" s="5" t="str">
        <f t="shared" si="187"/>
        <v>View Creative</v>
      </c>
      <c r="L3543" s="4" t="s">
        <v>106</v>
      </c>
      <c r="M3543" s="4" t="s">
        <v>5965</v>
      </c>
      <c r="O3543" s="4" t="s">
        <v>63</v>
      </c>
      <c r="P3543" s="4" t="s">
        <v>64</v>
      </c>
    </row>
    <row r="3544">
      <c r="A3544" s="4" t="s">
        <v>5965</v>
      </c>
      <c r="B3544" s="4" t="s">
        <v>5965</v>
      </c>
      <c r="C3544" s="4">
        <v>1933.0</v>
      </c>
      <c r="D3544" s="5" t="str">
        <f>HYPERLINK("https://www.linkedin.com/ad-library/detail/889249766","Open Ad")</f>
        <v>Open Ad</v>
      </c>
      <c r="E3544" s="4" t="s">
        <v>78</v>
      </c>
      <c r="F3544" s="4" t="s">
        <v>54</v>
      </c>
      <c r="G3544" s="4" t="s">
        <v>6735</v>
      </c>
      <c r="H3544" s="4" t="s">
        <v>49</v>
      </c>
      <c r="I3544" s="4" t="s">
        <v>6005</v>
      </c>
      <c r="J3544" s="4" t="s">
        <v>78</v>
      </c>
      <c r="K3544" s="5" t="str">
        <f t="shared" ref="K3544:K3545" si="188">HYPERLINK("https://media.licdn.com/dms/image/v2/D4E22AQFLNfiZn42lxg/feedshare-shrink_1280/B4EZmCvoiSHEAs-/0/1758835149758?e=2147483647&amp;v=beta&amp;t=jLpbKBJ3wNBXhlex3liLcThD0X6NpZPqSfssGQk2a_k","View Creative")</f>
        <v>View Creative</v>
      </c>
      <c r="L3544" s="4" t="s">
        <v>106</v>
      </c>
      <c r="M3544" s="4" t="s">
        <v>5965</v>
      </c>
      <c r="O3544" s="4" t="s">
        <v>63</v>
      </c>
      <c r="P3544" s="4" t="s">
        <v>64</v>
      </c>
    </row>
    <row r="3545">
      <c r="A3545" s="4" t="s">
        <v>5965</v>
      </c>
      <c r="B3545" s="4" t="s">
        <v>5965</v>
      </c>
      <c r="C3545" s="4">
        <v>1934.0</v>
      </c>
      <c r="D3545" s="5" t="str">
        <f>HYPERLINK("https://www.linkedin.com/ad-library/detail/889309766","Open Ad")</f>
        <v>Open Ad</v>
      </c>
      <c r="E3545" s="4" t="s">
        <v>78</v>
      </c>
      <c r="F3545" s="4" t="s">
        <v>54</v>
      </c>
      <c r="G3545" s="4" t="s">
        <v>6735</v>
      </c>
      <c r="H3545" s="4" t="s">
        <v>49</v>
      </c>
      <c r="I3545" s="4" t="s">
        <v>6005</v>
      </c>
      <c r="J3545" s="4" t="s">
        <v>78</v>
      </c>
      <c r="K3545" s="5" t="str">
        <f t="shared" si="188"/>
        <v>View Creative</v>
      </c>
      <c r="L3545" s="4" t="s">
        <v>106</v>
      </c>
      <c r="M3545" s="4" t="s">
        <v>5965</v>
      </c>
      <c r="O3545" s="4" t="s">
        <v>63</v>
      </c>
      <c r="P3545" s="4" t="s">
        <v>64</v>
      </c>
    </row>
    <row r="3546">
      <c r="A3546" s="4" t="s">
        <v>5965</v>
      </c>
      <c r="B3546" s="4" t="s">
        <v>5965</v>
      </c>
      <c r="C3546" s="4">
        <v>1935.0</v>
      </c>
      <c r="D3546" s="5" t="str">
        <f>HYPERLINK("https://www.linkedin.com/ad-library/detail/921157326","Open Ad")</f>
        <v>Open Ad</v>
      </c>
      <c r="E3546" s="4" t="s">
        <v>78</v>
      </c>
      <c r="F3546" s="4" t="s">
        <v>54</v>
      </c>
      <c r="G3546" s="4" t="s">
        <v>6724</v>
      </c>
      <c r="H3546" s="4" t="s">
        <v>49</v>
      </c>
      <c r="I3546" s="4" t="s">
        <v>6005</v>
      </c>
      <c r="J3546" s="4" t="s">
        <v>78</v>
      </c>
      <c r="K3546" s="5" t="str">
        <f>HYPERLINK("https://media.licdn.com/dms/image/v2/D4E22AQE96lq_yY28gQ/feedshare-shrink_1280/B4EZm5hGQ1HcAs-/0/1759754086345?e=2147483647&amp;v=beta&amp;t=APocWSUl4k4fA-Nkhs1KWo3yYhhTxkk0hVEkr2XC2MQ","View Creative")</f>
        <v>View Creative</v>
      </c>
      <c r="L3546" s="4" t="s">
        <v>106</v>
      </c>
      <c r="M3546" s="4" t="s">
        <v>5965</v>
      </c>
      <c r="O3546" s="4" t="s">
        <v>63</v>
      </c>
      <c r="P3546" s="4" t="s">
        <v>64</v>
      </c>
    </row>
    <row r="3547">
      <c r="A3547" s="4" t="s">
        <v>5965</v>
      </c>
      <c r="B3547" s="4" t="s">
        <v>5965</v>
      </c>
      <c r="C3547" s="4">
        <v>1936.0</v>
      </c>
      <c r="D3547" s="5" t="str">
        <f>HYPERLINK("https://www.linkedin.com/ad-library/detail/889400926","Open Ad")</f>
        <v>Open Ad</v>
      </c>
      <c r="E3547" s="4" t="s">
        <v>78</v>
      </c>
      <c r="F3547" s="4" t="s">
        <v>54</v>
      </c>
      <c r="G3547" s="4" t="s">
        <v>6736</v>
      </c>
      <c r="H3547" s="4" t="s">
        <v>49</v>
      </c>
      <c r="I3547" s="4" t="s">
        <v>6005</v>
      </c>
      <c r="J3547" s="4" t="s">
        <v>78</v>
      </c>
      <c r="K3547" s="5" t="str">
        <f>HYPERLINK("https://media.licdn.com/dms/image/v2/D4E22AQEqwEfYmRprzg/feedshare-shrink_1280/B4EZlOlRpwKYAs-/0/1757960019739?e=2147483647&amp;v=beta&amp;t=PJd3bYwBKSfNlaORZewYD5pL8viFpR0uaMM5cGQ2xOw","View Creative")</f>
        <v>View Creative</v>
      </c>
      <c r="L3547" s="4" t="s">
        <v>106</v>
      </c>
      <c r="M3547" s="4" t="s">
        <v>5965</v>
      </c>
      <c r="O3547" s="4" t="s">
        <v>63</v>
      </c>
      <c r="P3547" s="4" t="s">
        <v>64</v>
      </c>
    </row>
    <row r="3548">
      <c r="A3548" s="4" t="s">
        <v>5965</v>
      </c>
      <c r="B3548" s="4" t="s">
        <v>5965</v>
      </c>
      <c r="C3548" s="4">
        <v>1937.0</v>
      </c>
      <c r="D3548" s="5" t="str">
        <f>HYPERLINK("https://www.linkedin.com/ad-library/detail/889420896","Open Ad")</f>
        <v>Open Ad</v>
      </c>
      <c r="E3548" s="4" t="s">
        <v>78</v>
      </c>
      <c r="F3548" s="4" t="s">
        <v>54</v>
      </c>
      <c r="G3548" s="4" t="s">
        <v>6713</v>
      </c>
      <c r="H3548" s="4" t="s">
        <v>49</v>
      </c>
      <c r="I3548" s="4" t="s">
        <v>6005</v>
      </c>
      <c r="J3548" s="4" t="s">
        <v>78</v>
      </c>
      <c r="K3548" s="5" t="str">
        <f>HYPERLINK("https://media.licdn.com/dms/image/v2/D4E22AQHC7j3zWNJnCQ/feedshare-shrink_1280/B4EZloCJxnKUAs-/0/1758387019309?e=2147483647&amp;v=beta&amp;t=rx3wTM29qmVx4eWfzcaz7Y9yazcwLQEpvT-E-44D3K4","View Creative")</f>
        <v>View Creative</v>
      </c>
      <c r="L3548" s="4" t="s">
        <v>106</v>
      </c>
      <c r="M3548" s="4" t="s">
        <v>5965</v>
      </c>
      <c r="O3548" s="4" t="s">
        <v>63</v>
      </c>
      <c r="P3548" s="4" t="s">
        <v>64</v>
      </c>
    </row>
    <row r="3549">
      <c r="A3549" s="4" t="s">
        <v>5965</v>
      </c>
      <c r="B3549" s="4" t="s">
        <v>5965</v>
      </c>
      <c r="C3549" s="4">
        <v>1938.0</v>
      </c>
      <c r="D3549" s="5" t="str">
        <f>HYPERLINK("https://www.linkedin.com/ad-library/detail/891203896","Open Ad")</f>
        <v>Open Ad</v>
      </c>
      <c r="E3549" s="4" t="s">
        <v>78</v>
      </c>
      <c r="F3549" s="4" t="s">
        <v>54</v>
      </c>
      <c r="G3549" s="4" t="s">
        <v>6695</v>
      </c>
      <c r="H3549" s="4" t="s">
        <v>49</v>
      </c>
      <c r="I3549" s="4" t="s">
        <v>6005</v>
      </c>
      <c r="J3549" s="4" t="s">
        <v>78</v>
      </c>
      <c r="K3549" s="5" t="str">
        <f>HYPERLINK("https://media.licdn.com/dms/image/v2/D4E22AQFO_kMqumirAw/feedshare-shrink_1280/B4EZmW6bmrIIAs-/0/1759173525412?e=2147483647&amp;v=beta&amp;t=CgStZqkZO3BtWGvFFXdtH22rWgz_4YDm1Cxg9TqOEn8","View Creative")</f>
        <v>View Creative</v>
      </c>
      <c r="L3549" s="4" t="s">
        <v>106</v>
      </c>
      <c r="M3549" s="4" t="s">
        <v>5965</v>
      </c>
      <c r="O3549" s="4" t="s">
        <v>63</v>
      </c>
      <c r="P3549" s="4" t="s">
        <v>64</v>
      </c>
    </row>
    <row r="3550">
      <c r="A3550" s="4" t="s">
        <v>5965</v>
      </c>
      <c r="B3550" s="4" t="s">
        <v>5965</v>
      </c>
      <c r="C3550" s="4">
        <v>1939.0</v>
      </c>
      <c r="D3550" s="5" t="str">
        <f>HYPERLINK("https://www.linkedin.com/ad-library/detail/921166856","Open Ad")</f>
        <v>Open Ad</v>
      </c>
      <c r="E3550" s="4" t="s">
        <v>78</v>
      </c>
      <c r="F3550" s="4" t="s">
        <v>54</v>
      </c>
      <c r="G3550" s="4" t="s">
        <v>6726</v>
      </c>
      <c r="H3550" s="4" t="s">
        <v>49</v>
      </c>
      <c r="I3550" s="4" t="s">
        <v>6005</v>
      </c>
      <c r="J3550" s="4" t="s">
        <v>78</v>
      </c>
      <c r="K3550" s="5" t="str">
        <f>HYPERLINK("https://media.licdn.com/dms/image/v2/D4E22AQGfZdYcrYrPkA/feedshare-shrink_1280/B4EZmruluHKkAs-/0/1759522743768?e=2147483647&amp;v=beta&amp;t=0Hp-UYkbg_zr8UmJioOOMnZ0qpkSjsz10IG1le70Ji4","View Creative")</f>
        <v>View Creative</v>
      </c>
      <c r="L3550" s="4" t="s">
        <v>106</v>
      </c>
      <c r="M3550" s="4" t="s">
        <v>5965</v>
      </c>
      <c r="O3550" s="4" t="s">
        <v>63</v>
      </c>
      <c r="P3550" s="4" t="s">
        <v>64</v>
      </c>
    </row>
    <row r="3551">
      <c r="A3551" s="4" t="s">
        <v>5965</v>
      </c>
      <c r="B3551" s="4" t="s">
        <v>5965</v>
      </c>
      <c r="C3551" s="4">
        <v>1940.0</v>
      </c>
      <c r="D3551" s="5" t="str">
        <f>HYPERLINK("https://www.linkedin.com/ad-library/detail/889341546","Open Ad")</f>
        <v>Open Ad</v>
      </c>
      <c r="E3551" s="4" t="s">
        <v>78</v>
      </c>
      <c r="F3551" s="4" t="s">
        <v>54</v>
      </c>
      <c r="G3551" s="4" t="s">
        <v>6715</v>
      </c>
      <c r="H3551" s="4" t="s">
        <v>49</v>
      </c>
      <c r="I3551" s="4" t="s">
        <v>6005</v>
      </c>
      <c r="J3551" s="4" t="s">
        <v>78</v>
      </c>
      <c r="K3551" s="5" t="str">
        <f>HYPERLINK("https://static.licdn.com/aero-v1/sc/h/9l8dv1r8a09nem281grvopn9l","View Creative")</f>
        <v>View Creative</v>
      </c>
      <c r="L3551" s="4" t="s">
        <v>106</v>
      </c>
      <c r="M3551" s="4" t="s">
        <v>5965</v>
      </c>
      <c r="O3551" s="4" t="s">
        <v>63</v>
      </c>
      <c r="P3551" s="4" t="s">
        <v>64</v>
      </c>
    </row>
    <row r="3552">
      <c r="A3552" s="4" t="s">
        <v>5965</v>
      </c>
      <c r="B3552" s="4" t="s">
        <v>5965</v>
      </c>
      <c r="C3552" s="4">
        <v>1941.0</v>
      </c>
      <c r="D3552" s="5" t="str">
        <f>HYPERLINK("https://www.linkedin.com/ad-library/detail/890085676","Open Ad")</f>
        <v>Open Ad</v>
      </c>
      <c r="E3552" s="4" t="s">
        <v>78</v>
      </c>
      <c r="F3552" s="4" t="s">
        <v>54</v>
      </c>
      <c r="G3552" s="4" t="s">
        <v>6695</v>
      </c>
      <c r="H3552" s="4" t="s">
        <v>49</v>
      </c>
      <c r="I3552" s="4" t="s">
        <v>6005</v>
      </c>
      <c r="J3552" s="4" t="s">
        <v>78</v>
      </c>
      <c r="K3552" s="5" t="str">
        <f>HYPERLINK("https://media.licdn.com/dms/image/v2/D4E22AQFO_kMqumirAw/feedshare-shrink_1280/B4EZmW6bmrIIAs-/0/1759173525412?e=2147483647&amp;v=beta&amp;t=CgStZqkZO3BtWGvFFXdtH22rWgz_4YDm1Cxg9TqOEn8","View Creative")</f>
        <v>View Creative</v>
      </c>
      <c r="L3552" s="4" t="s">
        <v>106</v>
      </c>
      <c r="M3552" s="4" t="s">
        <v>5965</v>
      </c>
      <c r="O3552" s="4" t="s">
        <v>63</v>
      </c>
      <c r="P3552" s="4" t="s">
        <v>64</v>
      </c>
    </row>
    <row r="3553">
      <c r="A3553" s="4" t="s">
        <v>5965</v>
      </c>
      <c r="B3553" s="4" t="s">
        <v>5965</v>
      </c>
      <c r="C3553" s="4">
        <v>1942.0</v>
      </c>
      <c r="D3553" s="5" t="str">
        <f>HYPERLINK("https://www.linkedin.com/ad-library/detail/921187166","Open Ad")</f>
        <v>Open Ad</v>
      </c>
      <c r="E3553" s="4" t="s">
        <v>78</v>
      </c>
      <c r="F3553" s="4" t="s">
        <v>54</v>
      </c>
      <c r="G3553" s="4" t="s">
        <v>6731</v>
      </c>
      <c r="H3553" s="4" t="s">
        <v>49</v>
      </c>
      <c r="I3553" s="4" t="s">
        <v>6005</v>
      </c>
      <c r="J3553" s="4" t="s">
        <v>78</v>
      </c>
      <c r="K3553" s="5" t="str">
        <f>HYPERLINK("https://media.licdn.com/dms/image/v2/D4E22AQGO0x10QwkqmA/feedshare-shrink_1280/B4EZnJ1_F1KwAs-/0/1760027997121?e=2147483647&amp;v=beta&amp;t=dbPe5WtdiPjz8rN2B6ug1nGP9-vpAuHj9SOXBERqBKk","View Creative")</f>
        <v>View Creative</v>
      </c>
      <c r="L3553" s="4" t="s">
        <v>106</v>
      </c>
      <c r="M3553" s="4" t="s">
        <v>5965</v>
      </c>
      <c r="O3553" s="4" t="s">
        <v>63</v>
      </c>
      <c r="P3553" s="4" t="s">
        <v>64</v>
      </c>
    </row>
    <row r="3554">
      <c r="A3554" s="4" t="s">
        <v>5965</v>
      </c>
      <c r="B3554" s="4" t="s">
        <v>5965</v>
      </c>
      <c r="C3554" s="4">
        <v>1943.0</v>
      </c>
      <c r="D3554" s="5" t="str">
        <f>HYPERLINK("https://www.linkedin.com/ad-library/detail/889499796","Open Ad")</f>
        <v>Open Ad</v>
      </c>
      <c r="E3554" s="4" t="s">
        <v>78</v>
      </c>
      <c r="F3554" s="4" t="s">
        <v>54</v>
      </c>
      <c r="G3554" s="4" t="s">
        <v>6735</v>
      </c>
      <c r="H3554" s="4" t="s">
        <v>49</v>
      </c>
      <c r="I3554" s="4" t="s">
        <v>6005</v>
      </c>
      <c r="J3554" s="4" t="s">
        <v>78</v>
      </c>
      <c r="K3554" s="5" t="str">
        <f>HYPERLINK("https://media.licdn.com/dms/image/v2/D4E22AQFLNfiZn42lxg/feedshare-shrink_1280/B4EZmCvoiSHEAs-/0/1758835149758?e=2147483647&amp;v=beta&amp;t=jLpbKBJ3wNBXhlex3liLcThD0X6NpZPqSfssGQk2a_k","View Creative")</f>
        <v>View Creative</v>
      </c>
      <c r="L3554" s="4" t="s">
        <v>106</v>
      </c>
      <c r="M3554" s="4" t="s">
        <v>5965</v>
      </c>
      <c r="O3554" s="4" t="s">
        <v>63</v>
      </c>
      <c r="P3554" s="4" t="s">
        <v>64</v>
      </c>
    </row>
    <row r="3555">
      <c r="A3555" s="4" t="s">
        <v>5965</v>
      </c>
      <c r="B3555" s="4" t="s">
        <v>5965</v>
      </c>
      <c r="C3555" s="4">
        <v>1944.0</v>
      </c>
      <c r="D3555" s="5" t="str">
        <f>HYPERLINK("https://www.linkedin.com/ad-library/detail/885511696","Open Ad")</f>
        <v>Open Ad</v>
      </c>
      <c r="E3555" s="4" t="s">
        <v>78</v>
      </c>
      <c r="F3555" s="4" t="s">
        <v>54</v>
      </c>
      <c r="G3555" s="4" t="s">
        <v>6734</v>
      </c>
      <c r="H3555" s="4" t="s">
        <v>49</v>
      </c>
      <c r="I3555" s="4" t="s">
        <v>6005</v>
      </c>
      <c r="J3555" s="4" t="s">
        <v>78</v>
      </c>
      <c r="K3555" s="5" t="str">
        <f>HYPERLINK("https://media.licdn.com/dms/image/sync/v2/D5627AQFJQrINiMd0DA/articleshare-shrink_1280_800/B56ZmBEPNWI4AQ-/0/1758806997487?e=2147483647&amp;v=beta&amp;t=Jj2uuFy2bbkJXcfYHtzlevziUbauLRHbpB72IIQ2zoc","View Creative")</f>
        <v>View Creative</v>
      </c>
      <c r="L3555" s="4" t="s">
        <v>106</v>
      </c>
      <c r="M3555" s="4" t="s">
        <v>5965</v>
      </c>
      <c r="O3555" s="4" t="s">
        <v>63</v>
      </c>
      <c r="P3555" s="4" t="s">
        <v>64</v>
      </c>
    </row>
    <row r="3556">
      <c r="A3556" s="4" t="s">
        <v>5965</v>
      </c>
      <c r="B3556" s="4" t="s">
        <v>5965</v>
      </c>
      <c r="C3556" s="4">
        <v>1945.0</v>
      </c>
      <c r="D3556" s="5" t="str">
        <f>HYPERLINK("https://www.linkedin.com/ad-library/detail/856576366","Open Ad")</f>
        <v>Open Ad</v>
      </c>
      <c r="E3556" s="4" t="s">
        <v>78</v>
      </c>
      <c r="F3556" s="4" t="s">
        <v>54</v>
      </c>
      <c r="G3556" s="4" t="s">
        <v>6737</v>
      </c>
      <c r="H3556" s="4" t="s">
        <v>49</v>
      </c>
      <c r="I3556" s="4" t="s">
        <v>6005</v>
      </c>
      <c r="J3556" s="4" t="s">
        <v>78</v>
      </c>
      <c r="K3556" s="5" t="str">
        <f>HYPERLINK("https://media.licdn.com/dms/image/v2/D5610AQFzdf-M4ojung/image-shrink_1280/B56ZkVunsXHkAY-/0/1757006168473/CHRO2png?e=2147483647&amp;v=beta&amp;t=HZ01zwtf9BiqoTbXC44HuZsxWLWyZjLt6rHNpZldFbw","View Creative")</f>
        <v>View Creative</v>
      </c>
      <c r="L3556" s="4" t="s">
        <v>106</v>
      </c>
      <c r="M3556" s="4" t="s">
        <v>5965</v>
      </c>
      <c r="O3556" s="4" t="s">
        <v>63</v>
      </c>
      <c r="P3556" s="4" t="s">
        <v>64</v>
      </c>
    </row>
    <row r="3557">
      <c r="A3557" s="4" t="s">
        <v>5965</v>
      </c>
      <c r="B3557" s="4" t="s">
        <v>5965</v>
      </c>
      <c r="C3557" s="4">
        <v>1946.0</v>
      </c>
      <c r="D3557" s="5" t="str">
        <f>HYPERLINK("https://www.linkedin.com/ad-library/detail/881759456","Open Ad")</f>
        <v>Open Ad</v>
      </c>
      <c r="E3557" s="4" t="s">
        <v>78</v>
      </c>
      <c r="F3557" s="4" t="s">
        <v>54</v>
      </c>
      <c r="G3557" s="4" t="s">
        <v>6713</v>
      </c>
      <c r="H3557" s="4" t="s">
        <v>49</v>
      </c>
      <c r="I3557" s="4" t="s">
        <v>6005</v>
      </c>
      <c r="J3557" s="4" t="s">
        <v>78</v>
      </c>
      <c r="K3557" s="5" t="str">
        <f>HYPERLINK("https://media.licdn.com/dms/image/v2/D4E22AQHC7j3zWNJnCQ/feedshare-shrink_1280/B4EZloCJxnKUAs-/0/1758387019309?e=2147483647&amp;v=beta&amp;t=rx3wTM29qmVx4eWfzcaz7Y9yazcwLQEpvT-E-44D3K4","View Creative")</f>
        <v>View Creative</v>
      </c>
      <c r="L3557" s="4" t="s">
        <v>106</v>
      </c>
      <c r="M3557" s="4" t="s">
        <v>5965</v>
      </c>
      <c r="O3557" s="4" t="s">
        <v>63</v>
      </c>
      <c r="P3557" s="4" t="s">
        <v>64</v>
      </c>
    </row>
    <row r="3558">
      <c r="A3558" s="4" t="s">
        <v>5965</v>
      </c>
      <c r="B3558" s="4" t="s">
        <v>5965</v>
      </c>
      <c r="C3558" s="4">
        <v>1947.0</v>
      </c>
      <c r="D3558" s="5" t="str">
        <f>HYPERLINK("https://www.linkedin.com/ad-library/detail/875176406","Open Ad")</f>
        <v>Open Ad</v>
      </c>
      <c r="E3558" s="4" t="s">
        <v>78</v>
      </c>
      <c r="F3558" s="4" t="s">
        <v>54</v>
      </c>
      <c r="G3558" s="4" t="s">
        <v>6738</v>
      </c>
      <c r="H3558" s="4" t="s">
        <v>49</v>
      </c>
      <c r="I3558" s="4" t="s">
        <v>6005</v>
      </c>
      <c r="J3558" s="4" t="s">
        <v>78</v>
      </c>
      <c r="K3558" s="5" t="str">
        <f>HYPERLINK("https://media.licdn.com/dms/image/v2/D4E22AQEX5EwAfCRAZw/feedshare-shrink_1280/B4EZlZUEXUKYAs-/0/1758140057632?e=2147483647&amp;v=beta&amp;t=kVjPt--NwgC8LGKbI1A0SNDi84wq6-lEI5ZpjNWjiwM","View Creative")</f>
        <v>View Creative</v>
      </c>
      <c r="L3558" s="4" t="s">
        <v>106</v>
      </c>
      <c r="M3558" s="4" t="s">
        <v>5965</v>
      </c>
      <c r="O3558" s="4" t="s">
        <v>63</v>
      </c>
      <c r="P3558" s="4" t="s">
        <v>64</v>
      </c>
    </row>
    <row r="3559">
      <c r="A3559" s="4" t="s">
        <v>5965</v>
      </c>
      <c r="B3559" s="4" t="s">
        <v>5965</v>
      </c>
      <c r="C3559" s="4">
        <v>1948.0</v>
      </c>
      <c r="D3559" s="5" t="str">
        <f>HYPERLINK("https://www.linkedin.com/ad-library/detail/872779286","Open Ad")</f>
        <v>Open Ad</v>
      </c>
      <c r="E3559" s="4" t="s">
        <v>78</v>
      </c>
      <c r="F3559" s="4" t="s">
        <v>54</v>
      </c>
      <c r="G3559" s="4" t="s">
        <v>6715</v>
      </c>
      <c r="H3559" s="4" t="s">
        <v>49</v>
      </c>
      <c r="I3559" s="4" t="s">
        <v>6005</v>
      </c>
      <c r="J3559" s="4" t="s">
        <v>78</v>
      </c>
      <c r="K3559" s="5" t="str">
        <f>HYPERLINK("https://static.licdn.com/aero-v1/sc/h/9l8dv1r8a09nem281grvopn9l","View Creative")</f>
        <v>View Creative</v>
      </c>
      <c r="L3559" s="4" t="s">
        <v>106</v>
      </c>
      <c r="M3559" s="4" t="s">
        <v>5965</v>
      </c>
      <c r="O3559" s="4" t="s">
        <v>63</v>
      </c>
      <c r="P3559" s="4" t="s">
        <v>64</v>
      </c>
    </row>
    <row r="3560">
      <c r="A3560" s="4" t="s">
        <v>5965</v>
      </c>
      <c r="B3560" s="4" t="s">
        <v>5965</v>
      </c>
      <c r="C3560" s="4">
        <v>1949.0</v>
      </c>
      <c r="D3560" s="5" t="str">
        <f>HYPERLINK("https://www.linkedin.com/ad-library/detail/861417926","Open Ad")</f>
        <v>Open Ad</v>
      </c>
      <c r="E3560" s="4" t="s">
        <v>78</v>
      </c>
      <c r="F3560" s="4" t="s">
        <v>54</v>
      </c>
      <c r="G3560" s="4" t="s">
        <v>6739</v>
      </c>
      <c r="H3560" s="4" t="s">
        <v>49</v>
      </c>
      <c r="I3560" s="4" t="s">
        <v>6005</v>
      </c>
      <c r="J3560" s="4" t="s">
        <v>78</v>
      </c>
      <c r="K3560" s="5" t="str">
        <f>HYPERLINK("https://media.licdn.com/dms/image/v2/D4E22AQHfNsmKV4DSJw/feedshare-shrink_1280/B4EZjDm4F9GcA4-/0/1755628406011?e=2147483647&amp;v=beta&amp;t=-HyVgifHtXy2GY-UDC5Q7bykqGna7yt_JKAvnP7UN1g","View Creative")</f>
        <v>View Creative</v>
      </c>
      <c r="L3560" s="4" t="s">
        <v>106</v>
      </c>
      <c r="M3560" s="4" t="s">
        <v>5965</v>
      </c>
      <c r="O3560" s="4" t="s">
        <v>63</v>
      </c>
      <c r="P3560" s="4" t="s">
        <v>64</v>
      </c>
    </row>
    <row r="3561">
      <c r="A3561" s="4" t="s">
        <v>5965</v>
      </c>
      <c r="B3561" s="4" t="s">
        <v>5965</v>
      </c>
      <c r="C3561" s="4">
        <v>1950.0</v>
      </c>
      <c r="D3561" s="5" t="str">
        <f>HYPERLINK("https://www.linkedin.com/ad-library/detail/861506636","Open Ad")</f>
        <v>Open Ad</v>
      </c>
      <c r="E3561" s="4" t="s">
        <v>78</v>
      </c>
      <c r="F3561" s="4" t="s">
        <v>54</v>
      </c>
      <c r="G3561" s="4" t="s">
        <v>6740</v>
      </c>
      <c r="H3561" s="4" t="s">
        <v>49</v>
      </c>
      <c r="I3561" s="4" t="s">
        <v>6005</v>
      </c>
      <c r="J3561" s="4" t="s">
        <v>78</v>
      </c>
      <c r="K3561" s="5" t="str">
        <f>HYPERLINK("https://media.licdn.com/dms/image/v2/D4E22AQHDmZZFRlZ6Xw/feedshare-shrink_1280/B4EZj2bdZeIMAs-/0/1756481050805?e=2147483647&amp;v=beta&amp;t=KXzpQSnVxeLznEBzkoYS9JnF2Ar5NQWez7vvb8br4Iw","View Creative")</f>
        <v>View Creative</v>
      </c>
      <c r="L3561" s="4" t="s">
        <v>106</v>
      </c>
      <c r="M3561" s="4" t="s">
        <v>5965</v>
      </c>
      <c r="O3561" s="4" t="s">
        <v>63</v>
      </c>
      <c r="P3561" s="4" t="s">
        <v>64</v>
      </c>
    </row>
    <row r="3562">
      <c r="A3562" s="4" t="s">
        <v>5965</v>
      </c>
      <c r="B3562" s="4" t="s">
        <v>5965</v>
      </c>
      <c r="C3562" s="4">
        <v>1951.0</v>
      </c>
      <c r="D3562" s="5" t="str">
        <f>HYPERLINK("https://www.linkedin.com/ad-library/detail/875147176","Open Ad")</f>
        <v>Open Ad</v>
      </c>
      <c r="E3562" s="4" t="s">
        <v>78</v>
      </c>
      <c r="F3562" s="4" t="s">
        <v>54</v>
      </c>
      <c r="G3562" s="4" t="s">
        <v>6738</v>
      </c>
      <c r="H3562" s="4" t="s">
        <v>49</v>
      </c>
      <c r="I3562" s="4" t="s">
        <v>6005</v>
      </c>
      <c r="J3562" s="4" t="s">
        <v>78</v>
      </c>
      <c r="K3562" s="5" t="str">
        <f>HYPERLINK("https://media.licdn.com/dms/image/v2/D4E22AQEX5EwAfCRAZw/feedshare-shrink_1280/B4EZlZUEXUKYAs-/0/1758140057632?e=2147483647&amp;v=beta&amp;t=kVjPt--NwgC8LGKbI1A0SNDi84wq6-lEI5ZpjNWjiwM","View Creative")</f>
        <v>View Creative</v>
      </c>
      <c r="L3562" s="4" t="s">
        <v>106</v>
      </c>
      <c r="M3562" s="4" t="s">
        <v>5965</v>
      </c>
      <c r="O3562" s="4" t="s">
        <v>63</v>
      </c>
      <c r="P3562" s="4" t="s">
        <v>64</v>
      </c>
    </row>
    <row r="3563">
      <c r="A3563" s="4" t="s">
        <v>5965</v>
      </c>
      <c r="B3563" s="4" t="s">
        <v>5965</v>
      </c>
      <c r="C3563" s="4">
        <v>1952.0</v>
      </c>
      <c r="D3563" s="5" t="str">
        <f>HYPERLINK("https://www.linkedin.com/ad-library/detail/861546196","Open Ad")</f>
        <v>Open Ad</v>
      </c>
      <c r="E3563" s="4" t="s">
        <v>78</v>
      </c>
      <c r="F3563" s="4" t="s">
        <v>54</v>
      </c>
      <c r="G3563" s="4" t="s">
        <v>6741</v>
      </c>
      <c r="H3563" s="4" t="s">
        <v>49</v>
      </c>
      <c r="I3563" s="4" t="s">
        <v>6005</v>
      </c>
      <c r="J3563" s="4" t="s">
        <v>78</v>
      </c>
      <c r="K3563" s="5" t="str">
        <f>HYPERLINK("https://media.licdn.com/dms/image/v2/D4E22AQEkXb1HIfuY9g/feedshare-shrink_1280/B4EZiHaCLZGcAk-/0/1754618406102?e=2147483647&amp;v=beta&amp;t=gJ_zDF6YdOWhO3GXFJqI7EbDW1olvzucEyiTe912yL8","View Creative")</f>
        <v>View Creative</v>
      </c>
      <c r="L3563" s="4" t="s">
        <v>106</v>
      </c>
      <c r="M3563" s="4" t="s">
        <v>5965</v>
      </c>
      <c r="O3563" s="4" t="s">
        <v>63</v>
      </c>
      <c r="P3563" s="4" t="s">
        <v>64</v>
      </c>
    </row>
    <row r="3564">
      <c r="A3564" s="4" t="s">
        <v>5965</v>
      </c>
      <c r="B3564" s="4" t="s">
        <v>5965</v>
      </c>
      <c r="C3564" s="4">
        <v>1953.0</v>
      </c>
      <c r="D3564" s="5" t="str">
        <f>HYPERLINK("https://www.linkedin.com/ad-library/detail/875676496","Open Ad")</f>
        <v>Open Ad</v>
      </c>
      <c r="E3564" s="4" t="s">
        <v>78</v>
      </c>
      <c r="F3564" s="4" t="s">
        <v>54</v>
      </c>
      <c r="G3564" s="4" t="s">
        <v>6742</v>
      </c>
      <c r="H3564" s="4" t="s">
        <v>49</v>
      </c>
      <c r="I3564" s="4" t="s">
        <v>6005</v>
      </c>
      <c r="J3564" s="4" t="s">
        <v>78</v>
      </c>
      <c r="K3564" s="5" t="str">
        <f>HYPERLINK("https://media.licdn.com/dms/image/v2/D5610AQFARtOslrZ9mg/image-shrink_1280/B56Zk_muJiJsAM-/0/1757708740447?e=2147483647&amp;v=beta&amp;t=sLqN__tNR0ZbJbnrZxk9vTx7Ay0yZE-_tdbYl6sE1qI","View Creative")</f>
        <v>View Creative</v>
      </c>
      <c r="L3564" s="4" t="s">
        <v>106</v>
      </c>
      <c r="M3564" s="4" t="s">
        <v>5965</v>
      </c>
      <c r="O3564" s="4" t="s">
        <v>63</v>
      </c>
      <c r="P3564" s="4" t="s">
        <v>64</v>
      </c>
    </row>
    <row r="3565">
      <c r="A3565" s="4" t="s">
        <v>5965</v>
      </c>
      <c r="B3565" s="4" t="s">
        <v>5965</v>
      </c>
      <c r="C3565" s="4">
        <v>1954.0</v>
      </c>
      <c r="D3565" s="5" t="str">
        <f>HYPERLINK("https://www.linkedin.com/ad-library/detail/881941906","Open Ad")</f>
        <v>Open Ad</v>
      </c>
      <c r="E3565" s="4" t="s">
        <v>78</v>
      </c>
      <c r="F3565" s="4" t="s">
        <v>54</v>
      </c>
      <c r="G3565" s="4" t="s">
        <v>6713</v>
      </c>
      <c r="H3565" s="4" t="s">
        <v>49</v>
      </c>
      <c r="I3565" s="4" t="s">
        <v>6005</v>
      </c>
      <c r="J3565" s="4" t="s">
        <v>78</v>
      </c>
      <c r="K3565" s="5" t="str">
        <f>HYPERLINK("https://media.licdn.com/dms/image/v2/D4E22AQHC7j3zWNJnCQ/feedshare-shrink_1280/B4EZloCJxnKUAs-/0/1758387019309?e=2147483647&amp;v=beta&amp;t=rx3wTM29qmVx4eWfzcaz7Y9yazcwLQEpvT-E-44D3K4","View Creative")</f>
        <v>View Creative</v>
      </c>
      <c r="L3565" s="4" t="s">
        <v>106</v>
      </c>
      <c r="M3565" s="4" t="s">
        <v>5965</v>
      </c>
      <c r="O3565" s="4" t="s">
        <v>63</v>
      </c>
      <c r="P3565" s="4" t="s">
        <v>64</v>
      </c>
    </row>
    <row r="3566">
      <c r="A3566" s="4" t="s">
        <v>5965</v>
      </c>
      <c r="B3566" s="4" t="s">
        <v>5965</v>
      </c>
      <c r="C3566" s="4">
        <v>1955.0</v>
      </c>
      <c r="D3566" s="5" t="str">
        <f>HYPERLINK("https://www.linkedin.com/ad-library/detail/856921926","Open Ad")</f>
        <v>Open Ad</v>
      </c>
      <c r="E3566" s="4" t="s">
        <v>78</v>
      </c>
      <c r="F3566" s="4" t="s">
        <v>54</v>
      </c>
      <c r="G3566" s="4" t="s">
        <v>6743</v>
      </c>
      <c r="H3566" s="4" t="s">
        <v>49</v>
      </c>
      <c r="I3566" s="4" t="s">
        <v>6005</v>
      </c>
      <c r="J3566" s="4" t="s">
        <v>78</v>
      </c>
      <c r="K3566" s="5" t="str">
        <f>HYPERLINK("https://media.licdn.com/dms/image/v2/D5610AQHt6qyGn1B8cQ/image-shrink_1280/B56ZkVqmyNIAAU-/0/1757005116058/ceo1png?e=2147483647&amp;v=beta&amp;t=8qfWq7enKZOclTbAM20IJNQjMkQtP7hofZLuaT8cjPI","View Creative")</f>
        <v>View Creative</v>
      </c>
      <c r="L3566" s="4" t="s">
        <v>106</v>
      </c>
      <c r="M3566" s="4" t="s">
        <v>5965</v>
      </c>
      <c r="O3566" s="4" t="s">
        <v>63</v>
      </c>
      <c r="P3566" s="4" t="s">
        <v>64</v>
      </c>
    </row>
    <row r="3567">
      <c r="A3567" s="4" t="s">
        <v>5965</v>
      </c>
      <c r="B3567" s="4" t="s">
        <v>5965</v>
      </c>
      <c r="C3567" s="4">
        <v>1956.0</v>
      </c>
      <c r="D3567" s="5" t="str">
        <f>HYPERLINK("https://www.linkedin.com/ad-library/detail/838833336","Open Ad")</f>
        <v>Open Ad</v>
      </c>
      <c r="E3567" s="4" t="s">
        <v>121</v>
      </c>
      <c r="F3567" s="4" t="s">
        <v>54</v>
      </c>
      <c r="G3567" s="4" t="s">
        <v>6744</v>
      </c>
      <c r="H3567" s="4" t="s">
        <v>49</v>
      </c>
      <c r="I3567" s="4" t="s">
        <v>6005</v>
      </c>
      <c r="J3567" s="4" t="s">
        <v>121</v>
      </c>
      <c r="K3567" s="5" t="str">
        <f>HYPERLINK("https://dms.licdn.com/playlist/vid/v2/D4E05AQFv_ZgQiRcvVw/mp4-640p-30fp-crf28/B4EZjseCemGwBw-/0/1756313957318?e=2147483647&amp;v=beta&amp;t=33M0sHuJWlT-U4iZXCL6bpDSv7Z5adZ8UBBiRLbTdYg","View Creative")</f>
        <v>View Creative</v>
      </c>
      <c r="L3567" s="4" t="s">
        <v>106</v>
      </c>
      <c r="M3567" s="4" t="s">
        <v>5965</v>
      </c>
      <c r="O3567" s="4" t="s">
        <v>63</v>
      </c>
      <c r="P3567" s="4" t="s">
        <v>64</v>
      </c>
    </row>
    <row r="3568">
      <c r="A3568" s="4" t="s">
        <v>5965</v>
      </c>
      <c r="B3568" s="4" t="s">
        <v>5965</v>
      </c>
      <c r="C3568" s="4">
        <v>1957.0</v>
      </c>
      <c r="D3568" s="5" t="str">
        <f>HYPERLINK("https://www.linkedin.com/ad-library/detail/875696656","Open Ad")</f>
        <v>Open Ad</v>
      </c>
      <c r="E3568" s="4" t="s">
        <v>78</v>
      </c>
      <c r="F3568" s="4" t="s">
        <v>54</v>
      </c>
      <c r="G3568" s="4" t="s">
        <v>6745</v>
      </c>
      <c r="H3568" s="4" t="s">
        <v>49</v>
      </c>
      <c r="I3568" s="4" t="s">
        <v>6005</v>
      </c>
      <c r="J3568" s="4" t="s">
        <v>78</v>
      </c>
      <c r="K3568" s="5" t="str">
        <f>HYPERLINK("https://media.licdn.com/dms/image/v2/D4E10AQEujU2IQcPGlw/image-shrink_1280/B4EZk.cQxuKcAQ-/0/1757689221876?e=2147483647&amp;v=beta&amp;t=qoKqOyTvRrlKRYEFXCxfCjlK2CCn0Nc7iOQlcMdytSg","View Creative")</f>
        <v>View Creative</v>
      </c>
      <c r="L3568" s="4" t="s">
        <v>106</v>
      </c>
      <c r="M3568" s="4" t="s">
        <v>5965</v>
      </c>
      <c r="O3568" s="4" t="s">
        <v>63</v>
      </c>
      <c r="P3568" s="4" t="s">
        <v>64</v>
      </c>
    </row>
    <row r="3569">
      <c r="A3569" s="4" t="s">
        <v>5965</v>
      </c>
      <c r="B3569" s="4" t="s">
        <v>5965</v>
      </c>
      <c r="C3569" s="4">
        <v>1958.0</v>
      </c>
      <c r="D3569" s="5" t="str">
        <f>HYPERLINK("https://www.linkedin.com/ad-library/detail/872936196","Open Ad")</f>
        <v>Open Ad</v>
      </c>
      <c r="E3569" s="4" t="s">
        <v>78</v>
      </c>
      <c r="F3569" s="4" t="s">
        <v>54</v>
      </c>
      <c r="G3569" s="4" t="s">
        <v>6736</v>
      </c>
      <c r="H3569" s="4" t="s">
        <v>49</v>
      </c>
      <c r="I3569" s="4" t="s">
        <v>6005</v>
      </c>
      <c r="J3569" s="4" t="s">
        <v>78</v>
      </c>
      <c r="K3569" s="5" t="str">
        <f>HYPERLINK("https://media.licdn.com/dms/image/v2/D4E22AQEqwEfYmRprzg/feedshare-shrink_1280/B4EZlOlRpwKYAs-/0/1757960019739?e=2147483647&amp;v=beta&amp;t=PJd3bYwBKSfNlaORZewYD5pL8viFpR0uaMM5cGQ2xOw","View Creative")</f>
        <v>View Creative</v>
      </c>
      <c r="L3569" s="4" t="s">
        <v>106</v>
      </c>
      <c r="M3569" s="4" t="s">
        <v>5965</v>
      </c>
      <c r="O3569" s="4" t="s">
        <v>63</v>
      </c>
      <c r="P3569" s="4" t="s">
        <v>64</v>
      </c>
    </row>
    <row r="3570">
      <c r="A3570" s="4" t="s">
        <v>5965</v>
      </c>
      <c r="B3570" s="4" t="s">
        <v>5965</v>
      </c>
      <c r="C3570" s="4">
        <v>1959.0</v>
      </c>
      <c r="D3570" s="5" t="str">
        <f>HYPERLINK("https://www.linkedin.com/ad-library/detail/856950556","Open Ad")</f>
        <v>Open Ad</v>
      </c>
      <c r="E3570" s="4" t="s">
        <v>78</v>
      </c>
      <c r="F3570" s="4" t="s">
        <v>54</v>
      </c>
      <c r="G3570" s="4" t="s">
        <v>6746</v>
      </c>
      <c r="H3570" s="4" t="s">
        <v>49</v>
      </c>
      <c r="I3570" s="4" t="s">
        <v>6005</v>
      </c>
      <c r="J3570" s="4" t="s">
        <v>78</v>
      </c>
      <c r="K3570" s="5" t="str">
        <f>HYPERLINK("https://media.licdn.com/dms/image/v2/D5610AQGSdVP_AEXvWQ/image-shrink_1280/B56ZkVr_YHHkAQ-/0/1757005479502/ceo2png?e=2147483647&amp;v=beta&amp;t=J-zybS3S3qtBN5mkHep7v2DjqX8zs1nT9BMTa2l7W8k","View Creative")</f>
        <v>View Creative</v>
      </c>
      <c r="L3570" s="4" t="s">
        <v>106</v>
      </c>
      <c r="M3570" s="4" t="s">
        <v>5965</v>
      </c>
      <c r="O3570" s="4" t="s">
        <v>63</v>
      </c>
      <c r="P3570" s="4" t="s">
        <v>64</v>
      </c>
    </row>
    <row r="3571">
      <c r="A3571" s="4" t="s">
        <v>5965</v>
      </c>
      <c r="B3571" s="4" t="s">
        <v>5965</v>
      </c>
      <c r="C3571" s="4">
        <v>1960.0</v>
      </c>
      <c r="D3571" s="5" t="str">
        <f>HYPERLINK("https://www.linkedin.com/ad-library/detail/856603736","Open Ad")</f>
        <v>Open Ad</v>
      </c>
      <c r="E3571" s="4" t="s">
        <v>78</v>
      </c>
      <c r="F3571" s="4" t="s">
        <v>54</v>
      </c>
      <c r="G3571" s="4" t="s">
        <v>6747</v>
      </c>
      <c r="H3571" s="4" t="s">
        <v>49</v>
      </c>
      <c r="I3571" s="4" t="s">
        <v>6005</v>
      </c>
      <c r="J3571" s="4" t="s">
        <v>78</v>
      </c>
      <c r="K3571" s="5" t="str">
        <f>HYPERLINK("https://media.licdn.com/dms/image/v2/D5610AQFkSPh_Gqs5iQ/image-shrink_1280/B56ZkVuMINHQAY-/0/1757006056775/chro1png?e=2147483647&amp;v=beta&amp;t=wQBasoFfETZkI59Yx_wbyHYTw6yTm2dcO_41tY-E0pg","View Creative")</f>
        <v>View Creative</v>
      </c>
      <c r="L3571" s="4" t="s">
        <v>106</v>
      </c>
      <c r="M3571" s="4" t="s">
        <v>5965</v>
      </c>
      <c r="O3571" s="4" t="s">
        <v>63</v>
      </c>
      <c r="P3571" s="4" t="s">
        <v>64</v>
      </c>
    </row>
    <row r="3572">
      <c r="A3572" s="4" t="s">
        <v>5965</v>
      </c>
      <c r="B3572" s="4" t="s">
        <v>5965</v>
      </c>
      <c r="C3572" s="4">
        <v>1961.0</v>
      </c>
      <c r="D3572" s="5" t="str">
        <f>HYPERLINK("https://www.linkedin.com/ad-library/detail/875672586","Open Ad")</f>
        <v>Open Ad</v>
      </c>
      <c r="E3572" s="4" t="s">
        <v>78</v>
      </c>
      <c r="F3572" s="4" t="s">
        <v>54</v>
      </c>
      <c r="G3572" s="4" t="s">
        <v>6742</v>
      </c>
      <c r="H3572" s="4" t="s">
        <v>49</v>
      </c>
      <c r="I3572" s="4" t="s">
        <v>6005</v>
      </c>
      <c r="J3572" s="4" t="s">
        <v>78</v>
      </c>
      <c r="K3572" s="5" t="str">
        <f>HYPERLINK("https://media.licdn.com/dms/image/v2/D5610AQFARtOslrZ9mg/image-shrink_1280/B56Zk_muJiJsAM-/0/1757708740447?e=2147483647&amp;v=beta&amp;t=sLqN__tNR0ZbJbnrZxk9vTx7Ay0yZE-_tdbYl6sE1qI","View Creative")</f>
        <v>View Creative</v>
      </c>
      <c r="L3572" s="4" t="s">
        <v>106</v>
      </c>
      <c r="M3572" s="4" t="s">
        <v>5965</v>
      </c>
      <c r="O3572" s="4" t="s">
        <v>63</v>
      </c>
      <c r="P3572" s="4" t="s">
        <v>64</v>
      </c>
    </row>
    <row r="3573">
      <c r="A3573" s="4" t="s">
        <v>5965</v>
      </c>
      <c r="B3573" s="4" t="s">
        <v>5965</v>
      </c>
      <c r="C3573" s="4">
        <v>1962.0</v>
      </c>
      <c r="D3573" s="5" t="str">
        <f>HYPERLINK("https://www.linkedin.com/ad-library/detail/872769136","Open Ad")</f>
        <v>Open Ad</v>
      </c>
      <c r="E3573" s="4" t="s">
        <v>78</v>
      </c>
      <c r="F3573" s="4" t="s">
        <v>54</v>
      </c>
      <c r="G3573" s="4" t="s">
        <v>6715</v>
      </c>
      <c r="H3573" s="4" t="s">
        <v>49</v>
      </c>
      <c r="I3573" s="4" t="s">
        <v>6005</v>
      </c>
      <c r="J3573" s="4" t="s">
        <v>78</v>
      </c>
      <c r="K3573" s="5" t="str">
        <f>HYPERLINK("https://static.licdn.com/aero-v1/sc/h/9l8dv1r8a09nem281grvopn9l","View Creative")</f>
        <v>View Creative</v>
      </c>
      <c r="L3573" s="4" t="s">
        <v>106</v>
      </c>
      <c r="M3573" s="4" t="s">
        <v>5965</v>
      </c>
      <c r="O3573" s="4" t="s">
        <v>63</v>
      </c>
      <c r="P3573" s="4" t="s">
        <v>64</v>
      </c>
    </row>
    <row r="3574">
      <c r="A3574" s="4" t="s">
        <v>5965</v>
      </c>
      <c r="B3574" s="4" t="s">
        <v>5965</v>
      </c>
      <c r="C3574" s="4">
        <v>1963.0</v>
      </c>
      <c r="D3574" s="5" t="str">
        <f>HYPERLINK("https://www.linkedin.com/ad-library/detail/872878306","Open Ad")</f>
        <v>Open Ad</v>
      </c>
      <c r="E3574" s="4" t="s">
        <v>78</v>
      </c>
      <c r="F3574" s="4" t="s">
        <v>54</v>
      </c>
      <c r="G3574" s="4" t="s">
        <v>6736</v>
      </c>
      <c r="H3574" s="4" t="s">
        <v>49</v>
      </c>
      <c r="I3574" s="4" t="s">
        <v>6005</v>
      </c>
      <c r="J3574" s="4" t="s">
        <v>78</v>
      </c>
      <c r="K3574" s="5" t="str">
        <f>HYPERLINK("https://media.licdn.com/dms/image/v2/D4E22AQEqwEfYmRprzg/feedshare-shrink_1280/B4EZlOlRpwKYAs-/0/1757960019739?e=2147483647&amp;v=beta&amp;t=PJd3bYwBKSfNlaORZewYD5pL8viFpR0uaMM5cGQ2xOw","View Creative")</f>
        <v>View Creative</v>
      </c>
      <c r="L3574" s="4" t="s">
        <v>106</v>
      </c>
      <c r="M3574" s="4" t="s">
        <v>5965</v>
      </c>
      <c r="O3574" s="4" t="s">
        <v>63</v>
      </c>
      <c r="P3574" s="4" t="s">
        <v>64</v>
      </c>
    </row>
    <row r="3575">
      <c r="A3575" s="4" t="s">
        <v>5965</v>
      </c>
      <c r="B3575" s="4" t="s">
        <v>5965</v>
      </c>
      <c r="C3575" s="4">
        <v>1964.0</v>
      </c>
      <c r="D3575" s="5" t="str">
        <f>HYPERLINK("https://www.linkedin.com/ad-library/detail/861388196","Open Ad")</f>
        <v>Open Ad</v>
      </c>
      <c r="E3575" s="4" t="s">
        <v>78</v>
      </c>
      <c r="F3575" s="4" t="s">
        <v>54</v>
      </c>
      <c r="G3575" s="4" t="s">
        <v>6748</v>
      </c>
      <c r="H3575" s="4" t="s">
        <v>49</v>
      </c>
      <c r="I3575" s="4" t="s">
        <v>6005</v>
      </c>
      <c r="J3575" s="4" t="s">
        <v>78</v>
      </c>
      <c r="K3575" s="5" t="str">
        <f>HYPERLINK("https://media.licdn.com/dms/image/v2/D4E22AQHqERMH_zE3BQ/feedshare-shrink_1280/B4EZjHn_mGHgAw-/0/1755695807325?e=2147483647&amp;v=beta&amp;t=x2iCO3kFIIgDunAsdzTPrt4sK3AHmvWJkamtmiaTphU","View Creative")</f>
        <v>View Creative</v>
      </c>
      <c r="L3575" s="4" t="s">
        <v>106</v>
      </c>
      <c r="M3575" s="4" t="s">
        <v>5965</v>
      </c>
      <c r="O3575" s="4" t="s">
        <v>63</v>
      </c>
      <c r="P3575" s="4" t="s">
        <v>64</v>
      </c>
    </row>
    <row r="3576">
      <c r="A3576" s="4" t="s">
        <v>5965</v>
      </c>
      <c r="B3576" s="4" t="s">
        <v>5965</v>
      </c>
      <c r="C3576" s="4">
        <v>1965.0</v>
      </c>
      <c r="D3576" s="5" t="str">
        <f>HYPERLINK("https://www.linkedin.com/ad-library/detail/861536176","Open Ad")</f>
        <v>Open Ad</v>
      </c>
      <c r="E3576" s="4" t="s">
        <v>78</v>
      </c>
      <c r="F3576" s="4" t="s">
        <v>54</v>
      </c>
      <c r="G3576" s="4" t="s">
        <v>6714</v>
      </c>
      <c r="H3576" s="4" t="s">
        <v>49</v>
      </c>
      <c r="I3576" s="4" t="s">
        <v>6005</v>
      </c>
      <c r="J3576" s="4" t="s">
        <v>78</v>
      </c>
      <c r="K3576" s="5" t="str">
        <f>HYPERLINK("https://media.licdn.com/dms/image/v2/D4E22AQGsxI6fMWHVtw/feedshare-shrink_1280/B4EZjIyNr0GUAw-/0/1755715263608?e=2147483647&amp;v=beta&amp;t=aYXR97LeIfrucp1eJzNjUcZIiq9aW1kCAQBbojwgL6o","View Creative")</f>
        <v>View Creative</v>
      </c>
      <c r="L3576" s="4" t="s">
        <v>106</v>
      </c>
      <c r="M3576" s="4" t="s">
        <v>5965</v>
      </c>
      <c r="O3576" s="4" t="s">
        <v>63</v>
      </c>
      <c r="P3576" s="4" t="s">
        <v>64</v>
      </c>
    </row>
    <row r="3577">
      <c r="A3577" s="4" t="s">
        <v>5965</v>
      </c>
      <c r="B3577" s="4" t="s">
        <v>5965</v>
      </c>
      <c r="C3577" s="4">
        <v>1966.0</v>
      </c>
      <c r="D3577" s="5" t="str">
        <f>HYPERLINK("https://www.linkedin.com/ad-library/detail/872941296","Open Ad")</f>
        <v>Open Ad</v>
      </c>
      <c r="E3577" s="4" t="s">
        <v>78</v>
      </c>
      <c r="F3577" s="4" t="s">
        <v>54</v>
      </c>
      <c r="G3577" s="4" t="s">
        <v>6715</v>
      </c>
      <c r="H3577" s="4" t="s">
        <v>49</v>
      </c>
      <c r="I3577" s="4" t="s">
        <v>6005</v>
      </c>
      <c r="J3577" s="4" t="s">
        <v>78</v>
      </c>
      <c r="K3577" s="5" t="str">
        <f>HYPERLINK("https://static.licdn.com/aero-v1/sc/h/9l8dv1r8a09nem281grvopn9l","View Creative")</f>
        <v>View Creative</v>
      </c>
      <c r="L3577" s="4" t="s">
        <v>106</v>
      </c>
      <c r="M3577" s="4" t="s">
        <v>5965</v>
      </c>
      <c r="O3577" s="4" t="s">
        <v>63</v>
      </c>
      <c r="P3577" s="4" t="s">
        <v>64</v>
      </c>
    </row>
    <row r="3578">
      <c r="A3578" s="4" t="s">
        <v>5965</v>
      </c>
      <c r="B3578" s="4" t="s">
        <v>5965</v>
      </c>
      <c r="C3578" s="4">
        <v>1967.0</v>
      </c>
      <c r="D3578" s="5" t="str">
        <f>HYPERLINK("https://www.linkedin.com/ad-library/detail/875686736","Open Ad")</f>
        <v>Open Ad</v>
      </c>
      <c r="E3578" s="4" t="s">
        <v>78</v>
      </c>
      <c r="F3578" s="4" t="s">
        <v>54</v>
      </c>
      <c r="G3578" s="4" t="s">
        <v>6749</v>
      </c>
      <c r="H3578" s="4" t="s">
        <v>49</v>
      </c>
      <c r="I3578" s="4" t="s">
        <v>6005</v>
      </c>
      <c r="J3578" s="4" t="s">
        <v>78</v>
      </c>
      <c r="K3578" s="5" t="str">
        <f>HYPERLINK("https://media.licdn.com/dms/image/v2/D4D10AQFraiiUaC67VQ/image-shrink_1280/B4DZlYMPHzIYAM-/0/1758121233654?e=2147483647&amp;v=beta&amp;t=ztH3J0NkSHcKpv952GkpkyWShoOohuZaTaqK86ldSvc","View Creative")</f>
        <v>View Creative</v>
      </c>
      <c r="L3578" s="4" t="s">
        <v>106</v>
      </c>
      <c r="M3578" s="4" t="s">
        <v>5965</v>
      </c>
      <c r="O3578" s="4" t="s">
        <v>63</v>
      </c>
      <c r="P3578" s="28" t="s">
        <v>64</v>
      </c>
    </row>
    <row r="3579">
      <c r="A3579" s="4" t="s">
        <v>5965</v>
      </c>
      <c r="B3579" s="4" t="s">
        <v>5965</v>
      </c>
      <c r="C3579" s="4">
        <v>1968.0</v>
      </c>
      <c r="D3579" s="5" t="str">
        <f>HYPERLINK("https://www.linkedin.com/ad-library/detail/873915576","Open Ad")</f>
        <v>Open Ad</v>
      </c>
      <c r="E3579" s="4" t="s">
        <v>121</v>
      </c>
      <c r="F3579" s="4" t="s">
        <v>54</v>
      </c>
      <c r="G3579" s="4" t="s">
        <v>6750</v>
      </c>
      <c r="H3579" s="4" t="s">
        <v>49</v>
      </c>
      <c r="I3579" s="4" t="s">
        <v>6005</v>
      </c>
      <c r="J3579" s="4" t="s">
        <v>121</v>
      </c>
      <c r="K3579" s="5" t="str">
        <f>HYPERLINK("https://dms.licdn.com/playlist/vid/v2/D4E05AQE71L-ETeAjsw/mp4-720p-30fp-crf28/B4EZlYNcnMGYBk-/0/1758121621608?e=2147483647&amp;v=beta&amp;t=Bv8IISbhqN6OChpE-e3cj7qfVZDE7PJqUAd2unXYb7s","View Creative")</f>
        <v>View Creative</v>
      </c>
      <c r="L3579" s="4" t="s">
        <v>106</v>
      </c>
      <c r="M3579" s="4" t="s">
        <v>5965</v>
      </c>
      <c r="O3579" s="4" t="s">
        <v>63</v>
      </c>
      <c r="P3579" s="4" t="s">
        <v>64</v>
      </c>
    </row>
    <row r="3580">
      <c r="A3580" s="4" t="s">
        <v>5965</v>
      </c>
      <c r="B3580" s="4" t="s">
        <v>5965</v>
      </c>
      <c r="C3580" s="4">
        <v>1969.0</v>
      </c>
      <c r="D3580" s="5" t="str">
        <f>HYPERLINK("https://www.linkedin.com/ad-library/detail/824502806","Open Ad")</f>
        <v>Open Ad</v>
      </c>
      <c r="E3580" s="4" t="s">
        <v>78</v>
      </c>
      <c r="F3580" s="4" t="s">
        <v>54</v>
      </c>
      <c r="G3580" s="4" t="s">
        <v>6751</v>
      </c>
      <c r="H3580" s="4" t="s">
        <v>49</v>
      </c>
      <c r="I3580" s="4" t="s">
        <v>6005</v>
      </c>
      <c r="J3580" s="4" t="s">
        <v>78</v>
      </c>
      <c r="K3580" s="5" t="str">
        <f>HYPERLINK("https://media.licdn.com/dms/image/v2/D4E22AQHhXWEaBTQdcA/feedshare-shrink_1280/B4EZiKkDzdGwAo-/0/1754671367639?e=2147483647&amp;v=beta&amp;t=ExtZp9291BDWAEp4bWfIjRYzbeDE1q7D0lZJGC88MOA","View Creative")</f>
        <v>View Creative</v>
      </c>
      <c r="L3580" s="4" t="s">
        <v>106</v>
      </c>
      <c r="M3580" s="4" t="s">
        <v>5965</v>
      </c>
      <c r="O3580" s="4" t="s">
        <v>63</v>
      </c>
      <c r="P3580" s="4" t="s">
        <v>64</v>
      </c>
    </row>
    <row r="3581">
      <c r="A3581" s="4" t="s">
        <v>5965</v>
      </c>
      <c r="B3581" s="4" t="s">
        <v>5965</v>
      </c>
      <c r="C3581" s="4">
        <v>1970.0</v>
      </c>
      <c r="D3581" s="5" t="str">
        <f>HYPERLINK("https://www.linkedin.com/ad-library/detail/369128703","Open Ad")</f>
        <v>Open Ad</v>
      </c>
      <c r="E3581" s="4" t="s">
        <v>78</v>
      </c>
      <c r="F3581" s="4" t="s">
        <v>54</v>
      </c>
      <c r="G3581" s="4" t="s">
        <v>6752</v>
      </c>
      <c r="H3581" s="4" t="s">
        <v>49</v>
      </c>
      <c r="I3581" s="4" t="s">
        <v>6005</v>
      </c>
      <c r="J3581" s="4" t="s">
        <v>78</v>
      </c>
      <c r="K3581" s="4" t="s">
        <v>59</v>
      </c>
      <c r="L3581" s="4" t="s">
        <v>106</v>
      </c>
      <c r="M3581" s="4" t="s">
        <v>5965</v>
      </c>
      <c r="O3581" s="4" t="s">
        <v>63</v>
      </c>
      <c r="P3581" s="4" t="s">
        <v>64</v>
      </c>
    </row>
    <row r="3582">
      <c r="A3582" s="4" t="s">
        <v>5965</v>
      </c>
      <c r="B3582" s="4" t="s">
        <v>5965</v>
      </c>
      <c r="C3582" s="4">
        <v>1971.0</v>
      </c>
      <c r="D3582" s="5" t="str">
        <f>HYPERLINK("https://www.linkedin.com/ad-library/detail/835347826","Open Ad")</f>
        <v>Open Ad</v>
      </c>
      <c r="E3582" s="4" t="s">
        <v>78</v>
      </c>
      <c r="F3582" s="4" t="s">
        <v>54</v>
      </c>
      <c r="G3582" s="4" t="s">
        <v>6714</v>
      </c>
      <c r="H3582" s="4" t="s">
        <v>49</v>
      </c>
      <c r="I3582" s="4" t="s">
        <v>6005</v>
      </c>
      <c r="J3582" s="4" t="s">
        <v>78</v>
      </c>
      <c r="K3582" s="5" t="str">
        <f>HYPERLINK("https://media.licdn.com/dms/image/v2/D4E22AQGsxI6fMWHVtw/feedshare-shrink_1280/B4EZjIyNr0GUAw-/0/1755715263608?e=2147483647&amp;v=beta&amp;t=aYXR97LeIfrucp1eJzNjUcZIiq9aW1kCAQBbojwgL6o","View Creative")</f>
        <v>View Creative</v>
      </c>
      <c r="L3582" s="4" t="s">
        <v>106</v>
      </c>
      <c r="M3582" s="4" t="s">
        <v>5965</v>
      </c>
      <c r="O3582" s="4" t="s">
        <v>63</v>
      </c>
      <c r="P3582" s="4" t="s">
        <v>64</v>
      </c>
    </row>
    <row r="3583">
      <c r="A3583" s="4" t="s">
        <v>5965</v>
      </c>
      <c r="B3583" s="4" t="s">
        <v>5965</v>
      </c>
      <c r="C3583" s="4">
        <v>1972.0</v>
      </c>
      <c r="D3583" s="5" t="str">
        <f>HYPERLINK("https://www.linkedin.com/ad-library/detail/757388226","Open Ad")</f>
        <v>Open Ad</v>
      </c>
      <c r="E3583" s="4" t="s">
        <v>78</v>
      </c>
      <c r="F3583" s="4" t="s">
        <v>54</v>
      </c>
      <c r="G3583" s="4" t="s">
        <v>6753</v>
      </c>
      <c r="H3583" s="4" t="s">
        <v>49</v>
      </c>
      <c r="I3583" s="4" t="s">
        <v>6005</v>
      </c>
      <c r="J3583" s="4" t="s">
        <v>78</v>
      </c>
      <c r="K3583" s="5" t="str">
        <f>HYPERLINK("https://media.licdn.com/dms/image/v2/D4E22AQGROLwlJTXHYA/feedshare-shrink_1280/B4EZbVAA8bGkAo-/0/1747330273727?e=2147483647&amp;v=beta&amp;t=gRbY7QwkjM69MT0f5ErqalJjv1_Yq_ovis6z7hrWnXc","View Creative")</f>
        <v>View Creative</v>
      </c>
      <c r="L3583" s="4" t="s">
        <v>106</v>
      </c>
      <c r="M3583" s="4" t="s">
        <v>5965</v>
      </c>
      <c r="O3583" s="4" t="s">
        <v>63</v>
      </c>
      <c r="P3583" s="4" t="s">
        <v>64</v>
      </c>
    </row>
    <row r="3584">
      <c r="A3584" s="4" t="s">
        <v>5965</v>
      </c>
      <c r="B3584" s="4" t="s">
        <v>5965</v>
      </c>
      <c r="C3584" s="4">
        <v>1973.0</v>
      </c>
      <c r="D3584" s="5" t="str">
        <f>HYPERLINK("https://www.linkedin.com/ad-library/detail/834781486","Open Ad")</f>
        <v>Open Ad</v>
      </c>
      <c r="E3584" s="4" t="s">
        <v>78</v>
      </c>
      <c r="F3584" s="4" t="s">
        <v>54</v>
      </c>
      <c r="G3584" s="4" t="s">
        <v>6739</v>
      </c>
      <c r="H3584" s="4" t="s">
        <v>49</v>
      </c>
      <c r="I3584" s="4" t="s">
        <v>6005</v>
      </c>
      <c r="J3584" s="4" t="s">
        <v>78</v>
      </c>
      <c r="K3584" s="5" t="str">
        <f>HYPERLINK("https://media.licdn.com/dms/image/v2/D4E22AQHfNsmKV4DSJw/feedshare-shrink_1280/B4EZjDm4F9GcA4-/0/1755628406011?e=2147483647&amp;v=beta&amp;t=-HyVgifHtXy2GY-UDC5Q7bykqGna7yt_JKAvnP7UN1g","View Creative")</f>
        <v>View Creative</v>
      </c>
      <c r="L3584" s="4" t="s">
        <v>106</v>
      </c>
      <c r="M3584" s="4" t="s">
        <v>5965</v>
      </c>
      <c r="O3584" s="4" t="s">
        <v>63</v>
      </c>
      <c r="P3584" s="4" t="s">
        <v>64</v>
      </c>
    </row>
    <row r="3585">
      <c r="A3585" s="4" t="s">
        <v>5965</v>
      </c>
      <c r="B3585" s="4" t="s">
        <v>5965</v>
      </c>
      <c r="C3585" s="4">
        <v>1974.0</v>
      </c>
      <c r="D3585" s="5" t="str">
        <f>HYPERLINK("https://www.linkedin.com/ad-library/detail/796913696","Open Ad")</f>
        <v>Open Ad</v>
      </c>
      <c r="E3585" s="4" t="s">
        <v>78</v>
      </c>
      <c r="F3585" s="4" t="s">
        <v>54</v>
      </c>
      <c r="G3585" s="4" t="s">
        <v>6754</v>
      </c>
      <c r="H3585" s="4" t="s">
        <v>49</v>
      </c>
      <c r="I3585" s="4" t="s">
        <v>6005</v>
      </c>
      <c r="J3585" s="4" t="s">
        <v>78</v>
      </c>
      <c r="K3585" s="5" t="str">
        <f>HYPERLINK("https://media.licdn.com/dms/image/v2/D4E22AQGzPFbthzqk7Q/feedshare-shrink_1280/B4EZgPBfkaHoAk-/0/1752598707400?e=2147483647&amp;v=beta&amp;t=obGucs9mJbfP0uS6aXaVqfb9q-iDrpcMJOx3eJ4hRgE","View Creative")</f>
        <v>View Creative</v>
      </c>
      <c r="L3585" s="4" t="s">
        <v>106</v>
      </c>
      <c r="M3585" s="4" t="s">
        <v>5965</v>
      </c>
      <c r="O3585" s="4" t="s">
        <v>63</v>
      </c>
      <c r="P3585" s="4" t="s">
        <v>64</v>
      </c>
    </row>
    <row r="3586">
      <c r="A3586" s="4" t="s">
        <v>5965</v>
      </c>
      <c r="B3586" s="4" t="s">
        <v>5965</v>
      </c>
      <c r="C3586" s="4">
        <v>1975.0</v>
      </c>
      <c r="D3586" s="5" t="str">
        <f>HYPERLINK("https://www.linkedin.com/ad-library/detail/775893753","Open Ad")</f>
        <v>Open Ad</v>
      </c>
      <c r="E3586" s="4" t="s">
        <v>78</v>
      </c>
      <c r="F3586" s="4" t="s">
        <v>54</v>
      </c>
      <c r="G3586" s="4" t="s">
        <v>6755</v>
      </c>
      <c r="H3586" s="4" t="s">
        <v>49</v>
      </c>
      <c r="I3586" s="4" t="s">
        <v>6005</v>
      </c>
      <c r="J3586" s="4" t="s">
        <v>78</v>
      </c>
      <c r="K3586" s="5" t="str">
        <f>HYPERLINK("https://media.licdn.com/dms/image/v2/D4D10AQEOhEny_YnRkw/image-shrink_1280/B4DZjg52reGsAM-/0/1756119920276/WhatsAppImage2025-08-25at121622PMjpeg?e=2147483647&amp;v=beta&amp;t=-i7nxvAQofNMBYbYa4B-oImbhnybppWCcBECmCLNMFo","View Creative")</f>
        <v>View Creative</v>
      </c>
      <c r="L3586" s="4" t="s">
        <v>106</v>
      </c>
      <c r="M3586" s="4" t="s">
        <v>5965</v>
      </c>
      <c r="O3586" s="4" t="s">
        <v>63</v>
      </c>
      <c r="P3586" s="4" t="s">
        <v>64</v>
      </c>
    </row>
    <row r="3587">
      <c r="A3587" s="4" t="s">
        <v>5965</v>
      </c>
      <c r="B3587" s="4" t="s">
        <v>5965</v>
      </c>
      <c r="C3587" s="4">
        <v>1976.0</v>
      </c>
      <c r="D3587" s="5" t="str">
        <f>HYPERLINK("https://www.linkedin.com/ad-library/detail/796952116","Open Ad")</f>
        <v>Open Ad</v>
      </c>
      <c r="E3587" s="4" t="s">
        <v>78</v>
      </c>
      <c r="F3587" s="4" t="s">
        <v>54</v>
      </c>
      <c r="G3587" s="4" t="s">
        <v>6756</v>
      </c>
      <c r="H3587" s="4" t="s">
        <v>49</v>
      </c>
      <c r="I3587" s="4" t="s">
        <v>6005</v>
      </c>
      <c r="J3587" s="4" t="s">
        <v>78</v>
      </c>
      <c r="K3587" s="5" t="str">
        <f>HYPERLINK("https://media.licdn.com/dms/image/v2/D4E22AQGb69P7NNF3ng/feedshare-shrink_1280/B4EZgTiHJlGoAo-/0/1752674366763?e=2147483647&amp;v=beta&amp;t=Z5KgrD-_B5p0BcwzZ8NThEXcbzVraLjoGL2BwwcLUqM","View Creative")</f>
        <v>View Creative</v>
      </c>
      <c r="L3587" s="4" t="s">
        <v>106</v>
      </c>
      <c r="M3587" s="4" t="s">
        <v>5965</v>
      </c>
      <c r="O3587" s="4" t="s">
        <v>63</v>
      </c>
      <c r="P3587" s="4" t="s">
        <v>64</v>
      </c>
    </row>
    <row r="3588">
      <c r="A3588" s="4" t="s">
        <v>5965</v>
      </c>
      <c r="B3588" s="4" t="s">
        <v>5965</v>
      </c>
      <c r="C3588" s="4">
        <v>1977.0</v>
      </c>
      <c r="D3588" s="5" t="str">
        <f>HYPERLINK("https://www.linkedin.com/ad-library/detail/805199636","Open Ad")</f>
        <v>Open Ad</v>
      </c>
      <c r="E3588" s="4" t="s">
        <v>78</v>
      </c>
      <c r="F3588" s="4" t="s">
        <v>54</v>
      </c>
      <c r="G3588" s="4" t="s">
        <v>6757</v>
      </c>
      <c r="H3588" s="4" t="s">
        <v>49</v>
      </c>
      <c r="I3588" s="4" t="s">
        <v>6005</v>
      </c>
      <c r="J3588" s="4" t="s">
        <v>78</v>
      </c>
      <c r="K3588" s="5" t="str">
        <f>HYPERLINK("https://media.licdn.com/dms/image/v2/D4E22AQEMxk4mFXmHAA/feedshare-shrink_1280/B4EZhXFxBbHgAk-/0/1753807786645?e=2147483647&amp;v=beta&amp;t=k3u03FVezGTGE6PoV4ppvX3lOpmvXhXwcMGerSBUuZs","View Creative")</f>
        <v>View Creative</v>
      </c>
      <c r="L3588" s="4" t="s">
        <v>106</v>
      </c>
      <c r="M3588" s="4" t="s">
        <v>5965</v>
      </c>
      <c r="O3588" s="4" t="s">
        <v>63</v>
      </c>
      <c r="P3588" s="4" t="s">
        <v>64</v>
      </c>
    </row>
    <row r="3589">
      <c r="A3589" s="4" t="s">
        <v>5965</v>
      </c>
      <c r="B3589" s="4" t="s">
        <v>5965</v>
      </c>
      <c r="C3589" s="4">
        <v>1978.0</v>
      </c>
      <c r="D3589" s="5" t="str">
        <f>HYPERLINK("https://www.linkedin.com/ad-library/detail/799763036","Open Ad")</f>
        <v>Open Ad</v>
      </c>
      <c r="E3589" s="4" t="s">
        <v>78</v>
      </c>
      <c r="F3589" s="4" t="s">
        <v>54</v>
      </c>
      <c r="G3589" s="4" t="s">
        <v>6758</v>
      </c>
      <c r="H3589" s="4" t="s">
        <v>49</v>
      </c>
      <c r="I3589" s="4" t="s">
        <v>6005</v>
      </c>
      <c r="J3589" s="4" t="s">
        <v>78</v>
      </c>
      <c r="K3589" s="5" t="str">
        <f>HYPERLINK("https://media.licdn.com/dms/image/v2/D4E22AQEL0rr7aLFFjw/feedshare-shrink_800/B4EZg371Y5HEAg-/0/1753285089166?e=2147483647&amp;v=beta&amp;t=_rgBORNScF5eljMN6Gzqx86HDiE5oiGnKrDc5aN6IXY","View Creative")</f>
        <v>View Creative</v>
      </c>
      <c r="L3589" s="4" t="s">
        <v>106</v>
      </c>
      <c r="M3589" s="4" t="s">
        <v>5965</v>
      </c>
      <c r="O3589" s="4" t="s">
        <v>63</v>
      </c>
      <c r="P3589" s="4" t="s">
        <v>64</v>
      </c>
    </row>
    <row r="3590">
      <c r="A3590" s="4" t="s">
        <v>5965</v>
      </c>
      <c r="B3590" s="4" t="s">
        <v>5965</v>
      </c>
      <c r="C3590" s="4">
        <v>1979.0</v>
      </c>
      <c r="D3590" s="5" t="str">
        <f>HYPERLINK("https://www.linkedin.com/ad-library/detail/838833286","Open Ad")</f>
        <v>Open Ad</v>
      </c>
      <c r="E3590" s="4" t="s">
        <v>78</v>
      </c>
      <c r="F3590" s="4" t="s">
        <v>54</v>
      </c>
      <c r="G3590" s="4" t="s">
        <v>6759</v>
      </c>
      <c r="H3590" s="4" t="s">
        <v>49</v>
      </c>
      <c r="I3590" s="4" t="s">
        <v>6005</v>
      </c>
      <c r="J3590" s="4" t="s">
        <v>78</v>
      </c>
      <c r="K3590" s="5" t="str">
        <f>HYPERLINK("https://media.licdn.com/dms/image/sync/v2/D4D27AQEXkDF2ssfJ6Q/articleshare-shrink_800/B4DZjmzfBDH4AI-/0/1756218913391?e=2147483647&amp;v=beta&amp;t=XpJ3r5rhbDnqSX8TDc15vNXdS_pvPN3k44tf7GQflIw","View Creative")</f>
        <v>View Creative</v>
      </c>
      <c r="L3590" s="4" t="s">
        <v>106</v>
      </c>
      <c r="M3590" s="4" t="s">
        <v>5965</v>
      </c>
      <c r="O3590" s="4" t="s">
        <v>63</v>
      </c>
      <c r="P3590" s="4" t="s">
        <v>64</v>
      </c>
    </row>
    <row r="3591">
      <c r="A3591" s="4" t="s">
        <v>5965</v>
      </c>
      <c r="B3591" s="4" t="s">
        <v>5965</v>
      </c>
      <c r="C3591" s="4">
        <v>1980.0</v>
      </c>
      <c r="D3591" s="5" t="str">
        <f>HYPERLINK("https://www.linkedin.com/ad-library/detail/805228166","Open Ad")</f>
        <v>Open Ad</v>
      </c>
      <c r="E3591" s="4" t="s">
        <v>78</v>
      </c>
      <c r="F3591" s="4" t="s">
        <v>54</v>
      </c>
      <c r="G3591" s="4" t="s">
        <v>6757</v>
      </c>
      <c r="H3591" s="4" t="s">
        <v>49</v>
      </c>
      <c r="I3591" s="4" t="s">
        <v>6005</v>
      </c>
      <c r="J3591" s="4" t="s">
        <v>78</v>
      </c>
      <c r="K3591" s="5" t="str">
        <f>HYPERLINK("https://media.licdn.com/dms/image/v2/D4E22AQEMxk4mFXmHAA/feedshare-shrink_1280/B4EZhXFxBbHgAk-/0/1753807786645?e=2147483647&amp;v=beta&amp;t=k3u03FVezGTGE6PoV4ppvX3lOpmvXhXwcMGerSBUuZs","View Creative")</f>
        <v>View Creative</v>
      </c>
      <c r="L3591" s="4" t="s">
        <v>106</v>
      </c>
      <c r="M3591" s="4" t="s">
        <v>5965</v>
      </c>
      <c r="O3591" s="4" t="s">
        <v>63</v>
      </c>
      <c r="P3591" s="4" t="s">
        <v>64</v>
      </c>
    </row>
    <row r="3592">
      <c r="A3592" s="4" t="s">
        <v>5965</v>
      </c>
      <c r="B3592" s="4" t="s">
        <v>5965</v>
      </c>
      <c r="C3592" s="4">
        <v>1981.0</v>
      </c>
      <c r="D3592" s="5" t="str">
        <f>HYPERLINK("https://www.linkedin.com/ad-library/detail/757430446","Open Ad")</f>
        <v>Open Ad</v>
      </c>
      <c r="E3592" s="4" t="s">
        <v>78</v>
      </c>
      <c r="F3592" s="4" t="s">
        <v>54</v>
      </c>
      <c r="G3592" s="4" t="s">
        <v>6760</v>
      </c>
      <c r="H3592" s="4" t="s">
        <v>49</v>
      </c>
      <c r="I3592" s="4" t="s">
        <v>6005</v>
      </c>
      <c r="J3592" s="4" t="s">
        <v>78</v>
      </c>
      <c r="K3592" s="5" t="str">
        <f>HYPERLINK("https://media.licdn.com/dms/image/v2/D5622AQHtDTWMwl6Xcg/feedshare-shrink_1280/B56Zc7pOREGoAk-/0/1749052352263?e=2147483647&amp;v=beta&amp;t=EEkMJr1NmDMDbLhSB5LF1cmMJFnY4wktm92p-CWGiyw","View Creative")</f>
        <v>View Creative</v>
      </c>
      <c r="L3592" s="4" t="s">
        <v>106</v>
      </c>
      <c r="M3592" s="4" t="s">
        <v>5965</v>
      </c>
      <c r="O3592" s="4" t="s">
        <v>63</v>
      </c>
      <c r="P3592" s="4" t="s">
        <v>64</v>
      </c>
    </row>
    <row r="3593">
      <c r="A3593" s="4" t="s">
        <v>5965</v>
      </c>
      <c r="B3593" s="4" t="s">
        <v>5965</v>
      </c>
      <c r="C3593" s="4">
        <v>1982.0</v>
      </c>
      <c r="D3593" s="5" t="str">
        <f>HYPERLINK("https://www.linkedin.com/ad-library/detail/796970606","Open Ad")</f>
        <v>Open Ad</v>
      </c>
      <c r="E3593" s="4" t="s">
        <v>78</v>
      </c>
      <c r="F3593" s="4" t="s">
        <v>54</v>
      </c>
      <c r="G3593" s="4" t="s">
        <v>6761</v>
      </c>
      <c r="H3593" s="4" t="s">
        <v>49</v>
      </c>
      <c r="I3593" s="4" t="s">
        <v>6005</v>
      </c>
      <c r="J3593" s="4" t="s">
        <v>78</v>
      </c>
      <c r="K3593" s="5" t="str">
        <f>HYPERLINK("https://media.licdn.com/dms/image/v2/D4E22AQFBcBA_JMjTCA/feedshare-shrink_1280/B4EZfvuoU5HIAs-/0/1752073668799?e=2147483647&amp;v=beta&amp;t=ZW3J95Qk9edw9220E5eqDyLPf6FQVqkLON4KvqMw_X8","View Creative")</f>
        <v>View Creative</v>
      </c>
      <c r="L3593" s="4" t="s">
        <v>106</v>
      </c>
      <c r="M3593" s="4" t="s">
        <v>5965</v>
      </c>
      <c r="O3593" s="4" t="s">
        <v>63</v>
      </c>
      <c r="P3593" s="4" t="s">
        <v>64</v>
      </c>
    </row>
    <row r="3594">
      <c r="A3594" s="4" t="s">
        <v>5965</v>
      </c>
      <c r="B3594" s="4" t="s">
        <v>5965</v>
      </c>
      <c r="C3594" s="4">
        <v>1983.0</v>
      </c>
      <c r="D3594" s="5" t="str">
        <f>HYPERLINK("https://www.linkedin.com/ad-library/detail/834806756","Open Ad")</f>
        <v>Open Ad</v>
      </c>
      <c r="E3594" s="4" t="s">
        <v>78</v>
      </c>
      <c r="F3594" s="4" t="s">
        <v>54</v>
      </c>
      <c r="G3594" s="4" t="s">
        <v>6714</v>
      </c>
      <c r="H3594" s="4" t="s">
        <v>49</v>
      </c>
      <c r="I3594" s="4" t="s">
        <v>6005</v>
      </c>
      <c r="J3594" s="4" t="s">
        <v>78</v>
      </c>
      <c r="K3594" s="5" t="str">
        <f>HYPERLINK("https://media.licdn.com/dms/image/v2/D4E22AQGsxI6fMWHVtw/feedshare-shrink_1280/B4EZjIyNr0GUAw-/0/1755715263608?e=2147483647&amp;v=beta&amp;t=aYXR97LeIfrucp1eJzNjUcZIiq9aW1kCAQBbojwgL6o","View Creative")</f>
        <v>View Creative</v>
      </c>
      <c r="L3594" s="4" t="s">
        <v>106</v>
      </c>
      <c r="M3594" s="4" t="s">
        <v>5965</v>
      </c>
      <c r="O3594" s="4" t="s">
        <v>63</v>
      </c>
      <c r="P3594" s="4" t="s">
        <v>64</v>
      </c>
    </row>
    <row r="3595">
      <c r="A3595" s="4" t="s">
        <v>5965</v>
      </c>
      <c r="B3595" s="4" t="s">
        <v>5965</v>
      </c>
      <c r="C3595" s="4">
        <v>1984.0</v>
      </c>
      <c r="D3595" s="5" t="str">
        <f>HYPERLINK("https://www.linkedin.com/ad-library/detail/824503366","Open Ad")</f>
        <v>Open Ad</v>
      </c>
      <c r="E3595" s="4" t="s">
        <v>78</v>
      </c>
      <c r="F3595" s="4" t="s">
        <v>54</v>
      </c>
      <c r="G3595" s="4" t="s">
        <v>6751</v>
      </c>
      <c r="H3595" s="4" t="s">
        <v>49</v>
      </c>
      <c r="I3595" s="4" t="s">
        <v>6005</v>
      </c>
      <c r="J3595" s="4" t="s">
        <v>78</v>
      </c>
      <c r="K3595" s="5" t="str">
        <f>HYPERLINK("https://media.licdn.com/dms/image/v2/D4E22AQHhXWEaBTQdcA/feedshare-shrink_1280/B4EZiKkDzdGwAo-/0/1754671367639?e=2147483647&amp;v=beta&amp;t=ExtZp9291BDWAEp4bWfIjRYzbeDE1q7D0lZJGC88MOA","View Creative")</f>
        <v>View Creative</v>
      </c>
      <c r="L3595" s="4" t="s">
        <v>106</v>
      </c>
      <c r="M3595" s="4" t="s">
        <v>5965</v>
      </c>
      <c r="O3595" s="4" t="s">
        <v>63</v>
      </c>
      <c r="P3595" s="4" t="s">
        <v>64</v>
      </c>
    </row>
    <row r="3596">
      <c r="A3596" s="4" t="s">
        <v>5965</v>
      </c>
      <c r="B3596" s="4" t="s">
        <v>5965</v>
      </c>
      <c r="C3596" s="4">
        <v>1985.0</v>
      </c>
      <c r="D3596" s="5" t="str">
        <f>HYPERLINK("https://www.linkedin.com/ad-library/detail/371181993","Open Ad")</f>
        <v>Open Ad</v>
      </c>
      <c r="E3596" s="4" t="s">
        <v>78</v>
      </c>
      <c r="F3596" s="4" t="s">
        <v>54</v>
      </c>
      <c r="G3596" s="4" t="s">
        <v>6752</v>
      </c>
      <c r="H3596" s="4" t="s">
        <v>49</v>
      </c>
      <c r="I3596" s="4" t="s">
        <v>6005</v>
      </c>
      <c r="J3596" s="4" t="s">
        <v>78</v>
      </c>
      <c r="K3596" s="4" t="s">
        <v>59</v>
      </c>
      <c r="L3596" s="4" t="s">
        <v>106</v>
      </c>
      <c r="M3596" s="4" t="s">
        <v>5965</v>
      </c>
      <c r="O3596" s="4" t="s">
        <v>63</v>
      </c>
      <c r="P3596" s="4" t="s">
        <v>64</v>
      </c>
    </row>
    <row r="3597">
      <c r="A3597" s="4" t="s">
        <v>5965</v>
      </c>
      <c r="B3597" s="4" t="s">
        <v>5965</v>
      </c>
      <c r="C3597" s="4">
        <v>1986.0</v>
      </c>
      <c r="D3597" s="5" t="str">
        <f>HYPERLINK("https://www.linkedin.com/ad-library/detail/796923056","Open Ad")</f>
        <v>Open Ad</v>
      </c>
      <c r="E3597" s="4" t="s">
        <v>78</v>
      </c>
      <c r="F3597" s="4" t="s">
        <v>54</v>
      </c>
      <c r="G3597" s="4" t="s">
        <v>6762</v>
      </c>
      <c r="H3597" s="4" t="s">
        <v>49</v>
      </c>
      <c r="I3597" s="4" t="s">
        <v>6005</v>
      </c>
      <c r="J3597" s="4" t="s">
        <v>78</v>
      </c>
      <c r="K3597" s="5" t="str">
        <f>HYPERLINK("https://media.licdn.com/dms/image/v2/D4E22AQFPeTniTXImHg/feedshare-shrink_1280/B4EZflYv1SG4As-/0/1751900159766?e=2147483647&amp;v=beta&amp;t=ZjYrjU60NZBQwwOHU8PaFaLZRTvuzA8f8Hyr1YE5tjQ","View Creative")</f>
        <v>View Creative</v>
      </c>
      <c r="L3597" s="4" t="s">
        <v>106</v>
      </c>
      <c r="M3597" s="4" t="s">
        <v>5965</v>
      </c>
      <c r="O3597" s="4" t="s">
        <v>63</v>
      </c>
      <c r="P3597" s="4" t="s">
        <v>64</v>
      </c>
    </row>
    <row r="3598">
      <c r="A3598" s="4" t="s">
        <v>5965</v>
      </c>
      <c r="B3598" s="4" t="s">
        <v>5965</v>
      </c>
      <c r="C3598" s="4">
        <v>1987.0</v>
      </c>
      <c r="D3598" s="5" t="str">
        <f>HYPERLINK("https://www.linkedin.com/ad-library/detail/834850916","Open Ad")</f>
        <v>Open Ad</v>
      </c>
      <c r="E3598" s="4" t="s">
        <v>78</v>
      </c>
      <c r="F3598" s="4" t="s">
        <v>54</v>
      </c>
      <c r="G3598" s="4" t="s">
        <v>6739</v>
      </c>
      <c r="H3598" s="4" t="s">
        <v>49</v>
      </c>
      <c r="I3598" s="4" t="s">
        <v>6005</v>
      </c>
      <c r="J3598" s="4" t="s">
        <v>78</v>
      </c>
      <c r="K3598" s="5" t="str">
        <f>HYPERLINK("https://media.licdn.com/dms/image/v2/D4E22AQHfNsmKV4DSJw/feedshare-shrink_1280/B4EZjDm4F9GcA4-/0/1755628406011?e=2147483647&amp;v=beta&amp;t=-HyVgifHtXy2GY-UDC5Q7bykqGna7yt_JKAvnP7UN1g","View Creative")</f>
        <v>View Creative</v>
      </c>
      <c r="L3598" s="4" t="s">
        <v>106</v>
      </c>
      <c r="M3598" s="4" t="s">
        <v>5965</v>
      </c>
      <c r="O3598" s="4" t="s">
        <v>63</v>
      </c>
      <c r="P3598" s="4" t="s">
        <v>64</v>
      </c>
    </row>
    <row r="3599">
      <c r="A3599" s="4"/>
      <c r="B3599" s="4"/>
      <c r="C3599" s="4"/>
      <c r="E3599" s="4"/>
      <c r="F3599" s="4"/>
      <c r="G3599" s="4"/>
      <c r="H3599" s="4"/>
      <c r="I3599" s="4"/>
      <c r="J3599" s="4"/>
      <c r="L3599" s="4"/>
      <c r="M3599" s="4"/>
      <c r="O3599" s="4"/>
      <c r="P3599" s="4"/>
    </row>
    <row r="3600">
      <c r="A3600" s="4" t="s">
        <v>6763</v>
      </c>
      <c r="B3600" s="4" t="s">
        <v>6764</v>
      </c>
      <c r="C3600" s="4">
        <v>1.0</v>
      </c>
      <c r="D3600" s="5" t="str">
        <f>HYPERLINK("https://www.linkedin.com/ad-library/detail/1201822993","Open Ad")</f>
        <v>Open Ad</v>
      </c>
      <c r="E3600" s="4" t="s">
        <v>78</v>
      </c>
      <c r="F3600" s="4" t="s">
        <v>6765</v>
      </c>
      <c r="G3600" s="4" t="s">
        <v>6766</v>
      </c>
      <c r="H3600" s="4" t="s">
        <v>6767</v>
      </c>
      <c r="I3600" s="4" t="s">
        <v>6768</v>
      </c>
      <c r="J3600" s="4" t="s">
        <v>78</v>
      </c>
      <c r="K3600" s="5" t="str">
        <f>HYPERLINK("https://media.licdn.com/dms/image/v2/D4E22AQHdGCLm6ZyfNA/feedshare-image-high-res/B4EZr9xAKdIQAo-/0/1765194073205?e=2147483647&amp;v=beta&amp;t=6sCbx3mRQ0_VG8EnY-nRZiNaZucGukDx5sKWF_xcOkI","View Creative")</f>
        <v>View Creative</v>
      </c>
      <c r="L3600" s="4" t="s">
        <v>60</v>
      </c>
      <c r="M3600" s="4" t="s">
        <v>6763</v>
      </c>
      <c r="N3600" s="4" t="s">
        <v>6769</v>
      </c>
      <c r="O3600" s="4" t="s">
        <v>63</v>
      </c>
      <c r="P3600" s="4" t="s">
        <v>64</v>
      </c>
    </row>
    <row r="3601">
      <c r="A3601" s="4" t="s">
        <v>6763</v>
      </c>
      <c r="B3601" s="4" t="s">
        <v>6764</v>
      </c>
      <c r="C3601" s="4">
        <v>2.0</v>
      </c>
      <c r="D3601" s="5" t="str">
        <f>HYPERLINK("https://www.linkedin.com/ad-library/detail/1436162683","Open Ad")</f>
        <v>Open Ad</v>
      </c>
      <c r="E3601" s="4" t="s">
        <v>78</v>
      </c>
      <c r="F3601" s="4" t="s">
        <v>6765</v>
      </c>
      <c r="G3601" s="4" t="s">
        <v>6770</v>
      </c>
      <c r="H3601" s="4" t="s">
        <v>49</v>
      </c>
      <c r="I3601" s="4" t="s">
        <v>6768</v>
      </c>
      <c r="J3601" s="4" t="s">
        <v>78</v>
      </c>
      <c r="K3601" s="5" t="str">
        <f>HYPERLINK("https://media.licdn.com/dms/image/v2/D4D22AQFabZBvZGI45Q/feedshare-shrink_1280/B4DZ66vv6_H4AM-/0/1781249540048?e=2147483647&amp;v=beta&amp;t=AFgXLu_EObYC0ojRcZ04PK8vDmQwJ_tkL2ihVP1CjY0","View Creative")</f>
        <v>View Creative</v>
      </c>
      <c r="L3601" s="4" t="s">
        <v>60</v>
      </c>
      <c r="M3601" s="4" t="s">
        <v>6763</v>
      </c>
      <c r="N3601" s="4" t="s">
        <v>6771</v>
      </c>
      <c r="O3601" s="4" t="s">
        <v>63</v>
      </c>
      <c r="P3601" s="4" t="s">
        <v>64</v>
      </c>
    </row>
    <row r="3602">
      <c r="A3602" s="4" t="s">
        <v>6763</v>
      </c>
      <c r="B3602" s="4" t="s">
        <v>6764</v>
      </c>
      <c r="C3602" s="4">
        <v>3.0</v>
      </c>
      <c r="D3602" s="5" t="str">
        <f>HYPERLINK("https://www.linkedin.com/ad-library/detail/990459863","Open Ad")</f>
        <v>Open Ad</v>
      </c>
      <c r="E3602" s="4" t="s">
        <v>78</v>
      </c>
      <c r="F3602" s="4" t="s">
        <v>6765</v>
      </c>
      <c r="G3602" s="4" t="s">
        <v>6766</v>
      </c>
      <c r="H3602" s="4" t="s">
        <v>6767</v>
      </c>
      <c r="I3602" s="4" t="s">
        <v>6768</v>
      </c>
      <c r="J3602" s="4" t="s">
        <v>78</v>
      </c>
      <c r="K3602" s="5" t="str">
        <f t="shared" ref="K3602:K3603" si="189">HYPERLINK("https://media.licdn.com/dms/image/v2/D4E22AQHdGCLm6ZyfNA/feedshare-image-high-res/B4EZr9xAKdIQAo-/0/1765194073205?e=2147483647&amp;v=beta&amp;t=6sCbx3mRQ0_VG8EnY-nRZiNaZucGukDx5sKWF_xcOkI","View Creative")</f>
        <v>View Creative</v>
      </c>
      <c r="L3602" s="4" t="s">
        <v>60</v>
      </c>
      <c r="M3602" s="4" t="s">
        <v>6763</v>
      </c>
      <c r="N3602" s="4" t="s">
        <v>6772</v>
      </c>
      <c r="O3602" s="4" t="s">
        <v>63</v>
      </c>
      <c r="P3602" s="4" t="s">
        <v>64</v>
      </c>
    </row>
    <row r="3603">
      <c r="A3603" s="4" t="s">
        <v>6763</v>
      </c>
      <c r="B3603" s="4" t="s">
        <v>6764</v>
      </c>
      <c r="C3603" s="4">
        <v>4.0</v>
      </c>
      <c r="D3603" s="5" t="str">
        <f>HYPERLINK("https://www.linkedin.com/ad-library/detail/1201135213","Open Ad")</f>
        <v>Open Ad</v>
      </c>
      <c r="E3603" s="4" t="s">
        <v>78</v>
      </c>
      <c r="F3603" s="4" t="s">
        <v>6765</v>
      </c>
      <c r="G3603" s="4" t="s">
        <v>6766</v>
      </c>
      <c r="H3603" s="4" t="s">
        <v>6767</v>
      </c>
      <c r="I3603" s="4" t="s">
        <v>6768</v>
      </c>
      <c r="J3603" s="4" t="s">
        <v>78</v>
      </c>
      <c r="K3603" s="5" t="str">
        <f t="shared" si="189"/>
        <v>View Creative</v>
      </c>
      <c r="L3603" s="4" t="s">
        <v>60</v>
      </c>
      <c r="M3603" s="4" t="s">
        <v>6763</v>
      </c>
      <c r="N3603" s="4" t="s">
        <v>6773</v>
      </c>
      <c r="O3603" s="4" t="s">
        <v>63</v>
      </c>
      <c r="P3603" s="4" t="s">
        <v>64</v>
      </c>
    </row>
    <row r="3604">
      <c r="A3604" s="4" t="s">
        <v>6763</v>
      </c>
      <c r="B3604" s="4" t="s">
        <v>6764</v>
      </c>
      <c r="C3604" s="4">
        <v>5.0</v>
      </c>
      <c r="D3604" s="5" t="str">
        <f>HYPERLINK("https://www.linkedin.com/ad-library/detail/1195680473","Open Ad")</f>
        <v>Open Ad</v>
      </c>
      <c r="E3604" s="4" t="s">
        <v>78</v>
      </c>
      <c r="F3604" s="4" t="s">
        <v>6765</v>
      </c>
      <c r="G3604" s="4" t="s">
        <v>6774</v>
      </c>
      <c r="H3604" s="4" t="s">
        <v>49</v>
      </c>
      <c r="I3604" s="4" t="s">
        <v>6768</v>
      </c>
      <c r="J3604" s="4" t="s">
        <v>78</v>
      </c>
      <c r="K3604" s="5" t="str">
        <f>HYPERLINK("https://media.licdn.com/dms/image/v2/D4D22AQGy5lxVyuHDJA/feedshare-shrink_1280/B4DZz3T3g6IoAM-/0/1773675708335?e=2147483647&amp;v=beta&amp;t=wCP7ZzCefJl8IrssG4WJoQZtt8SxC1jpAoNPPGqxQqs","View Creative")</f>
        <v>View Creative</v>
      </c>
      <c r="L3604" s="4" t="s">
        <v>60</v>
      </c>
      <c r="M3604" s="4" t="s">
        <v>6763</v>
      </c>
      <c r="N3604" s="4" t="s">
        <v>6775</v>
      </c>
      <c r="O3604" s="4" t="s">
        <v>63</v>
      </c>
      <c r="P3604" s="4" t="s">
        <v>64</v>
      </c>
    </row>
    <row r="3605">
      <c r="A3605" s="4" t="s">
        <v>6763</v>
      </c>
      <c r="B3605" s="4" t="s">
        <v>6764</v>
      </c>
      <c r="C3605" s="4">
        <v>6.0</v>
      </c>
      <c r="D3605" s="5" t="str">
        <f>HYPERLINK("https://www.linkedin.com/ad-library/detail/1496581073","Open Ad")</f>
        <v>Open Ad</v>
      </c>
      <c r="E3605" s="4" t="s">
        <v>78</v>
      </c>
      <c r="F3605" s="4" t="s">
        <v>6765</v>
      </c>
      <c r="G3605" s="4" t="s">
        <v>6776</v>
      </c>
      <c r="H3605" s="4" t="s">
        <v>49</v>
      </c>
      <c r="I3605" s="4" t="s">
        <v>6768</v>
      </c>
      <c r="J3605" s="4" t="s">
        <v>78</v>
      </c>
      <c r="K3605" s="5" t="str">
        <f>HYPERLINK("https://media.licdn.com/dms/image/v2/D4E22AQHowjrQUXriTg/feedshare-shrink_1280/B4EaAlZYm5K8AM-/0/1787333806776?e=2147483647&amp;v=beta&amp;t=vUo1mh1qMrrMCwSy2sgBA_dkBsn3F75dO5bechOxk-g","View Creative")</f>
        <v>View Creative</v>
      </c>
      <c r="L3605" s="4" t="s">
        <v>60</v>
      </c>
      <c r="M3605" s="4" t="s">
        <v>6763</v>
      </c>
      <c r="N3605" s="4" t="s">
        <v>6777</v>
      </c>
      <c r="O3605" s="4" t="s">
        <v>63</v>
      </c>
      <c r="P3605" s="4" t="s">
        <v>64</v>
      </c>
    </row>
    <row r="3606">
      <c r="A3606" s="4" t="s">
        <v>6763</v>
      </c>
      <c r="B3606" s="4" t="s">
        <v>6764</v>
      </c>
      <c r="C3606" s="4">
        <v>7.0</v>
      </c>
      <c r="D3606" s="5" t="str">
        <f>HYPERLINK("https://www.linkedin.com/ad-library/detail/1214685203","Open Ad")</f>
        <v>Open Ad</v>
      </c>
      <c r="E3606" s="4" t="s">
        <v>52</v>
      </c>
      <c r="F3606" s="4" t="s">
        <v>6765</v>
      </c>
      <c r="G3606" s="4" t="s">
        <v>6778</v>
      </c>
      <c r="H3606" s="4" t="s">
        <v>6779</v>
      </c>
      <c r="I3606" s="4" t="s">
        <v>6768</v>
      </c>
      <c r="J3606" s="4" t="s">
        <v>52</v>
      </c>
      <c r="K3606" s="4" t="s">
        <v>59</v>
      </c>
      <c r="L3606" s="4" t="s">
        <v>60</v>
      </c>
      <c r="M3606" s="4" t="s">
        <v>6763</v>
      </c>
      <c r="N3606" s="4" t="s">
        <v>6780</v>
      </c>
      <c r="O3606" s="4" t="s">
        <v>63</v>
      </c>
      <c r="P3606" s="4" t="s">
        <v>64</v>
      </c>
    </row>
    <row r="3607">
      <c r="A3607" s="4" t="s">
        <v>6763</v>
      </c>
      <c r="B3607" s="4" t="s">
        <v>6764</v>
      </c>
      <c r="C3607" s="4">
        <v>8.0</v>
      </c>
      <c r="D3607" s="5" t="str">
        <f>HYPERLINK("https://www.linkedin.com/ad-library/detail/1203198013","Open Ad")</f>
        <v>Open Ad</v>
      </c>
      <c r="E3607" s="4" t="s">
        <v>78</v>
      </c>
      <c r="F3607" s="4" t="s">
        <v>6765</v>
      </c>
      <c r="G3607" s="4" t="s">
        <v>6766</v>
      </c>
      <c r="H3607" s="4" t="s">
        <v>6767</v>
      </c>
      <c r="I3607" s="4" t="s">
        <v>6768</v>
      </c>
      <c r="J3607" s="4" t="s">
        <v>78</v>
      </c>
      <c r="K3607" s="5" t="str">
        <f>HYPERLINK("https://media.licdn.com/dms/image/v2/D4E22AQHdGCLm6ZyfNA/feedshare-image-high-res/B4EZr9xAKdIQAo-/0/1765194073205?e=2147483647&amp;v=beta&amp;t=6sCbx3mRQ0_VG8EnY-nRZiNaZucGukDx5sKWF_xcOkI","View Creative")</f>
        <v>View Creative</v>
      </c>
      <c r="L3607" s="4" t="s">
        <v>60</v>
      </c>
      <c r="M3607" s="4" t="s">
        <v>6763</v>
      </c>
      <c r="N3607" s="4" t="s">
        <v>6781</v>
      </c>
      <c r="O3607" s="4" t="s">
        <v>63</v>
      </c>
      <c r="P3607" s="4" t="s">
        <v>64</v>
      </c>
    </row>
    <row r="3608">
      <c r="A3608" s="4" t="s">
        <v>6763</v>
      </c>
      <c r="B3608" s="4" t="s">
        <v>6764</v>
      </c>
      <c r="C3608" s="4">
        <v>9.0</v>
      </c>
      <c r="D3608" s="5" t="str">
        <f>HYPERLINK("https://www.linkedin.com/ad-library/detail/1001382606","Open Ad")</f>
        <v>Open Ad</v>
      </c>
      <c r="E3608" s="4" t="s">
        <v>78</v>
      </c>
      <c r="F3608" s="4" t="s">
        <v>6765</v>
      </c>
      <c r="G3608" s="4" t="s">
        <v>6782</v>
      </c>
      <c r="H3608" s="4" t="s">
        <v>49</v>
      </c>
      <c r="I3608" s="4" t="s">
        <v>6768</v>
      </c>
      <c r="J3608" s="4" t="s">
        <v>78</v>
      </c>
      <c r="K3608" s="5" t="str">
        <f>HYPERLINK("https://media.licdn.com/dms/image/v2/D5610AQFjOdob4RUMxw/image-shrink_627_1200/B56ZsoOpoyIYAc-/0/1765906488495?e=1789480800&amp;v=beta&amp;t=upmC-epYaLtT09fIiQEQ-Rr1_DGUTRgBUKgxyMJ7Cu8","View Creative")</f>
        <v>View Creative</v>
      </c>
      <c r="L3608" s="4" t="s">
        <v>60</v>
      </c>
      <c r="M3608" s="4" t="s">
        <v>6763</v>
      </c>
      <c r="N3608" s="4" t="s">
        <v>6783</v>
      </c>
      <c r="O3608" s="4" t="s">
        <v>63</v>
      </c>
      <c r="P3608" s="4" t="s">
        <v>64</v>
      </c>
    </row>
    <row r="3609">
      <c r="A3609" s="4" t="s">
        <v>6763</v>
      </c>
      <c r="B3609" s="4" t="s">
        <v>6764</v>
      </c>
      <c r="C3609" s="4">
        <v>10.0</v>
      </c>
      <c r="D3609" s="5" t="str">
        <f>HYPERLINK("https://www.linkedin.com/ad-library/detail/1201531633","Open Ad")</f>
        <v>Open Ad</v>
      </c>
      <c r="E3609" s="4" t="s">
        <v>78</v>
      </c>
      <c r="F3609" s="4" t="s">
        <v>6765</v>
      </c>
      <c r="G3609" s="4" t="s">
        <v>6766</v>
      </c>
      <c r="H3609" s="4" t="s">
        <v>6767</v>
      </c>
      <c r="I3609" s="4" t="s">
        <v>6768</v>
      </c>
      <c r="J3609" s="4" t="s">
        <v>78</v>
      </c>
      <c r="K3609" s="5" t="str">
        <f t="shared" ref="K3609:K3610" si="190">HYPERLINK("https://media.licdn.com/dms/image/v2/D4E22AQHdGCLm6ZyfNA/feedshare-image-high-res/B4EZr9xAKdIQAo-/0/1765194073205?e=2147483647&amp;v=beta&amp;t=6sCbx3mRQ0_VG8EnY-nRZiNaZucGukDx5sKWF_xcOkI","View Creative")</f>
        <v>View Creative</v>
      </c>
      <c r="L3609" s="4" t="s">
        <v>60</v>
      </c>
      <c r="M3609" s="4" t="s">
        <v>6763</v>
      </c>
      <c r="N3609" s="4" t="s">
        <v>6781</v>
      </c>
      <c r="O3609" s="4" t="s">
        <v>63</v>
      </c>
      <c r="P3609" s="4" t="s">
        <v>64</v>
      </c>
    </row>
    <row r="3610">
      <c r="A3610" s="4" t="s">
        <v>6763</v>
      </c>
      <c r="B3610" s="4" t="s">
        <v>6764</v>
      </c>
      <c r="C3610" s="4">
        <v>11.0</v>
      </c>
      <c r="D3610" s="5" t="str">
        <f>HYPERLINK("https://www.linkedin.com/ad-library/detail/1201234223","Open Ad")</f>
        <v>Open Ad</v>
      </c>
      <c r="E3610" s="4" t="s">
        <v>78</v>
      </c>
      <c r="F3610" s="4" t="s">
        <v>6765</v>
      </c>
      <c r="G3610" s="4" t="s">
        <v>6766</v>
      </c>
      <c r="H3610" s="4" t="s">
        <v>6767</v>
      </c>
      <c r="I3610" s="4" t="s">
        <v>6768</v>
      </c>
      <c r="J3610" s="4" t="s">
        <v>78</v>
      </c>
      <c r="K3610" s="5" t="str">
        <f t="shared" si="190"/>
        <v>View Creative</v>
      </c>
      <c r="L3610" s="4" t="s">
        <v>60</v>
      </c>
      <c r="M3610" s="4" t="s">
        <v>6763</v>
      </c>
      <c r="N3610" s="4" t="s">
        <v>6784</v>
      </c>
      <c r="O3610" s="4" t="s">
        <v>63</v>
      </c>
      <c r="P3610" s="4" t="s">
        <v>64</v>
      </c>
    </row>
    <row r="3611">
      <c r="A3611" s="4"/>
      <c r="B3611" s="4"/>
      <c r="C3611" s="4"/>
      <c r="E3611" s="4"/>
      <c r="F3611" s="4"/>
      <c r="G3611" s="4"/>
      <c r="H3611" s="4"/>
      <c r="I3611" s="4"/>
      <c r="J3611" s="4"/>
      <c r="L3611" s="4"/>
      <c r="M3611" s="4"/>
      <c r="O3611" s="4"/>
      <c r="P3611" s="4"/>
    </row>
    <row r="3612">
      <c r="A3612" s="4" t="s">
        <v>6785</v>
      </c>
      <c r="B3612" s="4" t="s">
        <v>6786</v>
      </c>
      <c r="C3612" s="4">
        <v>1.0</v>
      </c>
      <c r="D3612" s="5" t="str">
        <f>HYPERLINK("https://www.linkedin.com/ad-library/detail/1427700153","Open Ad")</f>
        <v>Open Ad</v>
      </c>
      <c r="E3612" s="4" t="s">
        <v>78</v>
      </c>
      <c r="F3612" s="4" t="s">
        <v>6765</v>
      </c>
      <c r="G3612" s="4" t="s">
        <v>6787</v>
      </c>
      <c r="H3612" s="4" t="s">
        <v>49</v>
      </c>
      <c r="I3612" s="4" t="s">
        <v>6768</v>
      </c>
      <c r="J3612" s="4" t="s">
        <v>78</v>
      </c>
      <c r="K3612" s="5" t="str">
        <f>HYPERLINK("https://media.licdn.com/dms/image/v2/D4D10AQG1-tct_Zw-Wg/image-shrink_800/B4DZ6HWRStKIAo-/0/1780387222939/1780386902027jpg?e=2147483647&amp;v=beta&amp;t=hScMaeTVB6uKXrQLAXfwEuzkXLbsaGCsDLe7nAKb3i8","View Creative")</f>
        <v>View Creative</v>
      </c>
      <c r="L3612" s="4" t="s">
        <v>60</v>
      </c>
      <c r="M3612" s="4" t="s">
        <v>6785</v>
      </c>
      <c r="O3612" s="4" t="s">
        <v>63</v>
      </c>
      <c r="P3612" s="4" t="s">
        <v>64</v>
      </c>
    </row>
    <row r="3613">
      <c r="A3613" s="4" t="s">
        <v>6785</v>
      </c>
      <c r="B3613" s="4" t="s">
        <v>6786</v>
      </c>
      <c r="C3613" s="4">
        <v>2.0</v>
      </c>
      <c r="D3613" s="5" t="str">
        <f>HYPERLINK("https://www.linkedin.com/ad-library/detail/1427583033","Open Ad")</f>
        <v>Open Ad</v>
      </c>
      <c r="E3613" s="4" t="s">
        <v>121</v>
      </c>
      <c r="F3613" s="4" t="s">
        <v>6765</v>
      </c>
      <c r="G3613" s="4" t="s">
        <v>6788</v>
      </c>
      <c r="H3613" s="4" t="s">
        <v>49</v>
      </c>
      <c r="I3613" s="4" t="s">
        <v>6768</v>
      </c>
      <c r="J3613" s="4" t="s">
        <v>121</v>
      </c>
      <c r="K3613" s="5" t="str">
        <f>HYPERLINK("https://dms.licdn.com/playlist/vid/v2/D4D10AQHUaJszPV1mZw/mp4-720p-30fp-crf28/B4DZ5jr7m0KUCM-/0/1779788925410/AccuRanker-MCP1mp4?e=2147483647&amp;v=beta&amp;t=MA75odbQRw3Lu9VEtXA3472GXVlAMilALv9N7I1UCNg","View Creative")</f>
        <v>View Creative</v>
      </c>
      <c r="L3613" s="4" t="s">
        <v>60</v>
      </c>
      <c r="M3613" s="4" t="s">
        <v>6785</v>
      </c>
      <c r="N3613" s="4" t="s">
        <v>6789</v>
      </c>
      <c r="O3613" s="4" t="s">
        <v>63</v>
      </c>
      <c r="P3613" s="4" t="s">
        <v>64</v>
      </c>
    </row>
    <row r="3614">
      <c r="A3614" s="4" t="s">
        <v>6785</v>
      </c>
      <c r="B3614" s="4" t="s">
        <v>6786</v>
      </c>
      <c r="C3614" s="4">
        <v>3.0</v>
      </c>
      <c r="D3614" s="5" t="str">
        <f>HYPERLINK("https://www.linkedin.com/ad-library/detail/1269689933","Open Ad")</f>
        <v>Open Ad</v>
      </c>
      <c r="E3614" s="4" t="s">
        <v>78</v>
      </c>
      <c r="F3614" s="4" t="s">
        <v>6765</v>
      </c>
      <c r="G3614" s="4" t="s">
        <v>6790</v>
      </c>
      <c r="H3614" s="4" t="s">
        <v>611</v>
      </c>
      <c r="I3614" s="4" t="s">
        <v>6768</v>
      </c>
      <c r="J3614" s="4" t="s">
        <v>78</v>
      </c>
      <c r="K3614" s="5" t="str">
        <f>HYPERLINK("https://media.licdn.com/dms/image/v2/D4D10AQFEDBVehqhzgw/image-shrink_1280/B4DZ5FnZB8J4Ac-/0/1779284414887/1778678615326jpg?e=2147483647&amp;v=beta&amp;t=izp8hN3_UXYzU1ZY_kqJrfOD4ksiqZf1gbZ1rbeEoq0","View Creative")</f>
        <v>View Creative</v>
      </c>
      <c r="L3614" s="4" t="s">
        <v>60</v>
      </c>
      <c r="M3614" s="4" t="s">
        <v>6785</v>
      </c>
      <c r="O3614" s="4" t="s">
        <v>63</v>
      </c>
      <c r="P3614" s="4" t="s">
        <v>64</v>
      </c>
    </row>
    <row r="3615">
      <c r="A3615" s="4" t="s">
        <v>6785</v>
      </c>
      <c r="B3615" s="4" t="s">
        <v>6786</v>
      </c>
      <c r="C3615" s="4">
        <v>4.0</v>
      </c>
      <c r="D3615" s="5" t="str">
        <f>HYPERLINK("https://www.linkedin.com/ad-library/detail/1427522953","Open Ad")</f>
        <v>Open Ad</v>
      </c>
      <c r="E3615" s="4" t="s">
        <v>121</v>
      </c>
      <c r="F3615" s="4" t="s">
        <v>6765</v>
      </c>
      <c r="G3615" s="4" t="s">
        <v>6791</v>
      </c>
      <c r="H3615" s="4" t="s">
        <v>49</v>
      </c>
      <c r="I3615" s="4" t="s">
        <v>6768</v>
      </c>
      <c r="J3615" s="4" t="s">
        <v>121</v>
      </c>
      <c r="K3615" s="5" t="str">
        <f>HYPERLINK("https://dms.licdn.com/playlist/vid/v2/D4D10AQFNreKiVC6BTg/mp4-360p-30fp-crf28/B4DZ6C9J8jJECM-/0/1780313534024/AccuRankerMCPAPPmp4?e=2147483647&amp;v=beta&amp;t=926wWWZiL64lzHluzaRFLlS_mwMpF3BPUrUwJrSklzI","View Creative")</f>
        <v>View Creative</v>
      </c>
      <c r="L3615" s="4" t="s">
        <v>60</v>
      </c>
      <c r="M3615" s="4" t="s">
        <v>6785</v>
      </c>
      <c r="O3615" s="4" t="s">
        <v>63</v>
      </c>
      <c r="P3615" s="4" t="s">
        <v>64</v>
      </c>
    </row>
    <row r="3616">
      <c r="A3616" s="4" t="s">
        <v>6785</v>
      </c>
      <c r="B3616" s="4" t="s">
        <v>6786</v>
      </c>
      <c r="C3616" s="4">
        <v>5.0</v>
      </c>
      <c r="D3616" s="5" t="str">
        <f>HYPERLINK("https://www.linkedin.com/ad-library/detail/1412451166","Open Ad")</f>
        <v>Open Ad</v>
      </c>
      <c r="E3616" s="4" t="s">
        <v>78</v>
      </c>
      <c r="F3616" s="4" t="s">
        <v>6765</v>
      </c>
      <c r="G3616" s="4" t="s">
        <v>6792</v>
      </c>
      <c r="H3616" s="4" t="s">
        <v>49</v>
      </c>
      <c r="I3616" s="4" t="s">
        <v>6768</v>
      </c>
      <c r="J3616" s="4" t="s">
        <v>78</v>
      </c>
      <c r="K3616" s="5" t="str">
        <f>HYPERLINK("https://media.licdn.com/dms/image/v2/D4E22AQGqkTVV89ncPg/feedshare-image-high-res/B4EZ5FKIamJMAU-/0/1779276744718?e=2147483647&amp;v=beta&amp;t=k8AsS1o81mLtDOk4G0FzQ-tobMPpETs5Pd4OK8KTYl8","View Creative")</f>
        <v>View Creative</v>
      </c>
      <c r="L3616" s="4" t="s">
        <v>60</v>
      </c>
      <c r="M3616" s="4" t="s">
        <v>6785</v>
      </c>
      <c r="O3616" s="4" t="s">
        <v>63</v>
      </c>
      <c r="P3616" s="4" t="s">
        <v>64</v>
      </c>
    </row>
    <row r="3617">
      <c r="A3617" s="4" t="s">
        <v>6785</v>
      </c>
      <c r="B3617" s="4" t="s">
        <v>6786</v>
      </c>
      <c r="C3617" s="4">
        <v>6.0</v>
      </c>
      <c r="D3617" s="5" t="str">
        <f>HYPERLINK("https://www.linkedin.com/ad-library/detail/1274182363","Open Ad")</f>
        <v>Open Ad</v>
      </c>
      <c r="E3617" s="4" t="s">
        <v>78</v>
      </c>
      <c r="F3617" s="4" t="s">
        <v>6765</v>
      </c>
      <c r="G3617" s="4" t="s">
        <v>6793</v>
      </c>
      <c r="H3617" s="4" t="s">
        <v>49</v>
      </c>
      <c r="I3617" s="4" t="s">
        <v>6768</v>
      </c>
      <c r="J3617" s="4" t="s">
        <v>78</v>
      </c>
      <c r="K3617" s="5" t="str">
        <f>HYPERLINK("https://media.licdn.com/dms/image/v2/D4E22AQGyzvhyn1TF5w/feedshare-shrink_1280/B4EZ5LjppiIIAM-/0/1779384098363?e=2147483647&amp;v=beta&amp;t=l5SIVXp5BVEw3TLeGX7-__xQCJdaYu31osA3enuF_Qk","View Creative")</f>
        <v>View Creative</v>
      </c>
      <c r="L3617" s="4" t="s">
        <v>60</v>
      </c>
      <c r="M3617" s="4" t="s">
        <v>6785</v>
      </c>
      <c r="N3617" s="4" t="s">
        <v>6794</v>
      </c>
      <c r="O3617" s="4" t="s">
        <v>63</v>
      </c>
      <c r="P3617" s="4" t="s">
        <v>64</v>
      </c>
    </row>
    <row r="3618">
      <c r="A3618" s="4" t="s">
        <v>6785</v>
      </c>
      <c r="B3618" s="4" t="s">
        <v>6786</v>
      </c>
      <c r="C3618" s="4">
        <v>7.0</v>
      </c>
      <c r="D3618" s="5" t="str">
        <f>HYPERLINK("https://www.linkedin.com/ad-library/detail/1427499553","Open Ad")</f>
        <v>Open Ad</v>
      </c>
      <c r="E3618" s="4" t="s">
        <v>78</v>
      </c>
      <c r="F3618" s="4" t="s">
        <v>6765</v>
      </c>
      <c r="G3618" s="4" t="s">
        <v>6787</v>
      </c>
      <c r="H3618" s="4" t="s">
        <v>49</v>
      </c>
      <c r="I3618" s="4" t="s">
        <v>6768</v>
      </c>
      <c r="J3618" s="4" t="s">
        <v>78</v>
      </c>
      <c r="K3618" s="5" t="str">
        <f>HYPERLINK("https://media.licdn.com/dms/image/v2/D4D10AQG1-tct_Zw-Wg/image-shrink_800/B4DZ6HWRStKIAo-/0/1780387222939/1780386902027jpg?e=2147483647&amp;v=beta&amp;t=hScMaeTVB6uKXrQLAXfwEuzkXLbsaGCsDLe7nAKb3i8","View Creative")</f>
        <v>View Creative</v>
      </c>
      <c r="L3618" s="4" t="s">
        <v>60</v>
      </c>
      <c r="M3618" s="4" t="s">
        <v>6785</v>
      </c>
      <c r="N3618" s="4" t="s">
        <v>6795</v>
      </c>
      <c r="O3618" s="4" t="s">
        <v>63</v>
      </c>
      <c r="P3618" s="4" t="s">
        <v>64</v>
      </c>
    </row>
    <row r="3619">
      <c r="A3619" s="4" t="s">
        <v>6785</v>
      </c>
      <c r="B3619" s="4" t="s">
        <v>6786</v>
      </c>
      <c r="C3619" s="4">
        <v>8.0</v>
      </c>
      <c r="D3619" s="5" t="str">
        <f>HYPERLINK("https://www.linkedin.com/ad-library/detail/1265183463","Open Ad")</f>
        <v>Open Ad</v>
      </c>
      <c r="E3619" s="4" t="s">
        <v>78</v>
      </c>
      <c r="F3619" s="4" t="s">
        <v>6765</v>
      </c>
      <c r="G3619" s="4" t="s">
        <v>6796</v>
      </c>
      <c r="H3619" s="4" t="s">
        <v>49</v>
      </c>
      <c r="I3619" s="4" t="s">
        <v>6768</v>
      </c>
      <c r="J3619" s="4" t="s">
        <v>78</v>
      </c>
      <c r="K3619" s="5" t="str">
        <f>HYPERLINK("https://media.licdn.com/dms/image/v2/D4D10AQHDSonil-CMOQ/image-shrink_1280/B4DZ4hKhcCG4Ac-/0/1778672867358/Frame427319755png?e=2147483647&amp;v=beta&amp;t=fHmCiyG9_ALIUJP9LRbKvPXgcZZNbpIw4-gEvkP8QrE","View Creative")</f>
        <v>View Creative</v>
      </c>
      <c r="L3619" s="4" t="s">
        <v>60</v>
      </c>
      <c r="M3619" s="4" t="s">
        <v>6785</v>
      </c>
      <c r="N3619" s="4" t="s">
        <v>6797</v>
      </c>
      <c r="O3619" s="4" t="s">
        <v>63</v>
      </c>
      <c r="P3619" s="4" t="s">
        <v>64</v>
      </c>
    </row>
    <row r="3620">
      <c r="A3620" s="4" t="s">
        <v>6785</v>
      </c>
      <c r="B3620" s="4" t="s">
        <v>6786</v>
      </c>
      <c r="C3620" s="4">
        <v>9.0</v>
      </c>
      <c r="D3620" s="5" t="str">
        <f>HYPERLINK("https://www.linkedin.com/ad-library/detail/1427429763","Open Ad")</f>
        <v>Open Ad</v>
      </c>
      <c r="E3620" s="4" t="s">
        <v>78</v>
      </c>
      <c r="F3620" s="4" t="s">
        <v>6765</v>
      </c>
      <c r="G3620" s="4" t="s">
        <v>6787</v>
      </c>
      <c r="H3620" s="4" t="s">
        <v>49</v>
      </c>
      <c r="I3620" s="4" t="s">
        <v>6768</v>
      </c>
      <c r="J3620" s="4" t="s">
        <v>78</v>
      </c>
      <c r="K3620" s="5" t="str">
        <f>HYPERLINK("https://media.licdn.com/dms/image/v2/D4D10AQG1-tct_Zw-Wg/image-shrink_800/B4DZ6HWRStKIAo-/0/1780387222939/1780386902027jpg?e=2147483647&amp;v=beta&amp;t=hScMaeTVB6uKXrQLAXfwEuzkXLbsaGCsDLe7nAKb3i8","View Creative")</f>
        <v>View Creative</v>
      </c>
      <c r="L3620" s="4" t="s">
        <v>60</v>
      </c>
      <c r="M3620" s="4" t="s">
        <v>6785</v>
      </c>
      <c r="O3620" s="4" t="s">
        <v>63</v>
      </c>
      <c r="P3620" s="4" t="s">
        <v>64</v>
      </c>
    </row>
    <row r="3621">
      <c r="A3621" s="4" t="s">
        <v>6785</v>
      </c>
      <c r="B3621" s="4" t="s">
        <v>6786</v>
      </c>
      <c r="C3621" s="4">
        <v>10.0</v>
      </c>
      <c r="D3621" s="5" t="str">
        <f>HYPERLINK("https://www.linkedin.com/ad-library/detail/1300283703","Open Ad")</f>
        <v>Open Ad</v>
      </c>
      <c r="E3621" s="4" t="s">
        <v>121</v>
      </c>
      <c r="F3621" s="4" t="s">
        <v>6765</v>
      </c>
      <c r="G3621" s="4" t="s">
        <v>6788</v>
      </c>
      <c r="H3621" s="4" t="s">
        <v>49</v>
      </c>
      <c r="I3621" s="4" t="s">
        <v>6768</v>
      </c>
      <c r="J3621" s="4" t="s">
        <v>121</v>
      </c>
      <c r="K3621" s="5" t="str">
        <f t="shared" ref="K3621:K3623" si="191">HYPERLINK("https://dms.licdn.com/playlist/vid/v2/D4D10AQHUaJszPV1mZw/mp4-720p-30fp-crf28/B4DZ5jr7m0KUCM-/0/1779788925410/AccuRanker-MCP1mp4?e=2147483647&amp;v=beta&amp;t=MA75odbQRw3Lu9VEtXA3472GXVlAMilALv9N7I1UCNg","View Creative")</f>
        <v>View Creative</v>
      </c>
      <c r="L3621" s="4" t="s">
        <v>60</v>
      </c>
      <c r="M3621" s="4" t="s">
        <v>6785</v>
      </c>
      <c r="N3621" s="4" t="s">
        <v>6798</v>
      </c>
      <c r="O3621" s="4" t="s">
        <v>63</v>
      </c>
      <c r="P3621" s="4" t="s">
        <v>64</v>
      </c>
    </row>
    <row r="3622">
      <c r="A3622" s="4" t="s">
        <v>6785</v>
      </c>
      <c r="B3622" s="4" t="s">
        <v>6786</v>
      </c>
      <c r="C3622" s="4">
        <v>11.0</v>
      </c>
      <c r="D3622" s="5" t="str">
        <f>HYPERLINK("https://www.linkedin.com/ad-library/detail/1427592663","Open Ad")</f>
        <v>Open Ad</v>
      </c>
      <c r="E3622" s="4" t="s">
        <v>121</v>
      </c>
      <c r="F3622" s="4" t="s">
        <v>6765</v>
      </c>
      <c r="G3622" s="4" t="s">
        <v>6799</v>
      </c>
      <c r="H3622" s="4" t="s">
        <v>49</v>
      </c>
      <c r="I3622" s="4" t="s">
        <v>6768</v>
      </c>
      <c r="J3622" s="4" t="s">
        <v>121</v>
      </c>
      <c r="K3622" s="5" t="str">
        <f t="shared" si="191"/>
        <v>View Creative</v>
      </c>
      <c r="L3622" s="4" t="s">
        <v>60</v>
      </c>
      <c r="M3622" s="4" t="s">
        <v>6785</v>
      </c>
      <c r="N3622" s="4" t="s">
        <v>6800</v>
      </c>
      <c r="O3622" s="4" t="s">
        <v>63</v>
      </c>
      <c r="P3622" s="4" t="s">
        <v>64</v>
      </c>
    </row>
    <row r="3623">
      <c r="A3623" s="4" t="s">
        <v>6785</v>
      </c>
      <c r="B3623" s="4" t="s">
        <v>6786</v>
      </c>
      <c r="C3623" s="4">
        <v>12.0</v>
      </c>
      <c r="D3623" s="5" t="str">
        <f>HYPERLINK("https://www.linkedin.com/ad-library/detail/1273385403","Open Ad")</f>
        <v>Open Ad</v>
      </c>
      <c r="E3623" s="4" t="s">
        <v>121</v>
      </c>
      <c r="F3623" s="4" t="s">
        <v>6765</v>
      </c>
      <c r="G3623" s="4" t="s">
        <v>6799</v>
      </c>
      <c r="H3623" s="4" t="s">
        <v>49</v>
      </c>
      <c r="I3623" s="4" t="s">
        <v>6768</v>
      </c>
      <c r="J3623" s="4" t="s">
        <v>121</v>
      </c>
      <c r="K3623" s="5" t="str">
        <f t="shared" si="191"/>
        <v>View Creative</v>
      </c>
      <c r="L3623" s="4" t="s">
        <v>60</v>
      </c>
      <c r="M3623" s="4" t="s">
        <v>6785</v>
      </c>
      <c r="O3623" s="4" t="s">
        <v>63</v>
      </c>
      <c r="P3623" s="4" t="s">
        <v>64</v>
      </c>
    </row>
    <row r="3624">
      <c r="A3624" s="4" t="s">
        <v>6785</v>
      </c>
      <c r="B3624" s="4" t="s">
        <v>6786</v>
      </c>
      <c r="C3624" s="4">
        <v>13.0</v>
      </c>
      <c r="D3624" s="5" t="str">
        <f>HYPERLINK("https://www.linkedin.com/ad-library/detail/1264683563","Open Ad")</f>
        <v>Open Ad</v>
      </c>
      <c r="E3624" s="4" t="s">
        <v>78</v>
      </c>
      <c r="F3624" s="4" t="s">
        <v>6765</v>
      </c>
      <c r="G3624" s="4" t="s">
        <v>6796</v>
      </c>
      <c r="H3624" s="4" t="s">
        <v>49</v>
      </c>
      <c r="I3624" s="4" t="s">
        <v>6768</v>
      </c>
      <c r="J3624" s="4" t="s">
        <v>78</v>
      </c>
      <c r="K3624" s="5" t="str">
        <f>HYPERLINK("https://media.licdn.com/dms/image/v2/D4D10AQH4OVwnfBO8Ig/image-shrink_1280/B4DZ4hLPytJcAc-/0/1778673057227/Frame427319755png?e=2147483647&amp;v=beta&amp;t=1LHhb_C-uE4VqQ9Zt0dFRK61X5PqrQhMG4GWSLP6SFw","View Creative")</f>
        <v>View Creative</v>
      </c>
      <c r="L3624" s="4" t="s">
        <v>60</v>
      </c>
      <c r="M3624" s="4" t="s">
        <v>6785</v>
      </c>
      <c r="N3624" s="4" t="s">
        <v>6801</v>
      </c>
      <c r="O3624" s="4" t="s">
        <v>63</v>
      </c>
      <c r="P3624" s="4" t="s">
        <v>64</v>
      </c>
    </row>
    <row r="3625">
      <c r="A3625" s="4" t="s">
        <v>6785</v>
      </c>
      <c r="B3625" s="4" t="s">
        <v>6786</v>
      </c>
      <c r="C3625" s="4">
        <v>14.0</v>
      </c>
      <c r="D3625" s="5" t="str">
        <f>HYPERLINK("https://www.linkedin.com/ad-library/detail/1412423756","Open Ad")</f>
        <v>Open Ad</v>
      </c>
      <c r="E3625" s="4" t="s">
        <v>78</v>
      </c>
      <c r="F3625" s="4" t="s">
        <v>6765</v>
      </c>
      <c r="G3625" s="4" t="s">
        <v>6792</v>
      </c>
      <c r="H3625" s="4" t="s">
        <v>49</v>
      </c>
      <c r="I3625" s="4" t="s">
        <v>6768</v>
      </c>
      <c r="J3625" s="4" t="s">
        <v>78</v>
      </c>
      <c r="K3625" s="5" t="str">
        <f>HYPERLINK("https://media.licdn.com/dms/image/v2/D4E22AQGqkTVV89ncPg/feedshare-image-high-res/B4EZ5FKIamJMAU-/0/1779276744718?e=2147483647&amp;v=beta&amp;t=k8AsS1o81mLtDOk4G0FzQ-tobMPpETs5Pd4OK8KTYl8","View Creative")</f>
        <v>View Creative</v>
      </c>
      <c r="L3625" s="4" t="s">
        <v>60</v>
      </c>
      <c r="M3625" s="4" t="s">
        <v>6785</v>
      </c>
      <c r="O3625" s="4" t="s">
        <v>63</v>
      </c>
      <c r="P3625" s="4" t="s">
        <v>64</v>
      </c>
    </row>
    <row r="3626">
      <c r="A3626" s="4" t="s">
        <v>6785</v>
      </c>
      <c r="B3626" s="4" t="s">
        <v>6786</v>
      </c>
      <c r="C3626" s="4">
        <v>15.0</v>
      </c>
      <c r="D3626" s="5" t="str">
        <f>HYPERLINK("https://www.linkedin.com/ad-library/detail/1427492783","Open Ad")</f>
        <v>Open Ad</v>
      </c>
      <c r="E3626" s="4" t="s">
        <v>121</v>
      </c>
      <c r="F3626" s="4" t="s">
        <v>6765</v>
      </c>
      <c r="G3626" s="4" t="s">
        <v>6791</v>
      </c>
      <c r="H3626" s="4" t="s">
        <v>49</v>
      </c>
      <c r="I3626" s="4" t="s">
        <v>6768</v>
      </c>
      <c r="J3626" s="4" t="s">
        <v>121</v>
      </c>
      <c r="K3626" s="5" t="str">
        <f>HYPERLINK("https://dms.licdn.com/playlist/vid/v2/D4D10AQFNreKiVC6BTg/mp4-360p-30fp-crf28/B4DZ6C9J8jJECM-/0/1780313534024/AccuRankerMCPAPPmp4?e=2147483647&amp;v=beta&amp;t=926wWWZiL64lzHluzaRFLlS_mwMpF3BPUrUwJrSklzI","View Creative")</f>
        <v>View Creative</v>
      </c>
      <c r="L3626" s="4" t="s">
        <v>60</v>
      </c>
      <c r="M3626" s="4" t="s">
        <v>6785</v>
      </c>
      <c r="N3626" s="4" t="s">
        <v>6800</v>
      </c>
      <c r="O3626" s="4" t="s">
        <v>63</v>
      </c>
      <c r="P3626" s="4" t="s">
        <v>64</v>
      </c>
    </row>
    <row r="3627">
      <c r="A3627" s="4" t="s">
        <v>6785</v>
      </c>
      <c r="B3627" s="4" t="s">
        <v>6786</v>
      </c>
      <c r="C3627" s="4">
        <v>16.0</v>
      </c>
      <c r="D3627" s="5" t="str">
        <f>HYPERLINK("https://www.linkedin.com/ad-library/detail/1427720123","Open Ad")</f>
        <v>Open Ad</v>
      </c>
      <c r="E3627" s="4" t="s">
        <v>78</v>
      </c>
      <c r="F3627" s="4" t="s">
        <v>6765</v>
      </c>
      <c r="G3627" s="4" t="s">
        <v>6787</v>
      </c>
      <c r="H3627" s="4" t="s">
        <v>49</v>
      </c>
      <c r="I3627" s="4" t="s">
        <v>6768</v>
      </c>
      <c r="J3627" s="4" t="s">
        <v>78</v>
      </c>
      <c r="K3627" s="5" t="str">
        <f>HYPERLINK("https://media.licdn.com/dms/image/v2/D4D10AQG1-tct_Zw-Wg/image-shrink_800/B4DZ6HWRStKIAo-/0/1780387222939/1780386902027jpg?e=2147483647&amp;v=beta&amp;t=hScMaeTVB6uKXrQLAXfwEuzkXLbsaGCsDLe7nAKb3i8","View Creative")</f>
        <v>View Creative</v>
      </c>
      <c r="L3627" s="4" t="s">
        <v>60</v>
      </c>
      <c r="M3627" s="4" t="s">
        <v>6785</v>
      </c>
      <c r="N3627" s="4" t="s">
        <v>6795</v>
      </c>
      <c r="O3627" s="4" t="s">
        <v>63</v>
      </c>
      <c r="P3627" s="4" t="s">
        <v>64</v>
      </c>
    </row>
    <row r="3628">
      <c r="A3628" s="4" t="s">
        <v>6785</v>
      </c>
      <c r="B3628" s="4" t="s">
        <v>6786</v>
      </c>
      <c r="C3628" s="4">
        <v>17.0</v>
      </c>
      <c r="D3628" s="5" t="str">
        <f>HYPERLINK("https://www.linkedin.com/ad-library/detail/1427552853","Open Ad")</f>
        <v>Open Ad</v>
      </c>
      <c r="E3628" s="4" t="s">
        <v>121</v>
      </c>
      <c r="F3628" s="4" t="s">
        <v>6765</v>
      </c>
      <c r="G3628" s="4" t="s">
        <v>6799</v>
      </c>
      <c r="H3628" s="4" t="s">
        <v>49</v>
      </c>
      <c r="I3628" s="4" t="s">
        <v>6768</v>
      </c>
      <c r="J3628" s="4" t="s">
        <v>121</v>
      </c>
      <c r="K3628" s="5" t="str">
        <f>HYPERLINK("https://dms.licdn.com/playlist/vid/v2/D4D10AQHUaJszPV1mZw/mp4-720p-30fp-crf28/B4DZ5jr7m0KUCM-/0/1779788925410/AccuRanker-MCP1mp4?e=2147483647&amp;v=beta&amp;t=MA75odbQRw3Lu9VEtXA3472GXVlAMilALv9N7I1UCNg","View Creative")</f>
        <v>View Creative</v>
      </c>
      <c r="L3628" s="4" t="s">
        <v>60</v>
      </c>
      <c r="M3628" s="4" t="s">
        <v>6785</v>
      </c>
      <c r="O3628" s="4" t="s">
        <v>63</v>
      </c>
      <c r="P3628" s="4" t="s">
        <v>64</v>
      </c>
    </row>
    <row r="3629">
      <c r="A3629" s="4" t="s">
        <v>6785</v>
      </c>
      <c r="B3629" s="4" t="s">
        <v>6786</v>
      </c>
      <c r="C3629" s="4">
        <v>18.0</v>
      </c>
      <c r="D3629" s="5" t="str">
        <f>HYPERLINK("https://www.linkedin.com/ad-library/detail/1267501333","Open Ad")</f>
        <v>Open Ad</v>
      </c>
      <c r="E3629" s="4" t="s">
        <v>78</v>
      </c>
      <c r="F3629" s="4" t="s">
        <v>6765</v>
      </c>
      <c r="G3629" s="4" t="s">
        <v>6790</v>
      </c>
      <c r="H3629" s="4" t="s">
        <v>611</v>
      </c>
      <c r="I3629" s="4" t="s">
        <v>6768</v>
      </c>
      <c r="J3629" s="4" t="s">
        <v>78</v>
      </c>
      <c r="K3629" s="5" t="str">
        <f>HYPERLINK("https://media.licdn.com/dms/image/v2/D4D10AQFEDBVehqhzgw/image-shrink_1280/B4DZ5FnZB8J4Ac-/0/1779284414887/1778678615326jpg?e=2147483647&amp;v=beta&amp;t=izp8hN3_UXYzU1ZY_kqJrfOD4ksiqZf1gbZ1rbeEoq0","View Creative")</f>
        <v>View Creative</v>
      </c>
      <c r="L3629" s="4" t="s">
        <v>60</v>
      </c>
      <c r="M3629" s="4" t="s">
        <v>6785</v>
      </c>
      <c r="N3629" s="4" t="s">
        <v>6802</v>
      </c>
      <c r="O3629" s="4" t="s">
        <v>63</v>
      </c>
      <c r="P3629" s="4" t="s">
        <v>64</v>
      </c>
    </row>
    <row r="3630">
      <c r="A3630" s="4" t="s">
        <v>6785</v>
      </c>
      <c r="B3630" s="4" t="s">
        <v>6786</v>
      </c>
      <c r="C3630" s="4">
        <v>19.0</v>
      </c>
      <c r="D3630" s="5" t="str">
        <f>HYPERLINK("https://www.linkedin.com/ad-library/detail/1427552843","Open Ad")</f>
        <v>Open Ad</v>
      </c>
      <c r="E3630" s="4" t="s">
        <v>121</v>
      </c>
      <c r="F3630" s="4" t="s">
        <v>6765</v>
      </c>
      <c r="G3630" s="4" t="s">
        <v>6791</v>
      </c>
      <c r="H3630" s="4" t="s">
        <v>49</v>
      </c>
      <c r="I3630" s="4" t="s">
        <v>6768</v>
      </c>
      <c r="J3630" s="4" t="s">
        <v>121</v>
      </c>
      <c r="K3630" s="5" t="str">
        <f>HYPERLINK("https://dms.licdn.com/playlist/vid/v2/D4D10AQFNreKiVC6BTg/mp4-360p-30fp-crf28/B4DZ6C9J8jJECM-/0/1780313534024/AccuRankerMCPAPPmp4?e=2147483647&amp;v=beta&amp;t=926wWWZiL64lzHluzaRFLlS_mwMpF3BPUrUwJrSklzI","View Creative")</f>
        <v>View Creative</v>
      </c>
      <c r="L3630" s="4" t="s">
        <v>60</v>
      </c>
      <c r="M3630" s="4" t="s">
        <v>6785</v>
      </c>
      <c r="O3630" s="4" t="s">
        <v>63</v>
      </c>
      <c r="P3630" s="4" t="s">
        <v>64</v>
      </c>
    </row>
    <row r="3631">
      <c r="A3631" s="4" t="s">
        <v>6785</v>
      </c>
      <c r="B3631" s="4" t="s">
        <v>6786</v>
      </c>
      <c r="C3631" s="4">
        <v>20.0</v>
      </c>
      <c r="D3631" s="5" t="str">
        <f>HYPERLINK("https://www.linkedin.com/ad-library/detail/1300183543","Open Ad")</f>
        <v>Open Ad</v>
      </c>
      <c r="E3631" s="4" t="s">
        <v>121</v>
      </c>
      <c r="F3631" s="4" t="s">
        <v>6765</v>
      </c>
      <c r="G3631" s="4" t="s">
        <v>6799</v>
      </c>
      <c r="H3631" s="4" t="s">
        <v>49</v>
      </c>
      <c r="I3631" s="4" t="s">
        <v>6768</v>
      </c>
      <c r="J3631" s="4" t="s">
        <v>121</v>
      </c>
      <c r="K3631" s="5" t="str">
        <f>HYPERLINK("https://dms.licdn.com/playlist/vid/v2/D4D10AQHUaJszPV1mZw/mp4-720p-30fp-crf28/B4DZ5jr7m0KUCM-/0/1779788925410/AccuRanker-MCP1mp4?e=2147483647&amp;v=beta&amp;t=MA75odbQRw3Lu9VEtXA3472GXVlAMilALv9N7I1UCNg","View Creative")</f>
        <v>View Creative</v>
      </c>
      <c r="L3631" s="4" t="s">
        <v>60</v>
      </c>
      <c r="M3631" s="4" t="s">
        <v>6785</v>
      </c>
      <c r="N3631" s="4" t="s">
        <v>6803</v>
      </c>
      <c r="O3631" s="4" t="s">
        <v>63</v>
      </c>
      <c r="P3631" s="4" t="s">
        <v>64</v>
      </c>
    </row>
    <row r="3632">
      <c r="A3632" s="4" t="s">
        <v>6785</v>
      </c>
      <c r="B3632" s="4" t="s">
        <v>6786</v>
      </c>
      <c r="C3632" s="4">
        <v>21.0</v>
      </c>
      <c r="D3632" s="5" t="str">
        <f>HYPERLINK("https://www.linkedin.com/ad-library/detail/1273782583","Open Ad")</f>
        <v>Open Ad</v>
      </c>
      <c r="E3632" s="4" t="s">
        <v>78</v>
      </c>
      <c r="F3632" s="4" t="s">
        <v>6765</v>
      </c>
      <c r="G3632" s="4" t="s">
        <v>6793</v>
      </c>
      <c r="H3632" s="4" t="s">
        <v>49</v>
      </c>
      <c r="I3632" s="4" t="s">
        <v>6768</v>
      </c>
      <c r="J3632" s="4" t="s">
        <v>78</v>
      </c>
      <c r="K3632" s="5" t="str">
        <f>HYPERLINK("https://media.licdn.com/dms/image/v2/D4E22AQGyzvhyn1TF5w/feedshare-shrink_1280/B4EZ5LjppiIIAM-/0/1779384098363?e=2147483647&amp;v=beta&amp;t=l5SIVXp5BVEw3TLeGX7-__xQCJdaYu31osA3enuF_Qk","View Creative")</f>
        <v>View Creative</v>
      </c>
      <c r="L3632" s="4" t="s">
        <v>60</v>
      </c>
      <c r="M3632" s="4" t="s">
        <v>6785</v>
      </c>
      <c r="O3632" s="4" t="s">
        <v>63</v>
      </c>
      <c r="P3632" s="4" t="s">
        <v>64</v>
      </c>
    </row>
    <row r="3633">
      <c r="A3633" s="4" t="s">
        <v>6785</v>
      </c>
      <c r="B3633" s="4" t="s">
        <v>6786</v>
      </c>
      <c r="C3633" s="4">
        <v>22.0</v>
      </c>
      <c r="D3633" s="5" t="str">
        <f>HYPERLINK("https://www.linkedin.com/ad-library/detail/1412345736","Open Ad")</f>
        <v>Open Ad</v>
      </c>
      <c r="E3633" s="4" t="s">
        <v>78</v>
      </c>
      <c r="F3633" s="4" t="s">
        <v>6765</v>
      </c>
      <c r="G3633" s="4" t="s">
        <v>6792</v>
      </c>
      <c r="H3633" s="4" t="s">
        <v>49</v>
      </c>
      <c r="I3633" s="4" t="s">
        <v>6768</v>
      </c>
      <c r="J3633" s="4" t="s">
        <v>78</v>
      </c>
      <c r="K3633" s="5" t="str">
        <f>HYPERLINK("https://media.licdn.com/dms/image/v2/D4E22AQGqkTVV89ncPg/feedshare-image-high-res/B4EZ5FKIamJMAU-/0/1779276744718?e=2147483647&amp;v=beta&amp;t=k8AsS1o81mLtDOk4G0FzQ-tobMPpETs5Pd4OK8KTYl8","View Creative")</f>
        <v>View Creative</v>
      </c>
      <c r="L3633" s="4" t="s">
        <v>60</v>
      </c>
      <c r="M3633" s="4" t="s">
        <v>6785</v>
      </c>
      <c r="N3633" s="4" t="s">
        <v>6804</v>
      </c>
      <c r="O3633" s="4" t="s">
        <v>63</v>
      </c>
      <c r="P3633" s="4" t="s">
        <v>64</v>
      </c>
    </row>
    <row r="3634">
      <c r="A3634" s="4" t="s">
        <v>6785</v>
      </c>
      <c r="B3634" s="4" t="s">
        <v>6786</v>
      </c>
      <c r="C3634" s="4">
        <v>23.0</v>
      </c>
      <c r="D3634" s="5" t="str">
        <f>HYPERLINK("https://www.linkedin.com/ad-library/detail/1274085503","Open Ad")</f>
        <v>Open Ad</v>
      </c>
      <c r="E3634" s="4" t="s">
        <v>121</v>
      </c>
      <c r="F3634" s="4" t="s">
        <v>6765</v>
      </c>
      <c r="G3634" s="4" t="s">
        <v>6788</v>
      </c>
      <c r="H3634" s="4" t="s">
        <v>49</v>
      </c>
      <c r="I3634" s="4" t="s">
        <v>6768</v>
      </c>
      <c r="J3634" s="4" t="s">
        <v>121</v>
      </c>
      <c r="K3634" s="5" t="str">
        <f>HYPERLINK("https://dms.licdn.com/playlist/vid/v2/D4D10AQHUaJszPV1mZw/mp4-720p-30fp-crf28/B4DZ5jr7m0KUCM-/0/1779788925410/AccuRanker-MCP1mp4?e=2147483647&amp;v=beta&amp;t=MA75odbQRw3Lu9VEtXA3472GXVlAMilALv9N7I1UCNg","View Creative")</f>
        <v>View Creative</v>
      </c>
      <c r="L3634" s="4" t="s">
        <v>60</v>
      </c>
      <c r="M3634" s="4" t="s">
        <v>6785</v>
      </c>
      <c r="O3634" s="4" t="s">
        <v>63</v>
      </c>
      <c r="P3634" s="4" t="s">
        <v>64</v>
      </c>
    </row>
    <row r="3635">
      <c r="A3635" s="4" t="s">
        <v>6785</v>
      </c>
      <c r="B3635" s="4" t="s">
        <v>6786</v>
      </c>
      <c r="C3635" s="4">
        <v>24.0</v>
      </c>
      <c r="D3635" s="5" t="str">
        <f>HYPERLINK("https://www.linkedin.com/ad-library/detail/1427562783","Open Ad")</f>
        <v>Open Ad</v>
      </c>
      <c r="E3635" s="4" t="s">
        <v>121</v>
      </c>
      <c r="F3635" s="4" t="s">
        <v>6765</v>
      </c>
      <c r="G3635" s="4" t="s">
        <v>6791</v>
      </c>
      <c r="H3635" s="4" t="s">
        <v>49</v>
      </c>
      <c r="I3635" s="4" t="s">
        <v>6768</v>
      </c>
      <c r="J3635" s="4" t="s">
        <v>121</v>
      </c>
      <c r="K3635" s="5" t="str">
        <f>HYPERLINK("https://dms.licdn.com/playlist/vid/v2/D4D10AQFNreKiVC6BTg/mp4-360p-30fp-crf28/B4DZ6C9J8jJECM-/0/1780313534024/AccuRankerMCPAPPmp4?e=2147483647&amp;v=beta&amp;t=926wWWZiL64lzHluzaRFLlS_mwMpF3BPUrUwJrSklzI","View Creative")</f>
        <v>View Creative</v>
      </c>
      <c r="L3635" s="4" t="s">
        <v>60</v>
      </c>
      <c r="M3635" s="4" t="s">
        <v>6785</v>
      </c>
      <c r="N3635" s="4" t="s">
        <v>6795</v>
      </c>
      <c r="O3635" s="4" t="s">
        <v>63</v>
      </c>
      <c r="P3635" s="4" t="s">
        <v>64</v>
      </c>
    </row>
    <row r="3636">
      <c r="A3636" s="4" t="s">
        <v>6785</v>
      </c>
      <c r="B3636" s="4" t="s">
        <v>6786</v>
      </c>
      <c r="C3636" s="4">
        <v>25.0</v>
      </c>
      <c r="D3636" s="5" t="str">
        <f>HYPERLINK("https://www.linkedin.com/ad-library/detail/1263982373","Open Ad")</f>
        <v>Open Ad</v>
      </c>
      <c r="E3636" s="4" t="s">
        <v>78</v>
      </c>
      <c r="F3636" s="4" t="s">
        <v>6765</v>
      </c>
      <c r="G3636" s="4" t="s">
        <v>6805</v>
      </c>
      <c r="H3636" s="4" t="s">
        <v>49</v>
      </c>
      <c r="I3636" s="4" t="s">
        <v>6768</v>
      </c>
      <c r="J3636" s="4" t="s">
        <v>78</v>
      </c>
      <c r="K3636" s="5" t="str">
        <f>HYPERLINK("https://media.licdn.com/dms/image/v2/D4D10AQG5I77OVeGq6w/image-shrink_1280/B4DZ4gstRVHAAk-/0/1778665051505/Frame427319753png?e=2147483647&amp;v=beta&amp;t=fFJ_Cpq-NmaLNhXmOLCUwyUbG-gt1S3raR1I-BCqqso","View Creative")</f>
        <v>View Creative</v>
      </c>
      <c r="L3636" s="4" t="s">
        <v>60</v>
      </c>
      <c r="M3636" s="4" t="s">
        <v>6785</v>
      </c>
      <c r="O3636" s="4" t="s">
        <v>63</v>
      </c>
      <c r="P3636" s="4" t="s">
        <v>64</v>
      </c>
    </row>
    <row r="3637">
      <c r="A3637" s="4" t="s">
        <v>6785</v>
      </c>
      <c r="B3637" s="4" t="s">
        <v>6786</v>
      </c>
      <c r="C3637" s="4">
        <v>26.0</v>
      </c>
      <c r="D3637" s="5" t="str">
        <f>HYPERLINK("https://www.linkedin.com/ad-library/detail/1264683553","Open Ad")</f>
        <v>Open Ad</v>
      </c>
      <c r="E3637" s="4" t="s">
        <v>78</v>
      </c>
      <c r="F3637" s="4" t="s">
        <v>6765</v>
      </c>
      <c r="G3637" s="4" t="s">
        <v>6796</v>
      </c>
      <c r="H3637" s="4" t="s">
        <v>49</v>
      </c>
      <c r="I3637" s="4" t="s">
        <v>6768</v>
      </c>
      <c r="J3637" s="4" t="s">
        <v>78</v>
      </c>
      <c r="K3637" s="5" t="str">
        <f>HYPERLINK("https://media.licdn.com/dms/image/v2/D4D10AQHDSonil-CMOQ/image-shrink_1280/B4DZ4hKhcCG4Ac-/0/1778672867358/Frame427319755png?e=2147483647&amp;v=beta&amp;t=fHmCiyG9_ALIUJP9LRbKvPXgcZZNbpIw4-gEvkP8QrE","View Creative")</f>
        <v>View Creative</v>
      </c>
      <c r="L3637" s="4" t="s">
        <v>60</v>
      </c>
      <c r="M3637" s="4" t="s">
        <v>6785</v>
      </c>
      <c r="O3637" s="4" t="s">
        <v>63</v>
      </c>
      <c r="P3637" s="4" t="s">
        <v>64</v>
      </c>
    </row>
    <row r="3638">
      <c r="A3638" s="4" t="s">
        <v>6785</v>
      </c>
      <c r="B3638" s="4" t="s">
        <v>6786</v>
      </c>
      <c r="C3638" s="4">
        <v>27.0</v>
      </c>
      <c r="D3638" s="5" t="str">
        <f>HYPERLINK("https://www.linkedin.com/ad-library/detail/1265082743","Open Ad")</f>
        <v>Open Ad</v>
      </c>
      <c r="E3638" s="4" t="s">
        <v>78</v>
      </c>
      <c r="F3638" s="4" t="s">
        <v>6765</v>
      </c>
      <c r="G3638" s="4" t="s">
        <v>6805</v>
      </c>
      <c r="H3638" s="4" t="s">
        <v>49</v>
      </c>
      <c r="I3638" s="4" t="s">
        <v>6768</v>
      </c>
      <c r="J3638" s="4" t="s">
        <v>78</v>
      </c>
      <c r="K3638" s="5" t="str">
        <f t="shared" ref="K3638:K3639" si="192">HYPERLINK("https://media.licdn.com/dms/image/v2/D4D10AQH9dqO8PZT4CA/image-shrink_1280/B4DZ4g7JtCJYAg-/0/1778668838036/CTRad3png?e=2147483647&amp;v=beta&amp;t=OeEcchUkPJoGU9rWjGsnunztm5C6iONuHJwDaUp1Ng8","View Creative")</f>
        <v>View Creative</v>
      </c>
      <c r="L3638" s="4" t="s">
        <v>60</v>
      </c>
      <c r="M3638" s="4" t="s">
        <v>6785</v>
      </c>
      <c r="O3638" s="4" t="s">
        <v>63</v>
      </c>
      <c r="P3638" s="4" t="s">
        <v>64</v>
      </c>
    </row>
    <row r="3639">
      <c r="A3639" s="4" t="s">
        <v>6785</v>
      </c>
      <c r="B3639" s="4" t="s">
        <v>6786</v>
      </c>
      <c r="C3639" s="4">
        <v>28.0</v>
      </c>
      <c r="D3639" s="5" t="str">
        <f>HYPERLINK("https://www.linkedin.com/ad-library/detail/1264082673","Open Ad")</f>
        <v>Open Ad</v>
      </c>
      <c r="E3639" s="4" t="s">
        <v>78</v>
      </c>
      <c r="F3639" s="4" t="s">
        <v>6765</v>
      </c>
      <c r="G3639" s="4" t="s">
        <v>6805</v>
      </c>
      <c r="H3639" s="4" t="s">
        <v>49</v>
      </c>
      <c r="I3639" s="4" t="s">
        <v>6768</v>
      </c>
      <c r="J3639" s="4" t="s">
        <v>78</v>
      </c>
      <c r="K3639" s="5" t="str">
        <f t="shared" si="192"/>
        <v>View Creative</v>
      </c>
      <c r="L3639" s="4" t="s">
        <v>60</v>
      </c>
      <c r="M3639" s="4" t="s">
        <v>6785</v>
      </c>
      <c r="N3639" s="4" t="s">
        <v>6806</v>
      </c>
      <c r="O3639" s="4" t="s">
        <v>63</v>
      </c>
      <c r="P3639" s="4" t="s">
        <v>64</v>
      </c>
    </row>
    <row r="3640">
      <c r="A3640" s="4" t="s">
        <v>6785</v>
      </c>
      <c r="B3640" s="4" t="s">
        <v>6786</v>
      </c>
      <c r="C3640" s="4">
        <v>29.0</v>
      </c>
      <c r="D3640" s="5" t="str">
        <f>HYPERLINK("https://www.linkedin.com/ad-library/detail/1263983213","Open Ad")</f>
        <v>Open Ad</v>
      </c>
      <c r="E3640" s="4" t="s">
        <v>78</v>
      </c>
      <c r="F3640" s="4" t="s">
        <v>6765</v>
      </c>
      <c r="G3640" s="4" t="s">
        <v>6807</v>
      </c>
      <c r="H3640" s="4" t="s">
        <v>49</v>
      </c>
      <c r="I3640" s="4" t="s">
        <v>6768</v>
      </c>
      <c r="J3640" s="4" t="s">
        <v>78</v>
      </c>
      <c r="K3640" s="5" t="str">
        <f>HYPERLINK("https://media.licdn.com/dms/image/v2/D4D10AQHBlAx5mbeR5A/image-shrink_1280/B4DZ4g.febK4Ag-/0/1778669713668/Ctrad5png?e=2147483647&amp;v=beta&amp;t=ZgZiiZyLkSW4Ojfi9K6pYWnFWJwnZJGJVXus1vbQ7rc","View Creative")</f>
        <v>View Creative</v>
      </c>
      <c r="L3640" s="4" t="s">
        <v>60</v>
      </c>
      <c r="M3640" s="4" t="s">
        <v>6785</v>
      </c>
      <c r="N3640" s="4" t="s">
        <v>6808</v>
      </c>
      <c r="O3640" s="4" t="s">
        <v>63</v>
      </c>
      <c r="P3640" s="4" t="s">
        <v>64</v>
      </c>
    </row>
    <row r="3641">
      <c r="A3641" s="4" t="s">
        <v>6785</v>
      </c>
      <c r="B3641" s="4" t="s">
        <v>6786</v>
      </c>
      <c r="C3641" s="4">
        <v>30.0</v>
      </c>
      <c r="D3641" s="5" t="str">
        <f>HYPERLINK("https://www.linkedin.com/ad-library/detail/1398527866","Open Ad")</f>
        <v>Open Ad</v>
      </c>
      <c r="E3641" s="4" t="s">
        <v>78</v>
      </c>
      <c r="F3641" s="4" t="s">
        <v>6765</v>
      </c>
      <c r="G3641" s="4" t="s">
        <v>6809</v>
      </c>
      <c r="H3641" s="4" t="s">
        <v>49</v>
      </c>
      <c r="I3641" s="4" t="s">
        <v>6768</v>
      </c>
      <c r="J3641" s="4" t="s">
        <v>78</v>
      </c>
      <c r="K3641" s="5" t="str">
        <f>HYPERLINK("https://media.licdn.com/dms/image/v2/D5610AQGslUh84e-5OA/image-shrink_1280/B56Z3TyrCkKkAc-/0/1777374769580/1776329137841jpg?e=2147483647&amp;v=beta&amp;t=2GtuuRCBsnno_MPDqc4TVJqXHUcZx-q32F8p_BCyKCI","View Creative")</f>
        <v>View Creative</v>
      </c>
      <c r="L3641" s="4" t="s">
        <v>60</v>
      </c>
      <c r="M3641" s="4" t="s">
        <v>6785</v>
      </c>
      <c r="O3641" s="4" t="s">
        <v>63</v>
      </c>
      <c r="P3641" s="4" t="s">
        <v>64</v>
      </c>
    </row>
    <row r="3642">
      <c r="A3642" s="4" t="s">
        <v>6785</v>
      </c>
      <c r="B3642" s="4" t="s">
        <v>6786</v>
      </c>
      <c r="C3642" s="4">
        <v>31.0</v>
      </c>
      <c r="D3642" s="5" t="str">
        <f>HYPERLINK("https://www.linkedin.com/ad-library/detail/1265382913","Open Ad")</f>
        <v>Open Ad</v>
      </c>
      <c r="E3642" s="4" t="s">
        <v>78</v>
      </c>
      <c r="F3642" s="4" t="s">
        <v>6765</v>
      </c>
      <c r="G3642" s="4" t="s">
        <v>6805</v>
      </c>
      <c r="H3642" s="4" t="s">
        <v>49</v>
      </c>
      <c r="I3642" s="4" t="s">
        <v>6768</v>
      </c>
      <c r="J3642" s="4" t="s">
        <v>78</v>
      </c>
      <c r="K3642" s="5" t="str">
        <f>HYPERLINK("https://media.licdn.com/dms/image/v2/D4D10AQFmaIjWiLmeCQ/image-shrink_1280/B4DZ4g7JtvJQAc-/0/1778668838057/Ctrad2png?e=2147483647&amp;v=beta&amp;t=nSKgElGadA9_3T7wtf-XZLEOtWgpHAjOX6lb_sTWgAM","View Creative")</f>
        <v>View Creative</v>
      </c>
      <c r="L3642" s="4" t="s">
        <v>60</v>
      </c>
      <c r="M3642" s="4" t="s">
        <v>6785</v>
      </c>
      <c r="N3642" s="4" t="s">
        <v>6808</v>
      </c>
      <c r="O3642" s="4" t="s">
        <v>63</v>
      </c>
      <c r="P3642" s="4" t="s">
        <v>64</v>
      </c>
    </row>
    <row r="3643">
      <c r="A3643" s="4" t="s">
        <v>6785</v>
      </c>
      <c r="B3643" s="4" t="s">
        <v>6786</v>
      </c>
      <c r="C3643" s="4">
        <v>32.0</v>
      </c>
      <c r="D3643" s="5" t="str">
        <f>HYPERLINK("https://www.linkedin.com/ad-library/detail/1263583003","Open Ad")</f>
        <v>Open Ad</v>
      </c>
      <c r="E3643" s="4" t="s">
        <v>78</v>
      </c>
      <c r="F3643" s="4" t="s">
        <v>6765</v>
      </c>
      <c r="G3643" s="4" t="s">
        <v>6805</v>
      </c>
      <c r="H3643" s="4" t="s">
        <v>49</v>
      </c>
      <c r="I3643" s="4" t="s">
        <v>6768</v>
      </c>
      <c r="J3643" s="4" t="s">
        <v>78</v>
      </c>
      <c r="K3643" s="5" t="str">
        <f>HYPERLINK("https://media.licdn.com/dms/image/v2/D4D10AQH9dqO8PZT4CA/image-shrink_1280/B4DZ4g7JtCJYAg-/0/1778668838036/CTRad3png?e=2147483647&amp;v=beta&amp;t=OeEcchUkPJoGU9rWjGsnunztm5C6iONuHJwDaUp1Ng8","View Creative")</f>
        <v>View Creative</v>
      </c>
      <c r="L3643" s="4" t="s">
        <v>60</v>
      </c>
      <c r="M3643" s="4" t="s">
        <v>6785</v>
      </c>
      <c r="N3643" s="4" t="s">
        <v>6810</v>
      </c>
      <c r="O3643" s="4" t="s">
        <v>63</v>
      </c>
      <c r="P3643" s="4" t="s">
        <v>64</v>
      </c>
    </row>
    <row r="3644">
      <c r="A3644" s="4" t="s">
        <v>6785</v>
      </c>
      <c r="B3644" s="4" t="s">
        <v>6786</v>
      </c>
      <c r="C3644" s="4">
        <v>33.0</v>
      </c>
      <c r="D3644" s="5" t="str">
        <f>HYPERLINK("https://www.linkedin.com/ad-library/detail/1265781883","Open Ad")</f>
        <v>Open Ad</v>
      </c>
      <c r="E3644" s="4" t="s">
        <v>78</v>
      </c>
      <c r="F3644" s="4" t="s">
        <v>6765</v>
      </c>
      <c r="G3644" s="4" t="s">
        <v>6805</v>
      </c>
      <c r="H3644" s="4" t="s">
        <v>49</v>
      </c>
      <c r="I3644" s="4" t="s">
        <v>6768</v>
      </c>
      <c r="J3644" s="4" t="s">
        <v>78</v>
      </c>
      <c r="K3644" s="5" t="str">
        <f t="shared" ref="K3644:K3646" si="193">HYPERLINK("https://media.licdn.com/dms/image/v2/D4D10AQFejtehRJutzg/image-shrink_1280/B4DZ4g7JrgKYAc-/0/1778668837916/Ctrad4png?e=2147483647&amp;v=beta&amp;t=AREgDzLteqv0sK8EVJPS4lq8u7trOqUkv7AJY0RAZqU","View Creative")</f>
        <v>View Creative</v>
      </c>
      <c r="L3644" s="4" t="s">
        <v>60</v>
      </c>
      <c r="M3644" s="4" t="s">
        <v>6785</v>
      </c>
      <c r="N3644" s="4" t="s">
        <v>6806</v>
      </c>
      <c r="O3644" s="4" t="s">
        <v>63</v>
      </c>
      <c r="P3644" s="4" t="s">
        <v>64</v>
      </c>
    </row>
    <row r="3645">
      <c r="A3645" s="4" t="s">
        <v>6785</v>
      </c>
      <c r="B3645" s="4" t="s">
        <v>6786</v>
      </c>
      <c r="C3645" s="4">
        <v>34.0</v>
      </c>
      <c r="D3645" s="5" t="str">
        <f>HYPERLINK("https://www.linkedin.com/ad-library/detail/1263583013","Open Ad")</f>
        <v>Open Ad</v>
      </c>
      <c r="E3645" s="4" t="s">
        <v>78</v>
      </c>
      <c r="F3645" s="4" t="s">
        <v>6765</v>
      </c>
      <c r="G3645" s="4" t="s">
        <v>6805</v>
      </c>
      <c r="H3645" s="4" t="s">
        <v>49</v>
      </c>
      <c r="I3645" s="4" t="s">
        <v>6768</v>
      </c>
      <c r="J3645" s="4" t="s">
        <v>78</v>
      </c>
      <c r="K3645" s="5" t="str">
        <f t="shared" si="193"/>
        <v>View Creative</v>
      </c>
      <c r="L3645" s="4" t="s">
        <v>60</v>
      </c>
      <c r="M3645" s="4" t="s">
        <v>6785</v>
      </c>
      <c r="N3645" s="4" t="s">
        <v>6811</v>
      </c>
      <c r="O3645" s="4" t="s">
        <v>63</v>
      </c>
      <c r="P3645" s="4" t="s">
        <v>64</v>
      </c>
    </row>
    <row r="3646">
      <c r="A3646" s="4" t="s">
        <v>6785</v>
      </c>
      <c r="B3646" s="4" t="s">
        <v>6786</v>
      </c>
      <c r="C3646" s="4">
        <v>35.0</v>
      </c>
      <c r="D3646" s="5" t="str">
        <f>HYPERLINK("https://www.linkedin.com/ad-library/detail/1265582933","Open Ad")</f>
        <v>Open Ad</v>
      </c>
      <c r="E3646" s="4" t="s">
        <v>78</v>
      </c>
      <c r="F3646" s="4" t="s">
        <v>6765</v>
      </c>
      <c r="G3646" s="4" t="s">
        <v>6805</v>
      </c>
      <c r="H3646" s="4" t="s">
        <v>49</v>
      </c>
      <c r="I3646" s="4" t="s">
        <v>6768</v>
      </c>
      <c r="J3646" s="4" t="s">
        <v>78</v>
      </c>
      <c r="K3646" s="5" t="str">
        <f t="shared" si="193"/>
        <v>View Creative</v>
      </c>
      <c r="L3646" s="4" t="s">
        <v>60</v>
      </c>
      <c r="M3646" s="4" t="s">
        <v>6785</v>
      </c>
      <c r="O3646" s="4" t="s">
        <v>63</v>
      </c>
      <c r="P3646" s="4" t="s">
        <v>64</v>
      </c>
    </row>
    <row r="3647">
      <c r="A3647" s="4" t="s">
        <v>6785</v>
      </c>
      <c r="B3647" s="4" t="s">
        <v>6786</v>
      </c>
      <c r="C3647" s="4">
        <v>36.0</v>
      </c>
      <c r="D3647" s="5" t="str">
        <f>HYPERLINK("https://www.linkedin.com/ad-library/detail/1265482643","Open Ad")</f>
        <v>Open Ad</v>
      </c>
      <c r="E3647" s="4" t="s">
        <v>78</v>
      </c>
      <c r="F3647" s="4" t="s">
        <v>6765</v>
      </c>
      <c r="G3647" s="4" t="s">
        <v>6805</v>
      </c>
      <c r="H3647" s="4" t="s">
        <v>49</v>
      </c>
      <c r="I3647" s="4" t="s">
        <v>6768</v>
      </c>
      <c r="J3647" s="4" t="s">
        <v>78</v>
      </c>
      <c r="K3647" s="5" t="str">
        <f>HYPERLINK("https://media.licdn.com/dms/image/v2/D4D10AQGCqrTmoqGlqw/image-shrink_1280/B4DZ4g7POAKcAg-/0/1778668860595/CTRad1png?e=2147483647&amp;v=beta&amp;t=KzltQ0Z2qsW94Bt8pRT6LlG9vrpjrZWycoRix5MQ4j4","View Creative")</f>
        <v>View Creative</v>
      </c>
      <c r="L3647" s="4" t="s">
        <v>60</v>
      </c>
      <c r="M3647" s="4" t="s">
        <v>6785</v>
      </c>
      <c r="N3647" s="4" t="s">
        <v>6810</v>
      </c>
      <c r="O3647" s="4" t="s">
        <v>63</v>
      </c>
      <c r="P3647" s="4" t="s">
        <v>64</v>
      </c>
    </row>
    <row r="3648">
      <c r="A3648" s="4" t="s">
        <v>6785</v>
      </c>
      <c r="B3648" s="4" t="s">
        <v>6786</v>
      </c>
      <c r="C3648" s="4">
        <v>37.0</v>
      </c>
      <c r="D3648" s="5" t="str">
        <f>HYPERLINK("https://www.linkedin.com/ad-library/detail/1265282743","Open Ad")</f>
        <v>Open Ad</v>
      </c>
      <c r="E3648" s="4" t="s">
        <v>78</v>
      </c>
      <c r="F3648" s="4" t="s">
        <v>6765</v>
      </c>
      <c r="G3648" s="4" t="s">
        <v>6805</v>
      </c>
      <c r="H3648" s="4" t="s">
        <v>49</v>
      </c>
      <c r="I3648" s="4" t="s">
        <v>6768</v>
      </c>
      <c r="J3648" s="4" t="s">
        <v>78</v>
      </c>
      <c r="K3648" s="5" t="str">
        <f>HYPERLINK("https://media.licdn.com/dms/image/v2/D4D10AQFmaIjWiLmeCQ/image-shrink_1280/B4DZ4g7JtvJQAc-/0/1778668838057/Ctrad2png?e=2147483647&amp;v=beta&amp;t=nSKgElGadA9_3T7wtf-XZLEOtWgpHAjOX6lb_sTWgAM","View Creative")</f>
        <v>View Creative</v>
      </c>
      <c r="L3648" s="4" t="s">
        <v>60</v>
      </c>
      <c r="M3648" s="4" t="s">
        <v>6785</v>
      </c>
      <c r="O3648" s="4" t="s">
        <v>63</v>
      </c>
      <c r="P3648" s="4" t="s">
        <v>64</v>
      </c>
    </row>
    <row r="3649">
      <c r="A3649" s="4" t="s">
        <v>6785</v>
      </c>
      <c r="B3649" s="4" t="s">
        <v>6786</v>
      </c>
      <c r="C3649" s="4">
        <v>38.0</v>
      </c>
      <c r="D3649" s="5" t="str">
        <f>HYPERLINK("https://www.linkedin.com/ad-library/detail/1265182053","Open Ad")</f>
        <v>Open Ad</v>
      </c>
      <c r="E3649" s="4" t="s">
        <v>78</v>
      </c>
      <c r="F3649" s="4" t="s">
        <v>6765</v>
      </c>
      <c r="G3649" s="4" t="s">
        <v>6805</v>
      </c>
      <c r="H3649" s="4" t="s">
        <v>49</v>
      </c>
      <c r="I3649" s="4" t="s">
        <v>6768</v>
      </c>
      <c r="J3649" s="4" t="s">
        <v>78</v>
      </c>
      <c r="K3649" s="5" t="str">
        <f t="shared" ref="K3649:K3650" si="194">HYPERLINK("https://media.licdn.com/dms/image/v2/D4D10AQG5I77OVeGq6w/image-shrink_1280/B4DZ4gstRVHAAk-/0/1778665051505/Frame427319753png?e=2147483647&amp;v=beta&amp;t=fFJ_Cpq-NmaLNhXmOLCUwyUbG-gt1S3raR1I-BCqqso","View Creative")</f>
        <v>View Creative</v>
      </c>
      <c r="L3649" s="4" t="s">
        <v>60</v>
      </c>
      <c r="M3649" s="4" t="s">
        <v>6785</v>
      </c>
      <c r="N3649" s="4" t="s">
        <v>6808</v>
      </c>
      <c r="O3649" s="4" t="s">
        <v>63</v>
      </c>
      <c r="P3649" s="4" t="s">
        <v>64</v>
      </c>
    </row>
    <row r="3650">
      <c r="A3650" s="4" t="s">
        <v>6785</v>
      </c>
      <c r="B3650" s="4" t="s">
        <v>6786</v>
      </c>
      <c r="C3650" s="4">
        <v>39.0</v>
      </c>
      <c r="D3650" s="5" t="str">
        <f>HYPERLINK("https://www.linkedin.com/ad-library/detail/1264182333","Open Ad")</f>
        <v>Open Ad</v>
      </c>
      <c r="E3650" s="4" t="s">
        <v>78</v>
      </c>
      <c r="F3650" s="4" t="s">
        <v>6765</v>
      </c>
      <c r="G3650" s="4" t="s">
        <v>6805</v>
      </c>
      <c r="H3650" s="4" t="s">
        <v>49</v>
      </c>
      <c r="I3650" s="4" t="s">
        <v>6768</v>
      </c>
      <c r="J3650" s="4" t="s">
        <v>78</v>
      </c>
      <c r="K3650" s="5" t="str">
        <f t="shared" si="194"/>
        <v>View Creative</v>
      </c>
      <c r="L3650" s="4" t="s">
        <v>60</v>
      </c>
      <c r="M3650" s="4" t="s">
        <v>6785</v>
      </c>
      <c r="N3650" s="4" t="s">
        <v>6808</v>
      </c>
      <c r="O3650" s="4" t="s">
        <v>63</v>
      </c>
      <c r="P3650" s="4" t="s">
        <v>64</v>
      </c>
    </row>
    <row r="3651">
      <c r="A3651" s="4" t="s">
        <v>6785</v>
      </c>
      <c r="B3651" s="4" t="s">
        <v>6786</v>
      </c>
      <c r="C3651" s="4">
        <v>40.0</v>
      </c>
      <c r="D3651" s="5" t="str">
        <f>HYPERLINK("https://www.linkedin.com/ad-library/detail/1210403043","Open Ad")</f>
        <v>Open Ad</v>
      </c>
      <c r="E3651" s="4" t="s">
        <v>78</v>
      </c>
      <c r="F3651" s="4" t="s">
        <v>6765</v>
      </c>
      <c r="G3651" s="8" t="s">
        <v>6812</v>
      </c>
      <c r="H3651" s="4" t="s">
        <v>49</v>
      </c>
      <c r="I3651" s="4" t="s">
        <v>6768</v>
      </c>
      <c r="J3651" s="4" t="s">
        <v>78</v>
      </c>
      <c r="K3651" s="5" t="str">
        <f>HYPERLINK("https://media.licdn.com/dms/image/v2/D4E22AQEnUDkgBQn6vA/feedshare-shrink_800/B4EZ12Q5XLJsAc-/0/1775805634557?e=2147483647&amp;v=beta&amp;t=h0gHabkr54R9QOQVg0QpODIK1wMi9jEuNhzgAnr-ZFA","View Creative")</f>
        <v>View Creative</v>
      </c>
      <c r="L3651" s="4" t="s">
        <v>60</v>
      </c>
      <c r="M3651" s="4" t="s">
        <v>6785</v>
      </c>
      <c r="N3651" s="4" t="s">
        <v>6813</v>
      </c>
      <c r="O3651" s="4" t="s">
        <v>63</v>
      </c>
      <c r="P3651" s="4" t="s">
        <v>64</v>
      </c>
    </row>
    <row r="3652">
      <c r="A3652" s="4" t="s">
        <v>6785</v>
      </c>
      <c r="B3652" s="4" t="s">
        <v>6786</v>
      </c>
      <c r="C3652" s="4">
        <v>41.0</v>
      </c>
      <c r="D3652" s="5" t="str">
        <f>HYPERLINK("https://www.linkedin.com/ad-library/detail/1398518536","Open Ad")</f>
        <v>Open Ad</v>
      </c>
      <c r="E3652" s="4" t="s">
        <v>78</v>
      </c>
      <c r="F3652" s="4" t="s">
        <v>6765</v>
      </c>
      <c r="G3652" s="4" t="s">
        <v>6809</v>
      </c>
      <c r="H3652" s="4" t="s">
        <v>49</v>
      </c>
      <c r="I3652" s="4" t="s">
        <v>6768</v>
      </c>
      <c r="J3652" s="4" t="s">
        <v>78</v>
      </c>
      <c r="K3652" s="5" t="str">
        <f>HYPERLINK("https://media.licdn.com/dms/image/v2/D5610AQGslUh84e-5OA/image-shrink_1280/B56Z3TyrCkKkAc-/0/1777374769580/1776329137841jpg?e=2147483647&amp;v=beta&amp;t=2GtuuRCBsnno_MPDqc4TVJqXHUcZx-q32F8p_BCyKCI","View Creative")</f>
        <v>View Creative</v>
      </c>
      <c r="L3652" s="4" t="s">
        <v>60</v>
      </c>
      <c r="M3652" s="4" t="s">
        <v>6785</v>
      </c>
      <c r="N3652" s="4" t="s">
        <v>6814</v>
      </c>
      <c r="O3652" s="4" t="s">
        <v>63</v>
      </c>
      <c r="P3652" s="4" t="s">
        <v>64</v>
      </c>
    </row>
    <row r="3653">
      <c r="A3653" s="4" t="s">
        <v>6785</v>
      </c>
      <c r="B3653" s="4" t="s">
        <v>6786</v>
      </c>
      <c r="C3653" s="4">
        <v>42.0</v>
      </c>
      <c r="D3653" s="5" t="str">
        <f>HYPERLINK("https://www.linkedin.com/ad-library/detail/1264583083","Open Ad")</f>
        <v>Open Ad</v>
      </c>
      <c r="E3653" s="4" t="s">
        <v>78</v>
      </c>
      <c r="F3653" s="4" t="s">
        <v>6765</v>
      </c>
      <c r="G3653" s="4" t="s">
        <v>6805</v>
      </c>
      <c r="H3653" s="4" t="s">
        <v>49</v>
      </c>
      <c r="I3653" s="4" t="s">
        <v>6768</v>
      </c>
      <c r="J3653" s="4" t="s">
        <v>78</v>
      </c>
      <c r="K3653" s="5" t="str">
        <f>HYPERLINK("https://media.licdn.com/dms/image/v2/D4D10AQFmaIjWiLmeCQ/image-shrink_1280/B4DZ4g7JtvJQAc-/0/1778668838057/Ctrad2png?e=2147483647&amp;v=beta&amp;t=nSKgElGadA9_3T7wtf-XZLEOtWgpHAjOX6lb_sTWgAM","View Creative")</f>
        <v>View Creative</v>
      </c>
      <c r="L3653" s="4" t="s">
        <v>60</v>
      </c>
      <c r="M3653" s="4" t="s">
        <v>6785</v>
      </c>
      <c r="N3653" s="4" t="s">
        <v>6810</v>
      </c>
      <c r="O3653" s="4" t="s">
        <v>63</v>
      </c>
      <c r="P3653" s="4" t="s">
        <v>64</v>
      </c>
    </row>
    <row r="3654">
      <c r="A3654" s="4" t="s">
        <v>6785</v>
      </c>
      <c r="B3654" s="4" t="s">
        <v>6786</v>
      </c>
      <c r="C3654" s="4">
        <v>43.0</v>
      </c>
      <c r="D3654" s="5" t="str">
        <f>HYPERLINK("https://www.linkedin.com/ad-library/detail/1211998823","Open Ad")</f>
        <v>Open Ad</v>
      </c>
      <c r="E3654" s="4" t="s">
        <v>78</v>
      </c>
      <c r="F3654" s="4" t="s">
        <v>6765</v>
      </c>
      <c r="G3654" s="8" t="s">
        <v>6812</v>
      </c>
      <c r="H3654" s="4" t="s">
        <v>49</v>
      </c>
      <c r="I3654" s="4" t="s">
        <v>6768</v>
      </c>
      <c r="J3654" s="4" t="s">
        <v>78</v>
      </c>
      <c r="K3654" s="5" t="str">
        <f>HYPERLINK("https://media.licdn.com/dms/image/v2/D4E22AQEnUDkgBQn6vA/feedshare-shrink_800/B4EZ12Q5XLJsAc-/0/1775805634557?e=2147483647&amp;v=beta&amp;t=h0gHabkr54R9QOQVg0QpODIK1wMi9jEuNhzgAnr-ZFA","View Creative")</f>
        <v>View Creative</v>
      </c>
      <c r="L3654" s="4" t="s">
        <v>60</v>
      </c>
      <c r="M3654" s="4" t="s">
        <v>6785</v>
      </c>
      <c r="O3654" s="4" t="s">
        <v>63</v>
      </c>
      <c r="P3654" s="4" t="s">
        <v>64</v>
      </c>
    </row>
    <row r="3655">
      <c r="A3655" s="4" t="s">
        <v>6785</v>
      </c>
      <c r="B3655" s="4" t="s">
        <v>6786</v>
      </c>
      <c r="C3655" s="4">
        <v>44.0</v>
      </c>
      <c r="D3655" s="5" t="str">
        <f>HYPERLINK("https://www.linkedin.com/ad-library/detail/1264783023","Open Ad")</f>
        <v>Open Ad</v>
      </c>
      <c r="E3655" s="4" t="s">
        <v>78</v>
      </c>
      <c r="F3655" s="4" t="s">
        <v>6765</v>
      </c>
      <c r="G3655" s="4" t="s">
        <v>6805</v>
      </c>
      <c r="H3655" s="4" t="s">
        <v>49</v>
      </c>
      <c r="I3655" s="4" t="s">
        <v>6768</v>
      </c>
      <c r="J3655" s="4" t="s">
        <v>78</v>
      </c>
      <c r="K3655" s="5" t="str">
        <f>HYPERLINK("https://media.licdn.com/dms/image/v2/D4D10AQGCqrTmoqGlqw/image-shrink_1280/B4DZ4g7POAKcAg-/0/1778668860595/CTRad1png?e=2147483647&amp;v=beta&amp;t=KzltQ0Z2qsW94Bt8pRT6LlG9vrpjrZWycoRix5MQ4j4","View Creative")</f>
        <v>View Creative</v>
      </c>
      <c r="L3655" s="4" t="s">
        <v>60</v>
      </c>
      <c r="M3655" s="4" t="s">
        <v>6785</v>
      </c>
      <c r="O3655" s="4" t="s">
        <v>63</v>
      </c>
      <c r="P3655" s="4" t="s">
        <v>64</v>
      </c>
    </row>
    <row r="3656">
      <c r="A3656" s="4" t="s">
        <v>6785</v>
      </c>
      <c r="B3656" s="4" t="s">
        <v>6786</v>
      </c>
      <c r="C3656" s="4">
        <v>45.0</v>
      </c>
      <c r="D3656" s="5" t="str">
        <f>HYPERLINK("https://www.linkedin.com/ad-library/detail/1211882193","Open Ad")</f>
        <v>Open Ad</v>
      </c>
      <c r="E3656" s="4" t="s">
        <v>78</v>
      </c>
      <c r="F3656" s="4" t="s">
        <v>6765</v>
      </c>
      <c r="G3656" s="4" t="s">
        <v>6815</v>
      </c>
      <c r="H3656" s="4" t="s">
        <v>6816</v>
      </c>
      <c r="I3656" s="4" t="s">
        <v>6768</v>
      </c>
      <c r="J3656" s="4" t="s">
        <v>78</v>
      </c>
      <c r="K3656" s="5" t="str">
        <f>HYPERLINK("https://media.licdn.com/dms/image/v2/D4E22AQFiLIjb5D7yMQ/feedshare-shrink_800/B4EZ1NpOuCJIAc-/0/1775124147313?e=2147483647&amp;v=beta&amp;t=pr5CvUxSN9tJeRb2ymXFx3GcpegvNoT0L4uCrasdGzw","View Creative")</f>
        <v>View Creative</v>
      </c>
      <c r="L3656" s="4" t="s">
        <v>60</v>
      </c>
      <c r="M3656" s="4" t="s">
        <v>6785</v>
      </c>
      <c r="O3656" s="4" t="s">
        <v>63</v>
      </c>
      <c r="P3656" s="4" t="s">
        <v>64</v>
      </c>
    </row>
    <row r="3657">
      <c r="A3657" s="4" t="s">
        <v>6785</v>
      </c>
      <c r="B3657" s="4" t="s">
        <v>6786</v>
      </c>
      <c r="C3657" s="4">
        <v>46.0</v>
      </c>
      <c r="D3657" s="5" t="str">
        <f>HYPERLINK("https://www.linkedin.com/ad-library/detail/1263683083","Open Ad")</f>
        <v>Open Ad</v>
      </c>
      <c r="E3657" s="4" t="s">
        <v>78</v>
      </c>
      <c r="F3657" s="4" t="s">
        <v>6765</v>
      </c>
      <c r="G3657" s="4" t="s">
        <v>6805</v>
      </c>
      <c r="H3657" s="4" t="s">
        <v>49</v>
      </c>
      <c r="I3657" s="4" t="s">
        <v>6768</v>
      </c>
      <c r="J3657" s="4" t="s">
        <v>78</v>
      </c>
      <c r="K3657" s="5" t="str">
        <f>HYPERLINK("https://media.licdn.com/dms/image/v2/D4D10AQGCqrTmoqGlqw/image-shrink_1280/B4DZ4g7POAKcAg-/0/1778668860595/CTRad1png?e=2147483647&amp;v=beta&amp;t=KzltQ0Z2qsW94Bt8pRT6LlG9vrpjrZWycoRix5MQ4j4","View Creative")</f>
        <v>View Creative</v>
      </c>
      <c r="L3657" s="4" t="s">
        <v>60</v>
      </c>
      <c r="M3657" s="4" t="s">
        <v>6785</v>
      </c>
      <c r="N3657" s="4" t="s">
        <v>6808</v>
      </c>
      <c r="O3657" s="4" t="s">
        <v>63</v>
      </c>
      <c r="P3657" s="4" t="s">
        <v>64</v>
      </c>
    </row>
    <row r="3658">
      <c r="A3658" s="4" t="s">
        <v>6785</v>
      </c>
      <c r="B3658" s="4" t="s">
        <v>6786</v>
      </c>
      <c r="C3658" s="4">
        <v>47.0</v>
      </c>
      <c r="D3658" s="5" t="str">
        <f>HYPERLINK("https://www.linkedin.com/ad-library/detail/1264283123","Open Ad")</f>
        <v>Open Ad</v>
      </c>
      <c r="E3658" s="4" t="s">
        <v>78</v>
      </c>
      <c r="F3658" s="4" t="s">
        <v>6765</v>
      </c>
      <c r="G3658" s="4" t="s">
        <v>6807</v>
      </c>
      <c r="H3658" s="4" t="s">
        <v>49</v>
      </c>
      <c r="I3658" s="4" t="s">
        <v>6768</v>
      </c>
      <c r="J3658" s="4" t="s">
        <v>78</v>
      </c>
      <c r="K3658" s="5" t="str">
        <f t="shared" ref="K3658:K3659" si="195">HYPERLINK("https://media.licdn.com/dms/image/v2/D4D10AQHBlAx5mbeR5A/image-shrink_1280/B4DZ4g.febK4Ag-/0/1778669713668/Ctrad5png?e=2147483647&amp;v=beta&amp;t=ZgZiiZyLkSW4Ojfi9K6pYWnFWJwnZJGJVXus1vbQ7rc","View Creative")</f>
        <v>View Creative</v>
      </c>
      <c r="L3658" s="4" t="s">
        <v>60</v>
      </c>
      <c r="M3658" s="4" t="s">
        <v>6785</v>
      </c>
      <c r="O3658" s="4" t="s">
        <v>63</v>
      </c>
      <c r="P3658" s="4" t="s">
        <v>64</v>
      </c>
    </row>
    <row r="3659">
      <c r="A3659" s="4" t="s">
        <v>6785</v>
      </c>
      <c r="B3659" s="4" t="s">
        <v>6786</v>
      </c>
      <c r="C3659" s="4">
        <v>48.0</v>
      </c>
      <c r="D3659" s="5" t="str">
        <f>HYPERLINK("https://www.linkedin.com/ad-library/detail/1265182903","Open Ad")</f>
        <v>Open Ad</v>
      </c>
      <c r="E3659" s="4" t="s">
        <v>78</v>
      </c>
      <c r="F3659" s="4" t="s">
        <v>6765</v>
      </c>
      <c r="G3659" s="4" t="s">
        <v>6807</v>
      </c>
      <c r="H3659" s="4" t="s">
        <v>49</v>
      </c>
      <c r="I3659" s="4" t="s">
        <v>6768</v>
      </c>
      <c r="J3659" s="4" t="s">
        <v>78</v>
      </c>
      <c r="K3659" s="5" t="str">
        <f t="shared" si="195"/>
        <v>View Creative</v>
      </c>
      <c r="L3659" s="4" t="s">
        <v>60</v>
      </c>
      <c r="M3659" s="4" t="s">
        <v>6785</v>
      </c>
      <c r="N3659" s="4" t="s">
        <v>6808</v>
      </c>
      <c r="O3659" s="4" t="s">
        <v>63</v>
      </c>
      <c r="P3659" s="4" t="s">
        <v>64</v>
      </c>
    </row>
    <row r="3660">
      <c r="A3660" s="4" t="s">
        <v>6785</v>
      </c>
      <c r="B3660" s="4" t="s">
        <v>6786</v>
      </c>
      <c r="C3660" s="4">
        <v>49.0</v>
      </c>
      <c r="D3660" s="5" t="str">
        <f>HYPERLINK("https://www.linkedin.com/ad-library/detail/1200607033","Open Ad")</f>
        <v>Open Ad</v>
      </c>
      <c r="E3660" s="4" t="s">
        <v>78</v>
      </c>
      <c r="F3660" s="4" t="s">
        <v>6765</v>
      </c>
      <c r="G3660" s="4" t="s">
        <v>6817</v>
      </c>
      <c r="H3660" s="4" t="s">
        <v>49</v>
      </c>
      <c r="I3660" s="4" t="s">
        <v>6768</v>
      </c>
      <c r="J3660" s="4" t="s">
        <v>78</v>
      </c>
      <c r="K3660" s="5" t="str">
        <f>HYPERLINK("https://media.licdn.com/dms/image/v2/D4E22AQGljfdWmEq1bA/feedshare-image-high-res/B4EZ09qDo3HYAY-/0/1774855928689?e=2147483647&amp;v=beta&amp;t=_ZU5SeLUZQaEr7D4MCztUiy-Ox6ON_SDJmk3uHLQjv0","View Creative")</f>
        <v>View Creative</v>
      </c>
      <c r="L3660" s="4" t="s">
        <v>60</v>
      </c>
      <c r="M3660" s="4" t="s">
        <v>6785</v>
      </c>
      <c r="O3660" s="4" t="s">
        <v>63</v>
      </c>
      <c r="P3660" s="4" t="s">
        <v>64</v>
      </c>
    </row>
    <row r="3661">
      <c r="A3661" s="4" t="s">
        <v>6785</v>
      </c>
      <c r="B3661" s="4" t="s">
        <v>6786</v>
      </c>
      <c r="C3661" s="4">
        <v>50.0</v>
      </c>
      <c r="D3661" s="5" t="str">
        <f>HYPERLINK("https://www.linkedin.com/ad-library/detail/1194057893","Open Ad")</f>
        <v>Open Ad</v>
      </c>
      <c r="E3661" s="4" t="s">
        <v>78</v>
      </c>
      <c r="F3661" s="4" t="s">
        <v>6765</v>
      </c>
      <c r="G3661" s="4" t="s">
        <v>6818</v>
      </c>
      <c r="H3661" s="4" t="s">
        <v>49</v>
      </c>
      <c r="I3661" s="4" t="s">
        <v>6768</v>
      </c>
      <c r="J3661" s="4" t="s">
        <v>78</v>
      </c>
      <c r="K3661" s="5" t="str">
        <f>HYPERLINK("https://media.licdn.com/dms/image/v2/D4D10AQEoMHovoqZWNw/image-shrink_1280/B4DZ0Kt_CbIoAc-/0/1774001320485/LinkedinPaid-EagleEyedDigitalQuote2jpg?e=2147483647&amp;v=beta&amp;t=STH62i-dXalIcSqmP4DvpB3IstBlqxRY7F6ecgbPZsU","View Creative")</f>
        <v>View Creative</v>
      </c>
      <c r="L3661" s="4" t="s">
        <v>60</v>
      </c>
      <c r="M3661" s="4" t="s">
        <v>6785</v>
      </c>
      <c r="N3661" s="4" t="s">
        <v>6819</v>
      </c>
      <c r="O3661" s="4" t="s">
        <v>63</v>
      </c>
      <c r="P3661" s="4" t="s">
        <v>64</v>
      </c>
    </row>
    <row r="3662">
      <c r="A3662" s="4" t="s">
        <v>6785</v>
      </c>
      <c r="B3662" s="4" t="s">
        <v>6786</v>
      </c>
      <c r="C3662" s="4">
        <v>51.0</v>
      </c>
      <c r="D3662" s="5" t="str">
        <f>HYPERLINK("https://www.linkedin.com/ad-library/detail/1193805313","Open Ad")</f>
        <v>Open Ad</v>
      </c>
      <c r="E3662" s="4" t="s">
        <v>78</v>
      </c>
      <c r="F3662" s="4" t="s">
        <v>6765</v>
      </c>
      <c r="G3662" s="4" t="s">
        <v>6820</v>
      </c>
      <c r="H3662" s="4" t="s">
        <v>49</v>
      </c>
      <c r="I3662" s="4" t="s">
        <v>6768</v>
      </c>
      <c r="J3662" s="4" t="s">
        <v>78</v>
      </c>
      <c r="K3662" s="5" t="str">
        <f>HYPERLINK("https://media.licdn.com/dms/image/v2/D4D10AQGha_u6oYcMjQ/image-shrink_800/B4DZzmOEC1IMAk-/0/1773388972488/1773308733266jpg?e=2147483647&amp;v=beta&amp;t=AqN5T1IyW__1o1ra_gpu2HaOISOWcpu_NS17P-hxn7A","View Creative")</f>
        <v>View Creative</v>
      </c>
      <c r="L3662" s="4" t="s">
        <v>60</v>
      </c>
      <c r="M3662" s="4" t="s">
        <v>6785</v>
      </c>
      <c r="N3662" s="4" t="s">
        <v>6821</v>
      </c>
      <c r="O3662" s="4" t="s">
        <v>63</v>
      </c>
      <c r="P3662" s="4" t="s">
        <v>64</v>
      </c>
    </row>
    <row r="3663">
      <c r="A3663" s="4" t="s">
        <v>6785</v>
      </c>
      <c r="B3663" s="4" t="s">
        <v>6786</v>
      </c>
      <c r="C3663" s="4">
        <v>52.0</v>
      </c>
      <c r="D3663" s="5" t="str">
        <f>HYPERLINK("https://www.linkedin.com/ad-library/detail/1196691053","Open Ad")</f>
        <v>Open Ad</v>
      </c>
      <c r="E3663" s="4" t="s">
        <v>78</v>
      </c>
      <c r="F3663" s="4" t="s">
        <v>6765</v>
      </c>
      <c r="G3663" s="4" t="s">
        <v>6818</v>
      </c>
      <c r="H3663" s="4" t="s">
        <v>49</v>
      </c>
      <c r="I3663" s="4" t="s">
        <v>6768</v>
      </c>
      <c r="J3663" s="4" t="s">
        <v>78</v>
      </c>
      <c r="K3663" s="5" t="str">
        <f>HYPERLINK("https://media.licdn.com/dms/image/v2/D4D10AQEsDN4wUJfOeA/image-shrink_1280/B4DZ0KtyzBIIAc-/0/1774001270348/LinkedinPaid-OuterboxCaseQuote-11png?e=2147483647&amp;v=beta&amp;t=tH1spcjEH0o_0HDhqrW16xglBGK_p5Xb-X6hjiA5LYw","View Creative")</f>
        <v>View Creative</v>
      </c>
      <c r="L3663" s="4" t="s">
        <v>60</v>
      </c>
      <c r="M3663" s="4" t="s">
        <v>6785</v>
      </c>
      <c r="N3663" s="4" t="s">
        <v>6822</v>
      </c>
      <c r="O3663" s="4" t="s">
        <v>63</v>
      </c>
      <c r="P3663" s="4" t="s">
        <v>64</v>
      </c>
    </row>
    <row r="3664">
      <c r="A3664" s="4" t="s">
        <v>6785</v>
      </c>
      <c r="B3664" s="4" t="s">
        <v>6786</v>
      </c>
      <c r="C3664" s="4">
        <v>53.0</v>
      </c>
      <c r="D3664" s="5" t="str">
        <f>HYPERLINK("https://www.linkedin.com/ad-library/detail/1196397053","Open Ad")</f>
        <v>Open Ad</v>
      </c>
      <c r="E3664" s="4" t="s">
        <v>78</v>
      </c>
      <c r="F3664" s="4" t="s">
        <v>6765</v>
      </c>
      <c r="G3664" s="4" t="s">
        <v>6818</v>
      </c>
      <c r="H3664" s="4" t="s">
        <v>49</v>
      </c>
      <c r="I3664" s="4" t="s">
        <v>6768</v>
      </c>
      <c r="J3664" s="4" t="s">
        <v>78</v>
      </c>
      <c r="K3664" s="5" t="str">
        <f>HYPERLINK("https://media.licdn.com/dms/image/v2/D4D10AQHXgnHy9cTNcA/image-shrink_1280/B4DZ0Kt_DiGsAg-/0/1774001320486/LinkedinPaid-TransactCaseQuotepng?e=2147483647&amp;v=beta&amp;t=_lwt6mxoHLmRi3AF_OmmDs_RY59GVyukydrIUwTV1Ck","View Creative")</f>
        <v>View Creative</v>
      </c>
      <c r="L3664" s="4" t="s">
        <v>60</v>
      </c>
      <c r="M3664" s="4" t="s">
        <v>6785</v>
      </c>
      <c r="N3664" s="4" t="s">
        <v>6823</v>
      </c>
      <c r="O3664" s="4" t="s">
        <v>63</v>
      </c>
      <c r="P3664" s="4" t="s">
        <v>64</v>
      </c>
    </row>
    <row r="3665">
      <c r="A3665" s="4" t="s">
        <v>6785</v>
      </c>
      <c r="B3665" s="4" t="s">
        <v>6786</v>
      </c>
      <c r="C3665" s="4">
        <v>54.0</v>
      </c>
      <c r="D3665" s="5" t="str">
        <f>HYPERLINK("https://www.linkedin.com/ad-library/detail/1197882713","Open Ad")</f>
        <v>Open Ad</v>
      </c>
      <c r="E3665" s="4" t="s">
        <v>78</v>
      </c>
      <c r="F3665" s="4" t="s">
        <v>6765</v>
      </c>
      <c r="G3665" s="4" t="s">
        <v>6824</v>
      </c>
      <c r="H3665" s="4" t="s">
        <v>6825</v>
      </c>
      <c r="I3665" s="4" t="s">
        <v>6768</v>
      </c>
      <c r="J3665" s="4" t="s">
        <v>78</v>
      </c>
      <c r="K3665" s="5" t="str">
        <f>HYPERLINK("https://media.licdn.com/dms/image/v2/D4E22AQG5N3ycvPtOGQ/feedshare-image-high-res/B4EZ0fc5y7IQAY-/0/1774349164000?e=2147483647&amp;v=beta&amp;t=-D5woGhDozfE6QZRZ2xd8eYulppOisXvBHcD0BnoB2Y","View Creative")</f>
        <v>View Creative</v>
      </c>
      <c r="L3665" s="4" t="s">
        <v>60</v>
      </c>
      <c r="M3665" s="4" t="s">
        <v>6785</v>
      </c>
      <c r="O3665" s="4" t="s">
        <v>63</v>
      </c>
      <c r="P3665" s="4" t="s">
        <v>64</v>
      </c>
    </row>
    <row r="3666">
      <c r="A3666" s="4" t="s">
        <v>6785</v>
      </c>
      <c r="B3666" s="4" t="s">
        <v>6786</v>
      </c>
      <c r="C3666" s="4">
        <v>55.0</v>
      </c>
      <c r="D3666" s="5" t="str">
        <f>HYPERLINK("https://www.linkedin.com/ad-library/detail/1188211073","Open Ad")</f>
        <v>Open Ad</v>
      </c>
      <c r="E3666" s="4" t="s">
        <v>78</v>
      </c>
      <c r="F3666" s="4" t="s">
        <v>6765</v>
      </c>
      <c r="G3666" s="4" t="s">
        <v>6826</v>
      </c>
      <c r="H3666" s="4" t="s">
        <v>49</v>
      </c>
      <c r="I3666" s="4" t="s">
        <v>6768</v>
      </c>
      <c r="J3666" s="4" t="s">
        <v>78</v>
      </c>
      <c r="K3666" s="5" t="str">
        <f>HYPERLINK("https://media.licdn.com/dms/image/v2/D4D10AQGvrA2UACNHEQ/image-shrink_1280/B4DZzDd1x3IwAg-/0/1772805905896/TagCloudforLLM-paidpng?e=2147483647&amp;v=beta&amp;t=pCBDvWC7LIQU4231Ah0fAF5iuqdVNWwdOuYLWGynqLE","View Creative")</f>
        <v>View Creative</v>
      </c>
      <c r="L3666" s="4" t="s">
        <v>60</v>
      </c>
      <c r="M3666" s="4" t="s">
        <v>6785</v>
      </c>
      <c r="O3666" s="4" t="s">
        <v>63</v>
      </c>
      <c r="P3666" s="4" t="s">
        <v>64</v>
      </c>
    </row>
    <row r="3667">
      <c r="A3667" s="4" t="s">
        <v>6785</v>
      </c>
      <c r="B3667" s="4" t="s">
        <v>6786</v>
      </c>
      <c r="C3667" s="4">
        <v>56.0</v>
      </c>
      <c r="D3667" s="5" t="str">
        <f>HYPERLINK("https://www.linkedin.com/ad-library/detail/1192918033","Open Ad")</f>
        <v>Open Ad</v>
      </c>
      <c r="E3667" s="4" t="s">
        <v>78</v>
      </c>
      <c r="F3667" s="4" t="s">
        <v>6765</v>
      </c>
      <c r="G3667" s="4" t="s">
        <v>6827</v>
      </c>
      <c r="H3667" s="4" t="s">
        <v>611</v>
      </c>
      <c r="I3667" s="4" t="s">
        <v>6768</v>
      </c>
      <c r="J3667" s="4" t="s">
        <v>78</v>
      </c>
      <c r="K3667" s="5" t="str">
        <f>HYPERLINK("https://media.licdn.com/dms/image/v2/D4E22AQHFEm31w9vBMw/feedshare-shrink_1280/B4EZzhh9QiJcAM-/0/1773310301543?e=2147483647&amp;v=beta&amp;t=8UJD7ULm3t7aac4zDv0i-kSsW0mQd3pKa82ryQl-YKA","View Creative")</f>
        <v>View Creative</v>
      </c>
      <c r="L3667" s="4" t="s">
        <v>60</v>
      </c>
      <c r="M3667" s="4" t="s">
        <v>6785</v>
      </c>
      <c r="O3667" s="4" t="s">
        <v>63</v>
      </c>
      <c r="P3667" s="4" t="s">
        <v>64</v>
      </c>
    </row>
    <row r="3668">
      <c r="A3668" s="4" t="s">
        <v>6785</v>
      </c>
      <c r="B3668" s="4" t="s">
        <v>6786</v>
      </c>
      <c r="C3668" s="4">
        <v>57.0</v>
      </c>
      <c r="D3668" s="5" t="str">
        <f>HYPERLINK("https://www.linkedin.com/ad-library/detail/1196006973","Open Ad")</f>
        <v>Open Ad</v>
      </c>
      <c r="E3668" s="4" t="s">
        <v>78</v>
      </c>
      <c r="F3668" s="4" t="s">
        <v>6765</v>
      </c>
      <c r="G3668" s="4" t="s">
        <v>6828</v>
      </c>
      <c r="H3668" s="4" t="s">
        <v>49</v>
      </c>
      <c r="I3668" s="4" t="s">
        <v>6768</v>
      </c>
      <c r="J3668" s="4" t="s">
        <v>78</v>
      </c>
      <c r="K3668" s="5" t="str">
        <f>HYPERLINK("https://media.licdn.com/dms/image/v2/D4D10AQFQ6O3-aVcBMw/image-shrink_1280/B4DZewx.4RG8AU-/0/1751017582728/LinkedinPaid-OverdoseCaseQuotejpg?e=2147483647&amp;v=beta&amp;t=RPfXGokK6GgyMHeJ_sh0QBwPmeG9rlQDKJZIMGksVR0","View Creative")</f>
        <v>View Creative</v>
      </c>
      <c r="L3668" s="4" t="s">
        <v>60</v>
      </c>
      <c r="M3668" s="4" t="s">
        <v>6785</v>
      </c>
      <c r="N3668" s="4" t="s">
        <v>6819</v>
      </c>
      <c r="O3668" s="4" t="s">
        <v>63</v>
      </c>
      <c r="P3668" s="4" t="s">
        <v>64</v>
      </c>
    </row>
    <row r="3669">
      <c r="A3669" s="4" t="s">
        <v>6785</v>
      </c>
      <c r="B3669" s="4" t="s">
        <v>6786</v>
      </c>
      <c r="C3669" s="4">
        <v>58.0</v>
      </c>
      <c r="D3669" s="5" t="str">
        <f>HYPERLINK("https://www.linkedin.com/ad-library/detail/1195811493","Open Ad")</f>
        <v>Open Ad</v>
      </c>
      <c r="E3669" s="4" t="s">
        <v>78</v>
      </c>
      <c r="F3669" s="4" t="s">
        <v>6765</v>
      </c>
      <c r="G3669" s="4" t="s">
        <v>6818</v>
      </c>
      <c r="H3669" s="4" t="s">
        <v>49</v>
      </c>
      <c r="I3669" s="4" t="s">
        <v>6768</v>
      </c>
      <c r="J3669" s="4" t="s">
        <v>78</v>
      </c>
      <c r="K3669" s="5" t="str">
        <f>HYPERLINK("https://media.licdn.com/dms/image/v2/D4D10AQEiwEKjKFKMIw/image-shrink_1280/B4DZ0KtyxnGUAc-/0/1774001270271/LinkedinPaid-OuterboxCaseQuote1png?e=2147483647&amp;v=beta&amp;t=HSBj_yhYkSdi6uNGMktAY43aB_Bo3x8sStvCmfZjqR4","View Creative")</f>
        <v>View Creative</v>
      </c>
      <c r="L3669" s="4" t="s">
        <v>60</v>
      </c>
      <c r="M3669" s="4" t="s">
        <v>6785</v>
      </c>
      <c r="N3669" s="4" t="s">
        <v>6819</v>
      </c>
      <c r="O3669" s="4" t="s">
        <v>63</v>
      </c>
      <c r="P3669" s="4" t="s">
        <v>64</v>
      </c>
    </row>
    <row r="3670">
      <c r="A3670" s="4" t="s">
        <v>6785</v>
      </c>
      <c r="B3670" s="4" t="s">
        <v>6786</v>
      </c>
      <c r="C3670" s="4">
        <v>59.0</v>
      </c>
      <c r="D3670" s="5" t="str">
        <f>HYPERLINK("https://www.linkedin.com/ad-library/detail/1195315843","Open Ad")</f>
        <v>Open Ad</v>
      </c>
      <c r="E3670" s="4" t="s">
        <v>78</v>
      </c>
      <c r="F3670" s="4" t="s">
        <v>6765</v>
      </c>
      <c r="G3670" s="4" t="s">
        <v>6828</v>
      </c>
      <c r="H3670" s="4" t="s">
        <v>49</v>
      </c>
      <c r="I3670" s="4" t="s">
        <v>6768</v>
      </c>
      <c r="J3670" s="4" t="s">
        <v>78</v>
      </c>
      <c r="K3670" s="5" t="str">
        <f>HYPERLINK("https://media.licdn.com/dms/image/v2/D4D10AQF_cAk-7d-OHg/image-shrink_1280/image-shrink_1280/0/1729171000285/AccuRanker_Qoute_Saxojpg?e=2147483647&amp;v=beta&amp;t=kBm9Fl-ISIgvF5tOTvaH_y9YaOYT6iUBWLJr7_BsPYw","View Creative")</f>
        <v>View Creative</v>
      </c>
      <c r="L3670" s="4" t="s">
        <v>60</v>
      </c>
      <c r="M3670" s="4" t="s">
        <v>6785</v>
      </c>
      <c r="N3670" s="4" t="s">
        <v>6819</v>
      </c>
      <c r="O3670" s="4" t="s">
        <v>63</v>
      </c>
      <c r="P3670" s="4" t="s">
        <v>64</v>
      </c>
    </row>
    <row r="3671">
      <c r="A3671" s="4" t="s">
        <v>6785</v>
      </c>
      <c r="B3671" s="4" t="s">
        <v>6786</v>
      </c>
      <c r="C3671" s="4">
        <v>60.0</v>
      </c>
      <c r="D3671" s="5" t="str">
        <f>HYPERLINK("https://www.linkedin.com/ad-library/detail/1195811483","Open Ad")</f>
        <v>Open Ad</v>
      </c>
      <c r="E3671" s="4" t="s">
        <v>78</v>
      </c>
      <c r="F3671" s="4" t="s">
        <v>6765</v>
      </c>
      <c r="G3671" s="4" t="s">
        <v>6818</v>
      </c>
      <c r="H3671" s="4" t="s">
        <v>49</v>
      </c>
      <c r="I3671" s="4" t="s">
        <v>6768</v>
      </c>
      <c r="J3671" s="4" t="s">
        <v>78</v>
      </c>
      <c r="K3671" s="5" t="str">
        <f>HYPERLINK("https://media.licdn.com/dms/image/v2/D4D10AQG_YigHOpfhJA/image-shrink_1280/B4DZ0KtyzNKUAg-/0/1774001270319/LinkedinPaid-GlassAtlasQuotepng?e=2147483647&amp;v=beta&amp;t=MJivPxTjCDaTSUOeeYJK4FksEGlNA3bejsaGnVuOPlQ","View Creative")</f>
        <v>View Creative</v>
      </c>
      <c r="L3671" s="4" t="s">
        <v>60</v>
      </c>
      <c r="M3671" s="4" t="s">
        <v>6785</v>
      </c>
      <c r="N3671" s="4" t="s">
        <v>6819</v>
      </c>
      <c r="O3671" s="4" t="s">
        <v>63</v>
      </c>
      <c r="P3671" s="4" t="s">
        <v>64</v>
      </c>
    </row>
    <row r="3672">
      <c r="A3672" s="4" t="s">
        <v>6785</v>
      </c>
      <c r="B3672" s="4" t="s">
        <v>6786</v>
      </c>
      <c r="C3672" s="4">
        <v>61.0</v>
      </c>
      <c r="D3672" s="5" t="str">
        <f>HYPERLINK("https://www.linkedin.com/ad-library/detail/1189517993","Open Ad")</f>
        <v>Open Ad</v>
      </c>
      <c r="E3672" s="4" t="s">
        <v>78</v>
      </c>
      <c r="F3672" s="4" t="s">
        <v>6765</v>
      </c>
      <c r="G3672" s="4" t="s">
        <v>6829</v>
      </c>
      <c r="H3672" s="4" t="s">
        <v>49</v>
      </c>
      <c r="I3672" s="4" t="s">
        <v>6768</v>
      </c>
      <c r="J3672" s="4" t="s">
        <v>78</v>
      </c>
      <c r="K3672" s="5" t="str">
        <f t="shared" ref="K3672:K3673" si="196">HYPERLINK("https://media.licdn.com/dms/image/v2/D4D10AQFcTRlPgYQPsg/image-shrink_1280/B4DZzR4j_zJ4Ac-/0/1773047791949/s360jpg?e=2147483647&amp;v=beta&amp;t=FrEKzGXP3KGdwrtetTRHB6eNhP41TbBA952ZNiXIElI","View Creative")</f>
        <v>View Creative</v>
      </c>
      <c r="L3672" s="4" t="s">
        <v>60</v>
      </c>
      <c r="M3672" s="4" t="s">
        <v>6785</v>
      </c>
      <c r="N3672" s="4" t="s">
        <v>6830</v>
      </c>
      <c r="O3672" s="4" t="s">
        <v>63</v>
      </c>
      <c r="P3672" s="4" t="s">
        <v>64</v>
      </c>
    </row>
    <row r="3673">
      <c r="A3673" s="4" t="s">
        <v>6785</v>
      </c>
      <c r="B3673" s="4" t="s">
        <v>6786</v>
      </c>
      <c r="C3673" s="4">
        <v>62.0</v>
      </c>
      <c r="D3673" s="5" t="str">
        <f>HYPERLINK("https://www.linkedin.com/ad-library/detail/1189917173","Open Ad")</f>
        <v>Open Ad</v>
      </c>
      <c r="E3673" s="4" t="s">
        <v>78</v>
      </c>
      <c r="F3673" s="4" t="s">
        <v>6765</v>
      </c>
      <c r="G3673" s="4" t="s">
        <v>6829</v>
      </c>
      <c r="H3673" s="4" t="s">
        <v>49</v>
      </c>
      <c r="I3673" s="4" t="s">
        <v>6768</v>
      </c>
      <c r="J3673" s="4" t="s">
        <v>78</v>
      </c>
      <c r="K3673" s="5" t="str">
        <f t="shared" si="196"/>
        <v>View Creative</v>
      </c>
      <c r="L3673" s="4" t="s">
        <v>60</v>
      </c>
      <c r="M3673" s="4" t="s">
        <v>6785</v>
      </c>
      <c r="O3673" s="4" t="s">
        <v>63</v>
      </c>
      <c r="P3673" s="4" t="s">
        <v>64</v>
      </c>
    </row>
    <row r="3674">
      <c r="A3674" s="4" t="s">
        <v>6785</v>
      </c>
      <c r="B3674" s="4" t="s">
        <v>6786</v>
      </c>
      <c r="C3674" s="4">
        <v>63.0</v>
      </c>
      <c r="D3674" s="5" t="str">
        <f>HYPERLINK("https://www.linkedin.com/ad-library/detail/1196790293","Open Ad")</f>
        <v>Open Ad</v>
      </c>
      <c r="E3674" s="4" t="s">
        <v>78</v>
      </c>
      <c r="F3674" s="4" t="s">
        <v>6765</v>
      </c>
      <c r="G3674" s="4" t="s">
        <v>6818</v>
      </c>
      <c r="H3674" s="4" t="s">
        <v>49</v>
      </c>
      <c r="I3674" s="4" t="s">
        <v>6768</v>
      </c>
      <c r="J3674" s="4" t="s">
        <v>78</v>
      </c>
      <c r="K3674" s="5" t="str">
        <f>HYPERLINK("https://media.licdn.com/dms/image/v2/D4D10AQGZv3qv-7dS2A/image-shrink_1280/B4DZ0Kt_DGIoAg-/0/1774001320379/LinkedinPaid-EagleEyedDigitalQuote1jpg?e=2147483647&amp;v=beta&amp;t=78PaKBATRE7dEg4X-fO7jwKp3tF7sMAWiHb9Dz3GplI","View Creative")</f>
        <v>View Creative</v>
      </c>
      <c r="L3674" s="4" t="s">
        <v>60</v>
      </c>
      <c r="M3674" s="4" t="s">
        <v>6785</v>
      </c>
      <c r="N3674" s="4" t="s">
        <v>6819</v>
      </c>
      <c r="O3674" s="4" t="s">
        <v>63</v>
      </c>
      <c r="P3674" s="4" t="s">
        <v>64</v>
      </c>
    </row>
    <row r="3675">
      <c r="A3675" s="4" t="s">
        <v>6785</v>
      </c>
      <c r="B3675" s="4" t="s">
        <v>6786</v>
      </c>
      <c r="C3675" s="4">
        <v>64.0</v>
      </c>
      <c r="D3675" s="5" t="str">
        <f>HYPERLINK("https://www.linkedin.com/ad-library/detail/1194348743","Open Ad")</f>
        <v>Open Ad</v>
      </c>
      <c r="E3675" s="4" t="s">
        <v>78</v>
      </c>
      <c r="F3675" s="4" t="s">
        <v>6765</v>
      </c>
      <c r="G3675" s="4" t="s">
        <v>6818</v>
      </c>
      <c r="H3675" s="4" t="s">
        <v>49</v>
      </c>
      <c r="I3675" s="4" t="s">
        <v>6768</v>
      </c>
      <c r="J3675" s="4" t="s">
        <v>78</v>
      </c>
      <c r="K3675" s="5" t="str">
        <f>HYPERLINK("https://media.licdn.com/dms/image/v2/D4D10AQH9YXfAVWDuPw/image-shrink_1280/B4DZ0KtyyuIAAc-/0/1774001270254/LinkedinPaid-SEOSherpaCaseQuotepng?e=2147483647&amp;v=beta&amp;t=XK1pTpij9NW2_OcbwoqcBwyPwqA--N7f3zOfknslxJA","View Creative")</f>
        <v>View Creative</v>
      </c>
      <c r="L3675" s="4" t="s">
        <v>60</v>
      </c>
      <c r="M3675" s="4" t="s">
        <v>6785</v>
      </c>
      <c r="N3675" s="4" t="s">
        <v>6819</v>
      </c>
      <c r="O3675" s="4" t="s">
        <v>63</v>
      </c>
      <c r="P3675" s="4" t="s">
        <v>64</v>
      </c>
    </row>
    <row r="3676">
      <c r="A3676" s="4" t="s">
        <v>6785</v>
      </c>
      <c r="B3676" s="4" t="s">
        <v>6786</v>
      </c>
      <c r="C3676" s="4">
        <v>65.0</v>
      </c>
      <c r="D3676" s="5" t="str">
        <f>HYPERLINK("https://www.linkedin.com/ad-library/detail/1196298573","Open Ad")</f>
        <v>Open Ad</v>
      </c>
      <c r="E3676" s="4" t="s">
        <v>78</v>
      </c>
      <c r="F3676" s="4" t="s">
        <v>6765</v>
      </c>
      <c r="G3676" s="4" t="s">
        <v>6831</v>
      </c>
      <c r="H3676" s="4" t="s">
        <v>49</v>
      </c>
      <c r="I3676" s="4" t="s">
        <v>6768</v>
      </c>
      <c r="J3676" s="4" t="s">
        <v>78</v>
      </c>
      <c r="K3676" s="5" t="str">
        <f>HYPERLINK("https://media.licdn.com/dms/image/v2/D5610AQEpV6JehSeI3A/image-shrink_1280/B56Zh5afxxHUAU-/0/1754383646967/GrumpEscobarImagepng?e=2147483647&amp;v=beta&amp;t=1yljMY63DBOT5XAHyHLZuLJeG68yLEbMvtqgVmA3zh8","View Creative")</f>
        <v>View Creative</v>
      </c>
      <c r="L3676" s="4" t="s">
        <v>60</v>
      </c>
      <c r="M3676" s="4" t="s">
        <v>6785</v>
      </c>
      <c r="N3676" s="4" t="s">
        <v>6819</v>
      </c>
      <c r="O3676" s="4" t="s">
        <v>63</v>
      </c>
      <c r="P3676" s="4" t="s">
        <v>64</v>
      </c>
    </row>
    <row r="3677">
      <c r="A3677" s="4" t="s">
        <v>6785</v>
      </c>
      <c r="B3677" s="4" t="s">
        <v>6786</v>
      </c>
      <c r="C3677" s="4">
        <v>66.0</v>
      </c>
      <c r="D3677" s="5" t="str">
        <f>HYPERLINK("https://www.linkedin.com/ad-library/detail/1193216683","Open Ad")</f>
        <v>Open Ad</v>
      </c>
      <c r="E3677" s="4" t="s">
        <v>78</v>
      </c>
      <c r="F3677" s="4" t="s">
        <v>6765</v>
      </c>
      <c r="G3677" s="4" t="s">
        <v>6827</v>
      </c>
      <c r="H3677" s="4" t="s">
        <v>611</v>
      </c>
      <c r="I3677" s="4" t="s">
        <v>6768</v>
      </c>
      <c r="J3677" s="4" t="s">
        <v>78</v>
      </c>
      <c r="K3677" s="5" t="str">
        <f>HYPERLINK("https://media.licdn.com/dms/image/v2/D4E22AQHFEm31w9vBMw/feedshare-shrink_1280/B4EZzhh9QiJcAM-/0/1773310301543?e=2147483647&amp;v=beta&amp;t=8UJD7ULm3t7aac4zDv0i-kSsW0mQd3pKa82ryQl-YKA","View Creative")</f>
        <v>View Creative</v>
      </c>
      <c r="L3677" s="4" t="s">
        <v>60</v>
      </c>
      <c r="M3677" s="4" t="s">
        <v>6785</v>
      </c>
      <c r="N3677" s="4" t="s">
        <v>6832</v>
      </c>
      <c r="O3677" s="4" t="s">
        <v>63</v>
      </c>
      <c r="P3677" s="4" t="s">
        <v>64</v>
      </c>
    </row>
    <row r="3678">
      <c r="A3678" s="4" t="s">
        <v>6785</v>
      </c>
      <c r="B3678" s="4" t="s">
        <v>6786</v>
      </c>
      <c r="C3678" s="4">
        <v>67.0</v>
      </c>
      <c r="D3678" s="5" t="str">
        <f>HYPERLINK("https://www.linkedin.com/ad-library/detail/1196298563","Open Ad")</f>
        <v>Open Ad</v>
      </c>
      <c r="E3678" s="4" t="s">
        <v>78</v>
      </c>
      <c r="F3678" s="4" t="s">
        <v>6765</v>
      </c>
      <c r="G3678" s="4" t="s">
        <v>6833</v>
      </c>
      <c r="H3678" s="4" t="s">
        <v>49</v>
      </c>
      <c r="I3678" s="4" t="s">
        <v>6768</v>
      </c>
      <c r="J3678" s="4" t="s">
        <v>78</v>
      </c>
      <c r="K3678" s="5" t="str">
        <f>HYPERLINK("https://media.licdn.com/dms/image/v2/D4D10AQEN1xXAAmII0w/image-shrink_1280/B4DZjmN70VIEAM-/0/1756209070122/Old-Magnusjpg?e=2147483647&amp;v=beta&amp;t=uGsrcGjae2D5ILKsyDAbdYGQ0Aw9KyOZoaKcYMU4ins","View Creative")</f>
        <v>View Creative</v>
      </c>
      <c r="L3678" s="4" t="s">
        <v>60</v>
      </c>
      <c r="M3678" s="4" t="s">
        <v>6785</v>
      </c>
      <c r="N3678" s="4" t="s">
        <v>6819</v>
      </c>
      <c r="O3678" s="4" t="s">
        <v>63</v>
      </c>
      <c r="P3678" s="4" t="s">
        <v>64</v>
      </c>
    </row>
    <row r="3679">
      <c r="A3679" s="4" t="s">
        <v>6785</v>
      </c>
      <c r="B3679" s="4" t="s">
        <v>6786</v>
      </c>
      <c r="C3679" s="4">
        <v>68.0</v>
      </c>
      <c r="D3679" s="5" t="str">
        <f>HYPERLINK("https://www.linkedin.com/ad-library/detail/1196298843","Open Ad")</f>
        <v>Open Ad</v>
      </c>
      <c r="E3679" s="4" t="s">
        <v>78</v>
      </c>
      <c r="F3679" s="4" t="s">
        <v>6765</v>
      </c>
      <c r="G3679" s="4" t="s">
        <v>6818</v>
      </c>
      <c r="H3679" s="4" t="s">
        <v>49</v>
      </c>
      <c r="I3679" s="4" t="s">
        <v>6768</v>
      </c>
      <c r="J3679" s="4" t="s">
        <v>78</v>
      </c>
      <c r="K3679" s="5" t="str">
        <f>HYPERLINK("https://media.licdn.com/dms/image/v2/D4D10AQG15CDDecIdsw/image-shrink_1280/B4DZ0Kt_DQIAAc-/0/1774001320516/LinkedinPaid-MarwickMarketingCaseQuotepng?e=2147483647&amp;v=beta&amp;t=Y0MlDukbISBpNlQp4iFYOyfZwuU0kj3naWBH4O1wGUM","View Creative")</f>
        <v>View Creative</v>
      </c>
      <c r="L3679" s="4" t="s">
        <v>60</v>
      </c>
      <c r="M3679" s="4" t="s">
        <v>6785</v>
      </c>
      <c r="N3679" s="4" t="s">
        <v>6823</v>
      </c>
      <c r="O3679" s="4" t="s">
        <v>63</v>
      </c>
      <c r="P3679" s="4" t="s">
        <v>64</v>
      </c>
    </row>
    <row r="3680">
      <c r="A3680" s="4" t="s">
        <v>6785</v>
      </c>
      <c r="B3680" s="4" t="s">
        <v>6786</v>
      </c>
      <c r="C3680" s="4">
        <v>69.0</v>
      </c>
      <c r="D3680" s="5" t="str">
        <f>HYPERLINK("https://www.linkedin.com/ad-library/detail/1199083643","Open Ad")</f>
        <v>Open Ad</v>
      </c>
      <c r="E3680" s="4" t="s">
        <v>78</v>
      </c>
      <c r="F3680" s="4" t="s">
        <v>6765</v>
      </c>
      <c r="G3680" s="4" t="s">
        <v>6834</v>
      </c>
      <c r="H3680" s="4" t="s">
        <v>49</v>
      </c>
      <c r="I3680" s="4" t="s">
        <v>6768</v>
      </c>
      <c r="J3680" s="4" t="s">
        <v>78</v>
      </c>
      <c r="K3680" s="5" t="str">
        <f>HYPERLINK("https://media.licdn.com/dms/image/v2/D4D10AQGmnGhpymXraQ/image-shrink_1280/B4DZ0qCnrjIAAc-/0/1774526823411/1774342564269jpg?e=2147483647&amp;v=beta&amp;t=oJdPB_xNTBxEkcDb7JzTWh_aF_fr1i3SNj--CaoEjHQ","View Creative")</f>
        <v>View Creative</v>
      </c>
      <c r="L3680" s="4" t="s">
        <v>60</v>
      </c>
      <c r="M3680" s="4" t="s">
        <v>6785</v>
      </c>
      <c r="O3680" s="4" t="s">
        <v>63</v>
      </c>
      <c r="P3680" s="4" t="s">
        <v>64</v>
      </c>
    </row>
    <row r="3681">
      <c r="A3681" s="4" t="s">
        <v>6785</v>
      </c>
      <c r="B3681" s="4" t="s">
        <v>6786</v>
      </c>
      <c r="C3681" s="4">
        <v>70.0</v>
      </c>
      <c r="D3681" s="5" t="str">
        <f>HYPERLINK("https://www.linkedin.com/ad-library/detail/1194480473","Open Ad")</f>
        <v>Open Ad</v>
      </c>
      <c r="E3681" s="4" t="s">
        <v>78</v>
      </c>
      <c r="F3681" s="4" t="s">
        <v>6765</v>
      </c>
      <c r="G3681" s="4" t="s">
        <v>6820</v>
      </c>
      <c r="H3681" s="4" t="s">
        <v>49</v>
      </c>
      <c r="I3681" s="4" t="s">
        <v>6768</v>
      </c>
      <c r="J3681" s="4" t="s">
        <v>78</v>
      </c>
      <c r="K3681" s="5" t="str">
        <f>HYPERLINK("https://media.licdn.com/dms/image/v2/D4D10AQGha_u6oYcMjQ/image-shrink_800/B4DZzmOEC1IMAk-/0/1773388972488/1773308733266jpg?e=2147483647&amp;v=beta&amp;t=AqN5T1IyW__1o1ra_gpu2HaOISOWcpu_NS17P-hxn7A","View Creative")</f>
        <v>View Creative</v>
      </c>
      <c r="L3681" s="4" t="s">
        <v>60</v>
      </c>
      <c r="M3681" s="4" t="s">
        <v>6785</v>
      </c>
      <c r="O3681" s="4" t="s">
        <v>63</v>
      </c>
      <c r="P3681" s="4" t="s">
        <v>64</v>
      </c>
    </row>
    <row r="3682">
      <c r="A3682" s="4" t="s">
        <v>6785</v>
      </c>
      <c r="B3682" s="4" t="s">
        <v>6786</v>
      </c>
      <c r="C3682" s="4">
        <v>71.0</v>
      </c>
      <c r="D3682" s="5" t="str">
        <f>HYPERLINK("https://www.linkedin.com/ad-library/detail/1199583503","Open Ad")</f>
        <v>Open Ad</v>
      </c>
      <c r="E3682" s="4" t="s">
        <v>78</v>
      </c>
      <c r="F3682" s="4" t="s">
        <v>6765</v>
      </c>
      <c r="G3682" s="4" t="s">
        <v>6834</v>
      </c>
      <c r="H3682" s="4" t="s">
        <v>49</v>
      </c>
      <c r="I3682" s="4" t="s">
        <v>6768</v>
      </c>
      <c r="J3682" s="4" t="s">
        <v>78</v>
      </c>
      <c r="K3682" s="5" t="str">
        <f>HYPERLINK("https://media.licdn.com/dms/image/v2/D4D10AQGmnGhpymXraQ/image-shrink_1280/B4DZ0qCnrjIAAc-/0/1774526823411/1774342564269jpg?e=2147483647&amp;v=beta&amp;t=oJdPB_xNTBxEkcDb7JzTWh_aF_fr1i3SNj--CaoEjHQ","View Creative")</f>
        <v>View Creative</v>
      </c>
      <c r="L3682" s="4" t="s">
        <v>60</v>
      </c>
      <c r="M3682" s="4" t="s">
        <v>6785</v>
      </c>
      <c r="N3682" s="4" t="s">
        <v>6835</v>
      </c>
      <c r="O3682" s="4" t="s">
        <v>63</v>
      </c>
      <c r="P3682" s="4" t="s">
        <v>64</v>
      </c>
    </row>
    <row r="3683">
      <c r="A3683" s="4" t="s">
        <v>6785</v>
      </c>
      <c r="B3683" s="4" t="s">
        <v>6786</v>
      </c>
      <c r="C3683" s="4">
        <v>72.0</v>
      </c>
      <c r="D3683" s="5" t="str">
        <f>HYPERLINK("https://www.linkedin.com/ad-library/detail/1199522383","Open Ad")</f>
        <v>Open Ad</v>
      </c>
      <c r="E3683" s="4" t="s">
        <v>78</v>
      </c>
      <c r="F3683" s="4" t="s">
        <v>6765</v>
      </c>
      <c r="G3683" s="4" t="s">
        <v>6817</v>
      </c>
      <c r="H3683" s="4" t="s">
        <v>49</v>
      </c>
      <c r="I3683" s="4" t="s">
        <v>6768</v>
      </c>
      <c r="J3683" s="4" t="s">
        <v>78</v>
      </c>
      <c r="K3683" s="5" t="str">
        <f>HYPERLINK("https://media.licdn.com/dms/image/v2/D4E22AQGljfdWmEq1bA/feedshare-image-high-res/B4EZ09qDo3HYAY-/0/1774855928689?e=2147483647&amp;v=beta&amp;t=_ZU5SeLUZQaEr7D4MCztUiy-Ox6ON_SDJmk3uHLQjv0","View Creative")</f>
        <v>View Creative</v>
      </c>
      <c r="L3683" s="4" t="s">
        <v>60</v>
      </c>
      <c r="M3683" s="4" t="s">
        <v>6785</v>
      </c>
      <c r="N3683" s="4" t="s">
        <v>6836</v>
      </c>
      <c r="O3683" s="4" t="s">
        <v>63</v>
      </c>
      <c r="P3683" s="4" t="s">
        <v>64</v>
      </c>
    </row>
    <row r="3684">
      <c r="A3684" s="4" t="s">
        <v>6785</v>
      </c>
      <c r="B3684" s="4" t="s">
        <v>6786</v>
      </c>
      <c r="C3684" s="4">
        <v>73.0</v>
      </c>
      <c r="D3684" s="5" t="str">
        <f>HYPERLINK("https://www.linkedin.com/ad-library/detail/1162590603","Open Ad")</f>
        <v>Open Ad</v>
      </c>
      <c r="E3684" s="4" t="s">
        <v>78</v>
      </c>
      <c r="F3684" s="4" t="s">
        <v>6765</v>
      </c>
      <c r="G3684" s="8" t="s">
        <v>6837</v>
      </c>
      <c r="H3684" s="4" t="s">
        <v>49</v>
      </c>
      <c r="I3684" s="4" t="s">
        <v>6768</v>
      </c>
      <c r="J3684" s="4" t="s">
        <v>78</v>
      </c>
      <c r="K3684" s="5" t="str">
        <f>HYPERLINK("https://media.licdn.com/dms/image/v2/D4E22AQEt_Q8WxBO1cw/feedshare-shrink_1280/B4EZv.gsY4G0Ac-/0/1769501542243?e=2147483647&amp;v=beta&amp;t=SWfB_kwis4qL-PKgq8oEpQkUPN7ek5agSfcNlixh-5s","View Creative")</f>
        <v>View Creative</v>
      </c>
      <c r="L3684" s="4" t="s">
        <v>60</v>
      </c>
      <c r="M3684" s="4" t="s">
        <v>6785</v>
      </c>
      <c r="N3684" s="4" t="s">
        <v>6838</v>
      </c>
      <c r="O3684" s="4" t="s">
        <v>63</v>
      </c>
      <c r="P3684" s="4" t="s">
        <v>64</v>
      </c>
    </row>
    <row r="3685">
      <c r="A3685" s="4" t="s">
        <v>6785</v>
      </c>
      <c r="B3685" s="4" t="s">
        <v>6786</v>
      </c>
      <c r="C3685" s="4">
        <v>74.0</v>
      </c>
      <c r="D3685" s="5" t="str">
        <f>HYPERLINK("https://www.linkedin.com/ad-library/detail/1189909593","Open Ad")</f>
        <v>Open Ad</v>
      </c>
      <c r="E3685" s="4" t="s">
        <v>78</v>
      </c>
      <c r="F3685" s="4" t="s">
        <v>6765</v>
      </c>
      <c r="G3685" s="4" t="s">
        <v>6839</v>
      </c>
      <c r="H3685" s="4" t="s">
        <v>49</v>
      </c>
      <c r="I3685" s="4" t="s">
        <v>6768</v>
      </c>
      <c r="J3685" s="4" t="s">
        <v>78</v>
      </c>
      <c r="K3685" s="5" t="str">
        <f t="shared" ref="K3685:K3686" si="197">HYPERLINK("https://media.licdn.com/dms/image/v2/D4D10AQF0l7dKezZSTg/image-shrink_800/B4DZzDbDr4GkAg-/0/1772805176334/fromsetuptoinsightsllmjpg?e=2147483647&amp;v=beta&amp;t=NZs9CKccr6aTnluXe2Y2gU628nwcY3g5cKDNkdXUbGI","View Creative")</f>
        <v>View Creative</v>
      </c>
      <c r="L3685" s="4" t="s">
        <v>60</v>
      </c>
      <c r="M3685" s="4" t="s">
        <v>6785</v>
      </c>
      <c r="O3685" s="4" t="s">
        <v>63</v>
      </c>
      <c r="P3685" s="4" t="s">
        <v>64</v>
      </c>
    </row>
    <row r="3686">
      <c r="A3686" s="4" t="s">
        <v>6785</v>
      </c>
      <c r="B3686" s="4" t="s">
        <v>6786</v>
      </c>
      <c r="C3686" s="4">
        <v>75.0</v>
      </c>
      <c r="D3686" s="5" t="str">
        <f>HYPERLINK("https://www.linkedin.com/ad-library/detail/1188210953","Open Ad")</f>
        <v>Open Ad</v>
      </c>
      <c r="E3686" s="4" t="s">
        <v>78</v>
      </c>
      <c r="F3686" s="4" t="s">
        <v>6765</v>
      </c>
      <c r="G3686" s="4" t="s">
        <v>6839</v>
      </c>
      <c r="H3686" s="4" t="s">
        <v>49</v>
      </c>
      <c r="I3686" s="4" t="s">
        <v>6768</v>
      </c>
      <c r="J3686" s="4" t="s">
        <v>78</v>
      </c>
      <c r="K3686" s="5" t="str">
        <f t="shared" si="197"/>
        <v>View Creative</v>
      </c>
      <c r="L3686" s="4" t="s">
        <v>60</v>
      </c>
      <c r="M3686" s="4" t="s">
        <v>6785</v>
      </c>
      <c r="N3686" s="4" t="s">
        <v>6840</v>
      </c>
      <c r="O3686" s="4" t="s">
        <v>63</v>
      </c>
      <c r="P3686" s="4" t="s">
        <v>64</v>
      </c>
    </row>
    <row r="3687">
      <c r="A3687" s="4" t="s">
        <v>6785</v>
      </c>
      <c r="B3687" s="4" t="s">
        <v>6786</v>
      </c>
      <c r="C3687" s="4">
        <v>76.0</v>
      </c>
      <c r="D3687" s="5" t="str">
        <f>HYPERLINK("https://www.linkedin.com/ad-library/detail/1190797093","Open Ad")</f>
        <v>Open Ad</v>
      </c>
      <c r="E3687" s="4" t="s">
        <v>78</v>
      </c>
      <c r="F3687" s="4" t="s">
        <v>6765</v>
      </c>
      <c r="G3687" s="4" t="s">
        <v>6841</v>
      </c>
      <c r="H3687" s="4" t="s">
        <v>6842</v>
      </c>
      <c r="I3687" s="4" t="s">
        <v>6768</v>
      </c>
      <c r="J3687" s="4" t="s">
        <v>78</v>
      </c>
      <c r="K3687" s="5" t="str">
        <f t="shared" ref="K3687:K3688" si="198">HYPERLINK("https://media.licdn.com/dms/image/v2/D4E22AQHpOFxRSXrT_w/feedshare-image-high-res/B4EZy9NAPAH0AU-/0/1772700828911?e=2147483647&amp;v=beta&amp;t=gIUEfVsspEeGgspCF-b0eT-R0F_-e3JHI_e81OS4tp0","View Creative")</f>
        <v>View Creative</v>
      </c>
      <c r="L3687" s="4" t="s">
        <v>60</v>
      </c>
      <c r="M3687" s="4" t="s">
        <v>6785</v>
      </c>
      <c r="N3687" s="4" t="s">
        <v>6843</v>
      </c>
      <c r="O3687" s="4" t="s">
        <v>63</v>
      </c>
      <c r="P3687" s="4" t="s">
        <v>64</v>
      </c>
    </row>
    <row r="3688">
      <c r="A3688" s="4" t="s">
        <v>6785</v>
      </c>
      <c r="B3688" s="4" t="s">
        <v>6786</v>
      </c>
      <c r="C3688" s="4">
        <v>77.0</v>
      </c>
      <c r="D3688" s="5" t="str">
        <f>HYPERLINK("https://www.linkedin.com/ad-library/detail/1190405713","Open Ad")</f>
        <v>Open Ad</v>
      </c>
      <c r="E3688" s="4" t="s">
        <v>78</v>
      </c>
      <c r="F3688" s="4" t="s">
        <v>6765</v>
      </c>
      <c r="G3688" s="4" t="s">
        <v>6841</v>
      </c>
      <c r="H3688" s="4" t="s">
        <v>6842</v>
      </c>
      <c r="I3688" s="4" t="s">
        <v>6768</v>
      </c>
      <c r="J3688" s="4" t="s">
        <v>78</v>
      </c>
      <c r="K3688" s="5" t="str">
        <f t="shared" si="198"/>
        <v>View Creative</v>
      </c>
      <c r="L3688" s="4" t="s">
        <v>60</v>
      </c>
      <c r="M3688" s="4" t="s">
        <v>6785</v>
      </c>
      <c r="O3688" s="4" t="s">
        <v>63</v>
      </c>
      <c r="P3688" s="4" t="s">
        <v>64</v>
      </c>
    </row>
    <row r="3689">
      <c r="A3689" s="4" t="s">
        <v>6785</v>
      </c>
      <c r="B3689" s="4" t="s">
        <v>6786</v>
      </c>
      <c r="C3689" s="4">
        <v>78.0</v>
      </c>
      <c r="D3689" s="5" t="str">
        <f>HYPERLINK("https://www.linkedin.com/ad-library/detail/1189909723","Open Ad")</f>
        <v>Open Ad</v>
      </c>
      <c r="E3689" s="4" t="s">
        <v>78</v>
      </c>
      <c r="F3689" s="4" t="s">
        <v>6765</v>
      </c>
      <c r="G3689" s="4" t="s">
        <v>6826</v>
      </c>
      <c r="H3689" s="4" t="s">
        <v>49</v>
      </c>
      <c r="I3689" s="4" t="s">
        <v>6768</v>
      </c>
      <c r="J3689" s="4" t="s">
        <v>78</v>
      </c>
      <c r="K3689" s="5" t="str">
        <f>HYPERLINK("https://media.licdn.com/dms/image/v2/D4D10AQGvrA2UACNHEQ/image-shrink_1280/B4DZzDd1x3IwAg-/0/1772805905896/TagCloudforLLM-paidpng?e=2147483647&amp;v=beta&amp;t=pCBDvWC7LIQU4231Ah0fAF5iuqdVNWwdOuYLWGynqLE","View Creative")</f>
        <v>View Creative</v>
      </c>
      <c r="L3689" s="4" t="s">
        <v>60</v>
      </c>
      <c r="M3689" s="4" t="s">
        <v>6785</v>
      </c>
      <c r="N3689" s="4" t="s">
        <v>6840</v>
      </c>
      <c r="O3689" s="4" t="s">
        <v>63</v>
      </c>
      <c r="P3689" s="4" t="s">
        <v>64</v>
      </c>
    </row>
    <row r="3690">
      <c r="A3690" s="4" t="s">
        <v>6785</v>
      </c>
      <c r="B3690" s="4" t="s">
        <v>6786</v>
      </c>
      <c r="C3690" s="4">
        <v>79.0</v>
      </c>
      <c r="D3690" s="5" t="str">
        <f>HYPERLINK("https://www.linkedin.com/ad-library/detail/1190899813","Open Ad")</f>
        <v>Open Ad</v>
      </c>
      <c r="E3690" s="4" t="s">
        <v>78</v>
      </c>
      <c r="F3690" s="4" t="s">
        <v>6765</v>
      </c>
      <c r="G3690" s="4" t="s">
        <v>6844</v>
      </c>
      <c r="H3690" s="4" t="s">
        <v>49</v>
      </c>
      <c r="I3690" s="4" t="s">
        <v>6768</v>
      </c>
      <c r="J3690" s="4" t="s">
        <v>78</v>
      </c>
      <c r="K3690" s="5" t="str">
        <f>HYPERLINK("https://media.licdn.com/dms/image/v2/D4D10AQE92TvWjxvc2w/image-shrink_1280/B4DZzDYPUwGkAc-/0/1772804437589/LLMlookerbigqueryjpg?e=2147483647&amp;v=beta&amp;t=OMrgK-SCMtzIxg-pKPXWzq1fNc5M6Nj-X7h3SaMRzgk","View Creative")</f>
        <v>View Creative</v>
      </c>
      <c r="L3690" s="4" t="s">
        <v>60</v>
      </c>
      <c r="M3690" s="4" t="s">
        <v>6785</v>
      </c>
      <c r="O3690" s="4" t="s">
        <v>63</v>
      </c>
      <c r="P3690" s="4" t="s">
        <v>64</v>
      </c>
    </row>
    <row r="3691">
      <c r="A3691" s="4" t="s">
        <v>6785</v>
      </c>
      <c r="B3691" s="4" t="s">
        <v>6786</v>
      </c>
      <c r="C3691" s="4">
        <v>80.0</v>
      </c>
      <c r="D3691" s="5" t="str">
        <f>HYPERLINK("https://www.linkedin.com/ad-library/detail/1183691163","Open Ad")</f>
        <v>Open Ad</v>
      </c>
      <c r="E3691" s="4" t="s">
        <v>78</v>
      </c>
      <c r="F3691" s="4" t="s">
        <v>6765</v>
      </c>
      <c r="G3691" s="4" t="s">
        <v>6845</v>
      </c>
      <c r="H3691" s="4" t="s">
        <v>49</v>
      </c>
      <c r="I3691" s="4" t="s">
        <v>6768</v>
      </c>
      <c r="J3691" s="4" t="s">
        <v>78</v>
      </c>
      <c r="K3691" s="5" t="str">
        <f>HYPERLINK("https://media.licdn.com/dms/image/v2/D4D22AQFjEesqWmWuNw/feedshare-shrink_1280/B4DZyakWpRG0Ag-/0/1772119747537?e=2147483647&amp;v=beta&amp;t=C5SlqXNE-mHu4aLx09KBd3uTwoIH2w13qoenzqf6grs","View Creative")</f>
        <v>View Creative</v>
      </c>
      <c r="L3691" s="4" t="s">
        <v>60</v>
      </c>
      <c r="M3691" s="4" t="s">
        <v>6785</v>
      </c>
      <c r="O3691" s="4" t="s">
        <v>63</v>
      </c>
      <c r="P3691" s="4" t="s">
        <v>64</v>
      </c>
    </row>
    <row r="3692">
      <c r="A3692" s="4" t="s">
        <v>6785</v>
      </c>
      <c r="B3692" s="4" t="s">
        <v>6786</v>
      </c>
      <c r="C3692" s="4">
        <v>81.0</v>
      </c>
      <c r="D3692" s="5" t="str">
        <f>HYPERLINK("https://www.linkedin.com/ad-library/detail/1177081403","Open Ad")</f>
        <v>Open Ad</v>
      </c>
      <c r="E3692" s="4" t="s">
        <v>78</v>
      </c>
      <c r="F3692" s="4" t="s">
        <v>6765</v>
      </c>
      <c r="G3692" s="4" t="s">
        <v>6846</v>
      </c>
      <c r="H3692" s="4" t="s">
        <v>49</v>
      </c>
      <c r="I3692" s="4" t="s">
        <v>6768</v>
      </c>
      <c r="J3692" s="4" t="s">
        <v>78</v>
      </c>
      <c r="K3692" s="5" t="str">
        <f>HYPERLINK("https://media.licdn.com/dms/image/v2/D4D10AQG93KuStnaVRA/image-pad_1200_1200/B4DZsM8cHHIgAM-/0/1765448729449?e=1789480800&amp;v=beta&amp;t=aczPTqM6DaHBlWhr9SRzsJqefVukKdEFIzB7JJYV48k","View Creative")</f>
        <v>View Creative</v>
      </c>
      <c r="L3692" s="4" t="s">
        <v>60</v>
      </c>
      <c r="M3692" s="4" t="s">
        <v>6785</v>
      </c>
      <c r="O3692" s="4" t="s">
        <v>63</v>
      </c>
      <c r="P3692" s="4" t="s">
        <v>64</v>
      </c>
    </row>
    <row r="3693">
      <c r="A3693" s="4" t="s">
        <v>6785</v>
      </c>
      <c r="B3693" s="4" t="s">
        <v>6786</v>
      </c>
      <c r="C3693" s="4">
        <v>82.0</v>
      </c>
      <c r="D3693" s="5" t="str">
        <f>HYPERLINK("https://www.linkedin.com/ad-library/detail/1176547703","Open Ad")</f>
        <v>Open Ad</v>
      </c>
      <c r="E3693" s="4" t="s">
        <v>78</v>
      </c>
      <c r="F3693" s="4" t="s">
        <v>6765</v>
      </c>
      <c r="G3693" s="4" t="s">
        <v>6847</v>
      </c>
      <c r="H3693" s="4" t="s">
        <v>49</v>
      </c>
      <c r="I3693" s="4" t="s">
        <v>6768</v>
      </c>
      <c r="J3693" s="4" t="s">
        <v>78</v>
      </c>
      <c r="K3693" s="5" t="str">
        <f>HYPERLINK("https://media.licdn.com/dms/image/v2/D4E22AQHFXi0RDIfrkA/feedshare-shrink_1280/B4EZxRFTGtJYAg-/0/1770886869703?e=2147483647&amp;v=beta&amp;t=UhoWeYRnOmCoTDjsuAWrCx0MGWIY3UwRaXoocVp4SAo","View Creative")</f>
        <v>View Creative</v>
      </c>
      <c r="L3693" s="4" t="s">
        <v>60</v>
      </c>
      <c r="M3693" s="4" t="s">
        <v>6785</v>
      </c>
      <c r="N3693" s="4" t="s">
        <v>6848</v>
      </c>
      <c r="O3693" s="4" t="s">
        <v>63</v>
      </c>
      <c r="P3693" s="4" t="s">
        <v>64</v>
      </c>
    </row>
    <row r="3694">
      <c r="A3694" s="4" t="s">
        <v>6785</v>
      </c>
      <c r="B3694" s="4" t="s">
        <v>6786</v>
      </c>
      <c r="C3694" s="4">
        <v>83.0</v>
      </c>
      <c r="D3694" s="5" t="str">
        <f>HYPERLINK("https://www.linkedin.com/ad-library/detail/1185585303","Open Ad")</f>
        <v>Open Ad</v>
      </c>
      <c r="E3694" s="4" t="s">
        <v>78</v>
      </c>
      <c r="F3694" s="4" t="s">
        <v>6765</v>
      </c>
      <c r="G3694" s="4" t="s">
        <v>6849</v>
      </c>
      <c r="H3694" s="4" t="s">
        <v>49</v>
      </c>
      <c r="I3694" s="4" t="s">
        <v>6768</v>
      </c>
      <c r="J3694" s="4" t="s">
        <v>78</v>
      </c>
      <c r="K3694" s="5" t="str">
        <f>HYPERLINK("https://media.licdn.com/dms/image/v2/D4D10AQGta_PrRamZnA/image-shrink_1280/B4DZyusGBNIUAc-/0/1772457320998/Linkedinpost-OuterboxCase1png?e=2147483647&amp;v=beta&amp;t=1mckf_n--Lny3wV62VpEd8ea60i5oHYh5qIbb0Celvk","View Creative")</f>
        <v>View Creative</v>
      </c>
      <c r="L3694" s="4" t="s">
        <v>60</v>
      </c>
      <c r="M3694" s="4" t="s">
        <v>6785</v>
      </c>
      <c r="O3694" s="4" t="s">
        <v>63</v>
      </c>
      <c r="P3694" s="4" t="s">
        <v>64</v>
      </c>
    </row>
    <row r="3695">
      <c r="A3695" s="4" t="s">
        <v>6785</v>
      </c>
      <c r="B3695" s="4" t="s">
        <v>6786</v>
      </c>
      <c r="C3695" s="4">
        <v>84.0</v>
      </c>
      <c r="D3695" s="5" t="str">
        <f>HYPERLINK("https://www.linkedin.com/ad-library/detail/1185285433","Open Ad")</f>
        <v>Open Ad</v>
      </c>
      <c r="E3695" s="4" t="s">
        <v>78</v>
      </c>
      <c r="F3695" s="4" t="s">
        <v>6765</v>
      </c>
      <c r="G3695" s="4" t="s">
        <v>6850</v>
      </c>
      <c r="H3695" s="4" t="s">
        <v>49</v>
      </c>
      <c r="I3695" s="4" t="s">
        <v>6768</v>
      </c>
      <c r="J3695" s="4" t="s">
        <v>78</v>
      </c>
      <c r="K3695" s="5" t="str">
        <f>HYPERLINK("https://media.licdn.com/dms/image/v2/D4D10AQHgEStLXZofiw/image-shrink_800/B4DZyuw_T0JUAg-/0/1772458603991/Transactcasejpg?e=2147483647&amp;v=beta&amp;t=LrfHL6Di2Jdy-Rs0FdIeZ61s18qxMRDjytwx9tE_e3o","View Creative")</f>
        <v>View Creative</v>
      </c>
      <c r="L3695" s="4" t="s">
        <v>60</v>
      </c>
      <c r="M3695" s="4" t="s">
        <v>6785</v>
      </c>
      <c r="N3695" s="4" t="s">
        <v>6851</v>
      </c>
      <c r="O3695" s="4" t="s">
        <v>63</v>
      </c>
      <c r="P3695" s="4" t="s">
        <v>64</v>
      </c>
    </row>
    <row r="3696">
      <c r="A3696" s="4" t="s">
        <v>6785</v>
      </c>
      <c r="B3696" s="4" t="s">
        <v>6786</v>
      </c>
      <c r="C3696" s="4">
        <v>85.0</v>
      </c>
      <c r="D3696" s="5" t="str">
        <f>HYPERLINK("https://www.linkedin.com/ad-library/detail/1160690933","Open Ad")</f>
        <v>Open Ad</v>
      </c>
      <c r="E3696" s="4" t="s">
        <v>78</v>
      </c>
      <c r="F3696" s="4" t="s">
        <v>6765</v>
      </c>
      <c r="G3696" s="8" t="s">
        <v>6837</v>
      </c>
      <c r="H3696" s="4" t="s">
        <v>49</v>
      </c>
      <c r="I3696" s="4" t="s">
        <v>6768</v>
      </c>
      <c r="J3696" s="4" t="s">
        <v>78</v>
      </c>
      <c r="K3696" s="5" t="str">
        <f>HYPERLINK("https://media.licdn.com/dms/image/v2/D4E22AQEt_Q8WxBO1cw/feedshare-shrink_1280/B4EZv.gsY4G0Ac-/0/1769501542243?e=2147483647&amp;v=beta&amp;t=SWfB_kwis4qL-PKgq8oEpQkUPN7ek5agSfcNlixh-5s","View Creative")</f>
        <v>View Creative</v>
      </c>
      <c r="L3696" s="4" t="s">
        <v>60</v>
      </c>
      <c r="M3696" s="4" t="s">
        <v>6785</v>
      </c>
      <c r="O3696" s="4" t="s">
        <v>63</v>
      </c>
      <c r="P3696" s="4" t="s">
        <v>64</v>
      </c>
    </row>
    <row r="3697">
      <c r="A3697" s="4" t="s">
        <v>6785</v>
      </c>
      <c r="B3697" s="4" t="s">
        <v>6786</v>
      </c>
      <c r="C3697" s="4">
        <v>86.0</v>
      </c>
      <c r="D3697" s="5" t="str">
        <f>HYPERLINK("https://www.linkedin.com/ad-library/detail/1182791823","Open Ad")</f>
        <v>Open Ad</v>
      </c>
      <c r="E3697" s="4" t="s">
        <v>78</v>
      </c>
      <c r="F3697" s="4" t="s">
        <v>6765</v>
      </c>
      <c r="G3697" s="4" t="s">
        <v>6845</v>
      </c>
      <c r="H3697" s="4" t="s">
        <v>49</v>
      </c>
      <c r="I3697" s="4" t="s">
        <v>6768</v>
      </c>
      <c r="J3697" s="4" t="s">
        <v>78</v>
      </c>
      <c r="K3697" s="5" t="str">
        <f>HYPERLINK("https://media.licdn.com/dms/image/v2/D4D22AQFjEesqWmWuNw/feedshare-shrink_1280/B4DZyakWpRG0Ag-/0/1772119747537?e=2147483647&amp;v=beta&amp;t=C5SlqXNE-mHu4aLx09KBd3uTwoIH2w13qoenzqf6grs","View Creative")</f>
        <v>View Creative</v>
      </c>
      <c r="L3697" s="4" t="s">
        <v>60</v>
      </c>
      <c r="M3697" s="4" t="s">
        <v>6785</v>
      </c>
      <c r="N3697" s="4" t="s">
        <v>6852</v>
      </c>
      <c r="O3697" s="4" t="s">
        <v>63</v>
      </c>
      <c r="P3697" s="4" t="s">
        <v>64</v>
      </c>
    </row>
    <row r="3698">
      <c r="A3698" s="4" t="s">
        <v>6785</v>
      </c>
      <c r="B3698" s="4" t="s">
        <v>6786</v>
      </c>
      <c r="C3698" s="4">
        <v>87.0</v>
      </c>
      <c r="D3698" s="5" t="str">
        <f>HYPERLINK("https://www.linkedin.com/ad-library/detail/1162490753","Open Ad")</f>
        <v>Open Ad</v>
      </c>
      <c r="E3698" s="4" t="s">
        <v>78</v>
      </c>
      <c r="F3698" s="4" t="s">
        <v>6765</v>
      </c>
      <c r="G3698" s="8" t="s">
        <v>6837</v>
      </c>
      <c r="H3698" s="4" t="s">
        <v>49</v>
      </c>
      <c r="I3698" s="4" t="s">
        <v>6768</v>
      </c>
      <c r="J3698" s="4" t="s">
        <v>78</v>
      </c>
      <c r="K3698" s="5" t="str">
        <f>HYPERLINK("https://media.licdn.com/dms/image/v2/D4E22AQEt_Q8WxBO1cw/feedshare-shrink_1280/B4EZv.gsY4G0Ac-/0/1769501542243?e=2147483647&amp;v=beta&amp;t=SWfB_kwis4qL-PKgq8oEpQkUPN7ek5agSfcNlixh-5s","View Creative")</f>
        <v>View Creative</v>
      </c>
      <c r="L3698" s="4" t="s">
        <v>60</v>
      </c>
      <c r="M3698" s="4" t="s">
        <v>6785</v>
      </c>
      <c r="N3698" s="4" t="s">
        <v>6838</v>
      </c>
      <c r="O3698" s="4" t="s">
        <v>63</v>
      </c>
      <c r="P3698" s="4" t="s">
        <v>64</v>
      </c>
    </row>
    <row r="3699">
      <c r="A3699" s="4" t="s">
        <v>6785</v>
      </c>
      <c r="B3699" s="4" t="s">
        <v>6786</v>
      </c>
      <c r="C3699" s="4">
        <v>88.0</v>
      </c>
      <c r="D3699" s="5" t="str">
        <f>HYPERLINK("https://www.linkedin.com/ad-library/detail/1191191963","Open Ad")</f>
        <v>Open Ad</v>
      </c>
      <c r="E3699" s="4" t="s">
        <v>78</v>
      </c>
      <c r="F3699" s="4" t="s">
        <v>6765</v>
      </c>
      <c r="G3699" s="4" t="s">
        <v>6844</v>
      </c>
      <c r="H3699" s="4" t="s">
        <v>49</v>
      </c>
      <c r="I3699" s="4" t="s">
        <v>6768</v>
      </c>
      <c r="J3699" s="4" t="s">
        <v>78</v>
      </c>
      <c r="K3699" s="5" t="str">
        <f>HYPERLINK("https://media.licdn.com/dms/image/v2/D4D10AQE92TvWjxvc2w/image-shrink_1280/B4DZzDYPUwGkAc-/0/1772804437589/LLMlookerbigqueryjpg?e=2147483647&amp;v=beta&amp;t=OMrgK-SCMtzIxg-pKPXWzq1fNc5M6Nj-X7h3SaMRzgk","View Creative")</f>
        <v>View Creative</v>
      </c>
      <c r="L3699" s="4" t="s">
        <v>60</v>
      </c>
      <c r="M3699" s="4" t="s">
        <v>6785</v>
      </c>
      <c r="N3699" s="4" t="s">
        <v>6840</v>
      </c>
      <c r="O3699" s="4" t="s">
        <v>63</v>
      </c>
      <c r="P3699" s="4" t="s">
        <v>64</v>
      </c>
    </row>
    <row r="3700">
      <c r="A3700" s="4" t="s">
        <v>6785</v>
      </c>
      <c r="B3700" s="4" t="s">
        <v>6786</v>
      </c>
      <c r="C3700" s="4">
        <v>89.0</v>
      </c>
      <c r="D3700" s="5" t="str">
        <f>HYPERLINK("https://www.linkedin.com/ad-library/detail/1185585483","Open Ad")</f>
        <v>Open Ad</v>
      </c>
      <c r="E3700" s="4" t="s">
        <v>78</v>
      </c>
      <c r="F3700" s="4" t="s">
        <v>6765</v>
      </c>
      <c r="G3700" s="4" t="s">
        <v>6853</v>
      </c>
      <c r="H3700" s="4" t="s">
        <v>49</v>
      </c>
      <c r="I3700" s="4" t="s">
        <v>6768</v>
      </c>
      <c r="J3700" s="4" t="s">
        <v>78</v>
      </c>
      <c r="K3700" s="5" t="str">
        <f>HYPERLINK("https://media.licdn.com/dms/image/v2/D4D10AQEg57bVUJS6sQ/image-shrink_800/B4DZyuu70bHIAg-/0/1772458065607/SEOsherpajpg?e=2147483647&amp;v=beta&amp;t=PRyb_DW7HZ8EW1rp1VUIHxxQ7HT0p9taXFvTucRqzWE","View Creative")</f>
        <v>View Creative</v>
      </c>
      <c r="L3700" s="4" t="s">
        <v>60</v>
      </c>
      <c r="M3700" s="4" t="s">
        <v>6785</v>
      </c>
      <c r="N3700" s="4" t="s">
        <v>6851</v>
      </c>
      <c r="O3700" s="4" t="s">
        <v>63</v>
      </c>
      <c r="P3700" s="4" t="s">
        <v>64</v>
      </c>
    </row>
    <row r="3701">
      <c r="A3701" s="4" t="s">
        <v>6785</v>
      </c>
      <c r="B3701" s="4" t="s">
        <v>6786</v>
      </c>
      <c r="C3701" s="4">
        <v>90.0</v>
      </c>
      <c r="D3701" s="5" t="str">
        <f>HYPERLINK("https://www.linkedin.com/ad-library/detail/1178221513","Open Ad")</f>
        <v>Open Ad</v>
      </c>
      <c r="E3701" s="4" t="s">
        <v>78</v>
      </c>
      <c r="F3701" s="4" t="s">
        <v>6765</v>
      </c>
      <c r="G3701" s="4" t="s">
        <v>6847</v>
      </c>
      <c r="H3701" s="4" t="s">
        <v>49</v>
      </c>
      <c r="I3701" s="4" t="s">
        <v>6768</v>
      </c>
      <c r="J3701" s="4" t="s">
        <v>78</v>
      </c>
      <c r="K3701" s="5" t="str">
        <f>HYPERLINK("https://media.licdn.com/dms/image/v2/D4E22AQHFXi0RDIfrkA/feedshare-shrink_1280/B4EZxRFTGtJYAg-/0/1770886869703?e=2147483647&amp;v=beta&amp;t=UhoWeYRnOmCoTDjsuAWrCx0MGWIY3UwRaXoocVp4SAo","View Creative")</f>
        <v>View Creative</v>
      </c>
      <c r="L3701" s="4" t="s">
        <v>60</v>
      </c>
      <c r="M3701" s="4" t="s">
        <v>6785</v>
      </c>
      <c r="O3701" s="4" t="s">
        <v>63</v>
      </c>
      <c r="P3701" s="4" t="s">
        <v>64</v>
      </c>
    </row>
    <row r="3702">
      <c r="A3702" s="4" t="s">
        <v>6785</v>
      </c>
      <c r="B3702" s="4" t="s">
        <v>6786</v>
      </c>
      <c r="C3702" s="4">
        <v>91.0</v>
      </c>
      <c r="D3702" s="5" t="str">
        <f>HYPERLINK("https://www.linkedin.com/ad-library/detail/1161491403","Open Ad")</f>
        <v>Open Ad</v>
      </c>
      <c r="E3702" s="4" t="s">
        <v>78</v>
      </c>
      <c r="F3702" s="4" t="s">
        <v>6765</v>
      </c>
      <c r="G3702" s="8" t="s">
        <v>6837</v>
      </c>
      <c r="H3702" s="4" t="s">
        <v>49</v>
      </c>
      <c r="I3702" s="4" t="s">
        <v>6768</v>
      </c>
      <c r="J3702" s="4" t="s">
        <v>78</v>
      </c>
      <c r="K3702" s="5" t="str">
        <f>HYPERLINK("https://media.licdn.com/dms/image/v2/D4E22AQEt_Q8WxBO1cw/feedshare-shrink_1280/B4EZv.gsY4G0Ac-/0/1769501542243?e=2147483647&amp;v=beta&amp;t=SWfB_kwis4qL-PKgq8oEpQkUPN7ek5agSfcNlixh-5s","View Creative")</f>
        <v>View Creative</v>
      </c>
      <c r="L3702" s="4" t="s">
        <v>60</v>
      </c>
      <c r="M3702" s="4" t="s">
        <v>6785</v>
      </c>
      <c r="O3702" s="4" t="s">
        <v>63</v>
      </c>
      <c r="P3702" s="4" t="s">
        <v>64</v>
      </c>
    </row>
    <row r="3703">
      <c r="A3703" s="4" t="s">
        <v>6785</v>
      </c>
      <c r="B3703" s="4" t="s">
        <v>6786</v>
      </c>
      <c r="C3703" s="4">
        <v>92.0</v>
      </c>
      <c r="D3703" s="5" t="str">
        <f>HYPERLINK("https://www.linkedin.com/ad-library/detail/1185885563","Open Ad")</f>
        <v>Open Ad</v>
      </c>
      <c r="E3703" s="4" t="s">
        <v>78</v>
      </c>
      <c r="F3703" s="4" t="s">
        <v>6765</v>
      </c>
      <c r="G3703" s="4" t="s">
        <v>6853</v>
      </c>
      <c r="H3703" s="4" t="s">
        <v>49</v>
      </c>
      <c r="I3703" s="4" t="s">
        <v>6768</v>
      </c>
      <c r="J3703" s="4" t="s">
        <v>78</v>
      </c>
      <c r="K3703" s="5" t="str">
        <f>HYPERLINK("https://media.licdn.com/dms/image/v2/D4D10AQEg57bVUJS6sQ/image-shrink_800/B4DZyuu70bHIAg-/0/1772458065607/SEOsherpajpg?e=2147483647&amp;v=beta&amp;t=PRyb_DW7HZ8EW1rp1VUIHxxQ7HT0p9taXFvTucRqzWE","View Creative")</f>
        <v>View Creative</v>
      </c>
      <c r="L3703" s="4" t="s">
        <v>60</v>
      </c>
      <c r="M3703" s="4" t="s">
        <v>6785</v>
      </c>
      <c r="O3703" s="4" t="s">
        <v>63</v>
      </c>
      <c r="P3703" s="4" t="s">
        <v>64</v>
      </c>
    </row>
    <row r="3704">
      <c r="A3704" s="4" t="s">
        <v>6785</v>
      </c>
      <c r="B3704" s="4" t="s">
        <v>6786</v>
      </c>
      <c r="C3704" s="4">
        <v>93.0</v>
      </c>
      <c r="D3704" s="5" t="str">
        <f>HYPERLINK("https://www.linkedin.com/ad-library/detail/1184486333","Open Ad")</f>
        <v>Open Ad</v>
      </c>
      <c r="E3704" s="4" t="s">
        <v>78</v>
      </c>
      <c r="F3704" s="4" t="s">
        <v>6765</v>
      </c>
      <c r="G3704" s="4" t="s">
        <v>6850</v>
      </c>
      <c r="H3704" s="4" t="s">
        <v>49</v>
      </c>
      <c r="I3704" s="4" t="s">
        <v>6768</v>
      </c>
      <c r="J3704" s="4" t="s">
        <v>78</v>
      </c>
      <c r="K3704" s="5" t="str">
        <f>HYPERLINK("https://media.licdn.com/dms/image/v2/D4D10AQHgEStLXZofiw/image-shrink_800/B4DZyuw_T0JUAg-/0/1772458603991/Transactcasejpg?e=2147483647&amp;v=beta&amp;t=LrfHL6Di2Jdy-Rs0FdIeZ61s18qxMRDjytwx9tE_e3o","View Creative")</f>
        <v>View Creative</v>
      </c>
      <c r="L3704" s="4" t="s">
        <v>60</v>
      </c>
      <c r="M3704" s="4" t="s">
        <v>6785</v>
      </c>
      <c r="O3704" s="4" t="s">
        <v>63</v>
      </c>
      <c r="P3704" s="4" t="s">
        <v>64</v>
      </c>
    </row>
    <row r="3705">
      <c r="A3705" s="4" t="s">
        <v>6785</v>
      </c>
      <c r="B3705" s="4" t="s">
        <v>6786</v>
      </c>
      <c r="C3705" s="4">
        <v>94.0</v>
      </c>
      <c r="D3705" s="5" t="str">
        <f>HYPERLINK("https://www.linkedin.com/ad-library/detail/1190507313","Open Ad")</f>
        <v>Open Ad</v>
      </c>
      <c r="E3705" s="4" t="s">
        <v>78</v>
      </c>
      <c r="F3705" s="4" t="s">
        <v>6765</v>
      </c>
      <c r="G3705" s="4" t="s">
        <v>6854</v>
      </c>
      <c r="H3705" s="4" t="s">
        <v>49</v>
      </c>
      <c r="I3705" s="4" t="s">
        <v>6768</v>
      </c>
      <c r="J3705" s="4" t="s">
        <v>78</v>
      </c>
      <c r="K3705" s="5" t="str">
        <f>HYPERLINK("https://media.licdn.com/dms/image/v2/D4D10AQEAuLFYDuJKRg/image-shrink_1280/B4DZzDaVgDKoAc-/0/1772804987199/Choosetherightllmtrackerjpg?e=2147483647&amp;v=beta&amp;t=tVtre8mc_Dw2fZ5ZBZ6mUyML9HAqvTHw6RTMOrJ7Agg","View Creative")</f>
        <v>View Creative</v>
      </c>
      <c r="L3705" s="4" t="s">
        <v>60</v>
      </c>
      <c r="M3705" s="4" t="s">
        <v>6785</v>
      </c>
      <c r="N3705" s="4" t="s">
        <v>6855</v>
      </c>
      <c r="O3705" s="4" t="s">
        <v>63</v>
      </c>
      <c r="P3705" s="4" t="s">
        <v>64</v>
      </c>
    </row>
    <row r="3706">
      <c r="A3706" s="4" t="s">
        <v>6785</v>
      </c>
      <c r="B3706" s="4" t="s">
        <v>6786</v>
      </c>
      <c r="C3706" s="4">
        <v>95.0</v>
      </c>
      <c r="D3706" s="5" t="str">
        <f>HYPERLINK("https://www.linkedin.com/ad-library/detail/1185585343","Open Ad")</f>
        <v>Open Ad</v>
      </c>
      <c r="E3706" s="4" t="s">
        <v>78</v>
      </c>
      <c r="F3706" s="4" t="s">
        <v>6765</v>
      </c>
      <c r="G3706" s="4" t="s">
        <v>6849</v>
      </c>
      <c r="H3706" s="4" t="s">
        <v>49</v>
      </c>
      <c r="I3706" s="4" t="s">
        <v>6768</v>
      </c>
      <c r="J3706" s="4" t="s">
        <v>78</v>
      </c>
      <c r="K3706" s="5" t="str">
        <f>HYPERLINK("https://media.licdn.com/dms/image/v2/D4D10AQGta_PrRamZnA/image-shrink_1280/B4DZyusGBNIUAc-/0/1772457320998/Linkedinpost-OuterboxCase1png?e=2147483647&amp;v=beta&amp;t=1mckf_n--Lny3wV62VpEd8ea60i5oHYh5qIbb0Celvk","View Creative")</f>
        <v>View Creative</v>
      </c>
      <c r="L3706" s="4" t="s">
        <v>60</v>
      </c>
      <c r="M3706" s="4" t="s">
        <v>6785</v>
      </c>
      <c r="N3706" s="4" t="s">
        <v>6851</v>
      </c>
      <c r="O3706" s="4" t="s">
        <v>63</v>
      </c>
      <c r="P3706" s="4" t="s">
        <v>64</v>
      </c>
    </row>
    <row r="3707">
      <c r="A3707" s="4" t="s">
        <v>6785</v>
      </c>
      <c r="B3707" s="4" t="s">
        <v>6786</v>
      </c>
      <c r="C3707" s="4">
        <v>96.0</v>
      </c>
      <c r="D3707" s="5" t="str">
        <f>HYPERLINK("https://www.linkedin.com/ad-library/detail/1189410573","Open Ad")</f>
        <v>Open Ad</v>
      </c>
      <c r="E3707" s="4" t="s">
        <v>78</v>
      </c>
      <c r="F3707" s="4" t="s">
        <v>6765</v>
      </c>
      <c r="G3707" s="4" t="s">
        <v>6854</v>
      </c>
      <c r="H3707" s="4" t="s">
        <v>49</v>
      </c>
      <c r="I3707" s="4" t="s">
        <v>6768</v>
      </c>
      <c r="J3707" s="4" t="s">
        <v>78</v>
      </c>
      <c r="K3707" s="5" t="str">
        <f>HYPERLINK("https://media.licdn.com/dms/image/v2/D4D10AQEAuLFYDuJKRg/image-shrink_1280/B4DZzDaVgDKoAc-/0/1772804987199/Choosetherightllmtrackerjpg?e=2147483647&amp;v=beta&amp;t=tVtre8mc_Dw2fZ5ZBZ6mUyML9HAqvTHw6RTMOrJ7Agg","View Creative")</f>
        <v>View Creative</v>
      </c>
      <c r="L3707" s="4" t="s">
        <v>60</v>
      </c>
      <c r="M3707" s="4" t="s">
        <v>6785</v>
      </c>
      <c r="O3707" s="4" t="s">
        <v>63</v>
      </c>
      <c r="P3707" s="4" t="s">
        <v>64</v>
      </c>
    </row>
    <row r="3708">
      <c r="A3708" s="4" t="s">
        <v>6785</v>
      </c>
      <c r="B3708" s="4" t="s">
        <v>6786</v>
      </c>
      <c r="C3708" s="4">
        <v>97.0</v>
      </c>
      <c r="D3708" s="5" t="str">
        <f>HYPERLINK("https://www.linkedin.com/ad-library/detail/1115721473","Open Ad")</f>
        <v>Open Ad</v>
      </c>
      <c r="E3708" s="4" t="s">
        <v>78</v>
      </c>
      <c r="F3708" s="4" t="s">
        <v>6765</v>
      </c>
      <c r="G3708" s="4" t="s">
        <v>6856</v>
      </c>
      <c r="H3708" s="4" t="s">
        <v>611</v>
      </c>
      <c r="I3708" s="4" t="s">
        <v>6768</v>
      </c>
      <c r="J3708" s="4" t="s">
        <v>78</v>
      </c>
      <c r="K3708" s="5" t="str">
        <f>HYPERLINK("https://media.licdn.com/dms/image/v2/D4E22AQHn7Sl0XAKeig/feedshare-shrink_1280/B4EZvlTF4xKgAg-/0/1769078546259?e=2147483647&amp;v=beta&amp;t=93ElieixhCQ6trxCnUji4wV1epTxK5_Onu0n8KIkk9E","View Creative")</f>
        <v>View Creative</v>
      </c>
      <c r="L3708" s="4" t="s">
        <v>60</v>
      </c>
      <c r="M3708" s="4" t="s">
        <v>6785</v>
      </c>
      <c r="N3708" s="4" t="s">
        <v>6857</v>
      </c>
      <c r="O3708" s="4" t="s">
        <v>63</v>
      </c>
      <c r="P3708" s="4" t="s">
        <v>64</v>
      </c>
    </row>
    <row r="3709">
      <c r="A3709" s="4" t="s">
        <v>6785</v>
      </c>
      <c r="B3709" s="4" t="s">
        <v>6786</v>
      </c>
      <c r="C3709" s="4">
        <v>98.0</v>
      </c>
      <c r="D3709" s="5" t="str">
        <f>HYPERLINK("https://www.linkedin.com/ad-library/detail/1104106023","Open Ad")</f>
        <v>Open Ad</v>
      </c>
      <c r="E3709" s="4" t="s">
        <v>78</v>
      </c>
      <c r="F3709" s="4" t="s">
        <v>6765</v>
      </c>
      <c r="G3709" s="4" t="s">
        <v>6858</v>
      </c>
      <c r="H3709" s="4" t="s">
        <v>49</v>
      </c>
      <c r="I3709" s="4" t="s">
        <v>6768</v>
      </c>
      <c r="J3709" s="4" t="s">
        <v>78</v>
      </c>
      <c r="K3709" s="5" t="str">
        <f>HYPERLINK("https://media.licdn.com/dms/image/v2/D4D10AQGirLZDmDGLlQ/image-shrink_1280/B4DZuirUz0I4Ac-/0/1767960825412/Grumpgraphicfreetooljpg?e=2147483647&amp;v=beta&amp;t=RvQxwG9VvZIiPAEcRpZoAziU7UJen3Xj_rM5r7Up71c","View Creative")</f>
        <v>View Creative</v>
      </c>
      <c r="L3709" s="4" t="s">
        <v>60</v>
      </c>
      <c r="M3709" s="4" t="s">
        <v>6785</v>
      </c>
      <c r="N3709" s="4" t="s">
        <v>6859</v>
      </c>
      <c r="O3709" s="4" t="s">
        <v>63</v>
      </c>
      <c r="P3709" s="4" t="s">
        <v>64</v>
      </c>
    </row>
    <row r="3710">
      <c r="A3710" s="4" t="s">
        <v>6785</v>
      </c>
      <c r="B3710" s="4" t="s">
        <v>6786</v>
      </c>
      <c r="C3710" s="4">
        <v>99.0</v>
      </c>
      <c r="D3710" s="5" t="str">
        <f>HYPERLINK("https://www.linkedin.com/ad-library/detail/1122380763","Open Ad")</f>
        <v>Open Ad</v>
      </c>
      <c r="E3710" s="4" t="s">
        <v>78</v>
      </c>
      <c r="F3710" s="4" t="s">
        <v>6765</v>
      </c>
      <c r="G3710" s="4" t="s">
        <v>6860</v>
      </c>
      <c r="H3710" s="4" t="s">
        <v>49</v>
      </c>
      <c r="I3710" s="4" t="s">
        <v>6768</v>
      </c>
      <c r="J3710" s="4" t="s">
        <v>78</v>
      </c>
      <c r="K3710" s="5" t="str">
        <f>HYPERLINK("https://media.licdn.com/dms/image/v2/D4E22AQFlds7gdSLksw/feedshare-image-high-res/B4EZvk3HEsIkAU-/0/1769071211075?e=2147483647&amp;v=beta&amp;t=X07Skjv7Owrrli8NcDFOIq-FpxMf_9D56vxTqGAFOr0","View Creative")</f>
        <v>View Creative</v>
      </c>
      <c r="L3710" s="4" t="s">
        <v>60</v>
      </c>
      <c r="M3710" s="4" t="s">
        <v>6785</v>
      </c>
      <c r="O3710" s="4" t="s">
        <v>63</v>
      </c>
      <c r="P3710" s="4" t="s">
        <v>64</v>
      </c>
    </row>
    <row r="3711">
      <c r="A3711" s="4" t="s">
        <v>6785</v>
      </c>
      <c r="B3711" s="4" t="s">
        <v>6786</v>
      </c>
      <c r="C3711" s="4">
        <v>100.0</v>
      </c>
      <c r="D3711" s="5" t="str">
        <f>HYPERLINK("https://www.linkedin.com/ad-library/detail/1122183023","Open Ad")</f>
        <v>Open Ad</v>
      </c>
      <c r="E3711" s="4" t="s">
        <v>78</v>
      </c>
      <c r="F3711" s="4" t="s">
        <v>6765</v>
      </c>
      <c r="G3711" s="4" t="s">
        <v>6856</v>
      </c>
      <c r="H3711" s="4" t="s">
        <v>611</v>
      </c>
      <c r="I3711" s="4" t="s">
        <v>6768</v>
      </c>
      <c r="J3711" s="4" t="s">
        <v>78</v>
      </c>
      <c r="K3711" s="5" t="str">
        <f t="shared" ref="K3711:K3712" si="199">HYPERLINK("https://media.licdn.com/dms/image/v2/D4E22AQHn7Sl0XAKeig/feedshare-shrink_1280/B4EZvlTF4xKgAg-/0/1769078546259?e=2147483647&amp;v=beta&amp;t=93ElieixhCQ6trxCnUji4wV1epTxK5_Onu0n8KIkk9E","View Creative")</f>
        <v>View Creative</v>
      </c>
      <c r="L3711" s="4" t="s">
        <v>60</v>
      </c>
      <c r="M3711" s="4" t="s">
        <v>6785</v>
      </c>
      <c r="O3711" s="4" t="s">
        <v>63</v>
      </c>
      <c r="P3711" s="4" t="s">
        <v>64</v>
      </c>
    </row>
    <row r="3712">
      <c r="A3712" s="4" t="s">
        <v>6785</v>
      </c>
      <c r="B3712" s="4" t="s">
        <v>6786</v>
      </c>
      <c r="C3712" s="4">
        <v>101.0</v>
      </c>
      <c r="D3712" s="5" t="str">
        <f>HYPERLINK("https://www.linkedin.com/ad-library/detail/1115920453","Open Ad")</f>
        <v>Open Ad</v>
      </c>
      <c r="E3712" s="4" t="s">
        <v>78</v>
      </c>
      <c r="F3712" s="4" t="s">
        <v>6765</v>
      </c>
      <c r="G3712" s="4" t="s">
        <v>6856</v>
      </c>
      <c r="H3712" s="4" t="s">
        <v>611</v>
      </c>
      <c r="I3712" s="4" t="s">
        <v>6768</v>
      </c>
      <c r="J3712" s="4" t="s">
        <v>78</v>
      </c>
      <c r="K3712" s="5" t="str">
        <f t="shared" si="199"/>
        <v>View Creative</v>
      </c>
      <c r="L3712" s="4" t="s">
        <v>60</v>
      </c>
      <c r="M3712" s="4" t="s">
        <v>6785</v>
      </c>
      <c r="O3712" s="4" t="s">
        <v>63</v>
      </c>
      <c r="P3712" s="4" t="s">
        <v>64</v>
      </c>
    </row>
    <row r="3713">
      <c r="A3713" s="4" t="s">
        <v>6785</v>
      </c>
      <c r="B3713" s="4" t="s">
        <v>6786</v>
      </c>
      <c r="C3713" s="4">
        <v>102.0</v>
      </c>
      <c r="D3713" s="5" t="str">
        <f>HYPERLINK("https://www.linkedin.com/ad-library/detail/1097580783","Open Ad")</f>
        <v>Open Ad</v>
      </c>
      <c r="E3713" s="4" t="s">
        <v>52</v>
      </c>
      <c r="F3713" s="4" t="s">
        <v>6765</v>
      </c>
      <c r="G3713" s="4" t="s">
        <v>6861</v>
      </c>
      <c r="H3713" s="4" t="s">
        <v>49</v>
      </c>
      <c r="I3713" s="4" t="s">
        <v>6768</v>
      </c>
      <c r="J3713" s="4" t="s">
        <v>52</v>
      </c>
      <c r="K3713" s="4" t="s">
        <v>59</v>
      </c>
      <c r="L3713" s="4" t="s">
        <v>60</v>
      </c>
      <c r="M3713" s="4" t="s">
        <v>6785</v>
      </c>
      <c r="O3713" s="4" t="s">
        <v>63</v>
      </c>
      <c r="P3713" s="4" t="s">
        <v>64</v>
      </c>
    </row>
    <row r="3714">
      <c r="A3714" s="4" t="s">
        <v>6785</v>
      </c>
      <c r="B3714" s="4" t="s">
        <v>6786</v>
      </c>
      <c r="C3714" s="4">
        <v>103.0</v>
      </c>
      <c r="D3714" s="5" t="str">
        <f>HYPERLINK("https://www.linkedin.com/ad-library/detail/1116520873","Open Ad")</f>
        <v>Open Ad</v>
      </c>
      <c r="E3714" s="4" t="s">
        <v>78</v>
      </c>
      <c r="F3714" s="4" t="s">
        <v>6765</v>
      </c>
      <c r="G3714" s="4" t="s">
        <v>6856</v>
      </c>
      <c r="H3714" s="4" t="s">
        <v>611</v>
      </c>
      <c r="I3714" s="4" t="s">
        <v>6768</v>
      </c>
      <c r="J3714" s="4" t="s">
        <v>78</v>
      </c>
      <c r="K3714" s="5" t="str">
        <f>HYPERLINK("https://media.licdn.com/dms/image/v2/D4E22AQHn7Sl0XAKeig/feedshare-shrink_1280/B4EZvlTF4xKgAg-/0/1769078546259?e=2147483647&amp;v=beta&amp;t=93ElieixhCQ6trxCnUji4wV1epTxK5_Onu0n8KIkk9E","View Creative")</f>
        <v>View Creative</v>
      </c>
      <c r="L3714" s="4" t="s">
        <v>60</v>
      </c>
      <c r="M3714" s="4" t="s">
        <v>6785</v>
      </c>
      <c r="O3714" s="4" t="s">
        <v>63</v>
      </c>
      <c r="P3714" s="4" t="s">
        <v>64</v>
      </c>
    </row>
    <row r="3715">
      <c r="A3715" s="4" t="s">
        <v>6785</v>
      </c>
      <c r="B3715" s="4" t="s">
        <v>6786</v>
      </c>
      <c r="C3715" s="4">
        <v>104.0</v>
      </c>
      <c r="D3715" s="5" t="str">
        <f>HYPERLINK("https://www.linkedin.com/ad-library/detail/1117320423","Open Ad")</f>
        <v>Open Ad</v>
      </c>
      <c r="E3715" s="4" t="s">
        <v>78</v>
      </c>
      <c r="F3715" s="4" t="s">
        <v>6765</v>
      </c>
      <c r="G3715" s="4" t="s">
        <v>6860</v>
      </c>
      <c r="H3715" s="4" t="s">
        <v>49</v>
      </c>
      <c r="I3715" s="4" t="s">
        <v>6768</v>
      </c>
      <c r="J3715" s="4" t="s">
        <v>78</v>
      </c>
      <c r="K3715" s="5" t="str">
        <f>HYPERLINK("https://media.licdn.com/dms/image/v2/D4E22AQFlds7gdSLksw/feedshare-image-high-res/B4EZvk3HEsIkAU-/0/1769071211075?e=2147483647&amp;v=beta&amp;t=X07Skjv7Owrrli8NcDFOIq-FpxMf_9D56vxTqGAFOr0","View Creative")</f>
        <v>View Creative</v>
      </c>
      <c r="L3715" s="4" t="s">
        <v>60</v>
      </c>
      <c r="M3715" s="4" t="s">
        <v>6785</v>
      </c>
      <c r="N3715" s="4" t="s">
        <v>6862</v>
      </c>
      <c r="O3715" s="4" t="s">
        <v>63</v>
      </c>
      <c r="P3715" s="4" t="s">
        <v>64</v>
      </c>
    </row>
    <row r="3716">
      <c r="A3716" s="4" t="s">
        <v>6785</v>
      </c>
      <c r="B3716" s="4" t="s">
        <v>6786</v>
      </c>
      <c r="C3716" s="4">
        <v>105.0</v>
      </c>
      <c r="D3716" s="5" t="str">
        <f>HYPERLINK("https://www.linkedin.com/ad-library/detail/1098490663","Open Ad")</f>
        <v>Open Ad</v>
      </c>
      <c r="E3716" s="4" t="s">
        <v>52</v>
      </c>
      <c r="F3716" s="4" t="s">
        <v>6765</v>
      </c>
      <c r="G3716" s="4" t="s">
        <v>6863</v>
      </c>
      <c r="H3716" s="4" t="s">
        <v>49</v>
      </c>
      <c r="I3716" s="4" t="s">
        <v>6768</v>
      </c>
      <c r="J3716" s="4" t="s">
        <v>52</v>
      </c>
      <c r="K3716" s="4" t="s">
        <v>59</v>
      </c>
      <c r="L3716" s="4" t="s">
        <v>60</v>
      </c>
      <c r="M3716" s="4" t="s">
        <v>6785</v>
      </c>
      <c r="N3716" s="4" t="s">
        <v>6864</v>
      </c>
      <c r="O3716" s="4" t="s">
        <v>63</v>
      </c>
      <c r="P3716" s="4" t="s">
        <v>64</v>
      </c>
    </row>
    <row r="3717">
      <c r="A3717" s="4" t="s">
        <v>6785</v>
      </c>
      <c r="B3717" s="4" t="s">
        <v>6786</v>
      </c>
      <c r="C3717" s="4">
        <v>106.0</v>
      </c>
      <c r="D3717" s="5" t="str">
        <f>HYPERLINK("https://www.linkedin.com/ad-library/detail/1116520863","Open Ad")</f>
        <v>Open Ad</v>
      </c>
      <c r="E3717" s="4" t="s">
        <v>78</v>
      </c>
      <c r="F3717" s="4" t="s">
        <v>6765</v>
      </c>
      <c r="G3717" s="4" t="s">
        <v>6860</v>
      </c>
      <c r="H3717" s="4" t="s">
        <v>49</v>
      </c>
      <c r="I3717" s="4" t="s">
        <v>6768</v>
      </c>
      <c r="J3717" s="4" t="s">
        <v>78</v>
      </c>
      <c r="K3717" s="5" t="str">
        <f>HYPERLINK("https://media.licdn.com/dms/image/v2/D4E22AQFlds7gdSLksw/feedshare-image-high-res/B4EZvk3HEsIkAU-/0/1769071211075?e=2147483647&amp;v=beta&amp;t=X07Skjv7Owrrli8NcDFOIq-FpxMf_9D56vxTqGAFOr0","View Creative")</f>
        <v>View Creative</v>
      </c>
      <c r="L3717" s="4" t="s">
        <v>60</v>
      </c>
      <c r="M3717" s="4" t="s">
        <v>6785</v>
      </c>
      <c r="N3717" s="4" t="s">
        <v>6865</v>
      </c>
      <c r="O3717" s="4" t="s">
        <v>63</v>
      </c>
      <c r="P3717" s="4" t="s">
        <v>64</v>
      </c>
    </row>
    <row r="3718">
      <c r="A3718" s="4" t="s">
        <v>6785</v>
      </c>
      <c r="B3718" s="4" t="s">
        <v>6786</v>
      </c>
      <c r="C3718" s="4">
        <v>107.0</v>
      </c>
      <c r="D3718" s="5" t="str">
        <f>HYPERLINK("https://www.linkedin.com/ad-library/detail/1104305283","Open Ad")</f>
        <v>Open Ad</v>
      </c>
      <c r="E3718" s="4" t="s">
        <v>78</v>
      </c>
      <c r="F3718" s="4" t="s">
        <v>6765</v>
      </c>
      <c r="G3718" s="4" t="s">
        <v>6858</v>
      </c>
      <c r="H3718" s="4" t="s">
        <v>49</v>
      </c>
      <c r="I3718" s="4" t="s">
        <v>6768</v>
      </c>
      <c r="J3718" s="4" t="s">
        <v>78</v>
      </c>
      <c r="K3718" s="5" t="str">
        <f>HYPERLINK("https://media.licdn.com/dms/image/v2/D4D10AQGirLZDmDGLlQ/image-shrink_1280/B4DZuirUz0I4Ac-/0/1767960825412/Grumpgraphicfreetooljpg?e=2147483647&amp;v=beta&amp;t=RvQxwG9VvZIiPAEcRpZoAziU7UJen3Xj_rM5r7Up71c","View Creative")</f>
        <v>View Creative</v>
      </c>
      <c r="L3718" s="4" t="s">
        <v>60</v>
      </c>
      <c r="M3718" s="4" t="s">
        <v>6785</v>
      </c>
      <c r="O3718" s="4" t="s">
        <v>63</v>
      </c>
      <c r="P3718" s="4" t="s">
        <v>64</v>
      </c>
    </row>
    <row r="3719">
      <c r="A3719" s="4" t="s">
        <v>6785</v>
      </c>
      <c r="B3719" s="4" t="s">
        <v>6786</v>
      </c>
      <c r="C3719" s="4">
        <v>108.0</v>
      </c>
      <c r="D3719" s="5" t="str">
        <f>HYPERLINK("https://www.linkedin.com/ad-library/detail/1098081213","Open Ad")</f>
        <v>Open Ad</v>
      </c>
      <c r="E3719" s="4" t="s">
        <v>52</v>
      </c>
      <c r="F3719" s="4" t="s">
        <v>6765</v>
      </c>
      <c r="G3719" s="4" t="s">
        <v>6861</v>
      </c>
      <c r="H3719" s="4" t="s">
        <v>49</v>
      </c>
      <c r="I3719" s="4" t="s">
        <v>6768</v>
      </c>
      <c r="J3719" s="4" t="s">
        <v>52</v>
      </c>
      <c r="K3719" s="4" t="s">
        <v>59</v>
      </c>
      <c r="L3719" s="4" t="s">
        <v>60</v>
      </c>
      <c r="M3719" s="4" t="s">
        <v>6785</v>
      </c>
      <c r="N3719" s="4" t="s">
        <v>6866</v>
      </c>
      <c r="O3719" s="4" t="s">
        <v>63</v>
      </c>
      <c r="P3719" s="4" t="s">
        <v>64</v>
      </c>
    </row>
    <row r="3720">
      <c r="A3720" s="4" t="s">
        <v>6785</v>
      </c>
      <c r="B3720" s="4" t="s">
        <v>6786</v>
      </c>
      <c r="C3720" s="4">
        <v>109.0</v>
      </c>
      <c r="D3720" s="5" t="str">
        <f>HYPERLINK("https://www.linkedin.com/ad-library/detail/1115311803","Open Ad")</f>
        <v>Open Ad</v>
      </c>
      <c r="E3720" s="4" t="s">
        <v>78</v>
      </c>
      <c r="F3720" s="4" t="s">
        <v>6765</v>
      </c>
      <c r="G3720" s="4" t="s">
        <v>6867</v>
      </c>
      <c r="H3720" s="4" t="s">
        <v>49</v>
      </c>
      <c r="I3720" s="4" t="s">
        <v>6768</v>
      </c>
      <c r="J3720" s="4" t="s">
        <v>78</v>
      </c>
      <c r="K3720" s="5" t="str">
        <f>HYPERLINK("https://media.licdn.com/dms/image/v2/D4E22AQGAxwshnWuxgg/feedshare-image-high-res/B4EZu2qyv7KcAU-/0/1768296230200?e=2147483647&amp;v=beta&amp;t=LEp2kjgI0a6G2LPgDjsxeMKv-FRHKZRtkLKVdgyqj94","View Creative")</f>
        <v>View Creative</v>
      </c>
      <c r="L3720" s="4" t="s">
        <v>60</v>
      </c>
      <c r="M3720" s="4" t="s">
        <v>6785</v>
      </c>
      <c r="N3720" s="4" t="s">
        <v>6868</v>
      </c>
      <c r="O3720" s="4" t="s">
        <v>63</v>
      </c>
      <c r="P3720" s="4" t="s">
        <v>64</v>
      </c>
    </row>
    <row r="3721">
      <c r="A3721" s="4" t="s">
        <v>6785</v>
      </c>
      <c r="B3721" s="4" t="s">
        <v>6786</v>
      </c>
      <c r="C3721" s="4">
        <v>110.0</v>
      </c>
      <c r="D3721" s="5" t="str">
        <f>HYPERLINK("https://www.linkedin.com/ad-library/detail/1117320473","Open Ad")</f>
        <v>Open Ad</v>
      </c>
      <c r="E3721" s="4" t="s">
        <v>78</v>
      </c>
      <c r="F3721" s="4" t="s">
        <v>6765</v>
      </c>
      <c r="G3721" s="4" t="s">
        <v>6860</v>
      </c>
      <c r="H3721" s="4" t="s">
        <v>49</v>
      </c>
      <c r="I3721" s="4" t="s">
        <v>6768</v>
      </c>
      <c r="J3721" s="4" t="s">
        <v>78</v>
      </c>
      <c r="K3721" s="5" t="str">
        <f>HYPERLINK("https://media.licdn.com/dms/image/v2/D4E22AQFlds7gdSLksw/feedshare-image-high-res/B4EZvk3HEsIkAU-/0/1769071211075?e=2147483647&amp;v=beta&amp;t=X07Skjv7Owrrli8NcDFOIq-FpxMf_9D56vxTqGAFOr0","View Creative")</f>
        <v>View Creative</v>
      </c>
      <c r="L3721" s="4" t="s">
        <v>60</v>
      </c>
      <c r="M3721" s="4" t="s">
        <v>6785</v>
      </c>
      <c r="O3721" s="4" t="s">
        <v>63</v>
      </c>
      <c r="P3721" s="4" t="s">
        <v>64</v>
      </c>
    </row>
    <row r="3722">
      <c r="A3722" s="4" t="s">
        <v>6785</v>
      </c>
      <c r="B3722" s="4" t="s">
        <v>6786</v>
      </c>
      <c r="C3722" s="4">
        <v>111.0</v>
      </c>
      <c r="D3722" s="5" t="str">
        <f>HYPERLINK("https://www.linkedin.com/ad-library/detail/1105593153","Open Ad")</f>
        <v>Open Ad</v>
      </c>
      <c r="E3722" s="4" t="s">
        <v>78</v>
      </c>
      <c r="F3722" s="4" t="s">
        <v>6765</v>
      </c>
      <c r="G3722" s="4" t="s">
        <v>6858</v>
      </c>
      <c r="H3722" s="4" t="s">
        <v>49</v>
      </c>
      <c r="I3722" s="4" t="s">
        <v>6768</v>
      </c>
      <c r="J3722" s="4" t="s">
        <v>78</v>
      </c>
      <c r="K3722" s="5" t="str">
        <f>HYPERLINK("https://media.licdn.com/dms/image/v2/D4D10AQGirLZDmDGLlQ/image-shrink_1280/B4DZuirUz0I4Ac-/0/1767960825412/Grumpgraphicfreetooljpg?e=2147483647&amp;v=beta&amp;t=RvQxwG9VvZIiPAEcRpZoAziU7UJen3Xj_rM5r7Up71c","View Creative")</f>
        <v>View Creative</v>
      </c>
      <c r="L3722" s="4" t="s">
        <v>60</v>
      </c>
      <c r="M3722" s="4" t="s">
        <v>6785</v>
      </c>
      <c r="O3722" s="4" t="s">
        <v>63</v>
      </c>
      <c r="P3722" s="4" t="s">
        <v>64</v>
      </c>
    </row>
    <row r="3723">
      <c r="A3723" s="4" t="s">
        <v>6785</v>
      </c>
      <c r="B3723" s="4" t="s">
        <v>6786</v>
      </c>
      <c r="C3723" s="4">
        <v>112.0</v>
      </c>
      <c r="D3723" s="5" t="str">
        <f>HYPERLINK("https://www.linkedin.com/ad-library/detail/1103792353","Open Ad")</f>
        <v>Open Ad</v>
      </c>
      <c r="E3723" s="4" t="s">
        <v>78</v>
      </c>
      <c r="F3723" s="4" t="s">
        <v>6765</v>
      </c>
      <c r="G3723" s="4" t="s">
        <v>6869</v>
      </c>
      <c r="H3723" s="4" t="s">
        <v>6870</v>
      </c>
      <c r="I3723" s="4" t="s">
        <v>6768</v>
      </c>
      <c r="J3723" s="4" t="s">
        <v>78</v>
      </c>
      <c r="K3723" s="5" t="str">
        <f t="shared" ref="K3723:K3724" si="200">HYPERLINK("https://media.licdn.com/dms/image/v2/D4E22AQGM2MEPuhLAaw/feedshare-shrink_1280/B4EZuXxEI_HUAw-/0/1767777781370?e=2147483647&amp;v=beta&amp;t=wDt18aV88Hl0v6XkposusnBv_8hAuLIeK9otb6pBJ3M","View Creative")</f>
        <v>View Creative</v>
      </c>
      <c r="L3723" s="4" t="s">
        <v>60</v>
      </c>
      <c r="M3723" s="4" t="s">
        <v>6785</v>
      </c>
      <c r="O3723" s="4" t="s">
        <v>63</v>
      </c>
      <c r="P3723" s="4" t="s">
        <v>64</v>
      </c>
    </row>
    <row r="3724">
      <c r="A3724" s="4" t="s">
        <v>6785</v>
      </c>
      <c r="B3724" s="4" t="s">
        <v>6786</v>
      </c>
      <c r="C3724" s="4">
        <v>113.0</v>
      </c>
      <c r="D3724" s="5" t="str">
        <f>HYPERLINK("https://www.linkedin.com/ad-library/detail/1102693213","Open Ad")</f>
        <v>Open Ad</v>
      </c>
      <c r="E3724" s="4" t="s">
        <v>78</v>
      </c>
      <c r="F3724" s="4" t="s">
        <v>6765</v>
      </c>
      <c r="G3724" s="4" t="s">
        <v>6869</v>
      </c>
      <c r="H3724" s="4" t="s">
        <v>6870</v>
      </c>
      <c r="I3724" s="4" t="s">
        <v>6768</v>
      </c>
      <c r="J3724" s="4" t="s">
        <v>78</v>
      </c>
      <c r="K3724" s="5" t="str">
        <f t="shared" si="200"/>
        <v>View Creative</v>
      </c>
      <c r="L3724" s="4" t="s">
        <v>60</v>
      </c>
      <c r="M3724" s="4" t="s">
        <v>6785</v>
      </c>
      <c r="N3724" s="4" t="s">
        <v>6871</v>
      </c>
      <c r="O3724" s="4" t="s">
        <v>63</v>
      </c>
      <c r="P3724" s="4" t="s">
        <v>64</v>
      </c>
    </row>
    <row r="3725">
      <c r="A3725" s="4" t="s">
        <v>6785</v>
      </c>
      <c r="B3725" s="4" t="s">
        <v>6786</v>
      </c>
      <c r="C3725" s="4">
        <v>114.0</v>
      </c>
      <c r="D3725" s="5" t="str">
        <f>HYPERLINK("https://www.linkedin.com/ad-library/detail/1116511493","Open Ad")</f>
        <v>Open Ad</v>
      </c>
      <c r="E3725" s="4" t="s">
        <v>78</v>
      </c>
      <c r="F3725" s="4" t="s">
        <v>6765</v>
      </c>
      <c r="G3725" s="4" t="s">
        <v>6867</v>
      </c>
      <c r="H3725" s="4" t="s">
        <v>49</v>
      </c>
      <c r="I3725" s="4" t="s">
        <v>6768</v>
      </c>
      <c r="J3725" s="4" t="s">
        <v>78</v>
      </c>
      <c r="K3725" s="5" t="str">
        <f>HYPERLINK("https://media.licdn.com/dms/image/v2/D4E22AQGAxwshnWuxgg/feedshare-image-high-res/B4EZu2qyv7KcAU-/0/1768296230200?e=2147483647&amp;v=beta&amp;t=LEp2kjgI0a6G2LPgDjsxeMKv-FRHKZRtkLKVdgyqj94","View Creative")</f>
        <v>View Creative</v>
      </c>
      <c r="L3725" s="4" t="s">
        <v>60</v>
      </c>
      <c r="M3725" s="4" t="s">
        <v>6785</v>
      </c>
      <c r="O3725" s="4" t="s">
        <v>63</v>
      </c>
      <c r="P3725" s="4" t="s">
        <v>64</v>
      </c>
    </row>
    <row r="3726">
      <c r="A3726" s="4" t="s">
        <v>6785</v>
      </c>
      <c r="B3726" s="4" t="s">
        <v>6786</v>
      </c>
      <c r="C3726" s="4">
        <v>115.0</v>
      </c>
      <c r="D3726" s="5" t="str">
        <f>HYPERLINK("https://www.linkedin.com/ad-library/detail/1103792343","Open Ad")</f>
        <v>Open Ad</v>
      </c>
      <c r="E3726" s="4" t="s">
        <v>78</v>
      </c>
      <c r="F3726" s="4" t="s">
        <v>6765</v>
      </c>
      <c r="G3726" s="4" t="s">
        <v>6869</v>
      </c>
      <c r="H3726" s="4" t="s">
        <v>6870</v>
      </c>
      <c r="I3726" s="4" t="s">
        <v>6768</v>
      </c>
      <c r="J3726" s="4" t="s">
        <v>78</v>
      </c>
      <c r="K3726" s="5" t="str">
        <f>HYPERLINK("https://media.licdn.com/dms/image/v2/D4E22AQGM2MEPuhLAaw/feedshare-shrink_1280/B4EZuXxEI_HUAw-/0/1767777781370?e=2147483647&amp;v=beta&amp;t=wDt18aV88Hl0v6XkposusnBv_8hAuLIeK9otb6pBJ3M","View Creative")</f>
        <v>View Creative</v>
      </c>
      <c r="L3726" s="4" t="s">
        <v>60</v>
      </c>
      <c r="M3726" s="4" t="s">
        <v>6785</v>
      </c>
      <c r="O3726" s="4" t="s">
        <v>63</v>
      </c>
      <c r="P3726" s="4" t="s">
        <v>64</v>
      </c>
    </row>
    <row r="3727">
      <c r="A3727" s="4" t="s">
        <v>6785</v>
      </c>
      <c r="B3727" s="4" t="s">
        <v>6786</v>
      </c>
      <c r="C3727" s="4">
        <v>116.0</v>
      </c>
      <c r="D3727" s="5" t="str">
        <f>HYPERLINK("https://www.linkedin.com/ad-library/detail/1117986143","Open Ad")</f>
        <v>Open Ad</v>
      </c>
      <c r="E3727" s="4" t="s">
        <v>78</v>
      </c>
      <c r="F3727" s="4" t="s">
        <v>6765</v>
      </c>
      <c r="G3727" s="4" t="s">
        <v>6856</v>
      </c>
      <c r="H3727" s="4" t="s">
        <v>611</v>
      </c>
      <c r="I3727" s="4" t="s">
        <v>6768</v>
      </c>
      <c r="J3727" s="4" t="s">
        <v>78</v>
      </c>
      <c r="K3727" s="5" t="str">
        <f>HYPERLINK("https://media.licdn.com/dms/image/v2/D4E22AQHn7Sl0XAKeig/feedshare-shrink_1280/B4EZvlTF4xKgAg-/0/1769078546259?e=2147483647&amp;v=beta&amp;t=93ElieixhCQ6trxCnUji4wV1epTxK5_Onu0n8KIkk9E","View Creative")</f>
        <v>View Creative</v>
      </c>
      <c r="L3727" s="4" t="s">
        <v>60</v>
      </c>
      <c r="M3727" s="4" t="s">
        <v>6785</v>
      </c>
      <c r="N3727" s="4" t="s">
        <v>6872</v>
      </c>
      <c r="O3727" s="4" t="s">
        <v>63</v>
      </c>
      <c r="P3727" s="4" t="s">
        <v>64</v>
      </c>
    </row>
    <row r="3728">
      <c r="A3728" s="4" t="s">
        <v>6785</v>
      </c>
      <c r="B3728" s="4" t="s">
        <v>6786</v>
      </c>
      <c r="C3728" s="4">
        <v>117.0</v>
      </c>
      <c r="D3728" s="5" t="str">
        <f>HYPERLINK("https://www.linkedin.com/ad-library/detail/1102592623","Open Ad")</f>
        <v>Open Ad</v>
      </c>
      <c r="E3728" s="4" t="s">
        <v>78</v>
      </c>
      <c r="F3728" s="4" t="s">
        <v>6765</v>
      </c>
      <c r="G3728" s="4" t="s">
        <v>6869</v>
      </c>
      <c r="H3728" s="4" t="s">
        <v>6870</v>
      </c>
      <c r="I3728" s="4" t="s">
        <v>6768</v>
      </c>
      <c r="J3728" s="4" t="s">
        <v>78</v>
      </c>
      <c r="K3728" s="5" t="str">
        <f>HYPERLINK("https://media.licdn.com/dms/image/v2/D4E22AQGM2MEPuhLAaw/feedshare-shrink_1280/B4EZuXxEI_HUAw-/0/1767777781370?e=2147483647&amp;v=beta&amp;t=wDt18aV88Hl0v6XkposusnBv_8hAuLIeK9otb6pBJ3M","View Creative")</f>
        <v>View Creative</v>
      </c>
      <c r="L3728" s="4" t="s">
        <v>60</v>
      </c>
      <c r="M3728" s="4" t="s">
        <v>6785</v>
      </c>
      <c r="N3728" s="4" t="s">
        <v>6873</v>
      </c>
      <c r="O3728" s="4" t="s">
        <v>63</v>
      </c>
      <c r="P3728" s="4" t="s">
        <v>64</v>
      </c>
    </row>
    <row r="3729">
      <c r="A3729" s="4" t="s">
        <v>6785</v>
      </c>
      <c r="B3729" s="4" t="s">
        <v>6786</v>
      </c>
      <c r="C3729" s="4">
        <v>118.0</v>
      </c>
      <c r="D3729" s="5" t="str">
        <f>HYPERLINK("https://www.linkedin.com/ad-library/detail/1115321483","Open Ad")</f>
        <v>Open Ad</v>
      </c>
      <c r="E3729" s="4" t="s">
        <v>78</v>
      </c>
      <c r="F3729" s="4" t="s">
        <v>6765</v>
      </c>
      <c r="G3729" s="4" t="s">
        <v>6860</v>
      </c>
      <c r="H3729" s="4" t="s">
        <v>49</v>
      </c>
      <c r="I3729" s="4" t="s">
        <v>6768</v>
      </c>
      <c r="J3729" s="4" t="s">
        <v>78</v>
      </c>
      <c r="K3729" s="5" t="str">
        <f>HYPERLINK("https://media.licdn.com/dms/image/v2/D4E22AQFlds7gdSLksw/feedshare-image-high-res/B4EZvk3HEsIkAU-/0/1769071211075?e=2147483647&amp;v=beta&amp;t=X07Skjv7Owrrli8NcDFOIq-FpxMf_9D56vxTqGAFOr0","View Creative")</f>
        <v>View Creative</v>
      </c>
      <c r="L3729" s="4" t="s">
        <v>60</v>
      </c>
      <c r="M3729" s="4" t="s">
        <v>6785</v>
      </c>
      <c r="O3729" s="4" t="s">
        <v>63</v>
      </c>
      <c r="P3729" s="4" t="s">
        <v>64</v>
      </c>
    </row>
    <row r="3730">
      <c r="A3730" s="4" t="s">
        <v>6785</v>
      </c>
      <c r="B3730" s="4" t="s">
        <v>6786</v>
      </c>
      <c r="C3730" s="4">
        <v>119.0</v>
      </c>
      <c r="D3730" s="5" t="str">
        <f>HYPERLINK("https://www.linkedin.com/ad-library/detail/1104505853","Open Ad")</f>
        <v>Open Ad</v>
      </c>
      <c r="E3730" s="4" t="s">
        <v>78</v>
      </c>
      <c r="F3730" s="4" t="s">
        <v>6765</v>
      </c>
      <c r="G3730" s="4" t="s">
        <v>6858</v>
      </c>
      <c r="H3730" s="4" t="s">
        <v>49</v>
      </c>
      <c r="I3730" s="4" t="s">
        <v>6768</v>
      </c>
      <c r="J3730" s="4" t="s">
        <v>78</v>
      </c>
      <c r="K3730" s="5" t="str">
        <f>HYPERLINK("https://media.licdn.com/dms/image/v2/D4D10AQGirLZDmDGLlQ/image-shrink_1280/B4DZuirUz0I4Ac-/0/1767960825412/Grumpgraphicfreetooljpg?e=2147483647&amp;v=beta&amp;t=RvQxwG9VvZIiPAEcRpZoAziU7UJen3Xj_rM5r7Up71c","View Creative")</f>
        <v>View Creative</v>
      </c>
      <c r="L3730" s="4" t="s">
        <v>60</v>
      </c>
      <c r="M3730" s="4" t="s">
        <v>6785</v>
      </c>
      <c r="N3730" s="4" t="s">
        <v>6874</v>
      </c>
      <c r="O3730" s="4" t="s">
        <v>63</v>
      </c>
      <c r="P3730" s="4" t="s">
        <v>64</v>
      </c>
    </row>
    <row r="3731">
      <c r="A3731" s="4" t="s">
        <v>6785</v>
      </c>
      <c r="B3731" s="4" t="s">
        <v>6786</v>
      </c>
      <c r="C3731" s="4">
        <v>120.0</v>
      </c>
      <c r="D3731" s="5" t="str">
        <f>HYPERLINK("https://www.linkedin.com/ad-library/detail/1096790953","Open Ad")</f>
        <v>Open Ad</v>
      </c>
      <c r="E3731" s="4" t="s">
        <v>52</v>
      </c>
      <c r="F3731" s="4" t="s">
        <v>6765</v>
      </c>
      <c r="G3731" s="4" t="s">
        <v>6863</v>
      </c>
      <c r="H3731" s="4" t="s">
        <v>49</v>
      </c>
      <c r="I3731" s="4" t="s">
        <v>6768</v>
      </c>
      <c r="J3731" s="4" t="s">
        <v>52</v>
      </c>
      <c r="K3731" s="4" t="s">
        <v>59</v>
      </c>
      <c r="L3731" s="4" t="s">
        <v>60</v>
      </c>
      <c r="M3731" s="4" t="s">
        <v>6785</v>
      </c>
      <c r="O3731" s="4" t="s">
        <v>63</v>
      </c>
      <c r="P3731" s="4" t="s">
        <v>64</v>
      </c>
    </row>
    <row r="3732">
      <c r="A3732" s="4" t="s">
        <v>6785</v>
      </c>
      <c r="B3732" s="4" t="s">
        <v>6786</v>
      </c>
      <c r="C3732" s="4">
        <v>121.0</v>
      </c>
      <c r="D3732" s="5" t="str">
        <f>HYPERLINK("https://www.linkedin.com/ad-library/detail/1072401194","Open Ad")</f>
        <v>Open Ad</v>
      </c>
      <c r="E3732" s="4" t="s">
        <v>78</v>
      </c>
      <c r="F3732" s="4" t="s">
        <v>6765</v>
      </c>
      <c r="G3732" s="4" t="s">
        <v>6846</v>
      </c>
      <c r="H3732" s="4" t="s">
        <v>49</v>
      </c>
      <c r="I3732" s="4" t="s">
        <v>6768</v>
      </c>
      <c r="J3732" s="4" t="s">
        <v>78</v>
      </c>
      <c r="K3732" s="5" t="str">
        <f>HYPERLINK("https://media.licdn.com/dms/image/v2/D4D10AQG93KuStnaVRA/image-pad_1200_1200/B4DZsM8cHHIgAM-/0/1765448729449?e=1789484400&amp;v=beta&amp;t=IZoRBR1vSae6uzkIfoXjh73nlkZ6fXUKrIMn1Xr6xGg","View Creative")</f>
        <v>View Creative</v>
      </c>
      <c r="L3732" s="4" t="s">
        <v>60</v>
      </c>
      <c r="M3732" s="4" t="s">
        <v>6785</v>
      </c>
      <c r="O3732" s="4" t="s">
        <v>63</v>
      </c>
      <c r="P3732" s="4" t="s">
        <v>64</v>
      </c>
    </row>
    <row r="3733">
      <c r="A3733" s="4" t="s">
        <v>6785</v>
      </c>
      <c r="B3733" s="4" t="s">
        <v>6786</v>
      </c>
      <c r="C3733" s="4">
        <v>122.0</v>
      </c>
      <c r="D3733" s="5" t="str">
        <f>HYPERLINK("https://www.linkedin.com/ad-library/detail/971378853","Open Ad")</f>
        <v>Open Ad</v>
      </c>
      <c r="E3733" s="4" t="s">
        <v>78</v>
      </c>
      <c r="F3733" s="4" t="s">
        <v>6765</v>
      </c>
      <c r="G3733" s="4" t="s">
        <v>6875</v>
      </c>
      <c r="H3733" s="4" t="s">
        <v>49</v>
      </c>
      <c r="I3733" s="4" t="s">
        <v>6768</v>
      </c>
      <c r="J3733" s="4" t="s">
        <v>78</v>
      </c>
      <c r="K3733" s="5" t="str">
        <f t="shared" ref="K3733:K3734" si="201">HYPERLINK("https://media.licdn.com/dms/image/v2/D4D10AQHokCAPhHac8g/image-shrink_1280/B4DZrjqFJIHsAM-/0/1764756051047/1764234133829jpg?e=2147483647&amp;v=beta&amp;t=4oMgKF5CEuQFDtjiW8lVQSZore__jBsrGQYJRzOVyNo","View Creative")</f>
        <v>View Creative</v>
      </c>
      <c r="L3733" s="4" t="s">
        <v>60</v>
      </c>
      <c r="M3733" s="4" t="s">
        <v>6785</v>
      </c>
      <c r="N3733" s="4" t="s">
        <v>6876</v>
      </c>
      <c r="O3733" s="4" t="s">
        <v>63</v>
      </c>
      <c r="P3733" s="4" t="s">
        <v>64</v>
      </c>
    </row>
    <row r="3734">
      <c r="A3734" s="4" t="s">
        <v>6785</v>
      </c>
      <c r="B3734" s="4" t="s">
        <v>6786</v>
      </c>
      <c r="C3734" s="4">
        <v>123.0</v>
      </c>
      <c r="D3734" s="5" t="str">
        <f>HYPERLINK("https://www.linkedin.com/ad-library/detail/971540103","Open Ad")</f>
        <v>Open Ad</v>
      </c>
      <c r="E3734" s="4" t="s">
        <v>78</v>
      </c>
      <c r="F3734" s="4" t="s">
        <v>6765</v>
      </c>
      <c r="G3734" s="4" t="s">
        <v>6875</v>
      </c>
      <c r="H3734" s="4" t="s">
        <v>49</v>
      </c>
      <c r="I3734" s="4" t="s">
        <v>6768</v>
      </c>
      <c r="J3734" s="4" t="s">
        <v>78</v>
      </c>
      <c r="K3734" s="5" t="str">
        <f t="shared" si="201"/>
        <v>View Creative</v>
      </c>
      <c r="L3734" s="4" t="s">
        <v>60</v>
      </c>
      <c r="M3734" s="4" t="s">
        <v>6785</v>
      </c>
      <c r="O3734" s="4" t="s">
        <v>63</v>
      </c>
      <c r="P3734" s="4" t="s">
        <v>64</v>
      </c>
    </row>
    <row r="3735">
      <c r="A3735" s="4" t="s">
        <v>6785</v>
      </c>
      <c r="B3735" s="4" t="s">
        <v>6786</v>
      </c>
      <c r="C3735" s="4">
        <v>124.0</v>
      </c>
      <c r="D3735" s="5" t="str">
        <f>HYPERLINK("https://www.linkedin.com/ad-library/detail/971142953","Open Ad")</f>
        <v>Open Ad</v>
      </c>
      <c r="E3735" s="4" t="s">
        <v>78</v>
      </c>
      <c r="F3735" s="4" t="s">
        <v>6765</v>
      </c>
      <c r="G3735" s="4" t="s">
        <v>6877</v>
      </c>
      <c r="H3735" s="4" t="s">
        <v>49</v>
      </c>
      <c r="I3735" s="4" t="s">
        <v>6768</v>
      </c>
      <c r="J3735" s="4" t="s">
        <v>78</v>
      </c>
      <c r="K3735" s="5" t="str">
        <f>HYPERLINK("https://media.licdn.com/dms/image/v2/D4D10AQHAarsof41LMA/image-shrink_1280/B4DZrZxvA3IgAM-/0/1764590285843/IwillnotignoreLLMVisibility2png?e=2147483647&amp;v=beta&amp;t=-nvu79p8DeY7A1GFEOQIdhLYmqTNt69gro0xGMYcpew","View Creative")</f>
        <v>View Creative</v>
      </c>
      <c r="L3735" s="4" t="s">
        <v>60</v>
      </c>
      <c r="M3735" s="4" t="s">
        <v>6785</v>
      </c>
      <c r="N3735" s="4" t="s">
        <v>6878</v>
      </c>
      <c r="O3735" s="4" t="s">
        <v>63</v>
      </c>
      <c r="P3735" s="4" t="s">
        <v>64</v>
      </c>
    </row>
    <row r="3736">
      <c r="A3736" s="4" t="s">
        <v>6785</v>
      </c>
      <c r="B3736" s="4" t="s">
        <v>6786</v>
      </c>
      <c r="C3736" s="4">
        <v>125.0</v>
      </c>
      <c r="D3736" s="5" t="str">
        <f>HYPERLINK("https://www.linkedin.com/ad-library/detail/971163413","Open Ad")</f>
        <v>Open Ad</v>
      </c>
      <c r="E3736" s="4" t="s">
        <v>78</v>
      </c>
      <c r="F3736" s="4" t="s">
        <v>6765</v>
      </c>
      <c r="G3736" s="4" t="s">
        <v>6846</v>
      </c>
      <c r="H3736" s="4" t="s">
        <v>49</v>
      </c>
      <c r="I3736" s="4" t="s">
        <v>6768</v>
      </c>
      <c r="J3736" s="4" t="s">
        <v>78</v>
      </c>
      <c r="K3736" s="5" t="str">
        <f>HYPERLINK("https://media.licdn.com/dms/image/v2/D4D10AQHUOi3o8ukwBA/image-shrink_1280/B4DZrZ0SbUIAAQ-/0/1764590955224/Dailydoseofinsightpng?e=2147483647&amp;v=beta&amp;t=_InIR1trEibpJ0GAOhhvW7gL_23GB7_l1MK7Wm5BOT8","View Creative")</f>
        <v>View Creative</v>
      </c>
      <c r="L3736" s="4" t="s">
        <v>60</v>
      </c>
      <c r="M3736" s="4" t="s">
        <v>6785</v>
      </c>
      <c r="N3736" s="4" t="s">
        <v>6878</v>
      </c>
      <c r="O3736" s="4" t="s">
        <v>63</v>
      </c>
      <c r="P3736" s="4" t="s">
        <v>64</v>
      </c>
    </row>
    <row r="3737">
      <c r="A3737" s="4" t="s">
        <v>6785</v>
      </c>
      <c r="B3737" s="4" t="s">
        <v>6786</v>
      </c>
      <c r="C3737" s="4">
        <v>126.0</v>
      </c>
      <c r="D3737" s="5" t="str">
        <f>HYPERLINK("https://www.linkedin.com/ad-library/detail/971074283","Open Ad")</f>
        <v>Open Ad</v>
      </c>
      <c r="E3737" s="4" t="s">
        <v>78</v>
      </c>
      <c r="F3737" s="4" t="s">
        <v>6765</v>
      </c>
      <c r="G3737" s="4" t="s">
        <v>6879</v>
      </c>
      <c r="H3737" s="4" t="s">
        <v>49</v>
      </c>
      <c r="I3737" s="4" t="s">
        <v>6768</v>
      </c>
      <c r="J3737" s="4" t="s">
        <v>78</v>
      </c>
      <c r="K3737" s="5" t="str">
        <f>HYPERLINK("https://media.licdn.com/dms/image/v2/D4D10AQF0NlFu35JMnw/image-shrink_1280/B4DZrZgG_GJAAM-/0/1764585666131/Frame42png?e=2147483647&amp;v=beta&amp;t=IgsEBnSJ6tONTZr6fx-1dkSjF7gGD78qKcjutfGTYHE","View Creative")</f>
        <v>View Creative</v>
      </c>
      <c r="L3737" s="4" t="s">
        <v>60</v>
      </c>
      <c r="M3737" s="4" t="s">
        <v>6785</v>
      </c>
      <c r="N3737" s="4" t="s">
        <v>6880</v>
      </c>
      <c r="O3737" s="4" t="s">
        <v>63</v>
      </c>
      <c r="P3737" s="4" t="s">
        <v>64</v>
      </c>
    </row>
    <row r="3738">
      <c r="A3738" s="4" t="s">
        <v>6785</v>
      </c>
      <c r="B3738" s="4" t="s">
        <v>6786</v>
      </c>
      <c r="C3738" s="4">
        <v>127.0</v>
      </c>
      <c r="D3738" s="5" t="str">
        <f>HYPERLINK("https://www.linkedin.com/ad-library/detail/971133423","Open Ad")</f>
        <v>Open Ad</v>
      </c>
      <c r="E3738" s="4" t="s">
        <v>78</v>
      </c>
      <c r="F3738" s="4" t="s">
        <v>6765</v>
      </c>
      <c r="G3738" s="4" t="s">
        <v>6881</v>
      </c>
      <c r="H3738" s="4" t="s">
        <v>49</v>
      </c>
      <c r="I3738" s="4" t="s">
        <v>6768</v>
      </c>
      <c r="J3738" s="4" t="s">
        <v>78</v>
      </c>
      <c r="K3738" s="5" t="str">
        <f>HYPERLINK("https://media.licdn.com/dms/image/v2/D4D10AQGOaIiqipHBaQ/image-shrink_1280/B4DZrZ2OQ7H0AM-/0/1764591462614/Frame427319788png?e=2147483647&amp;v=beta&amp;t=VDztv98m0brKBOcwE6Ca6t14GpbWmY5ii1qMlucV8zE","View Creative")</f>
        <v>View Creative</v>
      </c>
      <c r="L3738" s="4" t="s">
        <v>60</v>
      </c>
      <c r="M3738" s="4" t="s">
        <v>6785</v>
      </c>
      <c r="N3738" s="4" t="s">
        <v>6880</v>
      </c>
      <c r="O3738" s="4" t="s">
        <v>63</v>
      </c>
      <c r="P3738" s="4" t="s">
        <v>64</v>
      </c>
    </row>
    <row r="3739">
      <c r="A3739" s="4" t="s">
        <v>6785</v>
      </c>
      <c r="B3739" s="4" t="s">
        <v>6786</v>
      </c>
      <c r="C3739" s="4">
        <v>128.0</v>
      </c>
      <c r="D3739" s="5" t="str">
        <f>HYPERLINK("https://www.linkedin.com/ad-library/detail/971163403","Open Ad")</f>
        <v>Open Ad</v>
      </c>
      <c r="E3739" s="4" t="s">
        <v>78</v>
      </c>
      <c r="F3739" s="4" t="s">
        <v>6765</v>
      </c>
      <c r="G3739" s="4" t="s">
        <v>6881</v>
      </c>
      <c r="H3739" s="4" t="s">
        <v>49</v>
      </c>
      <c r="I3739" s="4" t="s">
        <v>6768</v>
      </c>
      <c r="J3739" s="4" t="s">
        <v>78</v>
      </c>
      <c r="K3739" s="5" t="str">
        <f>HYPERLINK("https://media.licdn.com/dms/image/v2/D4D10AQH0r_ICyIgAWQ/image-shrink_1280/B4DZrZ2OQLKEAQ-/0/1764591462357/Reddit-thread21png?e=2147483647&amp;v=beta&amp;t=sdQ6M-0yLni5U7Q7kOicwSchXS5mUVi51N4M4zipad8","View Creative")</f>
        <v>View Creative</v>
      </c>
      <c r="L3739" s="4" t="s">
        <v>60</v>
      </c>
      <c r="M3739" s="4" t="s">
        <v>6785</v>
      </c>
      <c r="N3739" s="4" t="s">
        <v>6878</v>
      </c>
      <c r="O3739" s="4" t="s">
        <v>63</v>
      </c>
      <c r="P3739" s="4" t="s">
        <v>64</v>
      </c>
    </row>
    <row r="3740">
      <c r="A3740" s="4" t="s">
        <v>6785</v>
      </c>
      <c r="B3740" s="4" t="s">
        <v>6786</v>
      </c>
      <c r="C3740" s="4">
        <v>129.0</v>
      </c>
      <c r="D3740" s="5" t="str">
        <f>HYPERLINK("https://www.linkedin.com/ad-library/detail/971880043","Open Ad")</f>
        <v>Open Ad</v>
      </c>
      <c r="E3740" s="4" t="s">
        <v>78</v>
      </c>
      <c r="F3740" s="4" t="s">
        <v>6765</v>
      </c>
      <c r="G3740" s="4" t="s">
        <v>6882</v>
      </c>
      <c r="H3740" s="4" t="s">
        <v>6883</v>
      </c>
      <c r="I3740" s="4" t="s">
        <v>6768</v>
      </c>
      <c r="J3740" s="4" t="s">
        <v>78</v>
      </c>
      <c r="K3740" s="5" t="str">
        <f>HYPERLINK("https://media.licdn.com/dms/image/v2/D4E22AQEUgNZsBe0P0Q/feedshare-shrink_1280/B4EZrkE822J0As-/0/1764763096311?e=2147483647&amp;v=beta&amp;t=6SRRcmmEVSqgL3C8VOHSfSi53m9hLV0J6_wU_nLPhrE","View Creative")</f>
        <v>View Creative</v>
      </c>
      <c r="L3740" s="4" t="s">
        <v>60</v>
      </c>
      <c r="M3740" s="4" t="s">
        <v>6785</v>
      </c>
      <c r="N3740" s="4" t="s">
        <v>6884</v>
      </c>
      <c r="O3740" s="4" t="s">
        <v>63</v>
      </c>
      <c r="P3740" s="4" t="s">
        <v>64</v>
      </c>
    </row>
    <row r="3741">
      <c r="A3741" s="4" t="s">
        <v>6785</v>
      </c>
      <c r="B3741" s="4" t="s">
        <v>6786</v>
      </c>
      <c r="C3741" s="4">
        <v>130.0</v>
      </c>
      <c r="D3741" s="5" t="str">
        <f>HYPERLINK("https://www.linkedin.com/ad-library/detail/1070210394","Open Ad")</f>
        <v>Open Ad</v>
      </c>
      <c r="E3741" s="4" t="s">
        <v>78</v>
      </c>
      <c r="F3741" s="4" t="s">
        <v>6765</v>
      </c>
      <c r="G3741" s="4" t="s">
        <v>6846</v>
      </c>
      <c r="H3741" s="4" t="s">
        <v>49</v>
      </c>
      <c r="I3741" s="4" t="s">
        <v>6768</v>
      </c>
      <c r="J3741" s="4" t="s">
        <v>78</v>
      </c>
      <c r="K3741" s="5" t="str">
        <f>HYPERLINK("https://media.licdn.com/dms/image/v2/D4D10AQG93KuStnaVRA/image-pad_1200_1200/B4DZsM8cHHIgAM-/0/1765448729449?e=1789484400&amp;v=beta&amp;t=IZoRBR1vSae6uzkIfoXjh73nlkZ6fXUKrIMn1Xr6xGg","View Creative")</f>
        <v>View Creative</v>
      </c>
      <c r="L3741" s="4" t="s">
        <v>60</v>
      </c>
      <c r="M3741" s="4" t="s">
        <v>6785</v>
      </c>
      <c r="N3741" s="4" t="s">
        <v>6885</v>
      </c>
      <c r="O3741" s="4" t="s">
        <v>63</v>
      </c>
      <c r="P3741" s="4" t="s">
        <v>64</v>
      </c>
    </row>
    <row r="3742">
      <c r="A3742" s="4" t="s">
        <v>6785</v>
      </c>
      <c r="B3742" s="4" t="s">
        <v>6786</v>
      </c>
      <c r="C3742" s="4">
        <v>131.0</v>
      </c>
      <c r="D3742" s="5" t="str">
        <f>HYPERLINK("https://www.linkedin.com/ad-library/detail/971829653","Open Ad")</f>
        <v>Open Ad</v>
      </c>
      <c r="E3742" s="4" t="s">
        <v>78</v>
      </c>
      <c r="F3742" s="4" t="s">
        <v>6765</v>
      </c>
      <c r="G3742" s="4" t="s">
        <v>6886</v>
      </c>
      <c r="H3742" s="4" t="s">
        <v>49</v>
      </c>
      <c r="I3742" s="4" t="s">
        <v>6768</v>
      </c>
      <c r="J3742" s="4" t="s">
        <v>78</v>
      </c>
      <c r="K3742" s="5" t="str">
        <f>HYPERLINK("https://media.licdn.com/dms/image/v2/D4D22AQHPWcFImK2LFA/feedshare-image-high-res/B4DZron.PfIkAU-/0/1764839384240?e=2147483647&amp;v=beta&amp;t=ZNX5I15SMOTMAC7DRNJS1DVcEGx5dsV1SX_wPeLcGq4","View Creative")</f>
        <v>View Creative</v>
      </c>
      <c r="L3742" s="4" t="s">
        <v>60</v>
      </c>
      <c r="M3742" s="4" t="s">
        <v>6785</v>
      </c>
      <c r="N3742" s="4" t="s">
        <v>6887</v>
      </c>
      <c r="O3742" s="4" t="s">
        <v>63</v>
      </c>
      <c r="P3742" s="4" t="s">
        <v>64</v>
      </c>
    </row>
    <row r="3743">
      <c r="A3743" s="4" t="s">
        <v>6785</v>
      </c>
      <c r="B3743" s="4" t="s">
        <v>6786</v>
      </c>
      <c r="C3743" s="4">
        <v>132.0</v>
      </c>
      <c r="D3743" s="5" t="str">
        <f>HYPERLINK("https://www.linkedin.com/ad-library/detail/971830423","Open Ad")</f>
        <v>Open Ad</v>
      </c>
      <c r="E3743" s="4" t="s">
        <v>78</v>
      </c>
      <c r="F3743" s="4" t="s">
        <v>6765</v>
      </c>
      <c r="G3743" s="4" t="s">
        <v>6882</v>
      </c>
      <c r="H3743" s="4" t="s">
        <v>6883</v>
      </c>
      <c r="I3743" s="4" t="s">
        <v>6768</v>
      </c>
      <c r="J3743" s="4" t="s">
        <v>78</v>
      </c>
      <c r="K3743" s="5" t="str">
        <f>HYPERLINK("https://media.licdn.com/dms/image/v2/D4E22AQEUgNZsBe0P0Q/feedshare-shrink_1280/B4EZrkE822J0As-/0/1764763096311?e=2147483647&amp;v=beta&amp;t=6SRRcmmEVSqgL3C8VOHSfSi53m9hLV0J6_wU_nLPhrE","View Creative")</f>
        <v>View Creative</v>
      </c>
      <c r="L3743" s="4" t="s">
        <v>60</v>
      </c>
      <c r="M3743" s="4" t="s">
        <v>6785</v>
      </c>
      <c r="O3743" s="4" t="s">
        <v>63</v>
      </c>
      <c r="P3743" s="4" t="s">
        <v>64</v>
      </c>
    </row>
    <row r="3744">
      <c r="A3744" s="4" t="s">
        <v>6785</v>
      </c>
      <c r="B3744" s="4" t="s">
        <v>6786</v>
      </c>
      <c r="C3744" s="4">
        <v>133.0</v>
      </c>
      <c r="D3744" s="5" t="str">
        <f>HYPERLINK("https://www.linkedin.com/ad-library/detail/971084063","Open Ad")</f>
        <v>Open Ad</v>
      </c>
      <c r="E3744" s="4" t="s">
        <v>78</v>
      </c>
      <c r="F3744" s="4" t="s">
        <v>6765</v>
      </c>
      <c r="G3744" s="4" t="s">
        <v>6846</v>
      </c>
      <c r="H3744" s="4" t="s">
        <v>49</v>
      </c>
      <c r="I3744" s="4" t="s">
        <v>6768</v>
      </c>
      <c r="J3744" s="4" t="s">
        <v>78</v>
      </c>
      <c r="K3744" s="5" t="str">
        <f>HYPERLINK("https://media.licdn.com/dms/image/v2/D4D10AQE-d9Np62apow/image-shrink_1280/B4DZrZ1dZbIEAM-/0/1764591263048/WhoareyoucompetingwithinAIanswers4png?e=2147483647&amp;v=beta&amp;t=Bshp2TaM_9n5kqeuHcZ15P6IYQ9gQepG-5grQFUhAa8","View Creative")</f>
        <v>View Creative</v>
      </c>
      <c r="L3744" s="4" t="s">
        <v>60</v>
      </c>
      <c r="M3744" s="4" t="s">
        <v>6785</v>
      </c>
      <c r="N3744" s="4" t="s">
        <v>6878</v>
      </c>
      <c r="O3744" s="4" t="s">
        <v>63</v>
      </c>
      <c r="P3744" s="4" t="s">
        <v>64</v>
      </c>
    </row>
    <row r="3745">
      <c r="A3745" s="4" t="s">
        <v>6785</v>
      </c>
      <c r="B3745" s="4" t="s">
        <v>6786</v>
      </c>
      <c r="C3745" s="4">
        <v>134.0</v>
      </c>
      <c r="D3745" s="5" t="str">
        <f>HYPERLINK("https://www.linkedin.com/ad-library/detail/971084073","Open Ad")</f>
        <v>Open Ad</v>
      </c>
      <c r="E3745" s="4" t="s">
        <v>78</v>
      </c>
      <c r="F3745" s="4" t="s">
        <v>6765</v>
      </c>
      <c r="G3745" s="4" t="s">
        <v>6846</v>
      </c>
      <c r="H3745" s="4" t="s">
        <v>49</v>
      </c>
      <c r="I3745" s="4" t="s">
        <v>6768</v>
      </c>
      <c r="J3745" s="4" t="s">
        <v>78</v>
      </c>
      <c r="K3745" s="5" t="str">
        <f>HYPERLINK("https://media.licdn.com/dms/image/v2/D4D10AQHPa-ScNyttLw/image-shrink_1280/B4DZrZ1grAJ4AM-/0/1764591276444/WhoareyoucompetingwithinAIanswerspng?e=2147483647&amp;v=beta&amp;t=IPTqKzWWAc5bQ5-6SxabU08QhBvDhdvS8cIY-0jU-LQ","View Creative")</f>
        <v>View Creative</v>
      </c>
      <c r="L3745" s="4" t="s">
        <v>60</v>
      </c>
      <c r="M3745" s="4" t="s">
        <v>6785</v>
      </c>
      <c r="N3745" s="4" t="s">
        <v>6878</v>
      </c>
      <c r="O3745" s="4" t="s">
        <v>63</v>
      </c>
      <c r="P3745" s="4" t="s">
        <v>64</v>
      </c>
    </row>
    <row r="3746">
      <c r="A3746" s="4" t="s">
        <v>6785</v>
      </c>
      <c r="B3746" s="4" t="s">
        <v>6786</v>
      </c>
      <c r="C3746" s="4">
        <v>135.0</v>
      </c>
      <c r="D3746" s="5" t="str">
        <f>HYPERLINK("https://www.linkedin.com/ad-library/detail/971686753","Open Ad")</f>
        <v>Open Ad</v>
      </c>
      <c r="E3746" s="4" t="s">
        <v>78</v>
      </c>
      <c r="F3746" s="4" t="s">
        <v>6765</v>
      </c>
      <c r="G3746" s="8" t="s">
        <v>6888</v>
      </c>
      <c r="H3746" s="4" t="s">
        <v>49</v>
      </c>
      <c r="I3746" s="4" t="s">
        <v>6768</v>
      </c>
      <c r="J3746" s="4" t="s">
        <v>78</v>
      </c>
      <c r="K3746" s="5" t="str">
        <f>HYPERLINK("https://media.licdn.com/dms/image/v2/D4D10AQHqCi6sAqnXnA/image-shrink_800/B4DZrj2JWWJIAc-/0/1764759214045/Marwickimgjpg?e=2147483647&amp;v=beta&amp;t=bF96vM4hi5loUKDn5-w3VRUa5mW-FSiW3qhideabCFs","View Creative")</f>
        <v>View Creative</v>
      </c>
      <c r="L3746" s="4" t="s">
        <v>60</v>
      </c>
      <c r="M3746" s="4" t="s">
        <v>6785</v>
      </c>
      <c r="O3746" s="4" t="s">
        <v>63</v>
      </c>
      <c r="P3746" s="4" t="s">
        <v>64</v>
      </c>
    </row>
    <row r="3747">
      <c r="A3747" s="4" t="s">
        <v>6785</v>
      </c>
      <c r="B3747" s="4" t="s">
        <v>6786</v>
      </c>
      <c r="C3747" s="4">
        <v>136.0</v>
      </c>
      <c r="D3747" s="5" t="str">
        <f>HYPERLINK("https://www.linkedin.com/ad-library/detail/971084083","Open Ad")</f>
        <v>Open Ad</v>
      </c>
      <c r="E3747" s="4" t="s">
        <v>78</v>
      </c>
      <c r="F3747" s="4" t="s">
        <v>6765</v>
      </c>
      <c r="G3747" s="4" t="s">
        <v>6889</v>
      </c>
      <c r="H3747" s="4" t="s">
        <v>49</v>
      </c>
      <c r="I3747" s="4" t="s">
        <v>6768</v>
      </c>
      <c r="J3747" s="4" t="s">
        <v>78</v>
      </c>
      <c r="K3747" s="5" t="str">
        <f>HYPERLINK("https://media.licdn.com/dms/image/v2/D4D10AQHO3sdl2cRohg/image-shrink_1280/B4DZrZ0regIgAQ-/0/1764591057666/Frame427319791png?e=2147483647&amp;v=beta&amp;t=6Wlg1P1OWb5rIqxHozCeqoT3a5s4qVFR0kDizMTft9s","View Creative")</f>
        <v>View Creative</v>
      </c>
      <c r="L3747" s="4" t="s">
        <v>60</v>
      </c>
      <c r="M3747" s="4" t="s">
        <v>6785</v>
      </c>
      <c r="N3747" s="4" t="s">
        <v>6890</v>
      </c>
      <c r="O3747" s="4" t="s">
        <v>63</v>
      </c>
      <c r="P3747" s="4" t="s">
        <v>64</v>
      </c>
    </row>
    <row r="3748">
      <c r="A3748" s="4" t="s">
        <v>6785</v>
      </c>
      <c r="B3748" s="4" t="s">
        <v>6786</v>
      </c>
      <c r="C3748" s="4">
        <v>137.0</v>
      </c>
      <c r="D3748" s="5" t="str">
        <f>HYPERLINK("https://www.linkedin.com/ad-library/detail/970985153","Open Ad")</f>
        <v>Open Ad</v>
      </c>
      <c r="E3748" s="4" t="s">
        <v>78</v>
      </c>
      <c r="F3748" s="4" t="s">
        <v>6765</v>
      </c>
      <c r="G3748" s="4" t="s">
        <v>6846</v>
      </c>
      <c r="H3748" s="4" t="s">
        <v>49</v>
      </c>
      <c r="I3748" s="4" t="s">
        <v>6768</v>
      </c>
      <c r="J3748" s="4" t="s">
        <v>78</v>
      </c>
      <c r="K3748" s="5" t="str">
        <f>HYPERLINK("https://media.licdn.com/dms/image/v2/D4D10AQH12eqm4kFAFA/image-shrink_1280/B4DZrZvnuRHsAQ-/0/1764589731504/WhatareLLMssayingaboutyourbrand_3png?e=2147483647&amp;v=beta&amp;t=yAoDj8oFdbmX5ex9cYnQlSaVyLmSBRt0s2D1hPnlkis","View Creative")</f>
        <v>View Creative</v>
      </c>
      <c r="L3748" s="4" t="s">
        <v>60</v>
      </c>
      <c r="M3748" s="4" t="s">
        <v>6785</v>
      </c>
      <c r="N3748" s="4" t="s">
        <v>6891</v>
      </c>
      <c r="O3748" s="4" t="s">
        <v>63</v>
      </c>
      <c r="P3748" s="4" t="s">
        <v>64</v>
      </c>
    </row>
    <row r="3749">
      <c r="A3749" s="4" t="s">
        <v>6785</v>
      </c>
      <c r="B3749" s="4" t="s">
        <v>6786</v>
      </c>
      <c r="C3749" s="4">
        <v>138.0</v>
      </c>
      <c r="D3749" s="5" t="str">
        <f>HYPERLINK("https://www.linkedin.com/ad-library/detail/972030383","Open Ad")</f>
        <v>Open Ad</v>
      </c>
      <c r="E3749" s="4" t="s">
        <v>78</v>
      </c>
      <c r="F3749" s="4" t="s">
        <v>6765</v>
      </c>
      <c r="G3749" s="4" t="s">
        <v>6886</v>
      </c>
      <c r="H3749" s="4" t="s">
        <v>49</v>
      </c>
      <c r="I3749" s="4" t="s">
        <v>6768</v>
      </c>
      <c r="J3749" s="4" t="s">
        <v>78</v>
      </c>
      <c r="K3749" s="5" t="str">
        <f>HYPERLINK("https://media.licdn.com/dms/image/v2/D4D22AQHPWcFImK2LFA/feedshare-image-high-res/B4DZron.PfIkAU-/0/1764839384240?e=2147483647&amp;v=beta&amp;t=ZNX5I15SMOTMAC7DRNJS1DVcEGx5dsV1SX_wPeLcGq4","View Creative")</f>
        <v>View Creative</v>
      </c>
      <c r="L3749" s="4" t="s">
        <v>60</v>
      </c>
      <c r="M3749" s="4" t="s">
        <v>6785</v>
      </c>
      <c r="O3749" s="4" t="s">
        <v>63</v>
      </c>
      <c r="P3749" s="4" t="s">
        <v>64</v>
      </c>
    </row>
    <row r="3750">
      <c r="A3750" s="4" t="s">
        <v>6785</v>
      </c>
      <c r="B3750" s="4" t="s">
        <v>6786</v>
      </c>
      <c r="C3750" s="4">
        <v>139.0</v>
      </c>
      <c r="D3750" s="5" t="str">
        <f>HYPERLINK("https://www.linkedin.com/ad-library/detail/971123323","Open Ad")</f>
        <v>Open Ad</v>
      </c>
      <c r="E3750" s="4" t="s">
        <v>78</v>
      </c>
      <c r="F3750" s="4" t="s">
        <v>6765</v>
      </c>
      <c r="G3750" s="4" t="s">
        <v>6881</v>
      </c>
      <c r="H3750" s="4" t="s">
        <v>49</v>
      </c>
      <c r="I3750" s="4" t="s">
        <v>6768</v>
      </c>
      <c r="J3750" s="4" t="s">
        <v>78</v>
      </c>
      <c r="K3750" s="5" t="str">
        <f>HYPERLINK("https://media.licdn.com/dms/image/v2/D4D10AQH0r_ICyIgAWQ/image-shrink_1280/B4DZrZ2OQLKEAQ-/0/1764591462357/Reddit-thread21png?e=2147483647&amp;v=beta&amp;t=sdQ6M-0yLni5U7Q7kOicwSchXS5mUVi51N4M4zipad8","View Creative")</f>
        <v>View Creative</v>
      </c>
      <c r="L3750" s="4" t="s">
        <v>60</v>
      </c>
      <c r="M3750" s="4" t="s">
        <v>6785</v>
      </c>
      <c r="O3750" s="4" t="s">
        <v>63</v>
      </c>
      <c r="P3750" s="4" t="s">
        <v>64</v>
      </c>
    </row>
    <row r="3751">
      <c r="A3751" s="4" t="s">
        <v>6785</v>
      </c>
      <c r="B3751" s="4" t="s">
        <v>6786</v>
      </c>
      <c r="C3751" s="4">
        <v>140.0</v>
      </c>
      <c r="D3751" s="5" t="str">
        <f>HYPERLINK("https://www.linkedin.com/ad-library/detail/971528923","Open Ad")</f>
        <v>Open Ad</v>
      </c>
      <c r="E3751" s="4" t="s">
        <v>78</v>
      </c>
      <c r="F3751" s="4" t="s">
        <v>6765</v>
      </c>
      <c r="G3751" s="8" t="s">
        <v>6888</v>
      </c>
      <c r="H3751" s="4" t="s">
        <v>49</v>
      </c>
      <c r="I3751" s="4" t="s">
        <v>6768</v>
      </c>
      <c r="J3751" s="4" t="s">
        <v>78</v>
      </c>
      <c r="K3751" s="5" t="str">
        <f>HYPERLINK("https://media.licdn.com/dms/image/v2/D4D10AQHqCi6sAqnXnA/image-shrink_800/B4DZrj2JWWJIAc-/0/1764759214045/Marwickimgjpg?e=2147483647&amp;v=beta&amp;t=bF96vM4hi5loUKDn5-w3VRUa5mW-FSiW3qhideabCFs","View Creative")</f>
        <v>View Creative</v>
      </c>
      <c r="L3751" s="4" t="s">
        <v>60</v>
      </c>
      <c r="M3751" s="4" t="s">
        <v>6785</v>
      </c>
      <c r="N3751" s="4" t="s">
        <v>6892</v>
      </c>
      <c r="O3751" s="4" t="s">
        <v>63</v>
      </c>
      <c r="P3751" s="4" t="s">
        <v>64</v>
      </c>
    </row>
    <row r="3752">
      <c r="A3752" s="4" t="s">
        <v>6785</v>
      </c>
      <c r="B3752" s="4" t="s">
        <v>6786</v>
      </c>
      <c r="C3752" s="4">
        <v>141.0</v>
      </c>
      <c r="D3752" s="5" t="str">
        <f>HYPERLINK("https://www.linkedin.com/ad-library/detail/970946233","Open Ad")</f>
        <v>Open Ad</v>
      </c>
      <c r="E3752" s="4" t="s">
        <v>78</v>
      </c>
      <c r="F3752" s="4" t="s">
        <v>6765</v>
      </c>
      <c r="G3752" s="4" t="s">
        <v>6846</v>
      </c>
      <c r="H3752" s="4" t="s">
        <v>49</v>
      </c>
      <c r="I3752" s="4" t="s">
        <v>6768</v>
      </c>
      <c r="J3752" s="4" t="s">
        <v>78</v>
      </c>
      <c r="K3752" s="5" t="str">
        <f>HYPERLINK("https://media.licdn.com/dms/image/v2/D4D10AQG_xuSCoSOWOw/image-shrink_1280/B4DZrZybMvJ4AQ-/0/1764590466738/Frame42png?e=2147483647&amp;v=beta&amp;t=7G2g-uOF8os8k6xbs5ydkjB0K4GocRUTGPom83hTGPc","View Creative")</f>
        <v>View Creative</v>
      </c>
      <c r="L3752" s="4" t="s">
        <v>60</v>
      </c>
      <c r="M3752" s="4" t="s">
        <v>6785</v>
      </c>
      <c r="N3752" s="4" t="s">
        <v>6893</v>
      </c>
      <c r="O3752" s="4" t="s">
        <v>63</v>
      </c>
      <c r="P3752" s="4" t="s">
        <v>64</v>
      </c>
    </row>
    <row r="3753">
      <c r="A3753" s="4" t="s">
        <v>6785</v>
      </c>
      <c r="B3753" s="4" t="s">
        <v>6786</v>
      </c>
      <c r="C3753" s="4">
        <v>142.0</v>
      </c>
      <c r="D3753" s="5" t="str">
        <f>HYPERLINK("https://www.linkedin.com/ad-library/detail/971103493","Open Ad")</f>
        <v>Open Ad</v>
      </c>
      <c r="E3753" s="4" t="s">
        <v>78</v>
      </c>
      <c r="F3753" s="4" t="s">
        <v>6765</v>
      </c>
      <c r="G3753" s="4" t="s">
        <v>6881</v>
      </c>
      <c r="H3753" s="4" t="s">
        <v>49</v>
      </c>
      <c r="I3753" s="4" t="s">
        <v>6768</v>
      </c>
      <c r="J3753" s="4" t="s">
        <v>78</v>
      </c>
      <c r="K3753" s="5" t="str">
        <f>HYPERLINK("https://media.licdn.com/dms/image/v2/D4D10AQFRgJFPW6JsFQ/image-shrink_1280/B4DZrZ2OQ2JMAM-/0/1764591463093/Reddit-threadpng?e=2147483647&amp;v=beta&amp;t=L4zArDElnswTq9e6slFm2Ubxrz2LG86dTI8El1iQ7sM","View Creative")</f>
        <v>View Creative</v>
      </c>
      <c r="L3753" s="4" t="s">
        <v>60</v>
      </c>
      <c r="M3753" s="4" t="s">
        <v>6785</v>
      </c>
      <c r="N3753" s="4" t="s">
        <v>6878</v>
      </c>
      <c r="O3753" s="4" t="s">
        <v>63</v>
      </c>
      <c r="P3753" s="4" t="s">
        <v>64</v>
      </c>
    </row>
    <row r="3754">
      <c r="A3754" s="4" t="s">
        <v>6785</v>
      </c>
      <c r="B3754" s="4" t="s">
        <v>6786</v>
      </c>
      <c r="C3754" s="4">
        <v>143.0</v>
      </c>
      <c r="D3754" s="5" t="str">
        <f>HYPERLINK("https://www.linkedin.com/ad-library/detail/971054233","Open Ad")</f>
        <v>Open Ad</v>
      </c>
      <c r="E3754" s="4" t="s">
        <v>78</v>
      </c>
      <c r="F3754" s="4" t="s">
        <v>6765</v>
      </c>
      <c r="G3754" s="4" t="s">
        <v>6846</v>
      </c>
      <c r="H3754" s="4" t="s">
        <v>49</v>
      </c>
      <c r="I3754" s="4" t="s">
        <v>6768</v>
      </c>
      <c r="J3754" s="4" t="s">
        <v>78</v>
      </c>
      <c r="K3754" s="5" t="str">
        <f>HYPERLINK("https://media.licdn.com/dms/image/v2/D4D10AQHAq7_fkak41Q/image-shrink_1280/B4DZrZxJhRJIAM-/0/1764590132062/IlluminateyourLLMPerformance4png?e=2147483647&amp;v=beta&amp;t=mDbJmwLdb1y3_1G6McnK2Dt70SYJW5YhySG9rC_MYzs","View Creative")</f>
        <v>View Creative</v>
      </c>
      <c r="L3754" s="4" t="s">
        <v>60</v>
      </c>
      <c r="M3754" s="4" t="s">
        <v>6785</v>
      </c>
      <c r="N3754" s="4" t="s">
        <v>6894</v>
      </c>
      <c r="O3754" s="4" t="s">
        <v>63</v>
      </c>
      <c r="P3754" s="4" t="s">
        <v>64</v>
      </c>
    </row>
    <row r="3755">
      <c r="A3755" s="4" t="s">
        <v>6785</v>
      </c>
      <c r="B3755" s="4" t="s">
        <v>6786</v>
      </c>
      <c r="C3755" s="4">
        <v>144.0</v>
      </c>
      <c r="D3755" s="5" t="str">
        <f>HYPERLINK("https://www.linkedin.com/ad-library/detail/971093543","Open Ad")</f>
        <v>Open Ad</v>
      </c>
      <c r="E3755" s="4" t="s">
        <v>78</v>
      </c>
      <c r="F3755" s="4" t="s">
        <v>6765</v>
      </c>
      <c r="G3755" s="4" t="s">
        <v>6889</v>
      </c>
      <c r="H3755" s="4" t="s">
        <v>49</v>
      </c>
      <c r="I3755" s="4" t="s">
        <v>6768</v>
      </c>
      <c r="J3755" s="4" t="s">
        <v>78</v>
      </c>
      <c r="K3755" s="5" t="str">
        <f>HYPERLINK("https://media.licdn.com/dms/image/v2/D4D10AQE-S9fHTD8Fjw/image-shrink_1280/B4DZrZwBwVJIAM-/0/1764589838330/Birdbox-Grumppng?e=2147483647&amp;v=beta&amp;t=TFzFj9WnA8hTesxWE-VJKXZUBhCDPKrW1F9PVXcU5-Q","View Creative")</f>
        <v>View Creative</v>
      </c>
      <c r="L3755" s="4" t="s">
        <v>60</v>
      </c>
      <c r="M3755" s="4" t="s">
        <v>6785</v>
      </c>
      <c r="N3755" s="4" t="s">
        <v>6878</v>
      </c>
      <c r="O3755" s="4" t="s">
        <v>63</v>
      </c>
      <c r="P3755" s="4" t="s">
        <v>64</v>
      </c>
    </row>
    <row r="3756">
      <c r="A3756" s="4" t="s">
        <v>6785</v>
      </c>
      <c r="B3756" s="4" t="s">
        <v>6786</v>
      </c>
      <c r="C3756" s="4">
        <v>145.0</v>
      </c>
      <c r="D3756" s="5" t="str">
        <f>HYPERLINK("https://www.linkedin.com/ad-library/detail/971083903","Open Ad")</f>
        <v>Open Ad</v>
      </c>
      <c r="E3756" s="4" t="s">
        <v>78</v>
      </c>
      <c r="F3756" s="4" t="s">
        <v>6765</v>
      </c>
      <c r="G3756" s="4" t="s">
        <v>6889</v>
      </c>
      <c r="H3756" s="4" t="s">
        <v>49</v>
      </c>
      <c r="I3756" s="4" t="s">
        <v>6768</v>
      </c>
      <c r="J3756" s="4" t="s">
        <v>78</v>
      </c>
      <c r="K3756" s="5" t="str">
        <f>HYPERLINK("https://media.licdn.com/dms/image/v2/D4D10AQHO3sdl2cRohg/image-shrink_1280/B4DZrZ0regIgAQ-/0/1764591057666/Frame427319791png?e=2147483647&amp;v=beta&amp;t=6Wlg1P1OWb5rIqxHozCeqoT3a5s4qVFR0kDizMTft9s","View Creative")</f>
        <v>View Creative</v>
      </c>
      <c r="L3756" s="4" t="s">
        <v>60</v>
      </c>
      <c r="M3756" s="4" t="s">
        <v>6785</v>
      </c>
      <c r="O3756" s="4" t="s">
        <v>63</v>
      </c>
      <c r="P3756" s="4" t="s">
        <v>64</v>
      </c>
    </row>
    <row r="3757">
      <c r="A3757" s="4" t="s">
        <v>6785</v>
      </c>
      <c r="B3757" s="4" t="s">
        <v>6786</v>
      </c>
      <c r="C3757" s="4">
        <v>146.0</v>
      </c>
      <c r="D3757" s="5" t="str">
        <f>HYPERLINK("https://www.linkedin.com/ad-library/detail/970358943","Open Ad")</f>
        <v>Open Ad</v>
      </c>
      <c r="E3757" s="4" t="s">
        <v>78</v>
      </c>
      <c r="F3757" s="4" t="s">
        <v>6765</v>
      </c>
      <c r="G3757" s="4" t="s">
        <v>6895</v>
      </c>
      <c r="H3757" s="4" t="s">
        <v>6896</v>
      </c>
      <c r="I3757" s="4" t="s">
        <v>6768</v>
      </c>
      <c r="J3757" s="4" t="s">
        <v>78</v>
      </c>
      <c r="K3757" s="5" t="str">
        <f>HYPERLINK("https://media.licdn.com/dms/image/v2/D4D22AQEW8Kj3j9mZXA/feedshare-image-high-res/B4DZq6oZATJMAo-/0/1764067742505?e=2147483647&amp;v=beta&amp;t=nxxuIx957U-ElKXFDCZOpxVyCAZHoYZ0mvJMQGnyD00","View Creative")</f>
        <v>View Creative</v>
      </c>
      <c r="L3757" s="4" t="s">
        <v>60</v>
      </c>
      <c r="M3757" s="4" t="s">
        <v>6785</v>
      </c>
      <c r="N3757" s="4" t="s">
        <v>6897</v>
      </c>
      <c r="O3757" s="4" t="s">
        <v>63</v>
      </c>
      <c r="P3757" s="4" t="s">
        <v>64</v>
      </c>
    </row>
    <row r="3758">
      <c r="A3758" s="4" t="s">
        <v>6785</v>
      </c>
      <c r="B3758" s="4" t="s">
        <v>6786</v>
      </c>
      <c r="C3758" s="4">
        <v>147.0</v>
      </c>
      <c r="D3758" s="5" t="str">
        <f>HYPERLINK("https://www.linkedin.com/ad-library/detail/942135453","Open Ad")</f>
        <v>Open Ad</v>
      </c>
      <c r="E3758" s="4" t="s">
        <v>78</v>
      </c>
      <c r="F3758" s="4" t="s">
        <v>6765</v>
      </c>
      <c r="G3758" s="4" t="s">
        <v>6898</v>
      </c>
      <c r="H3758" s="4" t="s">
        <v>49</v>
      </c>
      <c r="I3758" s="4" t="s">
        <v>6768</v>
      </c>
      <c r="J3758" s="4" t="s">
        <v>78</v>
      </c>
      <c r="K3758" s="5" t="str">
        <f>HYPERLINK("https://media.licdn.com/dms/image/v2/D4D10AQFkOo5Wnzve4Q/image-shrink_1280/B4DZqhIyc.H4AQ-/0/1763640027701/Eagledeyedcasegraphicjpg?e=2147483647&amp;v=beta&amp;t=r7OPDYmzpMTRLAQ8pjJj4e4GrgL0VgNmZKR9QXuCLSI","View Creative")</f>
        <v>View Creative</v>
      </c>
      <c r="L3758" s="4" t="s">
        <v>60</v>
      </c>
      <c r="M3758" s="4" t="s">
        <v>6785</v>
      </c>
      <c r="O3758" s="4" t="s">
        <v>63</v>
      </c>
      <c r="P3758" s="4" t="s">
        <v>64</v>
      </c>
    </row>
    <row r="3759">
      <c r="A3759" s="4" t="s">
        <v>6785</v>
      </c>
      <c r="B3759" s="4" t="s">
        <v>6786</v>
      </c>
      <c r="C3759" s="4">
        <v>148.0</v>
      </c>
      <c r="D3759" s="5" t="str">
        <f>HYPERLINK("https://www.linkedin.com/ad-library/detail/970458263","Open Ad")</f>
        <v>Open Ad</v>
      </c>
      <c r="E3759" s="4" t="s">
        <v>78</v>
      </c>
      <c r="F3759" s="4" t="s">
        <v>6765</v>
      </c>
      <c r="G3759" s="4" t="s">
        <v>6895</v>
      </c>
      <c r="H3759" s="4" t="s">
        <v>6896</v>
      </c>
      <c r="I3759" s="4" t="s">
        <v>6768</v>
      </c>
      <c r="J3759" s="4" t="s">
        <v>78</v>
      </c>
      <c r="K3759" s="5" t="str">
        <f>HYPERLINK("https://media.licdn.com/dms/image/v2/D4D22AQEW8Kj3j9mZXA/feedshare-image-high-res/B4DZq6oZATJMAo-/0/1764067742505?e=2147483647&amp;v=beta&amp;t=nxxuIx957U-ElKXFDCZOpxVyCAZHoYZ0mvJMQGnyD00","View Creative")</f>
        <v>View Creative</v>
      </c>
      <c r="L3759" s="4" t="s">
        <v>60</v>
      </c>
      <c r="M3759" s="4" t="s">
        <v>6785</v>
      </c>
      <c r="N3759" s="4" t="s">
        <v>6899</v>
      </c>
      <c r="O3759" s="4" t="s">
        <v>63</v>
      </c>
      <c r="P3759" s="4" t="s">
        <v>64</v>
      </c>
    </row>
    <row r="3760">
      <c r="A3760" s="4" t="s">
        <v>6785</v>
      </c>
      <c r="B3760" s="4" t="s">
        <v>6786</v>
      </c>
      <c r="C3760" s="4">
        <v>149.0</v>
      </c>
      <c r="D3760" s="5" t="str">
        <f>HYPERLINK("https://www.linkedin.com/ad-library/detail/971033853","Open Ad")</f>
        <v>Open Ad</v>
      </c>
      <c r="E3760" s="4" t="s">
        <v>78</v>
      </c>
      <c r="F3760" s="4" t="s">
        <v>6765</v>
      </c>
      <c r="G3760" s="4" t="s">
        <v>6846</v>
      </c>
      <c r="H3760" s="4" t="s">
        <v>49</v>
      </c>
      <c r="I3760" s="4" t="s">
        <v>6768</v>
      </c>
      <c r="J3760" s="4" t="s">
        <v>78</v>
      </c>
      <c r="K3760" s="5" t="str">
        <f>HYPERLINK("https://media.licdn.com/dms/image/v2/D4D10AQG_xuSCoSOWOw/image-shrink_1280/B4DZrZybMvJ4AQ-/0/1764590466738/Frame42png?e=2147483647&amp;v=beta&amp;t=7G2g-uOF8os8k6xbs5ydkjB0K4GocRUTGPom83hTGPc","View Creative")</f>
        <v>View Creative</v>
      </c>
      <c r="L3760" s="4" t="s">
        <v>60</v>
      </c>
      <c r="M3760" s="4" t="s">
        <v>6785</v>
      </c>
      <c r="O3760" s="4" t="s">
        <v>63</v>
      </c>
      <c r="P3760" s="4" t="s">
        <v>64</v>
      </c>
    </row>
    <row r="3761">
      <c r="A3761" s="4" t="s">
        <v>6785</v>
      </c>
      <c r="B3761" s="4" t="s">
        <v>6786</v>
      </c>
      <c r="C3761" s="4">
        <v>150.0</v>
      </c>
      <c r="D3761" s="5" t="str">
        <f>HYPERLINK("https://www.linkedin.com/ad-library/detail/969213403","Open Ad")</f>
        <v>Open Ad</v>
      </c>
      <c r="E3761" s="4" t="s">
        <v>52</v>
      </c>
      <c r="F3761" s="4" t="s">
        <v>6765</v>
      </c>
      <c r="G3761" s="4" t="s">
        <v>6900</v>
      </c>
      <c r="H3761" s="4" t="s">
        <v>49</v>
      </c>
      <c r="I3761" s="4" t="s">
        <v>6768</v>
      </c>
      <c r="J3761" s="4" t="s">
        <v>52</v>
      </c>
      <c r="K3761" s="4" t="s">
        <v>59</v>
      </c>
      <c r="L3761" s="4" t="s">
        <v>60</v>
      </c>
      <c r="M3761" s="4" t="s">
        <v>6785</v>
      </c>
      <c r="O3761" s="4" t="s">
        <v>63</v>
      </c>
      <c r="P3761" s="4" t="s">
        <v>64</v>
      </c>
    </row>
    <row r="3762">
      <c r="A3762" s="4" t="s">
        <v>6785</v>
      </c>
      <c r="B3762" s="4" t="s">
        <v>6786</v>
      </c>
      <c r="C3762" s="4">
        <v>151.0</v>
      </c>
      <c r="D3762" s="5" t="str">
        <f>HYPERLINK("https://www.linkedin.com/ad-library/detail/971093273","Open Ad")</f>
        <v>Open Ad</v>
      </c>
      <c r="E3762" s="4" t="s">
        <v>78</v>
      </c>
      <c r="F3762" s="4" t="s">
        <v>6765</v>
      </c>
      <c r="G3762" s="4" t="s">
        <v>6889</v>
      </c>
      <c r="H3762" s="4" t="s">
        <v>49</v>
      </c>
      <c r="I3762" s="4" t="s">
        <v>6768</v>
      </c>
      <c r="J3762" s="4" t="s">
        <v>78</v>
      </c>
      <c r="K3762" s="7" t="str">
        <f>HYPERLINK("https://media.licdn.com/dms/image/v2/D4D10AQE-S9fHTD8Fjw/image-shrink_1280/B4DZrZwBwVJIAM-/0/1764589838330/Birdbox-Grumppng?e=2147483647&amp;v=beta&amp;t=TFzFj9WnA8hTesxWE-VJKXZUBhCDPKrW1F9PVXcU5-Q","View Creative")</f>
        <v>View Creative</v>
      </c>
      <c r="L3762" s="4" t="s">
        <v>60</v>
      </c>
      <c r="M3762" s="4" t="s">
        <v>6785</v>
      </c>
      <c r="O3762" s="4" t="s">
        <v>63</v>
      </c>
      <c r="P3762" s="4" t="s">
        <v>64</v>
      </c>
    </row>
    <row r="3763">
      <c r="A3763" s="4" t="s">
        <v>6785</v>
      </c>
      <c r="B3763" s="4" t="s">
        <v>6786</v>
      </c>
      <c r="C3763" s="4">
        <v>152.0</v>
      </c>
      <c r="D3763" s="5" t="str">
        <f>HYPERLINK("https://www.linkedin.com/ad-library/detail/971153223","Open Ad")</f>
        <v>Open Ad</v>
      </c>
      <c r="E3763" s="4" t="s">
        <v>78</v>
      </c>
      <c r="F3763" s="4" t="s">
        <v>6765</v>
      </c>
      <c r="G3763" s="4" t="s">
        <v>6846</v>
      </c>
      <c r="H3763" s="4" t="s">
        <v>49</v>
      </c>
      <c r="I3763" s="4" t="s">
        <v>6768</v>
      </c>
      <c r="J3763" s="4" t="s">
        <v>78</v>
      </c>
      <c r="K3763" s="7" t="str">
        <f>HYPERLINK("https://media.licdn.com/dms/image/v2/D4D10AQHAq7_fkak41Q/image-shrink_1280/B4DZrZxJhRJIAM-/0/1764590132062/IlluminateyourLLMPerformance4png?e=2147483647&amp;v=beta&amp;t=mDbJmwLdb1y3_1G6McnK2Dt70SYJW5YhySG9rC_MYzs","View Creative")</f>
        <v>View Creative</v>
      </c>
      <c r="L3763" s="4" t="s">
        <v>60</v>
      </c>
      <c r="M3763" s="4" t="s">
        <v>6785</v>
      </c>
      <c r="O3763" s="4" t="s">
        <v>63</v>
      </c>
      <c r="P3763" s="4" t="s">
        <v>64</v>
      </c>
    </row>
    <row r="3764">
      <c r="A3764" s="4" t="s">
        <v>6785</v>
      </c>
      <c r="B3764" s="4" t="s">
        <v>6786</v>
      </c>
      <c r="C3764" s="4">
        <v>153.0</v>
      </c>
      <c r="D3764" s="5" t="str">
        <f>HYPERLINK("https://www.linkedin.com/ad-library/detail/942085773","Open Ad")</f>
        <v>Open Ad</v>
      </c>
      <c r="E3764" s="4" t="s">
        <v>78</v>
      </c>
      <c r="F3764" s="4" t="s">
        <v>6765</v>
      </c>
      <c r="G3764" s="4" t="s">
        <v>6898</v>
      </c>
      <c r="H3764" s="4" t="s">
        <v>49</v>
      </c>
      <c r="I3764" s="4" t="s">
        <v>6768</v>
      </c>
      <c r="J3764" s="4" t="s">
        <v>78</v>
      </c>
      <c r="K3764" s="7" t="str">
        <f>HYPERLINK("https://media.licdn.com/dms/image/v2/D4D10AQFkOo5Wnzve4Q/image-shrink_1280/B4DZqhIyc.H4AQ-/0/1763640027701/Eagledeyedcasegraphicjpg?e=2147483647&amp;v=beta&amp;t=r7OPDYmzpMTRLAQ8pjJj4e4GrgL0VgNmZKR9QXuCLSI","View Creative")</f>
        <v>View Creative</v>
      </c>
      <c r="L3764" s="4" t="s">
        <v>60</v>
      </c>
      <c r="M3764" s="4" t="s">
        <v>6785</v>
      </c>
      <c r="N3764" s="4" t="s">
        <v>6901</v>
      </c>
      <c r="O3764" s="4" t="s">
        <v>63</v>
      </c>
      <c r="P3764" s="4" t="s">
        <v>64</v>
      </c>
    </row>
    <row r="3765">
      <c r="A3765" s="4" t="s">
        <v>6785</v>
      </c>
      <c r="B3765" s="4" t="s">
        <v>6786</v>
      </c>
      <c r="C3765" s="4">
        <v>154.0</v>
      </c>
      <c r="D3765" s="5" t="str">
        <f>HYPERLINK("https://www.linkedin.com/ad-library/detail/970249343","Open Ad")</f>
        <v>Open Ad</v>
      </c>
      <c r="E3765" s="4" t="s">
        <v>78</v>
      </c>
      <c r="F3765" s="4" t="s">
        <v>6765</v>
      </c>
      <c r="G3765" s="4" t="s">
        <v>6902</v>
      </c>
      <c r="H3765" s="4" t="s">
        <v>6903</v>
      </c>
      <c r="I3765" s="4" t="s">
        <v>6768</v>
      </c>
      <c r="J3765" s="4" t="s">
        <v>78</v>
      </c>
      <c r="K3765" s="7" t="str">
        <f>HYPERLINK("https://media.licdn.com/dms/image/v2/D4E22AQE-PiXlKWNi7w/feedshare-shrink_1280/B4EZq7PIljJgAs-/0/1764077911358?e=2147483647&amp;v=beta&amp;t=g0sOtCpSALvQJ6MsxuNOkrbXcV8nzhbl5pgmt80WayU","View Creative")</f>
        <v>View Creative</v>
      </c>
      <c r="L3765" s="4" t="s">
        <v>60</v>
      </c>
      <c r="M3765" s="4" t="s">
        <v>6785</v>
      </c>
      <c r="N3765" s="4" t="s">
        <v>6904</v>
      </c>
      <c r="O3765" s="4" t="s">
        <v>63</v>
      </c>
      <c r="P3765" s="4" t="s">
        <v>64</v>
      </c>
    </row>
    <row r="3766">
      <c r="A3766" s="4" t="s">
        <v>6785</v>
      </c>
      <c r="B3766" s="4" t="s">
        <v>6786</v>
      </c>
      <c r="C3766" s="4">
        <v>155.0</v>
      </c>
      <c r="D3766" s="5" t="str">
        <f>HYPERLINK("https://www.linkedin.com/ad-library/detail/969246323","Open Ad")</f>
        <v>Open Ad</v>
      </c>
      <c r="E3766" s="4" t="s">
        <v>78</v>
      </c>
      <c r="F3766" s="4" t="s">
        <v>6765</v>
      </c>
      <c r="G3766" s="4" t="s">
        <v>6905</v>
      </c>
      <c r="H3766" s="4" t="s">
        <v>49</v>
      </c>
      <c r="I3766" s="4" t="s">
        <v>6768</v>
      </c>
      <c r="J3766" s="4" t="s">
        <v>78</v>
      </c>
      <c r="K3766" s="7" t="str">
        <f>HYPERLINK("https://media.licdn.com/dms/image/v2/D4D10AQGaCfxHI4pWqA/image-shrink_1280/B4DZqhlZN4GkAM-/0/1763647526594/HowtoFindtheBestPrompts4png?e=2147483647&amp;v=beta&amp;t=DzM1YuolD6I6v4YmyPKEbVWL2QCDk32PR--ecnqNGb4","View Creative")</f>
        <v>View Creative</v>
      </c>
      <c r="L3766" s="4" t="s">
        <v>60</v>
      </c>
      <c r="M3766" s="4" t="s">
        <v>6785</v>
      </c>
      <c r="N3766" s="4" t="s">
        <v>6906</v>
      </c>
      <c r="O3766" s="4" t="s">
        <v>63</v>
      </c>
      <c r="P3766" s="4" t="s">
        <v>64</v>
      </c>
    </row>
    <row r="3767">
      <c r="A3767" s="4" t="s">
        <v>6785</v>
      </c>
      <c r="B3767" s="4" t="s">
        <v>6786</v>
      </c>
      <c r="C3767" s="4">
        <v>156.0</v>
      </c>
      <c r="D3767" s="5" t="str">
        <f>HYPERLINK("https://www.linkedin.com/ad-library/detail/971044673","Open Ad")</f>
        <v>Open Ad</v>
      </c>
      <c r="E3767" s="4" t="s">
        <v>78</v>
      </c>
      <c r="F3767" s="4" t="s">
        <v>6765</v>
      </c>
      <c r="G3767" s="4" t="s">
        <v>6846</v>
      </c>
      <c r="H3767" s="4" t="s">
        <v>49</v>
      </c>
      <c r="I3767" s="4" t="s">
        <v>6768</v>
      </c>
      <c r="J3767" s="4" t="s">
        <v>78</v>
      </c>
      <c r="K3767" s="7" t="str">
        <f>HYPERLINK("https://media.licdn.com/dms/image/v2/D4D10AQE-d9Np62apow/image-shrink_1280/B4DZrZ1dZbIEAM-/0/1764591263048/WhoareyoucompetingwithinAIanswers4png?e=2147483647&amp;v=beta&amp;t=Bshp2TaM_9n5kqeuHcZ15P6IYQ9gQepG-5grQFUhAa8","View Creative")</f>
        <v>View Creative</v>
      </c>
      <c r="L3767" s="4" t="s">
        <v>60</v>
      </c>
      <c r="M3767" s="4" t="s">
        <v>6785</v>
      </c>
      <c r="O3767" s="4" t="s">
        <v>63</v>
      </c>
      <c r="P3767" s="4" t="s">
        <v>64</v>
      </c>
    </row>
    <row r="3768">
      <c r="A3768" s="4" t="s">
        <v>6785</v>
      </c>
      <c r="B3768" s="4" t="s">
        <v>6786</v>
      </c>
      <c r="C3768" s="4">
        <v>157.0</v>
      </c>
      <c r="D3768" s="5" t="str">
        <f>HYPERLINK("https://www.linkedin.com/ad-library/detail/970289613","Open Ad")</f>
        <v>Open Ad</v>
      </c>
      <c r="E3768" s="4" t="s">
        <v>78</v>
      </c>
      <c r="F3768" s="4" t="s">
        <v>6765</v>
      </c>
      <c r="G3768" s="4" t="s">
        <v>6902</v>
      </c>
      <c r="H3768" s="4" t="s">
        <v>6903</v>
      </c>
      <c r="I3768" s="4" t="s">
        <v>6768</v>
      </c>
      <c r="J3768" s="4" t="s">
        <v>78</v>
      </c>
      <c r="K3768" s="7" t="str">
        <f>HYPERLINK("https://media.licdn.com/dms/image/v2/D4E22AQE-PiXlKWNi7w/feedshare-shrink_1280/B4EZq7PIljJgAs-/0/1764077911358?e=2147483647&amp;v=beta&amp;t=g0sOtCpSALvQJ6MsxuNOkrbXcV8nzhbl5pgmt80WayU","View Creative")</f>
        <v>View Creative</v>
      </c>
      <c r="L3768" s="4" t="s">
        <v>60</v>
      </c>
      <c r="M3768" s="4" t="s">
        <v>6785</v>
      </c>
      <c r="N3768" s="4" t="s">
        <v>6907</v>
      </c>
      <c r="O3768" s="4" t="s">
        <v>63</v>
      </c>
      <c r="P3768" s="4" t="s">
        <v>64</v>
      </c>
    </row>
    <row r="3769">
      <c r="A3769" s="4" t="s">
        <v>6785</v>
      </c>
      <c r="B3769" s="4" t="s">
        <v>6786</v>
      </c>
      <c r="C3769" s="4">
        <v>158.0</v>
      </c>
      <c r="D3769" s="5" t="str">
        <f>HYPERLINK("https://www.linkedin.com/ad-library/detail/970994703","Open Ad")</f>
        <v>Open Ad</v>
      </c>
      <c r="E3769" s="4" t="s">
        <v>78</v>
      </c>
      <c r="F3769" s="4" t="s">
        <v>6765</v>
      </c>
      <c r="G3769" s="4" t="s">
        <v>6881</v>
      </c>
      <c r="H3769" s="4" t="s">
        <v>49</v>
      </c>
      <c r="I3769" s="4" t="s">
        <v>6768</v>
      </c>
      <c r="J3769" s="4" t="s">
        <v>78</v>
      </c>
      <c r="K3769" s="7" t="str">
        <f>HYPERLINK("https://media.licdn.com/dms/image/v2/D4D10AQGOaIiqipHBaQ/image-shrink_1280/B4DZrZ2OQ7H0AM-/0/1764591462614/Frame427319788png?e=2147483647&amp;v=beta&amp;t=VDztv98m0brKBOcwE6Ca6t14GpbWmY5ii1qMlucV8zE","View Creative")</f>
        <v>View Creative</v>
      </c>
      <c r="L3769" s="4" t="s">
        <v>60</v>
      </c>
      <c r="M3769" s="4" t="s">
        <v>6785</v>
      </c>
      <c r="O3769" s="4" t="s">
        <v>63</v>
      </c>
      <c r="P3769" s="4" t="s">
        <v>64</v>
      </c>
    </row>
    <row r="3770">
      <c r="A3770" s="4" t="s">
        <v>6785</v>
      </c>
      <c r="B3770" s="4" t="s">
        <v>6786</v>
      </c>
      <c r="C3770" s="4">
        <v>159.0</v>
      </c>
      <c r="D3770" s="5" t="str">
        <f>HYPERLINK("https://www.linkedin.com/ad-library/detail/971064223","Open Ad")</f>
        <v>Open Ad</v>
      </c>
      <c r="E3770" s="4" t="s">
        <v>78</v>
      </c>
      <c r="F3770" s="4" t="s">
        <v>6765</v>
      </c>
      <c r="G3770" s="4" t="s">
        <v>6877</v>
      </c>
      <c r="H3770" s="4" t="s">
        <v>49</v>
      </c>
      <c r="I3770" s="4" t="s">
        <v>6768</v>
      </c>
      <c r="J3770" s="4" t="s">
        <v>78</v>
      </c>
      <c r="K3770" s="7" t="str">
        <f>HYPERLINK("https://media.licdn.com/dms/image/v2/D4D10AQHAarsof41LMA/image-shrink_1280/B4DZrZxvA3IgAM-/0/1764590285843/IwillnotignoreLLMVisibility2png?e=2147483647&amp;v=beta&amp;t=-nvu79p8DeY7A1GFEOQIdhLYmqTNt69gro0xGMYcpew","View Creative")</f>
        <v>View Creative</v>
      </c>
      <c r="L3770" s="4" t="s">
        <v>60</v>
      </c>
      <c r="M3770" s="4" t="s">
        <v>6785</v>
      </c>
      <c r="O3770" s="4" t="s">
        <v>63</v>
      </c>
      <c r="P3770" s="4" t="s">
        <v>64</v>
      </c>
    </row>
    <row r="3771">
      <c r="A3771" s="4" t="s">
        <v>6785</v>
      </c>
      <c r="B3771" s="4" t="s">
        <v>6786</v>
      </c>
      <c r="C3771" s="4">
        <v>160.0</v>
      </c>
      <c r="D3771" s="5" t="str">
        <f>HYPERLINK("https://www.linkedin.com/ad-library/detail/971123253","Open Ad")</f>
        <v>Open Ad</v>
      </c>
      <c r="E3771" s="4" t="s">
        <v>78</v>
      </c>
      <c r="F3771" s="4" t="s">
        <v>6765</v>
      </c>
      <c r="G3771" s="4" t="s">
        <v>6846</v>
      </c>
      <c r="H3771" s="4" t="s">
        <v>49</v>
      </c>
      <c r="I3771" s="4" t="s">
        <v>6768</v>
      </c>
      <c r="J3771" s="4" t="s">
        <v>78</v>
      </c>
      <c r="K3771" s="7" t="str">
        <f>HYPERLINK("https://media.licdn.com/dms/image/v2/D4D10AQHUOi3o8ukwBA/image-shrink_1280/B4DZrZ0SbUIAAQ-/0/1764590955224/Dailydoseofinsightpng?e=2147483647&amp;v=beta&amp;t=_InIR1trEibpJ0GAOhhvW7gL_23GB7_l1MK7Wm5BOT8","View Creative")</f>
        <v>View Creative</v>
      </c>
      <c r="L3771" s="4" t="s">
        <v>60</v>
      </c>
      <c r="M3771" s="4" t="s">
        <v>6785</v>
      </c>
      <c r="O3771" s="4" t="s">
        <v>63</v>
      </c>
      <c r="P3771" s="4" t="s">
        <v>64</v>
      </c>
    </row>
    <row r="3772">
      <c r="A3772" s="4" t="s">
        <v>6785</v>
      </c>
      <c r="B3772" s="4" t="s">
        <v>6786</v>
      </c>
      <c r="C3772" s="4">
        <v>161.0</v>
      </c>
      <c r="D3772" s="5" t="str">
        <f>HYPERLINK("https://www.linkedin.com/ad-library/detail/970339293","Open Ad")</f>
        <v>Open Ad</v>
      </c>
      <c r="E3772" s="4" t="s">
        <v>78</v>
      </c>
      <c r="F3772" s="4" t="s">
        <v>6765</v>
      </c>
      <c r="G3772" s="4" t="s">
        <v>6902</v>
      </c>
      <c r="H3772" s="4" t="s">
        <v>6903</v>
      </c>
      <c r="I3772" s="4" t="s">
        <v>6768</v>
      </c>
      <c r="J3772" s="4" t="s">
        <v>78</v>
      </c>
      <c r="K3772" s="7" t="str">
        <f>HYPERLINK("https://media.licdn.com/dms/image/v2/D4E22AQE-PiXlKWNi7w/feedshare-shrink_1280/B4EZq7PIljJgAs-/0/1764077911358?e=2147483647&amp;v=beta&amp;t=g0sOtCpSALvQJ6MsxuNOkrbXcV8nzhbl5pgmt80WayU","View Creative")</f>
        <v>View Creative</v>
      </c>
      <c r="L3772" s="4" t="s">
        <v>60</v>
      </c>
      <c r="M3772" s="4" t="s">
        <v>6785</v>
      </c>
      <c r="O3772" s="4" t="s">
        <v>63</v>
      </c>
      <c r="P3772" s="4" t="s">
        <v>64</v>
      </c>
    </row>
    <row r="3773">
      <c r="A3773" s="4" t="s">
        <v>6785</v>
      </c>
      <c r="B3773" s="4" t="s">
        <v>6786</v>
      </c>
      <c r="C3773" s="4">
        <v>162.0</v>
      </c>
      <c r="D3773" s="5" t="str">
        <f>HYPERLINK("https://www.linkedin.com/ad-library/detail/970985133","Open Ad")</f>
        <v>Open Ad</v>
      </c>
      <c r="E3773" s="4" t="s">
        <v>78</v>
      </c>
      <c r="F3773" s="4" t="s">
        <v>6765</v>
      </c>
      <c r="G3773" s="4" t="s">
        <v>6881</v>
      </c>
      <c r="H3773" s="4" t="s">
        <v>49</v>
      </c>
      <c r="I3773" s="4" t="s">
        <v>6768</v>
      </c>
      <c r="J3773" s="4" t="s">
        <v>78</v>
      </c>
      <c r="K3773" s="7" t="str">
        <f>HYPERLINK("https://media.licdn.com/dms/image/v2/D4D10AQFRgJFPW6JsFQ/image-shrink_1280/B4DZrZ2OQ2JMAM-/0/1764591463093/Reddit-threadpng?e=2147483647&amp;v=beta&amp;t=L4zArDElnswTq9e6slFm2Ubxrz2LG86dTI8El1iQ7sM","View Creative")</f>
        <v>View Creative</v>
      </c>
      <c r="L3773" s="4" t="s">
        <v>60</v>
      </c>
      <c r="M3773" s="4" t="s">
        <v>6785</v>
      </c>
      <c r="O3773" s="4" t="s">
        <v>63</v>
      </c>
      <c r="P3773" s="4" t="s">
        <v>64</v>
      </c>
    </row>
    <row r="3774">
      <c r="A3774" s="4" t="s">
        <v>6785</v>
      </c>
      <c r="B3774" s="4" t="s">
        <v>6786</v>
      </c>
      <c r="C3774" s="4">
        <v>163.0</v>
      </c>
      <c r="D3774" s="5" t="str">
        <f>HYPERLINK("https://www.linkedin.com/ad-library/detail/971103433","Open Ad")</f>
        <v>Open Ad</v>
      </c>
      <c r="E3774" s="4" t="s">
        <v>78</v>
      </c>
      <c r="F3774" s="4" t="s">
        <v>6765</v>
      </c>
      <c r="G3774" s="4" t="s">
        <v>6846</v>
      </c>
      <c r="H3774" s="4" t="s">
        <v>49</v>
      </c>
      <c r="I3774" s="4" t="s">
        <v>6768</v>
      </c>
      <c r="J3774" s="4" t="s">
        <v>78</v>
      </c>
      <c r="K3774" s="7" t="str">
        <f>HYPERLINK("https://media.licdn.com/dms/image/v2/D4D10AQHPa-ScNyttLw/image-shrink_1280/B4DZrZ1grAJ4AM-/0/1764591276444/WhoareyoucompetingwithinAIanswerspng?e=2147483647&amp;v=beta&amp;t=IPTqKzWWAc5bQ5-6SxabU08QhBvDhdvS8cIY-0jU-LQ","View Creative")</f>
        <v>View Creative</v>
      </c>
      <c r="L3774" s="4" t="s">
        <v>60</v>
      </c>
      <c r="M3774" s="4" t="s">
        <v>6785</v>
      </c>
      <c r="O3774" s="4" t="s">
        <v>63</v>
      </c>
      <c r="P3774" s="4" t="s">
        <v>64</v>
      </c>
    </row>
    <row r="3775">
      <c r="A3775" s="4" t="s">
        <v>6785</v>
      </c>
      <c r="B3775" s="4" t="s">
        <v>6786</v>
      </c>
      <c r="C3775" s="4">
        <v>164.0</v>
      </c>
      <c r="D3775" s="5" t="str">
        <f>HYPERLINK("https://www.linkedin.com/ad-library/detail/971083263","Open Ad")</f>
        <v>Open Ad</v>
      </c>
      <c r="E3775" s="4" t="s">
        <v>78</v>
      </c>
      <c r="F3775" s="4" t="s">
        <v>6765</v>
      </c>
      <c r="G3775" s="4" t="s">
        <v>6879</v>
      </c>
      <c r="H3775" s="4" t="s">
        <v>49</v>
      </c>
      <c r="I3775" s="4" t="s">
        <v>6768</v>
      </c>
      <c r="J3775" s="4" t="s">
        <v>78</v>
      </c>
      <c r="K3775" s="7" t="str">
        <f>HYPERLINK("https://media.licdn.com/dms/image/v2/D4D10AQF0NlFu35JMnw/image-shrink_1280/B4DZrZgG_GJAAM-/0/1764585666131/Frame42png?e=2147483647&amp;v=beta&amp;t=IgsEBnSJ6tONTZr6fx-1dkSjF7gGD78qKcjutfGTYHE","View Creative")</f>
        <v>View Creative</v>
      </c>
      <c r="L3775" s="4" t="s">
        <v>60</v>
      </c>
      <c r="M3775" s="4" t="s">
        <v>6785</v>
      </c>
      <c r="O3775" s="4" t="s">
        <v>63</v>
      </c>
      <c r="P3775" s="4" t="s">
        <v>64</v>
      </c>
    </row>
    <row r="3776">
      <c r="A3776" s="4" t="s">
        <v>6785</v>
      </c>
      <c r="B3776" s="4" t="s">
        <v>6786</v>
      </c>
      <c r="C3776" s="4">
        <v>165.0</v>
      </c>
      <c r="D3776" s="5" t="str">
        <f>HYPERLINK("https://www.linkedin.com/ad-library/detail/970964583","Open Ad")</f>
        <v>Open Ad</v>
      </c>
      <c r="E3776" s="4" t="s">
        <v>78</v>
      </c>
      <c r="F3776" s="4" t="s">
        <v>6765</v>
      </c>
      <c r="G3776" s="4" t="s">
        <v>6846</v>
      </c>
      <c r="H3776" s="4" t="s">
        <v>49</v>
      </c>
      <c r="I3776" s="4" t="s">
        <v>6768</v>
      </c>
      <c r="J3776" s="4" t="s">
        <v>78</v>
      </c>
      <c r="K3776" s="7" t="str">
        <f>HYPERLINK("https://media.licdn.com/dms/image/v2/D4D10AQH12eqm4kFAFA/image-shrink_1280/B4DZrZvnuRHsAQ-/0/1764589731504/WhatareLLMssayingaboutyourbrand_3png?e=2147483647&amp;v=beta&amp;t=yAoDj8oFdbmX5ex9cYnQlSaVyLmSBRt0s2D1hPnlkis","View Creative")</f>
        <v>View Creative</v>
      </c>
      <c r="L3776" s="4" t="s">
        <v>60</v>
      </c>
      <c r="M3776" s="4" t="s">
        <v>6785</v>
      </c>
      <c r="O3776" s="4" t="s">
        <v>63</v>
      </c>
      <c r="P3776" s="4" t="s">
        <v>64</v>
      </c>
    </row>
    <row r="3777">
      <c r="A3777" s="4" t="s">
        <v>6785</v>
      </c>
      <c r="B3777" s="4" t="s">
        <v>6786</v>
      </c>
      <c r="C3777" s="4">
        <v>166.0</v>
      </c>
      <c r="D3777" s="5" t="str">
        <f>HYPERLINK("https://www.linkedin.com/ad-library/detail/970480003","Open Ad")</f>
        <v>Open Ad</v>
      </c>
      <c r="E3777" s="4" t="s">
        <v>78</v>
      </c>
      <c r="F3777" s="4" t="s">
        <v>6765</v>
      </c>
      <c r="G3777" s="4" t="s">
        <v>6895</v>
      </c>
      <c r="H3777" s="4" t="s">
        <v>6896</v>
      </c>
      <c r="I3777" s="4" t="s">
        <v>6768</v>
      </c>
      <c r="J3777" s="4" t="s">
        <v>78</v>
      </c>
      <c r="K3777" s="7" t="str">
        <f>HYPERLINK("https://media.licdn.com/dms/image/v2/D4D22AQEW8Kj3j9mZXA/feedshare-image-high-res/B4DZq6oZATJMAo-/0/1764067742505?e=2147483647&amp;v=beta&amp;t=nxxuIx957U-ElKXFDCZOpxVyCAZHoYZ0mvJMQGnyD00","View Creative")</f>
        <v>View Creative</v>
      </c>
      <c r="L3777" s="4" t="s">
        <v>60</v>
      </c>
      <c r="M3777" s="4" t="s">
        <v>6785</v>
      </c>
      <c r="O3777" s="4" t="s">
        <v>63</v>
      </c>
      <c r="P3777" s="4" t="s">
        <v>64</v>
      </c>
    </row>
    <row r="3778">
      <c r="A3778" s="4" t="s">
        <v>6785</v>
      </c>
      <c r="B3778" s="4" t="s">
        <v>6786</v>
      </c>
      <c r="C3778" s="4">
        <v>167.0</v>
      </c>
      <c r="D3778" s="5" t="str">
        <f>HYPERLINK("https://www.linkedin.com/ad-library/detail/969216283","Open Ad")</f>
        <v>Open Ad</v>
      </c>
      <c r="E3778" s="4" t="s">
        <v>78</v>
      </c>
      <c r="F3778" s="4" t="s">
        <v>6765</v>
      </c>
      <c r="G3778" s="4" t="s">
        <v>6905</v>
      </c>
      <c r="H3778" s="4" t="s">
        <v>49</v>
      </c>
      <c r="I3778" s="4" t="s">
        <v>6768</v>
      </c>
      <c r="J3778" s="4" t="s">
        <v>78</v>
      </c>
      <c r="K3778" s="7" t="str">
        <f t="shared" ref="K3778:K3779" si="202">HYPERLINK("https://media.licdn.com/dms/image/v2/D4D10AQGaCfxHI4pWqA/image-shrink_1280/B4DZqhlZN4GkAM-/0/1763647526594/HowtoFindtheBestPrompts4png?e=2147483647&amp;v=beta&amp;t=DzM1YuolD6I6v4YmyPKEbVWL2QCDk32PR--ecnqNGb4","View Creative")</f>
        <v>View Creative</v>
      </c>
      <c r="L3778" s="4" t="s">
        <v>60</v>
      </c>
      <c r="M3778" s="4" t="s">
        <v>6785</v>
      </c>
      <c r="N3778" s="4" t="s">
        <v>6901</v>
      </c>
      <c r="O3778" s="4" t="s">
        <v>63</v>
      </c>
      <c r="P3778" s="4" t="s">
        <v>64</v>
      </c>
    </row>
    <row r="3779">
      <c r="A3779" s="4" t="s">
        <v>6785</v>
      </c>
      <c r="B3779" s="4" t="s">
        <v>6786</v>
      </c>
      <c r="C3779" s="4">
        <v>168.0</v>
      </c>
      <c r="D3779" s="5" t="str">
        <f>HYPERLINK("https://www.linkedin.com/ad-library/detail/942097033","Open Ad")</f>
        <v>Open Ad</v>
      </c>
      <c r="E3779" s="4" t="s">
        <v>78</v>
      </c>
      <c r="F3779" s="4" t="s">
        <v>6765</v>
      </c>
      <c r="G3779" s="4" t="s">
        <v>6905</v>
      </c>
      <c r="H3779" s="4" t="s">
        <v>49</v>
      </c>
      <c r="I3779" s="4" t="s">
        <v>6768</v>
      </c>
      <c r="J3779" s="4" t="s">
        <v>78</v>
      </c>
      <c r="K3779" s="7" t="str">
        <f t="shared" si="202"/>
        <v>View Creative</v>
      </c>
      <c r="L3779" s="4" t="s">
        <v>60</v>
      </c>
      <c r="M3779" s="4" t="s">
        <v>6785</v>
      </c>
      <c r="O3779" s="4" t="s">
        <v>63</v>
      </c>
      <c r="P3779" s="4" t="s">
        <v>64</v>
      </c>
    </row>
    <row r="3780">
      <c r="A3780" s="4" t="s">
        <v>6785</v>
      </c>
      <c r="B3780" s="4" t="s">
        <v>6786</v>
      </c>
      <c r="C3780" s="4">
        <v>169.0</v>
      </c>
      <c r="D3780" s="5" t="str">
        <f>HYPERLINK("https://www.linkedin.com/ad-library/detail/941611813","Open Ad")</f>
        <v>Open Ad</v>
      </c>
      <c r="E3780" s="4" t="s">
        <v>121</v>
      </c>
      <c r="F3780" s="4" t="s">
        <v>6765</v>
      </c>
      <c r="G3780" s="4" t="s">
        <v>6908</v>
      </c>
      <c r="H3780" s="4" t="s">
        <v>49</v>
      </c>
      <c r="I3780" s="4" t="s">
        <v>6768</v>
      </c>
      <c r="J3780" s="4" t="s">
        <v>121</v>
      </c>
      <c r="K3780" s="7" t="str">
        <f>HYPERLINK("https://dms.licdn.com/playlist/vid/v2/D4D10AQHd6dWxK5AGnA/mp4-360p-30fp-crf28/B4DZqR2ntzH4CY-/0/1763383608906/AccuRanker_Short_Versionmp4?e=2147483647&amp;v=beta&amp;t=cCtNo4vu6ukgHxBMCY3rj1f3ILDuAgqSxqZcihGUi2w","View Creative")</f>
        <v>View Creative</v>
      </c>
      <c r="L3780" s="4" t="s">
        <v>60</v>
      </c>
      <c r="M3780" s="4" t="s">
        <v>6785</v>
      </c>
      <c r="N3780" s="4" t="s">
        <v>4770</v>
      </c>
      <c r="O3780" s="4" t="s">
        <v>63</v>
      </c>
      <c r="P3780" s="4" t="s">
        <v>64</v>
      </c>
    </row>
    <row r="3781">
      <c r="A3781" s="4" t="s">
        <v>6785</v>
      </c>
      <c r="B3781" s="4" t="s">
        <v>6786</v>
      </c>
      <c r="C3781" s="4">
        <v>170.0</v>
      </c>
      <c r="D3781" s="5" t="str">
        <f>HYPERLINK("https://www.linkedin.com/ad-library/detail/918949493","Open Ad")</f>
        <v>Open Ad</v>
      </c>
      <c r="E3781" s="4" t="s">
        <v>78</v>
      </c>
      <c r="F3781" s="4" t="s">
        <v>6765</v>
      </c>
      <c r="G3781" s="4" t="s">
        <v>6828</v>
      </c>
      <c r="H3781" s="4" t="s">
        <v>49</v>
      </c>
      <c r="I3781" s="4" t="s">
        <v>6768</v>
      </c>
      <c r="J3781" s="4" t="s">
        <v>78</v>
      </c>
      <c r="K3781" s="7" t="str">
        <f>HYPERLINK("https://media.licdn.com/dms/image/v2/D4D10AQHsS1ywow7FRQ/image-shrink_1280/B4DZpyTYBMGkAM-/0/1762854274004/LinkedinPaid-FunnelBoostCaseQuote4jpg?e=2147483647&amp;v=beta&amp;t=OmQf5RqsfkozMVCHQ6aL3_WCeiJtuGhvAIMuCSYeDhE","View Creative")</f>
        <v>View Creative</v>
      </c>
      <c r="L3781" s="4" t="s">
        <v>60</v>
      </c>
      <c r="M3781" s="4" t="s">
        <v>6785</v>
      </c>
      <c r="N3781" s="4" t="s">
        <v>6909</v>
      </c>
      <c r="O3781" s="4" t="s">
        <v>63</v>
      </c>
      <c r="P3781" s="4" t="s">
        <v>64</v>
      </c>
    </row>
    <row r="3782">
      <c r="A3782" s="4" t="s">
        <v>6785</v>
      </c>
      <c r="B3782" s="4" t="s">
        <v>6786</v>
      </c>
      <c r="C3782" s="4">
        <v>171.0</v>
      </c>
      <c r="D3782" s="5" t="str">
        <f>HYPERLINK("https://www.linkedin.com/ad-library/detail/933843713","Open Ad")</f>
        <v>Open Ad</v>
      </c>
      <c r="E3782" s="4" t="s">
        <v>121</v>
      </c>
      <c r="F3782" s="4" t="s">
        <v>6765</v>
      </c>
      <c r="G3782" s="4" t="s">
        <v>6910</v>
      </c>
      <c r="H3782" s="4" t="s">
        <v>49</v>
      </c>
      <c r="I3782" s="4" t="s">
        <v>6768</v>
      </c>
      <c r="J3782" s="4" t="s">
        <v>121</v>
      </c>
      <c r="K3782" s="7" t="str">
        <f>HYPERLINK("https://dms.licdn.com/playlist/vid/v2/D4D10AQFkKXhASeLfxA/mp4-640p-30fp-crf28/B4DZoQkIZjIAB0-/0/1761214503190/AccuRankerSquareCEdited1mp4?e=2147483647&amp;v=beta&amp;t=Uj-UfZaH5Xy98XkFPoWAvBLIJrXhoGPTcbRmd2SeYu8","View Creative")</f>
        <v>View Creative</v>
      </c>
      <c r="L3782" s="4" t="s">
        <v>60</v>
      </c>
      <c r="M3782" s="4" t="s">
        <v>6785</v>
      </c>
      <c r="N3782" s="4" t="s">
        <v>6911</v>
      </c>
      <c r="O3782" s="4" t="s">
        <v>63</v>
      </c>
      <c r="P3782" s="4" t="s">
        <v>64</v>
      </c>
    </row>
    <row r="3783">
      <c r="A3783" s="4" t="s">
        <v>6785</v>
      </c>
      <c r="B3783" s="4" t="s">
        <v>6786</v>
      </c>
      <c r="C3783" s="4">
        <v>172.0</v>
      </c>
      <c r="D3783" s="5" t="str">
        <f>HYPERLINK("https://www.linkedin.com/ad-library/detail/918316813","Open Ad")</f>
        <v>Open Ad</v>
      </c>
      <c r="E3783" s="4" t="s">
        <v>78</v>
      </c>
      <c r="F3783" s="4" t="s">
        <v>6765</v>
      </c>
      <c r="G3783" s="8" t="s">
        <v>6912</v>
      </c>
      <c r="H3783" s="4" t="s">
        <v>49</v>
      </c>
      <c r="I3783" s="4" t="s">
        <v>6768</v>
      </c>
      <c r="J3783" s="4" t="s">
        <v>78</v>
      </c>
      <c r="K3783" s="7" t="str">
        <f>HYPERLINK("https://media.licdn.com/dms/image/v2/D4D10AQHDGO9DQBPFLA/image-shrink_1280/B4DZpeRI_eHsAM-/0/1762518143794/LLMblogtrackllmvisjpg?e=2147483647&amp;v=beta&amp;t=v2OAoqkgwzkgWaYcwpVUn-W73aJyGPmdzyehrWFSeXs","View Creative")</f>
        <v>View Creative</v>
      </c>
      <c r="L3783" s="4" t="s">
        <v>60</v>
      </c>
      <c r="M3783" s="4" t="s">
        <v>6785</v>
      </c>
      <c r="N3783" s="4" t="s">
        <v>6913</v>
      </c>
      <c r="O3783" s="4" t="s">
        <v>63</v>
      </c>
      <c r="P3783" s="4" t="s">
        <v>64</v>
      </c>
    </row>
    <row r="3784">
      <c r="A3784" s="4" t="s">
        <v>6785</v>
      </c>
      <c r="B3784" s="4" t="s">
        <v>6786</v>
      </c>
      <c r="C3784" s="4">
        <v>173.0</v>
      </c>
      <c r="D3784" s="5" t="str">
        <f>HYPERLINK("https://www.linkedin.com/ad-library/detail/924817623","Open Ad")</f>
        <v>Open Ad</v>
      </c>
      <c r="E3784" s="4" t="s">
        <v>78</v>
      </c>
      <c r="F3784" s="4" t="s">
        <v>6765</v>
      </c>
      <c r="G3784" s="4" t="s">
        <v>6914</v>
      </c>
      <c r="H3784" s="4" t="s">
        <v>49</v>
      </c>
      <c r="I3784" s="4" t="s">
        <v>6768</v>
      </c>
      <c r="J3784" s="4" t="s">
        <v>78</v>
      </c>
      <c r="K3784" s="7" t="str">
        <f>HYPERLINK("https://media.licdn.com/dms/image/v2/D4D22AQFaMKzvfDu2mQ/feedshare-image-high-res/B4DZpylacSGgAo-/0/1762859002701?e=2147483647&amp;v=beta&amp;t=sqBmoSG-2Upsd9eNvBEujXQsSRUTlYdN96TvsXe8vfI","View Creative")</f>
        <v>View Creative</v>
      </c>
      <c r="L3784" s="4" t="s">
        <v>60</v>
      </c>
      <c r="M3784" s="4" t="s">
        <v>6785</v>
      </c>
      <c r="N3784" s="4" t="s">
        <v>6915</v>
      </c>
      <c r="O3784" s="4" t="s">
        <v>63</v>
      </c>
      <c r="P3784" s="4" t="s">
        <v>64</v>
      </c>
    </row>
    <row r="3785">
      <c r="A3785" s="4" t="s">
        <v>6785</v>
      </c>
      <c r="B3785" s="4" t="s">
        <v>6786</v>
      </c>
      <c r="C3785" s="4">
        <v>174.0</v>
      </c>
      <c r="D3785" s="5" t="str">
        <f>HYPERLINK("https://www.linkedin.com/ad-library/detail/933883343","Open Ad")</f>
        <v>Open Ad</v>
      </c>
      <c r="E3785" s="4" t="s">
        <v>52</v>
      </c>
      <c r="F3785" s="4" t="s">
        <v>6765</v>
      </c>
      <c r="G3785" s="4" t="s">
        <v>6916</v>
      </c>
      <c r="H3785" s="4" t="s">
        <v>49</v>
      </c>
      <c r="I3785" s="4" t="s">
        <v>6768</v>
      </c>
      <c r="J3785" s="4" t="s">
        <v>52</v>
      </c>
      <c r="K3785" s="4" t="s">
        <v>59</v>
      </c>
      <c r="L3785" s="4" t="s">
        <v>60</v>
      </c>
      <c r="M3785" s="4" t="s">
        <v>6785</v>
      </c>
      <c r="O3785" s="4" t="s">
        <v>63</v>
      </c>
      <c r="P3785" s="4" t="s">
        <v>64</v>
      </c>
    </row>
    <row r="3786">
      <c r="A3786" s="4" t="s">
        <v>6785</v>
      </c>
      <c r="B3786" s="4" t="s">
        <v>6786</v>
      </c>
      <c r="C3786" s="4">
        <v>175.0</v>
      </c>
      <c r="D3786" s="5" t="str">
        <f>HYPERLINK("https://www.linkedin.com/ad-library/detail/918229013","Open Ad")</f>
        <v>Open Ad</v>
      </c>
      <c r="E3786" s="4" t="s">
        <v>78</v>
      </c>
      <c r="F3786" s="4" t="s">
        <v>6765</v>
      </c>
      <c r="G3786" s="4" t="s">
        <v>6917</v>
      </c>
      <c r="H3786" s="4" t="s">
        <v>49</v>
      </c>
      <c r="I3786" s="4" t="s">
        <v>6768</v>
      </c>
      <c r="J3786" s="4" t="s">
        <v>78</v>
      </c>
      <c r="K3786" s="7" t="str">
        <f>HYPERLINK("https://media.licdn.com/dms/image/v2/D4D10AQFk0yboYK59gg/image-shrink_1280/B4DZpejz5vIAAM-/0/1762523038125/LinkedinPaid-OverdoseCaseQuote-paidjpg?e=2147483647&amp;v=beta&amp;t=elmCcr5FyMFFwI9LG6X1CdAr9xtFgr6XKXJyHlqZn9M","View Creative")</f>
        <v>View Creative</v>
      </c>
      <c r="L3786" s="4" t="s">
        <v>60</v>
      </c>
      <c r="M3786" s="4" t="s">
        <v>6785</v>
      </c>
      <c r="O3786" s="4" t="s">
        <v>63</v>
      </c>
      <c r="P3786" s="4" t="s">
        <v>64</v>
      </c>
    </row>
    <row r="3787">
      <c r="A3787" s="4" t="s">
        <v>6785</v>
      </c>
      <c r="B3787" s="4" t="s">
        <v>6786</v>
      </c>
      <c r="C3787" s="4">
        <v>176.0</v>
      </c>
      <c r="D3787" s="5" t="str">
        <f>HYPERLINK("https://www.linkedin.com/ad-library/detail/941840413","Open Ad")</f>
        <v>Open Ad</v>
      </c>
      <c r="E3787" s="4" t="s">
        <v>121</v>
      </c>
      <c r="F3787" s="4" t="s">
        <v>6765</v>
      </c>
      <c r="G3787" s="4" t="s">
        <v>6908</v>
      </c>
      <c r="H3787" s="4" t="s">
        <v>49</v>
      </c>
      <c r="I3787" s="4" t="s">
        <v>6768</v>
      </c>
      <c r="J3787" s="4" t="s">
        <v>121</v>
      </c>
      <c r="K3787" s="7" t="str">
        <f t="shared" ref="K3787:K3788" si="203">HYPERLINK("https://dms.licdn.com/playlist/vid/v2/D4D10AQHd6dWxK5AGnA/mp4-360p-30fp-crf28/B4DZqR2ntzH4CY-/0/1763383608906/AccuRanker_Short_Versionmp4?e=2147483647&amp;v=beta&amp;t=cCtNo4vu6ukgHxBMCY3rj1f3ILDuAgqSxqZcihGUi2w","View Creative")</f>
        <v>View Creative</v>
      </c>
      <c r="L3787" s="4" t="s">
        <v>60</v>
      </c>
      <c r="M3787" s="4" t="s">
        <v>6785</v>
      </c>
      <c r="O3787" s="4" t="s">
        <v>63</v>
      </c>
      <c r="P3787" s="4" t="s">
        <v>64</v>
      </c>
    </row>
    <row r="3788">
      <c r="A3788" s="4" t="s">
        <v>6785</v>
      </c>
      <c r="B3788" s="4" t="s">
        <v>6786</v>
      </c>
      <c r="C3788" s="4">
        <v>177.0</v>
      </c>
      <c r="D3788" s="5" t="str">
        <f>HYPERLINK("https://www.linkedin.com/ad-library/detail/941860153","Open Ad")</f>
        <v>Open Ad</v>
      </c>
      <c r="E3788" s="4" t="s">
        <v>121</v>
      </c>
      <c r="F3788" s="4" t="s">
        <v>6765</v>
      </c>
      <c r="G3788" s="4" t="s">
        <v>6908</v>
      </c>
      <c r="H3788" s="4" t="s">
        <v>49</v>
      </c>
      <c r="I3788" s="4" t="s">
        <v>6768</v>
      </c>
      <c r="J3788" s="4" t="s">
        <v>121</v>
      </c>
      <c r="K3788" s="7" t="str">
        <f t="shared" si="203"/>
        <v>View Creative</v>
      </c>
      <c r="L3788" s="4" t="s">
        <v>60</v>
      </c>
      <c r="M3788" s="4" t="s">
        <v>6785</v>
      </c>
      <c r="N3788" s="4" t="s">
        <v>6918</v>
      </c>
      <c r="O3788" s="4" t="s">
        <v>63</v>
      </c>
      <c r="P3788" s="4" t="s">
        <v>64</v>
      </c>
    </row>
    <row r="3789">
      <c r="A3789" s="4" t="s">
        <v>6785</v>
      </c>
      <c r="B3789" s="4" t="s">
        <v>6786</v>
      </c>
      <c r="C3789" s="4">
        <v>178.0</v>
      </c>
      <c r="D3789" s="5" t="str">
        <f>HYPERLINK("https://www.linkedin.com/ad-library/detail/918929163","Open Ad")</f>
        <v>Open Ad</v>
      </c>
      <c r="E3789" s="4" t="s">
        <v>78</v>
      </c>
      <c r="F3789" s="4" t="s">
        <v>6765</v>
      </c>
      <c r="G3789" s="4" t="s">
        <v>6828</v>
      </c>
      <c r="H3789" s="4" t="s">
        <v>49</v>
      </c>
      <c r="I3789" s="4" t="s">
        <v>6768</v>
      </c>
      <c r="J3789" s="4" t="s">
        <v>78</v>
      </c>
      <c r="K3789" s="7" t="str">
        <f>HYPERLINK("https://media.licdn.com/dms/image/v2/D4D10AQFQ6O3-aVcBMw/image-shrink_1280/B4DZewx.4RG8AU-/0/1751017582728/LinkedinPaid-OverdoseCaseQuotejpg?e=2147483647&amp;v=beta&amp;t=RPfXGokK6GgyMHeJ_sh0QBwPmeG9rlQDKJZIMGksVR0","View Creative")</f>
        <v>View Creative</v>
      </c>
      <c r="L3789" s="4" t="s">
        <v>60</v>
      </c>
      <c r="M3789" s="4" t="s">
        <v>6785</v>
      </c>
      <c r="N3789" s="4" t="s">
        <v>6919</v>
      </c>
      <c r="O3789" s="4" t="s">
        <v>63</v>
      </c>
      <c r="P3789" s="4" t="s">
        <v>64</v>
      </c>
    </row>
    <row r="3790">
      <c r="A3790" s="4" t="s">
        <v>6785</v>
      </c>
      <c r="B3790" s="4" t="s">
        <v>6786</v>
      </c>
      <c r="C3790" s="4">
        <v>179.0</v>
      </c>
      <c r="D3790" s="5" t="str">
        <f>HYPERLINK("https://www.linkedin.com/ad-library/detail/918989223","Open Ad")</f>
        <v>Open Ad</v>
      </c>
      <c r="E3790" s="4" t="s">
        <v>78</v>
      </c>
      <c r="F3790" s="4" t="s">
        <v>6765</v>
      </c>
      <c r="G3790" s="4" t="s">
        <v>6828</v>
      </c>
      <c r="H3790" s="4" t="s">
        <v>49</v>
      </c>
      <c r="I3790" s="4" t="s">
        <v>6768</v>
      </c>
      <c r="J3790" s="4" t="s">
        <v>78</v>
      </c>
      <c r="K3790" s="7" t="str">
        <f>HYPERLINK("https://media.licdn.com/dms/image/v2/D4D10AQGHLbwD7SIo1A/image-shrink_1280/B4DZpyTYBhIkAM-/0/1762854273912/LinkedinPaid-FunnelBoostCaseQuote3jpg?e=2147483647&amp;v=beta&amp;t=gByfzfWJEXEb2psAcJ9248MhLH2EyeXtQDlx9mo2ii4","View Creative")</f>
        <v>View Creative</v>
      </c>
      <c r="L3790" s="4" t="s">
        <v>60</v>
      </c>
      <c r="M3790" s="4" t="s">
        <v>6785</v>
      </c>
      <c r="N3790" s="4" t="s">
        <v>6920</v>
      </c>
      <c r="O3790" s="4" t="s">
        <v>63</v>
      </c>
      <c r="P3790" s="4" t="s">
        <v>64</v>
      </c>
    </row>
    <row r="3791">
      <c r="A3791" s="4" t="s">
        <v>6785</v>
      </c>
      <c r="B3791" s="4" t="s">
        <v>6786</v>
      </c>
      <c r="C3791" s="4">
        <v>180.0</v>
      </c>
      <c r="D3791" s="5" t="str">
        <f>HYPERLINK("https://www.linkedin.com/ad-library/detail/919114783","Open Ad")</f>
        <v>Open Ad</v>
      </c>
      <c r="E3791" s="4" t="s">
        <v>78</v>
      </c>
      <c r="F3791" s="4" t="s">
        <v>6765</v>
      </c>
      <c r="G3791" s="4" t="s">
        <v>6828</v>
      </c>
      <c r="H3791" s="4" t="s">
        <v>49</v>
      </c>
      <c r="I3791" s="4" t="s">
        <v>6768</v>
      </c>
      <c r="J3791" s="4" t="s">
        <v>78</v>
      </c>
      <c r="K3791" s="7" t="str">
        <f>HYPERLINK("https://media.licdn.com/dms/image/v2/D4D10AQF_cAk-7d-OHg/image-shrink_1280/image-shrink_1280/0/1729171000285/AccuRanker_Qoute_Saxojpg?e=2147483647&amp;v=beta&amp;t=kBm9Fl-ISIgvF5tOTvaH_y9YaOYT6iUBWLJr7_BsPYw","View Creative")</f>
        <v>View Creative</v>
      </c>
      <c r="L3791" s="4" t="s">
        <v>60</v>
      </c>
      <c r="M3791" s="4" t="s">
        <v>6785</v>
      </c>
      <c r="N3791" s="4" t="s">
        <v>6919</v>
      </c>
      <c r="O3791" s="4" t="s">
        <v>63</v>
      </c>
      <c r="P3791" s="4" t="s">
        <v>64</v>
      </c>
    </row>
    <row r="3792">
      <c r="A3792" s="4" t="s">
        <v>6785</v>
      </c>
      <c r="B3792" s="4" t="s">
        <v>6786</v>
      </c>
      <c r="C3792" s="4">
        <v>181.0</v>
      </c>
      <c r="D3792" s="5" t="str">
        <f>HYPERLINK("https://www.linkedin.com/ad-library/detail/941749093","Open Ad")</f>
        <v>Open Ad</v>
      </c>
      <c r="E3792" s="4" t="s">
        <v>121</v>
      </c>
      <c r="F3792" s="4" t="s">
        <v>6765</v>
      </c>
      <c r="G3792" s="4" t="s">
        <v>6908</v>
      </c>
      <c r="H3792" s="4" t="s">
        <v>49</v>
      </c>
      <c r="I3792" s="4" t="s">
        <v>6768</v>
      </c>
      <c r="J3792" s="4" t="s">
        <v>121</v>
      </c>
      <c r="K3792" s="7" t="str">
        <f>HYPERLINK("https://dms.licdn.com/playlist/vid/v2/D4D10AQHd6dWxK5AGnA/mp4-360p-30fp-crf28/B4DZqR2ntzH4CY-/0/1763383608906/AccuRanker_Short_Versionmp4?e=2147483647&amp;v=beta&amp;t=cCtNo4vu6ukgHxBMCY3rj1f3ILDuAgqSxqZcihGUi2w","View Creative")</f>
        <v>View Creative</v>
      </c>
      <c r="L3792" s="4" t="s">
        <v>60</v>
      </c>
      <c r="M3792" s="4" t="s">
        <v>6785</v>
      </c>
      <c r="O3792" s="4" t="s">
        <v>63</v>
      </c>
      <c r="P3792" s="4" t="s">
        <v>64</v>
      </c>
    </row>
    <row r="3793">
      <c r="A3793" s="4" t="s">
        <v>6785</v>
      </c>
      <c r="B3793" s="4" t="s">
        <v>6786</v>
      </c>
      <c r="C3793" s="4">
        <v>182.0</v>
      </c>
      <c r="D3793" s="5" t="str">
        <f>HYPERLINK("https://www.linkedin.com/ad-library/detail/933954063","Open Ad")</f>
        <v>Open Ad</v>
      </c>
      <c r="E3793" s="4" t="s">
        <v>121</v>
      </c>
      <c r="F3793" s="4" t="s">
        <v>6765</v>
      </c>
      <c r="G3793" s="4" t="s">
        <v>6921</v>
      </c>
      <c r="H3793" s="4" t="s">
        <v>49</v>
      </c>
      <c r="I3793" s="4" t="s">
        <v>6768</v>
      </c>
      <c r="J3793" s="4" t="s">
        <v>121</v>
      </c>
      <c r="K3793" s="7" t="str">
        <f>HYPERLINK("https://dms.licdn.com/playlist/vid/v2/D4D10AQFkKXhASeLfxA/mp4-640p-30fp-crf28/B4DZoQkIZjIAB0-/0/1761214503190/AccuRankerSquareCEdited1mp4?e=2147483647&amp;v=beta&amp;t=Uj-UfZaH5Xy98XkFPoWAvBLIJrXhoGPTcbRmd2SeYu8","View Creative")</f>
        <v>View Creative</v>
      </c>
      <c r="L3793" s="4" t="s">
        <v>60</v>
      </c>
      <c r="M3793" s="4" t="s">
        <v>6785</v>
      </c>
      <c r="N3793" s="4" t="s">
        <v>6911</v>
      </c>
      <c r="O3793" s="4" t="s">
        <v>63</v>
      </c>
      <c r="P3793" s="4" t="s">
        <v>64</v>
      </c>
    </row>
    <row r="3794">
      <c r="A3794" s="4" t="s">
        <v>6785</v>
      </c>
      <c r="B3794" s="4" t="s">
        <v>6786</v>
      </c>
      <c r="C3794" s="4">
        <v>183.0</v>
      </c>
      <c r="D3794" s="5" t="str">
        <f>HYPERLINK("https://www.linkedin.com/ad-library/detail/941562203","Open Ad")</f>
        <v>Open Ad</v>
      </c>
      <c r="E3794" s="4" t="s">
        <v>121</v>
      </c>
      <c r="F3794" s="4" t="s">
        <v>6765</v>
      </c>
      <c r="G3794" s="4" t="s">
        <v>6908</v>
      </c>
      <c r="H3794" s="4" t="s">
        <v>49</v>
      </c>
      <c r="I3794" s="4" t="s">
        <v>6768</v>
      </c>
      <c r="J3794" s="4" t="s">
        <v>121</v>
      </c>
      <c r="K3794" s="7" t="str">
        <f>HYPERLINK("https://dms.licdn.com/playlist/vid/v2/D4D10AQHd6dWxK5AGnA/mp4-360p-30fp-crf28/B4DZqR2ntzH4CY-/0/1763383608906/AccuRanker_Short_Versionmp4?e=2147483647&amp;v=beta&amp;t=cCtNo4vu6ukgHxBMCY3rj1f3ILDuAgqSxqZcihGUi2w","View Creative")</f>
        <v>View Creative</v>
      </c>
      <c r="L3794" s="4" t="s">
        <v>60</v>
      </c>
      <c r="M3794" s="4" t="s">
        <v>6785</v>
      </c>
      <c r="O3794" s="4" t="s">
        <v>63</v>
      </c>
      <c r="P3794" s="4" t="s">
        <v>64</v>
      </c>
    </row>
    <row r="3795">
      <c r="A3795" s="4" t="s">
        <v>6785</v>
      </c>
      <c r="B3795" s="4" t="s">
        <v>6786</v>
      </c>
      <c r="C3795" s="4">
        <v>184.0</v>
      </c>
      <c r="D3795" s="5" t="str">
        <f>HYPERLINK("https://www.linkedin.com/ad-library/detail/933963623","Open Ad")</f>
        <v>Open Ad</v>
      </c>
      <c r="E3795" s="4" t="s">
        <v>52</v>
      </c>
      <c r="F3795" s="4" t="s">
        <v>6765</v>
      </c>
      <c r="G3795" s="4" t="s">
        <v>6916</v>
      </c>
      <c r="H3795" s="4" t="s">
        <v>49</v>
      </c>
      <c r="I3795" s="4" t="s">
        <v>6768</v>
      </c>
      <c r="J3795" s="4" t="s">
        <v>52</v>
      </c>
      <c r="K3795" s="4" t="s">
        <v>59</v>
      </c>
      <c r="L3795" s="4" t="s">
        <v>60</v>
      </c>
      <c r="M3795" s="4" t="s">
        <v>6785</v>
      </c>
      <c r="N3795" s="4" t="s">
        <v>6922</v>
      </c>
      <c r="O3795" s="4" t="s">
        <v>63</v>
      </c>
      <c r="P3795" s="4" t="s">
        <v>64</v>
      </c>
    </row>
    <row r="3796">
      <c r="A3796" s="4" t="s">
        <v>6785</v>
      </c>
      <c r="B3796" s="4" t="s">
        <v>6786</v>
      </c>
      <c r="C3796" s="4">
        <v>185.0</v>
      </c>
      <c r="D3796" s="5" t="str">
        <f>HYPERLINK("https://www.linkedin.com/ad-library/detail/918258113","Open Ad")</f>
        <v>Open Ad</v>
      </c>
      <c r="E3796" s="4" t="s">
        <v>78</v>
      </c>
      <c r="F3796" s="4" t="s">
        <v>6765</v>
      </c>
      <c r="G3796" s="8" t="s">
        <v>6923</v>
      </c>
      <c r="H3796" s="4" t="s">
        <v>49</v>
      </c>
      <c r="I3796" s="4" t="s">
        <v>6768</v>
      </c>
      <c r="J3796" s="4" t="s">
        <v>78</v>
      </c>
      <c r="K3796" s="7" t="str">
        <f>HYPERLINK("https://media.licdn.com/dms/image/v2/D4D10AQHPa-ScNyttLw/image-shrink_1280/B4DZrZ1grAJ4AM-/0/1764591276444/WhoareyoucompetingwithinAIanswerspng?e=2147483647&amp;v=beta&amp;t=IPTqKzWWAc5bQ5-6SxabU08QhBvDhdvS8cIY-0jU-LQ","View Creative")</f>
        <v>View Creative</v>
      </c>
      <c r="L3796" s="4" t="s">
        <v>60</v>
      </c>
      <c r="M3796" s="4" t="s">
        <v>6785</v>
      </c>
      <c r="N3796" s="4" t="s">
        <v>6924</v>
      </c>
      <c r="O3796" s="4" t="s">
        <v>63</v>
      </c>
      <c r="P3796" s="4" t="s">
        <v>64</v>
      </c>
    </row>
    <row r="3797">
      <c r="A3797" s="4" t="s">
        <v>6785</v>
      </c>
      <c r="B3797" s="4" t="s">
        <v>6786</v>
      </c>
      <c r="C3797" s="4">
        <v>186.0</v>
      </c>
      <c r="D3797" s="5" t="str">
        <f>HYPERLINK("https://www.linkedin.com/ad-library/detail/933934733","Open Ad")</f>
        <v>Open Ad</v>
      </c>
      <c r="E3797" s="4" t="s">
        <v>121</v>
      </c>
      <c r="F3797" s="4" t="s">
        <v>6765</v>
      </c>
      <c r="G3797" s="4" t="s">
        <v>6908</v>
      </c>
      <c r="H3797" s="4" t="s">
        <v>49</v>
      </c>
      <c r="I3797" s="4" t="s">
        <v>6768</v>
      </c>
      <c r="J3797" s="4" t="s">
        <v>121</v>
      </c>
      <c r="K3797" s="7" t="str">
        <f>HYPERLINK("https://dms.licdn.com/playlist/vid/v2/D4D10AQHd6dWxK5AGnA/mp4-360p-30fp-crf28/B4DZqR2ntzH4CY-/0/1763383608906/AccuRanker_Short_Versionmp4?e=2147483647&amp;v=beta&amp;t=cCtNo4vu6ukgHxBMCY3rj1f3ILDuAgqSxqZcihGUi2w","View Creative")</f>
        <v>View Creative</v>
      </c>
      <c r="L3797" s="4" t="s">
        <v>60</v>
      </c>
      <c r="M3797" s="4" t="s">
        <v>6785</v>
      </c>
      <c r="N3797" s="4" t="s">
        <v>6925</v>
      </c>
      <c r="O3797" s="4" t="s">
        <v>63</v>
      </c>
      <c r="P3797" s="4" t="s">
        <v>64</v>
      </c>
    </row>
    <row r="3798">
      <c r="A3798" s="4" t="s">
        <v>6785</v>
      </c>
      <c r="B3798" s="4" t="s">
        <v>6786</v>
      </c>
      <c r="C3798" s="4">
        <v>187.0</v>
      </c>
      <c r="D3798" s="5" t="str">
        <f>HYPERLINK("https://www.linkedin.com/ad-library/detail/942113593","Open Ad")</f>
        <v>Open Ad</v>
      </c>
      <c r="E3798" s="4" t="s">
        <v>52</v>
      </c>
      <c r="F3798" s="4" t="s">
        <v>6765</v>
      </c>
      <c r="G3798" s="4" t="s">
        <v>6900</v>
      </c>
      <c r="H3798" s="4" t="s">
        <v>49</v>
      </c>
      <c r="I3798" s="4" t="s">
        <v>6768</v>
      </c>
      <c r="J3798" s="4" t="s">
        <v>52</v>
      </c>
      <c r="K3798" s="4" t="s">
        <v>59</v>
      </c>
      <c r="L3798" s="4" t="s">
        <v>60</v>
      </c>
      <c r="M3798" s="4" t="s">
        <v>6785</v>
      </c>
      <c r="N3798" s="4" t="s">
        <v>6926</v>
      </c>
      <c r="O3798" s="4" t="s">
        <v>63</v>
      </c>
      <c r="P3798" s="4" t="s">
        <v>64</v>
      </c>
    </row>
    <row r="3799">
      <c r="A3799" s="4" t="s">
        <v>6785</v>
      </c>
      <c r="B3799" s="4" t="s">
        <v>6786</v>
      </c>
      <c r="C3799" s="4">
        <v>188.0</v>
      </c>
      <c r="D3799" s="5" t="str">
        <f>HYPERLINK("https://www.linkedin.com/ad-library/detail/933994203","Open Ad")</f>
        <v>Open Ad</v>
      </c>
      <c r="E3799" s="4" t="s">
        <v>121</v>
      </c>
      <c r="F3799" s="4" t="s">
        <v>6765</v>
      </c>
      <c r="G3799" s="4" t="s">
        <v>6927</v>
      </c>
      <c r="H3799" s="4" t="s">
        <v>49</v>
      </c>
      <c r="I3799" s="4" t="s">
        <v>6768</v>
      </c>
      <c r="J3799" s="4" t="s">
        <v>121</v>
      </c>
      <c r="K3799" s="7" t="str">
        <f>HYPERLINK("https://dms.licdn.com/playlist/vid/v2/D4D10AQFkKXhASeLfxA/mp4-640p-30fp-crf28/B4DZoQkIZjIAB0-/0/1761214503190/AccuRankerSquareCEdited1mp4?e=2147483647&amp;v=beta&amp;t=Uj-UfZaH5Xy98XkFPoWAvBLIJrXhoGPTcbRmd2SeYu8","View Creative")</f>
        <v>View Creative</v>
      </c>
      <c r="L3799" s="4" t="s">
        <v>60</v>
      </c>
      <c r="M3799" s="4" t="s">
        <v>6785</v>
      </c>
      <c r="N3799" s="4" t="s">
        <v>6911</v>
      </c>
      <c r="O3799" s="4" t="s">
        <v>63</v>
      </c>
      <c r="P3799" s="4" t="s">
        <v>64</v>
      </c>
    </row>
    <row r="3800">
      <c r="A3800" s="4" t="s">
        <v>6785</v>
      </c>
      <c r="B3800" s="4" t="s">
        <v>6786</v>
      </c>
      <c r="C3800" s="4">
        <v>189.0</v>
      </c>
      <c r="D3800" s="5" t="str">
        <f>HYPERLINK("https://www.linkedin.com/ad-library/detail/933843443","Open Ad")</f>
        <v>Open Ad</v>
      </c>
      <c r="E3800" s="4" t="s">
        <v>52</v>
      </c>
      <c r="F3800" s="4" t="s">
        <v>6765</v>
      </c>
      <c r="G3800" s="4" t="s">
        <v>6916</v>
      </c>
      <c r="H3800" s="4" t="s">
        <v>49</v>
      </c>
      <c r="I3800" s="4" t="s">
        <v>6768</v>
      </c>
      <c r="J3800" s="4" t="s">
        <v>52</v>
      </c>
      <c r="K3800" s="4" t="s">
        <v>59</v>
      </c>
      <c r="L3800" s="4" t="s">
        <v>60</v>
      </c>
      <c r="M3800" s="4" t="s">
        <v>6785</v>
      </c>
      <c r="N3800" s="4" t="s">
        <v>6925</v>
      </c>
      <c r="O3800" s="4" t="s">
        <v>63</v>
      </c>
      <c r="P3800" s="4" t="s">
        <v>64</v>
      </c>
    </row>
    <row r="3801">
      <c r="A3801" s="4" t="s">
        <v>6785</v>
      </c>
      <c r="B3801" s="4" t="s">
        <v>6786</v>
      </c>
      <c r="C3801" s="4">
        <v>190.0</v>
      </c>
      <c r="D3801" s="5" t="str">
        <f>HYPERLINK("https://www.linkedin.com/ad-library/detail/924921953","Open Ad")</f>
        <v>Open Ad</v>
      </c>
      <c r="E3801" s="4" t="s">
        <v>78</v>
      </c>
      <c r="F3801" s="4" t="s">
        <v>6765</v>
      </c>
      <c r="G3801" s="4" t="s">
        <v>6914</v>
      </c>
      <c r="H3801" s="4" t="s">
        <v>49</v>
      </c>
      <c r="I3801" s="4" t="s">
        <v>6768</v>
      </c>
      <c r="J3801" s="4" t="s">
        <v>78</v>
      </c>
      <c r="K3801" s="7" t="str">
        <f t="shared" ref="K3801:K3802" si="204">HYPERLINK("https://media.licdn.com/dms/image/v2/D4D22AQFaMKzvfDu2mQ/feedshare-image-high-res/B4DZpylacSGgAo-/0/1762859002701?e=2147483647&amp;v=beta&amp;t=sqBmoSG-2Upsd9eNvBEujXQsSRUTlYdN96TvsXe8vfI","View Creative")</f>
        <v>View Creative</v>
      </c>
      <c r="L3801" s="4" t="s">
        <v>60</v>
      </c>
      <c r="M3801" s="4" t="s">
        <v>6785</v>
      </c>
      <c r="N3801" s="4" t="s">
        <v>6928</v>
      </c>
      <c r="O3801" s="4" t="s">
        <v>63</v>
      </c>
      <c r="P3801" s="4" t="s">
        <v>64</v>
      </c>
    </row>
    <row r="3802">
      <c r="A3802" s="4" t="s">
        <v>6785</v>
      </c>
      <c r="B3802" s="4" t="s">
        <v>6786</v>
      </c>
      <c r="C3802" s="4">
        <v>191.0</v>
      </c>
      <c r="D3802" s="5" t="str">
        <f>HYPERLINK("https://www.linkedin.com/ad-library/detail/924882793","Open Ad")</f>
        <v>Open Ad</v>
      </c>
      <c r="E3802" s="4" t="s">
        <v>78</v>
      </c>
      <c r="F3802" s="4" t="s">
        <v>6765</v>
      </c>
      <c r="G3802" s="4" t="s">
        <v>6914</v>
      </c>
      <c r="H3802" s="4" t="s">
        <v>49</v>
      </c>
      <c r="I3802" s="4" t="s">
        <v>6768</v>
      </c>
      <c r="J3802" s="4" t="s">
        <v>78</v>
      </c>
      <c r="K3802" s="7" t="str">
        <f t="shared" si="204"/>
        <v>View Creative</v>
      </c>
      <c r="L3802" s="4" t="s">
        <v>60</v>
      </c>
      <c r="M3802" s="4" t="s">
        <v>6785</v>
      </c>
      <c r="O3802" s="4" t="s">
        <v>63</v>
      </c>
      <c r="P3802" s="4" t="s">
        <v>64</v>
      </c>
    </row>
    <row r="3803">
      <c r="A3803" s="4" t="s">
        <v>6785</v>
      </c>
      <c r="B3803" s="4" t="s">
        <v>6786</v>
      </c>
      <c r="C3803" s="4">
        <v>192.0</v>
      </c>
      <c r="D3803" s="5" t="str">
        <f>HYPERLINK("https://www.linkedin.com/ad-library/detail/918387703","Open Ad")</f>
        <v>Open Ad</v>
      </c>
      <c r="E3803" s="4" t="s">
        <v>78</v>
      </c>
      <c r="F3803" s="4" t="s">
        <v>6765</v>
      </c>
      <c r="G3803" s="4" t="s">
        <v>6917</v>
      </c>
      <c r="H3803" s="4" t="s">
        <v>49</v>
      </c>
      <c r="I3803" s="4" t="s">
        <v>6768</v>
      </c>
      <c r="J3803" s="4" t="s">
        <v>78</v>
      </c>
      <c r="K3803" s="7" t="str">
        <f>HYPERLINK("https://media.licdn.com/dms/image/v2/D4D10AQFk0yboYK59gg/image-shrink_1280/B4DZpejz5vIAAM-/0/1762523038125/LinkedinPaid-OverdoseCaseQuote-paidjpg?e=2147483647&amp;v=beta&amp;t=elmCcr5FyMFFwI9LG6X1CdAr9xtFgr6XKXJyHlqZn9M","View Creative")</f>
        <v>View Creative</v>
      </c>
      <c r="L3803" s="4" t="s">
        <v>60</v>
      </c>
      <c r="M3803" s="4" t="s">
        <v>6785</v>
      </c>
      <c r="N3803" s="4" t="s">
        <v>6929</v>
      </c>
      <c r="O3803" s="4" t="s">
        <v>63</v>
      </c>
      <c r="P3803" s="4" t="s">
        <v>64</v>
      </c>
    </row>
    <row r="3804">
      <c r="A3804" s="4" t="s">
        <v>6785</v>
      </c>
      <c r="B3804" s="4" t="s">
        <v>6786</v>
      </c>
      <c r="C3804" s="4">
        <v>193.0</v>
      </c>
      <c r="D3804" s="5" t="str">
        <f>HYPERLINK("https://www.linkedin.com/ad-library/detail/918297343","Open Ad")</f>
        <v>Open Ad</v>
      </c>
      <c r="E3804" s="4" t="s">
        <v>78</v>
      </c>
      <c r="F3804" s="4" t="s">
        <v>6765</v>
      </c>
      <c r="G3804" s="8" t="s">
        <v>6923</v>
      </c>
      <c r="H3804" s="4" t="s">
        <v>49</v>
      </c>
      <c r="I3804" s="4" t="s">
        <v>6768</v>
      </c>
      <c r="J3804" s="4" t="s">
        <v>78</v>
      </c>
      <c r="K3804" s="7" t="str">
        <f>HYPERLINK("https://media.licdn.com/dms/image/v2/D4D10AQHPa-ScNyttLw/image-shrink_1280/B4DZrZ1grAJ4AM-/0/1764591276444/WhoareyoucompetingwithinAIanswerspng?e=2147483647&amp;v=beta&amp;t=IPTqKzWWAc5bQ5-6SxabU08QhBvDhdvS8cIY-0jU-LQ","View Creative")</f>
        <v>View Creative</v>
      </c>
      <c r="L3804" s="4" t="s">
        <v>60</v>
      </c>
      <c r="M3804" s="4" t="s">
        <v>6785</v>
      </c>
      <c r="O3804" s="4" t="s">
        <v>63</v>
      </c>
      <c r="P3804" s="4" t="s">
        <v>64</v>
      </c>
    </row>
    <row r="3805">
      <c r="A3805" s="4" t="s">
        <v>6785</v>
      </c>
      <c r="B3805" s="4" t="s">
        <v>6786</v>
      </c>
      <c r="C3805" s="4">
        <v>194.0</v>
      </c>
      <c r="D3805" s="5" t="str">
        <f>HYPERLINK("https://www.linkedin.com/ad-library/detail/904759843","Open Ad")</f>
        <v>Open Ad</v>
      </c>
      <c r="E3805" s="4" t="s">
        <v>121</v>
      </c>
      <c r="F3805" s="4" t="s">
        <v>6765</v>
      </c>
      <c r="G3805" s="4" t="s">
        <v>6930</v>
      </c>
      <c r="H3805" s="4" t="s">
        <v>611</v>
      </c>
      <c r="I3805" s="4" t="s">
        <v>6768</v>
      </c>
      <c r="J3805" s="4" t="s">
        <v>121</v>
      </c>
      <c r="K3805" s="7" t="str">
        <f t="shared" ref="K3805:K3806" si="205">HYPERLINK("https://dms.licdn.com/playlist/vid/v2/D4D10AQFkKXhASeLfxA/mp4-640p-30fp-crf28/B4DZoQkIZjIAB0-/0/1761214503190/AccuRankerSquareCEdited1mp4?e=2147483647&amp;v=beta&amp;t=Uj-UfZaH5Xy98XkFPoWAvBLIJrXhoGPTcbRmd2SeYu8","View Creative")</f>
        <v>View Creative</v>
      </c>
      <c r="L3805" s="4" t="s">
        <v>60</v>
      </c>
      <c r="M3805" s="4" t="s">
        <v>6785</v>
      </c>
      <c r="O3805" s="4" t="s">
        <v>63</v>
      </c>
      <c r="P3805" s="4" t="s">
        <v>64</v>
      </c>
    </row>
    <row r="3806">
      <c r="A3806" s="4" t="s">
        <v>6785</v>
      </c>
      <c r="B3806" s="4" t="s">
        <v>6786</v>
      </c>
      <c r="C3806" s="4">
        <v>195.0</v>
      </c>
      <c r="D3806" s="5" t="str">
        <f>HYPERLINK("https://www.linkedin.com/ad-library/detail/904650433","Open Ad")</f>
        <v>Open Ad</v>
      </c>
      <c r="E3806" s="4" t="s">
        <v>121</v>
      </c>
      <c r="F3806" s="4" t="s">
        <v>6765</v>
      </c>
      <c r="G3806" s="4" t="s">
        <v>6910</v>
      </c>
      <c r="H3806" s="4" t="s">
        <v>49</v>
      </c>
      <c r="I3806" s="4" t="s">
        <v>6768</v>
      </c>
      <c r="J3806" s="4" t="s">
        <v>121</v>
      </c>
      <c r="K3806" s="7" t="str">
        <f t="shared" si="205"/>
        <v>View Creative</v>
      </c>
      <c r="L3806" s="4" t="s">
        <v>60</v>
      </c>
      <c r="M3806" s="4" t="s">
        <v>6785</v>
      </c>
      <c r="N3806" s="4" t="s">
        <v>6931</v>
      </c>
      <c r="O3806" s="4" t="s">
        <v>63</v>
      </c>
      <c r="P3806" s="4" t="s">
        <v>64</v>
      </c>
    </row>
    <row r="3807">
      <c r="A3807" s="4" t="s">
        <v>6785</v>
      </c>
      <c r="B3807" s="4" t="s">
        <v>6786</v>
      </c>
      <c r="C3807" s="4">
        <v>196.0</v>
      </c>
      <c r="D3807" s="5" t="str">
        <f>HYPERLINK("https://www.linkedin.com/ad-library/detail/918227953","Open Ad")</f>
        <v>Open Ad</v>
      </c>
      <c r="E3807" s="4" t="s">
        <v>78</v>
      </c>
      <c r="F3807" s="4" t="s">
        <v>6765</v>
      </c>
      <c r="G3807" s="8" t="s">
        <v>6912</v>
      </c>
      <c r="H3807" s="4" t="s">
        <v>49</v>
      </c>
      <c r="I3807" s="4" t="s">
        <v>6768</v>
      </c>
      <c r="J3807" s="4" t="s">
        <v>78</v>
      </c>
      <c r="K3807" s="7" t="str">
        <f>HYPERLINK("https://media.licdn.com/dms/image/v2/D4D10AQHDGO9DQBPFLA/image-shrink_1280/B4DZpeRI_eHsAM-/0/1762518143794/LLMblogtrackllmvisjpg?e=2147483647&amp;v=beta&amp;t=v2OAoqkgwzkgWaYcwpVUn-W73aJyGPmdzyehrWFSeXs","View Creative")</f>
        <v>View Creative</v>
      </c>
      <c r="L3807" s="4" t="s">
        <v>60</v>
      </c>
      <c r="M3807" s="4" t="s">
        <v>6785</v>
      </c>
      <c r="O3807" s="4" t="s">
        <v>63</v>
      </c>
      <c r="P3807" s="4" t="s">
        <v>64</v>
      </c>
    </row>
    <row r="3808">
      <c r="A3808" s="4" t="s">
        <v>6785</v>
      </c>
      <c r="B3808" s="4" t="s">
        <v>6786</v>
      </c>
      <c r="C3808" s="4">
        <v>197.0</v>
      </c>
      <c r="D3808" s="5" t="str">
        <f>HYPERLINK("https://www.linkedin.com/ad-library/detail/918276403","Open Ad")</f>
        <v>Open Ad</v>
      </c>
      <c r="E3808" s="4" t="s">
        <v>78</v>
      </c>
      <c r="F3808" s="4" t="s">
        <v>6765</v>
      </c>
      <c r="G3808" s="4" t="s">
        <v>6932</v>
      </c>
      <c r="H3808" s="4" t="s">
        <v>49</v>
      </c>
      <c r="I3808" s="4" t="s">
        <v>6768</v>
      </c>
      <c r="J3808" s="4" t="s">
        <v>78</v>
      </c>
      <c r="K3808" s="7" t="str">
        <f>HYPERLINK("https://media.licdn.com/dms/image/v2/D4D10AQEmTZW6QF9mfQ/image-shrink_1280/B4DZpdsZokHwAQ-/0/1762508512417/LLM-Tracking-blogpost-paid1jpg?e=2147483647&amp;v=beta&amp;t=tMGh9HOefLi7J_7AMFFZOWvZybVPqVCC9e179h9q-e0","View Creative")</f>
        <v>View Creative</v>
      </c>
      <c r="L3808" s="4" t="s">
        <v>60</v>
      </c>
      <c r="M3808" s="4" t="s">
        <v>6785</v>
      </c>
      <c r="N3808" s="4" t="s">
        <v>6924</v>
      </c>
      <c r="O3808" s="4" t="s">
        <v>63</v>
      </c>
      <c r="P3808" s="4" t="s">
        <v>64</v>
      </c>
    </row>
    <row r="3809">
      <c r="A3809" s="4" t="s">
        <v>6785</v>
      </c>
      <c r="B3809" s="4" t="s">
        <v>6786</v>
      </c>
      <c r="C3809" s="4">
        <v>198.0</v>
      </c>
      <c r="D3809" s="5" t="str">
        <f>HYPERLINK("https://www.linkedin.com/ad-library/detail/904600613","Open Ad")</f>
        <v>Open Ad</v>
      </c>
      <c r="E3809" s="4" t="s">
        <v>121</v>
      </c>
      <c r="F3809" s="4" t="s">
        <v>6765</v>
      </c>
      <c r="G3809" s="4" t="s">
        <v>6927</v>
      </c>
      <c r="H3809" s="4" t="s">
        <v>49</v>
      </c>
      <c r="I3809" s="4" t="s">
        <v>6768</v>
      </c>
      <c r="J3809" s="4" t="s">
        <v>121</v>
      </c>
      <c r="K3809" s="7" t="str">
        <f>HYPERLINK("https://dms.licdn.com/playlist/vid/v2/D4D10AQFkKXhASeLfxA/mp4-640p-30fp-crf28/B4DZoQkIZjIAB0-/0/1761214503190/AccuRankerSquareCEdited1mp4?e=2147483647&amp;v=beta&amp;t=Uj-UfZaH5Xy98XkFPoWAvBLIJrXhoGPTcbRmd2SeYu8","View Creative")</f>
        <v>View Creative</v>
      </c>
      <c r="L3809" s="4" t="s">
        <v>60</v>
      </c>
      <c r="M3809" s="4" t="s">
        <v>6785</v>
      </c>
      <c r="O3809" s="4" t="s">
        <v>63</v>
      </c>
      <c r="P3809" s="4" t="s">
        <v>64</v>
      </c>
    </row>
    <row r="3810">
      <c r="A3810" s="4" t="s">
        <v>6785</v>
      </c>
      <c r="B3810" s="4" t="s">
        <v>6786</v>
      </c>
      <c r="C3810" s="4">
        <v>199.0</v>
      </c>
      <c r="D3810" s="5" t="str">
        <f>HYPERLINK("https://www.linkedin.com/ad-library/detail/916153443","Open Ad")</f>
        <v>Open Ad</v>
      </c>
      <c r="E3810" s="4" t="s">
        <v>52</v>
      </c>
      <c r="F3810" s="4" t="s">
        <v>6765</v>
      </c>
      <c r="G3810" s="4" t="s">
        <v>6933</v>
      </c>
      <c r="H3810" s="4" t="s">
        <v>49</v>
      </c>
      <c r="I3810" s="4" t="s">
        <v>6768</v>
      </c>
      <c r="J3810" s="4" t="s">
        <v>52</v>
      </c>
      <c r="K3810" s="4" t="s">
        <v>59</v>
      </c>
      <c r="L3810" s="4" t="s">
        <v>60</v>
      </c>
      <c r="M3810" s="4" t="s">
        <v>6785</v>
      </c>
      <c r="O3810" s="4" t="s">
        <v>63</v>
      </c>
      <c r="P3810" s="4" t="s">
        <v>64</v>
      </c>
    </row>
    <row r="3811">
      <c r="A3811" s="4" t="s">
        <v>6785</v>
      </c>
      <c r="B3811" s="4" t="s">
        <v>6786</v>
      </c>
      <c r="C3811" s="4">
        <v>200.0</v>
      </c>
      <c r="D3811" s="5" t="str">
        <f>HYPERLINK("https://www.linkedin.com/ad-library/detail/904749853","Open Ad")</f>
        <v>Open Ad</v>
      </c>
      <c r="E3811" s="4" t="s">
        <v>121</v>
      </c>
      <c r="F3811" s="4" t="s">
        <v>6765</v>
      </c>
      <c r="G3811" s="4" t="s">
        <v>6927</v>
      </c>
      <c r="H3811" s="4" t="s">
        <v>49</v>
      </c>
      <c r="I3811" s="4" t="s">
        <v>6768</v>
      </c>
      <c r="J3811" s="4" t="s">
        <v>121</v>
      </c>
      <c r="K3811" s="7" t="str">
        <f t="shared" ref="K3811:K3813" si="206">HYPERLINK("https://dms.licdn.com/playlist/vid/v2/D4D10AQFkKXhASeLfxA/mp4-640p-30fp-crf28/B4DZoQkIZjIAB0-/0/1761214503190/AccuRankerSquareCEdited1mp4?e=2147483647&amp;v=beta&amp;t=Uj-UfZaH5Xy98XkFPoWAvBLIJrXhoGPTcbRmd2SeYu8","View Creative")</f>
        <v>View Creative</v>
      </c>
      <c r="L3811" s="4" t="s">
        <v>60</v>
      </c>
      <c r="M3811" s="4" t="s">
        <v>6785</v>
      </c>
      <c r="N3811" s="4" t="s">
        <v>6931</v>
      </c>
      <c r="O3811" s="4" t="s">
        <v>63</v>
      </c>
      <c r="P3811" s="4" t="s">
        <v>64</v>
      </c>
    </row>
    <row r="3812">
      <c r="A3812" s="4" t="s">
        <v>6785</v>
      </c>
      <c r="B3812" s="4" t="s">
        <v>6786</v>
      </c>
      <c r="C3812" s="4">
        <v>201.0</v>
      </c>
      <c r="D3812" s="5" t="str">
        <f>HYPERLINK("https://www.linkedin.com/ad-library/detail/904610573","Open Ad")</f>
        <v>Open Ad</v>
      </c>
      <c r="E3812" s="4" t="s">
        <v>121</v>
      </c>
      <c r="F3812" s="4" t="s">
        <v>6765</v>
      </c>
      <c r="G3812" s="4" t="s">
        <v>6930</v>
      </c>
      <c r="H3812" s="4" t="s">
        <v>611</v>
      </c>
      <c r="I3812" s="4" t="s">
        <v>6768</v>
      </c>
      <c r="J3812" s="4" t="s">
        <v>121</v>
      </c>
      <c r="K3812" s="7" t="str">
        <f t="shared" si="206"/>
        <v>View Creative</v>
      </c>
      <c r="L3812" s="4" t="s">
        <v>60</v>
      </c>
      <c r="M3812" s="4" t="s">
        <v>6785</v>
      </c>
      <c r="N3812" s="4"/>
      <c r="O3812" s="4" t="s">
        <v>63</v>
      </c>
      <c r="P3812" s="4" t="s">
        <v>64</v>
      </c>
    </row>
    <row r="3813">
      <c r="A3813" s="4" t="s">
        <v>6785</v>
      </c>
      <c r="B3813" s="4" t="s">
        <v>6786</v>
      </c>
      <c r="C3813" s="4">
        <v>202.0</v>
      </c>
      <c r="D3813" s="5" t="str">
        <f>HYPERLINK("https://www.linkedin.com/ad-library/detail/904729893","Open Ad")</f>
        <v>Open Ad</v>
      </c>
      <c r="E3813" s="4" t="s">
        <v>121</v>
      </c>
      <c r="F3813" s="4" t="s">
        <v>6765</v>
      </c>
      <c r="G3813" s="4" t="s">
        <v>6927</v>
      </c>
      <c r="H3813" s="4" t="s">
        <v>49</v>
      </c>
      <c r="I3813" s="4" t="s">
        <v>6768</v>
      </c>
      <c r="J3813" s="4" t="s">
        <v>121</v>
      </c>
      <c r="K3813" s="7" t="str">
        <f t="shared" si="206"/>
        <v>View Creative</v>
      </c>
      <c r="L3813" s="4" t="s">
        <v>60</v>
      </c>
      <c r="M3813" s="4" t="s">
        <v>6785</v>
      </c>
      <c r="N3813" s="4"/>
      <c r="O3813" s="4" t="s">
        <v>63</v>
      </c>
      <c r="P3813" s="4" t="s">
        <v>64</v>
      </c>
    </row>
    <row r="3814">
      <c r="A3814" s="4" t="s">
        <v>6785</v>
      </c>
      <c r="B3814" s="4" t="s">
        <v>6786</v>
      </c>
      <c r="C3814" s="4">
        <v>203.0</v>
      </c>
      <c r="D3814" s="5" t="str">
        <f>HYPERLINK("https://www.linkedin.com/ad-library/detail/918315443","Open Ad")</f>
        <v>Open Ad</v>
      </c>
      <c r="E3814" s="4" t="s">
        <v>78</v>
      </c>
      <c r="F3814" s="4" t="s">
        <v>6765</v>
      </c>
      <c r="G3814" s="4" t="s">
        <v>6934</v>
      </c>
      <c r="H3814" s="4" t="s">
        <v>49</v>
      </c>
      <c r="I3814" s="4" t="s">
        <v>6768</v>
      </c>
      <c r="J3814" s="4" t="s">
        <v>78</v>
      </c>
      <c r="K3814" s="7" t="str">
        <f>HYPERLINK("https://media.licdn.com/dms/image/v2/D4D10AQFiUFw2M_Z-pQ/image-shrink_1280/B4DZpdsrC3KQAM-/0/1762508585637/race-llmjpg?e=2147483647&amp;v=beta&amp;t=4siF0HuZCCbCaazSbygXUhu1qM-XDI7iXRpoEILtCCw","View Creative")</f>
        <v>View Creative</v>
      </c>
      <c r="L3814" s="4" t="s">
        <v>60</v>
      </c>
      <c r="M3814" s="4" t="s">
        <v>6785</v>
      </c>
      <c r="N3814" s="4"/>
      <c r="O3814" s="4" t="s">
        <v>63</v>
      </c>
      <c r="P3814" s="4" t="s">
        <v>64</v>
      </c>
    </row>
    <row r="3815">
      <c r="A3815" s="4" t="s">
        <v>6785</v>
      </c>
      <c r="B3815" s="4" t="s">
        <v>6786</v>
      </c>
      <c r="C3815" s="4">
        <v>204.0</v>
      </c>
      <c r="D3815" s="5" t="str">
        <f>HYPERLINK("https://www.linkedin.com/ad-library/detail/918226613","Open Ad")</f>
        <v>Open Ad</v>
      </c>
      <c r="E3815" s="4" t="s">
        <v>78</v>
      </c>
      <c r="F3815" s="4" t="s">
        <v>6765</v>
      </c>
      <c r="G3815" s="4" t="s">
        <v>6932</v>
      </c>
      <c r="H3815" s="4" t="s">
        <v>49</v>
      </c>
      <c r="I3815" s="4" t="s">
        <v>6768</v>
      </c>
      <c r="J3815" s="4" t="s">
        <v>78</v>
      </c>
      <c r="K3815" s="7" t="str">
        <f t="shared" ref="K3815:K3816" si="207">HYPERLINK("https://media.licdn.com/dms/image/v2/D4D10AQEmTZW6QF9mfQ/image-shrink_1280/B4DZpdsZokHwAQ-/0/1762508512417/LLM-Tracking-blogpost-paid1jpg?e=2147483647&amp;v=beta&amp;t=tMGh9HOefLi7J_7AMFFZOWvZybVPqVCC9e179h9q-e0","View Creative")</f>
        <v>View Creative</v>
      </c>
      <c r="L3815" s="4" t="s">
        <v>60</v>
      </c>
      <c r="M3815" s="4" t="s">
        <v>6785</v>
      </c>
      <c r="N3815" s="4"/>
      <c r="O3815" s="4" t="s">
        <v>63</v>
      </c>
      <c r="P3815" s="4" t="s">
        <v>64</v>
      </c>
    </row>
    <row r="3816">
      <c r="A3816" s="4" t="s">
        <v>6785</v>
      </c>
      <c r="B3816" s="4" t="s">
        <v>6786</v>
      </c>
      <c r="C3816" s="4">
        <v>205.0</v>
      </c>
      <c r="D3816" s="5" t="str">
        <f>HYPERLINK("https://www.linkedin.com/ad-library/detail/918236893","Open Ad")</f>
        <v>Open Ad</v>
      </c>
      <c r="E3816" s="4" t="s">
        <v>78</v>
      </c>
      <c r="F3816" s="4" t="s">
        <v>6765</v>
      </c>
      <c r="G3816" s="4" t="s">
        <v>6932</v>
      </c>
      <c r="H3816" s="4" t="s">
        <v>49</v>
      </c>
      <c r="I3816" s="4" t="s">
        <v>6768</v>
      </c>
      <c r="J3816" s="4" t="s">
        <v>78</v>
      </c>
      <c r="K3816" s="7" t="str">
        <f t="shared" si="207"/>
        <v>View Creative</v>
      </c>
      <c r="L3816" s="4" t="s">
        <v>60</v>
      </c>
      <c r="M3816" s="4" t="s">
        <v>6785</v>
      </c>
      <c r="N3816" s="4" t="s">
        <v>6935</v>
      </c>
      <c r="O3816" s="4" t="s">
        <v>63</v>
      </c>
      <c r="P3816" s="4" t="s">
        <v>64</v>
      </c>
    </row>
    <row r="3817">
      <c r="A3817" s="4" t="s">
        <v>6785</v>
      </c>
      <c r="B3817" s="4" t="s">
        <v>6786</v>
      </c>
      <c r="C3817" s="4">
        <v>206.0</v>
      </c>
      <c r="D3817" s="5" t="str">
        <f>HYPERLINK("https://www.linkedin.com/ad-library/detail/915976033","Open Ad")</f>
        <v>Open Ad</v>
      </c>
      <c r="E3817" s="4" t="s">
        <v>52</v>
      </c>
      <c r="F3817" s="4" t="s">
        <v>6765</v>
      </c>
      <c r="G3817" s="4" t="s">
        <v>6933</v>
      </c>
      <c r="H3817" s="4" t="s">
        <v>49</v>
      </c>
      <c r="I3817" s="4" t="s">
        <v>6768</v>
      </c>
      <c r="J3817" s="4" t="s">
        <v>52</v>
      </c>
      <c r="K3817" s="4" t="s">
        <v>59</v>
      </c>
      <c r="L3817" s="4" t="s">
        <v>60</v>
      </c>
      <c r="M3817" s="4" t="s">
        <v>6785</v>
      </c>
      <c r="N3817" s="4" t="s">
        <v>6936</v>
      </c>
      <c r="O3817" s="4" t="s">
        <v>63</v>
      </c>
      <c r="P3817" s="4" t="s">
        <v>64</v>
      </c>
    </row>
    <row r="3818">
      <c r="A3818" s="4" t="s">
        <v>6785</v>
      </c>
      <c r="B3818" s="4" t="s">
        <v>6786</v>
      </c>
      <c r="C3818" s="4">
        <v>207.0</v>
      </c>
      <c r="D3818" s="5" t="str">
        <f>HYPERLINK("https://www.linkedin.com/ad-library/detail/904558813","Open Ad")</f>
        <v>Open Ad</v>
      </c>
      <c r="E3818" s="4" t="s">
        <v>121</v>
      </c>
      <c r="F3818" s="4" t="s">
        <v>6765</v>
      </c>
      <c r="G3818" s="4" t="s">
        <v>6921</v>
      </c>
      <c r="H3818" s="4" t="s">
        <v>49</v>
      </c>
      <c r="I3818" s="4" t="s">
        <v>6768</v>
      </c>
      <c r="J3818" s="4" t="s">
        <v>121</v>
      </c>
      <c r="K3818" s="7" t="str">
        <f>HYPERLINK("https://dms.licdn.com/playlist/vid/v2/D4D10AQFkKXhASeLfxA/mp4-640p-30fp-crf28/B4DZoQkIZjIAB0-/0/1761214503190/AccuRankerSquareCEdited1mp4?e=2147483647&amp;v=beta&amp;t=Uj-UfZaH5Xy98XkFPoWAvBLIJrXhoGPTcbRmd2SeYu8","View Creative")</f>
        <v>View Creative</v>
      </c>
      <c r="L3818" s="4" t="s">
        <v>60</v>
      </c>
      <c r="M3818" s="4" t="s">
        <v>6785</v>
      </c>
      <c r="N3818" s="4" t="s">
        <v>6937</v>
      </c>
      <c r="O3818" s="4" t="s">
        <v>63</v>
      </c>
      <c r="P3818" s="4" t="s">
        <v>64</v>
      </c>
    </row>
    <row r="3819">
      <c r="A3819" s="4" t="s">
        <v>6785</v>
      </c>
      <c r="B3819" s="4" t="s">
        <v>6786</v>
      </c>
      <c r="C3819" s="4">
        <v>208.0</v>
      </c>
      <c r="D3819" s="5" t="str">
        <f>HYPERLINK("https://www.linkedin.com/ad-library/detail/916083843","Open Ad")</f>
        <v>Open Ad</v>
      </c>
      <c r="E3819" s="4" t="s">
        <v>52</v>
      </c>
      <c r="F3819" s="4" t="s">
        <v>6765</v>
      </c>
      <c r="G3819" s="4" t="s">
        <v>6933</v>
      </c>
      <c r="H3819" s="4" t="s">
        <v>49</v>
      </c>
      <c r="I3819" s="4" t="s">
        <v>6768</v>
      </c>
      <c r="J3819" s="4" t="s">
        <v>52</v>
      </c>
      <c r="K3819" s="4" t="s">
        <v>59</v>
      </c>
      <c r="L3819" s="4" t="s">
        <v>60</v>
      </c>
      <c r="M3819" s="4" t="s">
        <v>6785</v>
      </c>
      <c r="N3819" s="4" t="s">
        <v>6938</v>
      </c>
      <c r="O3819" s="4" t="s">
        <v>63</v>
      </c>
      <c r="P3819" s="4" t="s">
        <v>64</v>
      </c>
    </row>
    <row r="3820">
      <c r="A3820" s="4" t="s">
        <v>6785</v>
      </c>
      <c r="B3820" s="4" t="s">
        <v>6786</v>
      </c>
      <c r="C3820" s="4">
        <v>209.0</v>
      </c>
      <c r="D3820" s="5" t="str">
        <f>HYPERLINK("https://www.linkedin.com/ad-library/detail/918405123","Open Ad")</f>
        <v>Open Ad</v>
      </c>
      <c r="E3820" s="4" t="s">
        <v>78</v>
      </c>
      <c r="F3820" s="4" t="s">
        <v>6765</v>
      </c>
      <c r="G3820" s="4" t="s">
        <v>6934</v>
      </c>
      <c r="H3820" s="4" t="s">
        <v>49</v>
      </c>
      <c r="I3820" s="4" t="s">
        <v>6768</v>
      </c>
      <c r="J3820" s="4" t="s">
        <v>78</v>
      </c>
      <c r="K3820" s="7" t="str">
        <f t="shared" ref="K3820:K3821" si="208">HYPERLINK("https://media.licdn.com/dms/image/v2/D4D10AQFiUFw2M_Z-pQ/image-shrink_1280/B4DZpdsrC3KQAM-/0/1762508585637/race-llmjpg?e=2147483647&amp;v=beta&amp;t=4siF0HuZCCbCaazSbygXUhu1qM-XDI7iXRpoEILtCCw","View Creative")</f>
        <v>View Creative</v>
      </c>
      <c r="L3820" s="4" t="s">
        <v>60</v>
      </c>
      <c r="M3820" s="4" t="s">
        <v>6785</v>
      </c>
      <c r="N3820" s="4" t="s">
        <v>6939</v>
      </c>
      <c r="O3820" s="4" t="s">
        <v>63</v>
      </c>
      <c r="P3820" s="4" t="s">
        <v>64</v>
      </c>
    </row>
    <row r="3821">
      <c r="A3821" s="4" t="s">
        <v>6785</v>
      </c>
      <c r="B3821" s="4" t="s">
        <v>6786</v>
      </c>
      <c r="C3821" s="4">
        <v>210.0</v>
      </c>
      <c r="D3821" s="5" t="str">
        <f>HYPERLINK("https://www.linkedin.com/ad-library/detail/918266313","Open Ad")</f>
        <v>Open Ad</v>
      </c>
      <c r="E3821" s="4" t="s">
        <v>78</v>
      </c>
      <c r="F3821" s="4" t="s">
        <v>6765</v>
      </c>
      <c r="G3821" s="4" t="s">
        <v>6934</v>
      </c>
      <c r="H3821" s="4" t="s">
        <v>49</v>
      </c>
      <c r="I3821" s="4" t="s">
        <v>6768</v>
      </c>
      <c r="J3821" s="4" t="s">
        <v>78</v>
      </c>
      <c r="K3821" s="7" t="str">
        <f t="shared" si="208"/>
        <v>View Creative</v>
      </c>
      <c r="L3821" s="4" t="s">
        <v>60</v>
      </c>
      <c r="M3821" s="4" t="s">
        <v>6785</v>
      </c>
      <c r="N3821" s="4" t="s">
        <v>6924</v>
      </c>
      <c r="O3821" s="4" t="s">
        <v>63</v>
      </c>
      <c r="P3821" s="4" t="s">
        <v>64</v>
      </c>
    </row>
    <row r="3822">
      <c r="A3822" s="4" t="s">
        <v>6785</v>
      </c>
      <c r="B3822" s="4" t="s">
        <v>6786</v>
      </c>
      <c r="C3822" s="4">
        <v>211.0</v>
      </c>
      <c r="D3822" s="5" t="str">
        <f>HYPERLINK("https://www.linkedin.com/ad-library/detail/904558853","Open Ad")</f>
        <v>Open Ad</v>
      </c>
      <c r="E3822" s="4" t="s">
        <v>121</v>
      </c>
      <c r="F3822" s="4" t="s">
        <v>6765</v>
      </c>
      <c r="G3822" s="4" t="s">
        <v>6921</v>
      </c>
      <c r="H3822" s="4" t="s">
        <v>49</v>
      </c>
      <c r="I3822" s="4" t="s">
        <v>6768</v>
      </c>
      <c r="J3822" s="4" t="s">
        <v>121</v>
      </c>
      <c r="K3822" s="7" t="str">
        <f t="shared" ref="K3822:K3827" si="209">HYPERLINK("https://dms.licdn.com/playlist/vid/v2/D4D10AQFkKXhASeLfxA/mp4-640p-30fp-crf28/B4DZoQkIZjIAB0-/0/1761214503190/AccuRankerSquareCEdited1mp4?e=2147483647&amp;v=beta&amp;t=Uj-UfZaH5Xy98XkFPoWAvBLIJrXhoGPTcbRmd2SeYu8","View Creative")</f>
        <v>View Creative</v>
      </c>
      <c r="L3822" s="4" t="s">
        <v>60</v>
      </c>
      <c r="M3822" s="4" t="s">
        <v>6785</v>
      </c>
      <c r="N3822" s="4"/>
      <c r="O3822" s="4" t="s">
        <v>63</v>
      </c>
      <c r="P3822" s="4" t="s">
        <v>64</v>
      </c>
    </row>
    <row r="3823">
      <c r="A3823" s="4" t="s">
        <v>6785</v>
      </c>
      <c r="B3823" s="4" t="s">
        <v>6786</v>
      </c>
      <c r="C3823" s="4">
        <v>212.0</v>
      </c>
      <c r="D3823" s="5" t="str">
        <f>HYPERLINK("https://www.linkedin.com/ad-library/detail/904549753","Open Ad")</f>
        <v>Open Ad</v>
      </c>
      <c r="E3823" s="4" t="s">
        <v>121</v>
      </c>
      <c r="F3823" s="4" t="s">
        <v>6765</v>
      </c>
      <c r="G3823" s="4" t="s">
        <v>6910</v>
      </c>
      <c r="H3823" s="4" t="s">
        <v>49</v>
      </c>
      <c r="I3823" s="4" t="s">
        <v>6768</v>
      </c>
      <c r="J3823" s="4" t="s">
        <v>121</v>
      </c>
      <c r="K3823" s="7" t="str">
        <f t="shared" si="209"/>
        <v>View Creative</v>
      </c>
      <c r="L3823" s="4" t="s">
        <v>60</v>
      </c>
      <c r="M3823" s="4" t="s">
        <v>6785</v>
      </c>
      <c r="N3823" s="4"/>
      <c r="O3823" s="4" t="s">
        <v>63</v>
      </c>
      <c r="P3823" s="4" t="s">
        <v>64</v>
      </c>
    </row>
    <row r="3824">
      <c r="A3824" s="4" t="s">
        <v>6785</v>
      </c>
      <c r="B3824" s="4" t="s">
        <v>6786</v>
      </c>
      <c r="C3824" s="4">
        <v>213.0</v>
      </c>
      <c r="D3824" s="5" t="str">
        <f>HYPERLINK("https://www.linkedin.com/ad-library/detail/904680203","Open Ad")</f>
        <v>Open Ad</v>
      </c>
      <c r="E3824" s="4" t="s">
        <v>121</v>
      </c>
      <c r="F3824" s="4" t="s">
        <v>6765</v>
      </c>
      <c r="G3824" s="4" t="s">
        <v>6930</v>
      </c>
      <c r="H3824" s="4" t="s">
        <v>611</v>
      </c>
      <c r="I3824" s="4" t="s">
        <v>6768</v>
      </c>
      <c r="J3824" s="4" t="s">
        <v>121</v>
      </c>
      <c r="K3824" s="7" t="str">
        <f t="shared" si="209"/>
        <v>View Creative</v>
      </c>
      <c r="L3824" s="4" t="s">
        <v>60</v>
      </c>
      <c r="M3824" s="4" t="s">
        <v>6785</v>
      </c>
      <c r="N3824" s="4" t="s">
        <v>6940</v>
      </c>
      <c r="O3824" s="4" t="s">
        <v>63</v>
      </c>
      <c r="P3824" s="4" t="s">
        <v>64</v>
      </c>
    </row>
    <row r="3825">
      <c r="A3825" s="4" t="s">
        <v>6785</v>
      </c>
      <c r="B3825" s="4" t="s">
        <v>6786</v>
      </c>
      <c r="C3825" s="4">
        <v>214.0</v>
      </c>
      <c r="D3825" s="5" t="str">
        <f>HYPERLINK("https://www.linkedin.com/ad-library/detail/904590823","Open Ad")</f>
        <v>Open Ad</v>
      </c>
      <c r="E3825" s="4" t="s">
        <v>121</v>
      </c>
      <c r="F3825" s="4" t="s">
        <v>6765</v>
      </c>
      <c r="G3825" s="4" t="s">
        <v>6930</v>
      </c>
      <c r="H3825" s="4" t="s">
        <v>611</v>
      </c>
      <c r="I3825" s="4" t="s">
        <v>6768</v>
      </c>
      <c r="J3825" s="4" t="s">
        <v>121</v>
      </c>
      <c r="K3825" s="7" t="str">
        <f t="shared" si="209"/>
        <v>View Creative</v>
      </c>
      <c r="L3825" s="4" t="s">
        <v>60</v>
      </c>
      <c r="M3825" s="4" t="s">
        <v>6785</v>
      </c>
      <c r="N3825" s="4"/>
      <c r="O3825" s="4" t="s">
        <v>63</v>
      </c>
      <c r="P3825" s="4" t="s">
        <v>64</v>
      </c>
    </row>
    <row r="3826">
      <c r="A3826" s="4" t="s">
        <v>6785</v>
      </c>
      <c r="B3826" s="4" t="s">
        <v>6786</v>
      </c>
      <c r="C3826" s="4">
        <v>215.0</v>
      </c>
      <c r="D3826" s="5" t="str">
        <f>HYPERLINK("https://www.linkedin.com/ad-library/detail/904660533","Open Ad")</f>
        <v>Open Ad</v>
      </c>
      <c r="E3826" s="4" t="s">
        <v>121</v>
      </c>
      <c r="F3826" s="4" t="s">
        <v>6765</v>
      </c>
      <c r="G3826" s="4" t="s">
        <v>6921</v>
      </c>
      <c r="H3826" s="4" t="s">
        <v>49</v>
      </c>
      <c r="I3826" s="4" t="s">
        <v>6768</v>
      </c>
      <c r="J3826" s="4" t="s">
        <v>121</v>
      </c>
      <c r="K3826" s="7" t="str">
        <f t="shared" si="209"/>
        <v>View Creative</v>
      </c>
      <c r="L3826" s="4" t="s">
        <v>60</v>
      </c>
      <c r="M3826" s="4" t="s">
        <v>6785</v>
      </c>
      <c r="N3826" s="4"/>
      <c r="O3826" s="4" t="s">
        <v>63</v>
      </c>
      <c r="P3826" s="4" t="s">
        <v>64</v>
      </c>
    </row>
    <row r="3827">
      <c r="A3827" s="4" t="s">
        <v>6785</v>
      </c>
      <c r="B3827" s="4" t="s">
        <v>6786</v>
      </c>
      <c r="C3827" s="4">
        <v>216.0</v>
      </c>
      <c r="D3827" s="5" t="str">
        <f>HYPERLINK("https://www.linkedin.com/ad-library/detail/904640563","Open Ad")</f>
        <v>Open Ad</v>
      </c>
      <c r="E3827" s="4" t="s">
        <v>121</v>
      </c>
      <c r="F3827" s="4" t="s">
        <v>6765</v>
      </c>
      <c r="G3827" s="4" t="s">
        <v>6910</v>
      </c>
      <c r="H3827" s="4" t="s">
        <v>49</v>
      </c>
      <c r="I3827" s="4" t="s">
        <v>6768</v>
      </c>
      <c r="J3827" s="4" t="s">
        <v>121</v>
      </c>
      <c r="K3827" s="7" t="str">
        <f t="shared" si="209"/>
        <v>View Creative</v>
      </c>
      <c r="L3827" s="4" t="s">
        <v>60</v>
      </c>
      <c r="M3827" s="4" t="s">
        <v>6785</v>
      </c>
      <c r="N3827" s="4"/>
      <c r="O3827" s="4" t="s">
        <v>63</v>
      </c>
      <c r="P3827" s="4" t="s">
        <v>64</v>
      </c>
    </row>
    <row r="3828">
      <c r="A3828" s="4" t="s">
        <v>6785</v>
      </c>
      <c r="B3828" s="4" t="s">
        <v>6786</v>
      </c>
      <c r="C3828" s="4">
        <v>217.0</v>
      </c>
      <c r="D3828" s="5" t="str">
        <f>HYPERLINK("https://www.linkedin.com/ad-library/detail/901982253","Open Ad")</f>
        <v>Open Ad</v>
      </c>
      <c r="E3828" s="4" t="s">
        <v>121</v>
      </c>
      <c r="F3828" s="4" t="s">
        <v>6765</v>
      </c>
      <c r="G3828" s="4" t="s">
        <v>6910</v>
      </c>
      <c r="H3828" s="4" t="s">
        <v>49</v>
      </c>
      <c r="I3828" s="4" t="s">
        <v>6768</v>
      </c>
      <c r="J3828" s="4" t="s">
        <v>121</v>
      </c>
      <c r="K3828" s="7" t="str">
        <f t="shared" ref="K3828:K3830" si="210">HYPERLINK("https://dms.licdn.com/playlist/vid/v2/D4D10AQE7900WZxHdYA/mp4-720p-30fp-crf28/B4DZoGvAIFIECM-/0/1761049581072/AccuRankerSquareCEdited1mp4?e=2147483647&amp;v=beta&amp;t=yHLAPx3J5H2cy5orn2DEMS_8d_TeXfEUgGnqojtBmrA","View Creative")</f>
        <v>View Creative</v>
      </c>
      <c r="L3828" s="4" t="s">
        <v>60</v>
      </c>
      <c r="M3828" s="4" t="s">
        <v>6785</v>
      </c>
      <c r="N3828" s="4" t="s">
        <v>6941</v>
      </c>
      <c r="O3828" s="4" t="s">
        <v>63</v>
      </c>
      <c r="P3828" s="4" t="s">
        <v>64</v>
      </c>
    </row>
    <row r="3829">
      <c r="A3829" s="4" t="s">
        <v>6785</v>
      </c>
      <c r="B3829" s="4" t="s">
        <v>6786</v>
      </c>
      <c r="C3829" s="4">
        <v>218.0</v>
      </c>
      <c r="D3829" s="5" t="str">
        <f>HYPERLINK("https://www.linkedin.com/ad-library/detail/901962843","Open Ad")</f>
        <v>Open Ad</v>
      </c>
      <c r="E3829" s="4" t="s">
        <v>121</v>
      </c>
      <c r="F3829" s="4" t="s">
        <v>6765</v>
      </c>
      <c r="G3829" s="4" t="s">
        <v>6927</v>
      </c>
      <c r="H3829" s="4" t="s">
        <v>49</v>
      </c>
      <c r="I3829" s="4" t="s">
        <v>6768</v>
      </c>
      <c r="J3829" s="4" t="s">
        <v>121</v>
      </c>
      <c r="K3829" s="7" t="str">
        <f t="shared" si="210"/>
        <v>View Creative</v>
      </c>
      <c r="L3829" s="4" t="s">
        <v>60</v>
      </c>
      <c r="M3829" s="4" t="s">
        <v>6785</v>
      </c>
      <c r="N3829" s="4" t="s">
        <v>6942</v>
      </c>
      <c r="O3829" s="4" t="s">
        <v>63</v>
      </c>
      <c r="P3829" s="4" t="s">
        <v>64</v>
      </c>
    </row>
    <row r="3830">
      <c r="A3830" s="4" t="s">
        <v>6785</v>
      </c>
      <c r="B3830" s="4" t="s">
        <v>6786</v>
      </c>
      <c r="C3830" s="4">
        <v>219.0</v>
      </c>
      <c r="D3830" s="5" t="str">
        <f>HYPERLINK("https://www.linkedin.com/ad-library/detail/901873083","Open Ad")</f>
        <v>Open Ad</v>
      </c>
      <c r="E3830" s="4" t="s">
        <v>121</v>
      </c>
      <c r="F3830" s="4" t="s">
        <v>6765</v>
      </c>
      <c r="G3830" s="4" t="s">
        <v>6930</v>
      </c>
      <c r="H3830" s="4" t="s">
        <v>611</v>
      </c>
      <c r="I3830" s="4" t="s">
        <v>6768</v>
      </c>
      <c r="J3830" s="4" t="s">
        <v>121</v>
      </c>
      <c r="K3830" s="7" t="str">
        <f t="shared" si="210"/>
        <v>View Creative</v>
      </c>
      <c r="L3830" s="4" t="s">
        <v>60</v>
      </c>
      <c r="M3830" s="4" t="s">
        <v>6785</v>
      </c>
      <c r="N3830" s="4"/>
      <c r="O3830" s="4" t="s">
        <v>63</v>
      </c>
      <c r="P3830" s="4" t="s">
        <v>64</v>
      </c>
    </row>
    <row r="3831">
      <c r="A3831" s="4" t="s">
        <v>6785</v>
      </c>
      <c r="B3831" s="4" t="s">
        <v>6786</v>
      </c>
      <c r="C3831" s="4">
        <v>220.0</v>
      </c>
      <c r="D3831" s="5" t="str">
        <f>HYPERLINK("https://www.linkedin.com/ad-library/detail/901812813","Open Ad")</f>
        <v>Open Ad</v>
      </c>
      <c r="E3831" s="4" t="s">
        <v>121</v>
      </c>
      <c r="F3831" s="4" t="s">
        <v>6765</v>
      </c>
      <c r="G3831" s="4" t="s">
        <v>6943</v>
      </c>
      <c r="H3831" s="4" t="s">
        <v>49</v>
      </c>
      <c r="I3831" s="4" t="s">
        <v>6768</v>
      </c>
      <c r="J3831" s="4" t="s">
        <v>121</v>
      </c>
      <c r="K3831" s="7" t="str">
        <f t="shared" ref="K3831:K3832" si="211">HYPERLINK("https://dms.licdn.com/playlist/vid/v2/D4D10AQHATMzXrq4gRg/progressive-servable-video/B4DZoF5ULKHsAY-/0/1761035503786/AccuRankerSquareCEdited1mp4?e=2147483647&amp;v=beta&amp;t=WHNRHFfODEgRi0vQeR12rY6mxCoOjL7aw0ezu0nMM00","View Creative")</f>
        <v>View Creative</v>
      </c>
      <c r="L3831" s="4" t="s">
        <v>60</v>
      </c>
      <c r="M3831" s="4" t="s">
        <v>6785</v>
      </c>
      <c r="N3831" s="4" t="s">
        <v>6944</v>
      </c>
      <c r="O3831" s="4" t="s">
        <v>63</v>
      </c>
      <c r="P3831" s="4" t="s">
        <v>64</v>
      </c>
    </row>
    <row r="3832">
      <c r="A3832" s="4" t="s">
        <v>6785</v>
      </c>
      <c r="B3832" s="4" t="s">
        <v>6786</v>
      </c>
      <c r="C3832" s="4">
        <v>221.0</v>
      </c>
      <c r="D3832" s="5" t="str">
        <f>HYPERLINK("https://www.linkedin.com/ad-library/detail/901812823","Open Ad")</f>
        <v>Open Ad</v>
      </c>
      <c r="E3832" s="4" t="s">
        <v>121</v>
      </c>
      <c r="F3832" s="4" t="s">
        <v>6765</v>
      </c>
      <c r="G3832" s="4" t="s">
        <v>6927</v>
      </c>
      <c r="H3832" s="4" t="s">
        <v>49</v>
      </c>
      <c r="I3832" s="4" t="s">
        <v>6768</v>
      </c>
      <c r="J3832" s="4" t="s">
        <v>121</v>
      </c>
      <c r="K3832" s="7" t="str">
        <f t="shared" si="211"/>
        <v>View Creative</v>
      </c>
      <c r="L3832" s="4" t="s">
        <v>60</v>
      </c>
      <c r="M3832" s="4" t="s">
        <v>6785</v>
      </c>
      <c r="N3832" s="4" t="s">
        <v>6944</v>
      </c>
      <c r="O3832" s="4" t="s">
        <v>63</v>
      </c>
      <c r="P3832" s="4" t="s">
        <v>64</v>
      </c>
    </row>
    <row r="3833">
      <c r="A3833" s="4" t="s">
        <v>6785</v>
      </c>
      <c r="B3833" s="4" t="s">
        <v>6786</v>
      </c>
      <c r="C3833" s="4">
        <v>222.0</v>
      </c>
      <c r="D3833" s="5" t="str">
        <f>HYPERLINK("https://www.linkedin.com/ad-library/detail/902011803","Open Ad")</f>
        <v>Open Ad</v>
      </c>
      <c r="E3833" s="4" t="s">
        <v>121</v>
      </c>
      <c r="F3833" s="4" t="s">
        <v>6765</v>
      </c>
      <c r="G3833" s="4" t="s">
        <v>6927</v>
      </c>
      <c r="H3833" s="4" t="s">
        <v>49</v>
      </c>
      <c r="I3833" s="4" t="s">
        <v>6768</v>
      </c>
      <c r="J3833" s="4" t="s">
        <v>121</v>
      </c>
      <c r="K3833" s="7" t="str">
        <f>HYPERLINK("https://dms.licdn.com/playlist/vid/v2/D4D10AQE7900WZxHdYA/mp4-720p-30fp-crf28/B4DZoGvAIFIECM-/0/1761049581072/AccuRankerSquareCEdited1mp4?e=2147483647&amp;v=beta&amp;t=yHLAPx3J5H2cy5orn2DEMS_8d_TeXfEUgGnqojtBmrA","View Creative")</f>
        <v>View Creative</v>
      </c>
      <c r="L3833" s="4" t="s">
        <v>60</v>
      </c>
      <c r="M3833" s="4" t="s">
        <v>6785</v>
      </c>
      <c r="N3833" s="4"/>
      <c r="O3833" s="4" t="s">
        <v>63</v>
      </c>
      <c r="P3833" s="4" t="s">
        <v>64</v>
      </c>
    </row>
    <row r="3834">
      <c r="A3834" s="4" t="s">
        <v>6785</v>
      </c>
      <c r="B3834" s="4" t="s">
        <v>6786</v>
      </c>
      <c r="C3834" s="4">
        <v>223.0</v>
      </c>
      <c r="D3834" s="5" t="str">
        <f>HYPERLINK("https://www.linkedin.com/ad-library/detail/901880483","Open Ad")</f>
        <v>Open Ad</v>
      </c>
      <c r="E3834" s="4" t="s">
        <v>121</v>
      </c>
      <c r="F3834" s="4" t="s">
        <v>6765</v>
      </c>
      <c r="G3834" s="4" t="s">
        <v>6943</v>
      </c>
      <c r="H3834" s="4" t="s">
        <v>49</v>
      </c>
      <c r="I3834" s="4" t="s">
        <v>6768</v>
      </c>
      <c r="J3834" s="4" t="s">
        <v>121</v>
      </c>
      <c r="K3834" s="7" t="str">
        <f t="shared" ref="K3834:K3835" si="212">HYPERLINK("https://dms.licdn.com/playlist/vid/v2/D4D10AQHATMzXrq4gRg/progressive-servable-video/B4DZoF5ULKHsAY-/0/1761035503786/AccuRankerSquareCEdited1mp4?e=2147483647&amp;v=beta&amp;t=WHNRHFfODEgRi0vQeR12rY6mxCoOjL7aw0ezu0nMM00","View Creative")</f>
        <v>View Creative</v>
      </c>
      <c r="L3834" s="4" t="s">
        <v>60</v>
      </c>
      <c r="M3834" s="4" t="s">
        <v>6785</v>
      </c>
      <c r="N3834" s="4"/>
      <c r="O3834" s="4" t="s">
        <v>63</v>
      </c>
      <c r="P3834" s="4" t="s">
        <v>64</v>
      </c>
    </row>
    <row r="3835">
      <c r="A3835" s="4" t="s">
        <v>6785</v>
      </c>
      <c r="B3835" s="4" t="s">
        <v>6786</v>
      </c>
      <c r="C3835" s="4">
        <v>224.0</v>
      </c>
      <c r="D3835" s="5" t="str">
        <f>HYPERLINK("https://www.linkedin.com/ad-library/detail/901821453","Open Ad")</f>
        <v>Open Ad</v>
      </c>
      <c r="E3835" s="4" t="s">
        <v>121</v>
      </c>
      <c r="F3835" s="4" t="s">
        <v>6765</v>
      </c>
      <c r="G3835" s="4" t="s">
        <v>6943</v>
      </c>
      <c r="H3835" s="4" t="s">
        <v>49</v>
      </c>
      <c r="I3835" s="4" t="s">
        <v>6768</v>
      </c>
      <c r="J3835" s="4" t="s">
        <v>121</v>
      </c>
      <c r="K3835" s="7" t="str">
        <f t="shared" si="212"/>
        <v>View Creative</v>
      </c>
      <c r="L3835" s="4" t="s">
        <v>60</v>
      </c>
      <c r="M3835" s="4" t="s">
        <v>6785</v>
      </c>
      <c r="N3835" s="4"/>
      <c r="O3835" s="4" t="s">
        <v>63</v>
      </c>
      <c r="P3835" s="4" t="s">
        <v>64</v>
      </c>
    </row>
    <row r="3836">
      <c r="A3836" s="4" t="s">
        <v>6785</v>
      </c>
      <c r="B3836" s="4" t="s">
        <v>6786</v>
      </c>
      <c r="C3836" s="4">
        <v>225.0</v>
      </c>
      <c r="D3836" s="5" t="str">
        <f>HYPERLINK("https://www.linkedin.com/ad-library/detail/902011813","Open Ad")</f>
        <v>Open Ad</v>
      </c>
      <c r="E3836" s="4" t="s">
        <v>121</v>
      </c>
      <c r="F3836" s="4" t="s">
        <v>6765</v>
      </c>
      <c r="G3836" s="4" t="s">
        <v>6943</v>
      </c>
      <c r="H3836" s="4" t="s">
        <v>49</v>
      </c>
      <c r="I3836" s="4" t="s">
        <v>6768</v>
      </c>
      <c r="J3836" s="4" t="s">
        <v>121</v>
      </c>
      <c r="K3836" s="7" t="str">
        <f t="shared" ref="K3836:K3838" si="213">HYPERLINK("https://dms.licdn.com/playlist/vid/v2/D4D10AQE7900WZxHdYA/mp4-720p-30fp-crf28/B4DZoGvAIFIECM-/0/1761049581072/AccuRankerSquareCEdited1mp4?e=2147483647&amp;v=beta&amp;t=yHLAPx3J5H2cy5orn2DEMS_8d_TeXfEUgGnqojtBmrA","View Creative")</f>
        <v>View Creative</v>
      </c>
      <c r="L3836" s="4" t="s">
        <v>60</v>
      </c>
      <c r="M3836" s="4" t="s">
        <v>6785</v>
      </c>
      <c r="N3836" s="4"/>
      <c r="O3836" s="4" t="s">
        <v>63</v>
      </c>
      <c r="P3836" s="4" t="s">
        <v>64</v>
      </c>
    </row>
    <row r="3837">
      <c r="A3837" s="4" t="s">
        <v>6785</v>
      </c>
      <c r="B3837" s="4" t="s">
        <v>6786</v>
      </c>
      <c r="C3837" s="4">
        <v>226.0</v>
      </c>
      <c r="D3837" s="5" t="str">
        <f>HYPERLINK("https://www.linkedin.com/ad-library/detail/901972163","Open Ad")</f>
        <v>Open Ad</v>
      </c>
      <c r="E3837" s="4" t="s">
        <v>121</v>
      </c>
      <c r="F3837" s="4" t="s">
        <v>6765</v>
      </c>
      <c r="G3837" s="4" t="s">
        <v>6930</v>
      </c>
      <c r="H3837" s="4" t="s">
        <v>611</v>
      </c>
      <c r="I3837" s="4" t="s">
        <v>6768</v>
      </c>
      <c r="J3837" s="4" t="s">
        <v>121</v>
      </c>
      <c r="K3837" s="7" t="str">
        <f t="shared" si="213"/>
        <v>View Creative</v>
      </c>
      <c r="L3837" s="4" t="s">
        <v>60</v>
      </c>
      <c r="M3837" s="4" t="s">
        <v>6785</v>
      </c>
      <c r="N3837" s="4"/>
      <c r="O3837" s="4" t="s">
        <v>63</v>
      </c>
      <c r="P3837" s="4" t="s">
        <v>64</v>
      </c>
    </row>
    <row r="3838">
      <c r="A3838" s="4" t="s">
        <v>6785</v>
      </c>
      <c r="B3838" s="4" t="s">
        <v>6786</v>
      </c>
      <c r="C3838" s="4">
        <v>227.0</v>
      </c>
      <c r="D3838" s="5" t="str">
        <f>HYPERLINK("https://www.linkedin.com/ad-library/detail/901991953","Open Ad")</f>
        <v>Open Ad</v>
      </c>
      <c r="E3838" s="4" t="s">
        <v>121</v>
      </c>
      <c r="F3838" s="4" t="s">
        <v>6765</v>
      </c>
      <c r="G3838" s="4" t="s">
        <v>6943</v>
      </c>
      <c r="H3838" s="4" t="s">
        <v>49</v>
      </c>
      <c r="I3838" s="4" t="s">
        <v>6768</v>
      </c>
      <c r="J3838" s="4" t="s">
        <v>121</v>
      </c>
      <c r="K3838" s="7" t="str">
        <f t="shared" si="213"/>
        <v>View Creative</v>
      </c>
      <c r="L3838" s="4" t="s">
        <v>60</v>
      </c>
      <c r="M3838" s="4" t="s">
        <v>6785</v>
      </c>
      <c r="N3838" s="4" t="s">
        <v>6942</v>
      </c>
      <c r="O3838" s="4" t="s">
        <v>63</v>
      </c>
      <c r="P3838" s="4" t="s">
        <v>64</v>
      </c>
    </row>
    <row r="3839">
      <c r="A3839" s="4" t="s">
        <v>6785</v>
      </c>
      <c r="B3839" s="4" t="s">
        <v>6786</v>
      </c>
      <c r="C3839" s="4">
        <v>228.0</v>
      </c>
      <c r="D3839" s="5" t="str">
        <f>HYPERLINK("https://www.linkedin.com/ad-library/detail/901841693","Open Ad")</f>
        <v>Open Ad</v>
      </c>
      <c r="E3839" s="4" t="s">
        <v>121</v>
      </c>
      <c r="F3839" s="4" t="s">
        <v>6765</v>
      </c>
      <c r="G3839" s="4" t="s">
        <v>6930</v>
      </c>
      <c r="H3839" s="4" t="s">
        <v>611</v>
      </c>
      <c r="I3839" s="4" t="s">
        <v>6768</v>
      </c>
      <c r="J3839" s="4" t="s">
        <v>121</v>
      </c>
      <c r="K3839" s="7" t="str">
        <f>HYPERLINK("https://dms.licdn.com/playlist/vid/v2/D4D10AQHATMzXrq4gRg/progressive-servable-video/B4DZoF5ULKHsAY-/0/1761035503786/AccuRankerSquareCEdited1mp4?e=2147483647&amp;v=beta&amp;t=WHNRHFfODEgRi0vQeR12rY6mxCoOjL7aw0ezu0nMM00","View Creative")</f>
        <v>View Creative</v>
      </c>
      <c r="L3839" s="4" t="s">
        <v>60</v>
      </c>
      <c r="M3839" s="4" t="s">
        <v>6785</v>
      </c>
      <c r="N3839" s="4" t="s">
        <v>6944</v>
      </c>
      <c r="O3839" s="4" t="s">
        <v>63</v>
      </c>
      <c r="P3839" s="4" t="s">
        <v>64</v>
      </c>
    </row>
    <row r="3840">
      <c r="A3840" s="4" t="s">
        <v>6785</v>
      </c>
      <c r="B3840" s="4" t="s">
        <v>6786</v>
      </c>
      <c r="C3840" s="4">
        <v>229.0</v>
      </c>
      <c r="D3840" s="5" t="str">
        <f>HYPERLINK("https://www.linkedin.com/ad-library/detail/901843123","Open Ad")</f>
        <v>Open Ad</v>
      </c>
      <c r="E3840" s="4" t="s">
        <v>121</v>
      </c>
      <c r="F3840" s="4" t="s">
        <v>6765</v>
      </c>
      <c r="G3840" s="4" t="s">
        <v>6910</v>
      </c>
      <c r="H3840" s="4" t="s">
        <v>49</v>
      </c>
      <c r="I3840" s="4" t="s">
        <v>6768</v>
      </c>
      <c r="J3840" s="4" t="s">
        <v>121</v>
      </c>
      <c r="K3840" s="7" t="str">
        <f>HYPERLINK("https://dms.licdn.com/playlist/vid/v2/D4D10AQE7900WZxHdYA/mp4-720p-30fp-crf28/B4DZoGvAIFIECM-/0/1761049581072/AccuRankerSquareCEdited1mp4?e=2147483647&amp;v=beta&amp;t=yHLAPx3J5H2cy5orn2DEMS_8d_TeXfEUgGnqojtBmrA","View Creative")</f>
        <v>View Creative</v>
      </c>
      <c r="L3840" s="4" t="s">
        <v>60</v>
      </c>
      <c r="M3840" s="4" t="s">
        <v>6785</v>
      </c>
      <c r="N3840" s="4"/>
      <c r="O3840" s="4" t="s">
        <v>63</v>
      </c>
      <c r="P3840" s="4" t="s">
        <v>64</v>
      </c>
    </row>
    <row r="3841">
      <c r="A3841" s="4" t="s">
        <v>6785</v>
      </c>
      <c r="B3841" s="4" t="s">
        <v>6786</v>
      </c>
      <c r="C3841" s="4">
        <v>230.0</v>
      </c>
      <c r="D3841" s="5" t="str">
        <f>HYPERLINK("https://www.linkedin.com/ad-library/detail/901880433","Open Ad")</f>
        <v>Open Ad</v>
      </c>
      <c r="E3841" s="4" t="s">
        <v>121</v>
      </c>
      <c r="F3841" s="4" t="s">
        <v>6765</v>
      </c>
      <c r="G3841" s="4" t="s">
        <v>6910</v>
      </c>
      <c r="H3841" s="4" t="s">
        <v>49</v>
      </c>
      <c r="I3841" s="4" t="s">
        <v>6768</v>
      </c>
      <c r="J3841" s="4" t="s">
        <v>121</v>
      </c>
      <c r="K3841" s="7" t="str">
        <f>HYPERLINK("https://dms.licdn.com/playlist/vid/v2/D4D10AQHATMzXrq4gRg/progressive-servable-video/B4DZoF5ULKHsAY-/0/1761035503786/AccuRankerSquareCEdited1mp4?e=2147483647&amp;v=beta&amp;t=WHNRHFfODEgRi0vQeR12rY6mxCoOjL7aw0ezu0nMM00","View Creative")</f>
        <v>View Creative</v>
      </c>
      <c r="L3841" s="4" t="s">
        <v>60</v>
      </c>
      <c r="M3841" s="4" t="s">
        <v>6785</v>
      </c>
      <c r="N3841" s="4"/>
      <c r="O3841" s="4" t="s">
        <v>63</v>
      </c>
      <c r="P3841" s="4" t="s">
        <v>64</v>
      </c>
    </row>
    <row r="3842">
      <c r="A3842" s="4" t="s">
        <v>6785</v>
      </c>
      <c r="B3842" s="4" t="s">
        <v>6786</v>
      </c>
      <c r="C3842" s="4">
        <v>231.0</v>
      </c>
      <c r="D3842" s="5" t="str">
        <f>HYPERLINK("https://www.linkedin.com/ad-library/detail/902011833","Open Ad")</f>
        <v>Open Ad</v>
      </c>
      <c r="E3842" s="4" t="s">
        <v>121</v>
      </c>
      <c r="F3842" s="4" t="s">
        <v>6765</v>
      </c>
      <c r="G3842" s="4" t="s">
        <v>6943</v>
      </c>
      <c r="H3842" s="4" t="s">
        <v>49</v>
      </c>
      <c r="I3842" s="4" t="s">
        <v>6768</v>
      </c>
      <c r="J3842" s="4" t="s">
        <v>121</v>
      </c>
      <c r="K3842" s="7" t="str">
        <f>HYPERLINK("https://dms.licdn.com/playlist/vid/v2/D4D10AQE7900WZxHdYA/mp4-720p-30fp-crf28/B4DZoGvAIFIECM-/0/1761049581072/AccuRankerSquareCEdited1mp4?e=2147483647&amp;v=beta&amp;t=yHLAPx3J5H2cy5orn2DEMS_8d_TeXfEUgGnqojtBmrA","View Creative")</f>
        <v>View Creative</v>
      </c>
      <c r="L3842" s="4" t="s">
        <v>60</v>
      </c>
      <c r="M3842" s="4" t="s">
        <v>6785</v>
      </c>
      <c r="N3842" s="4"/>
      <c r="O3842" s="4" t="s">
        <v>63</v>
      </c>
      <c r="P3842" s="4" t="s">
        <v>64</v>
      </c>
    </row>
    <row r="3843">
      <c r="A3843" s="4" t="s">
        <v>6785</v>
      </c>
      <c r="B3843" s="4" t="s">
        <v>6786</v>
      </c>
      <c r="C3843" s="4">
        <v>232.0</v>
      </c>
      <c r="D3843" s="5" t="str">
        <f>HYPERLINK("https://www.linkedin.com/ad-library/detail/902020153","Open Ad")</f>
        <v>Open Ad</v>
      </c>
      <c r="E3843" s="4" t="s">
        <v>121</v>
      </c>
      <c r="F3843" s="4" t="s">
        <v>6765</v>
      </c>
      <c r="G3843" s="4" t="s">
        <v>6930</v>
      </c>
      <c r="H3843" s="4" t="s">
        <v>611</v>
      </c>
      <c r="I3843" s="4" t="s">
        <v>6768</v>
      </c>
      <c r="J3843" s="4" t="s">
        <v>121</v>
      </c>
      <c r="K3843" s="7" t="str">
        <f t="shared" ref="K3843:K3844" si="214">HYPERLINK("https://dms.licdn.com/playlist/vid/v2/D4D10AQHATMzXrq4gRg/progressive-servable-video/B4DZoF5ULKHsAY-/0/1761035503786/AccuRankerSquareCEdited1mp4?e=2147483647&amp;v=beta&amp;t=WHNRHFfODEgRi0vQeR12rY6mxCoOjL7aw0ezu0nMM00","View Creative")</f>
        <v>View Creative</v>
      </c>
      <c r="L3843" s="4" t="s">
        <v>60</v>
      </c>
      <c r="M3843" s="4" t="s">
        <v>6785</v>
      </c>
      <c r="N3843" s="4"/>
      <c r="O3843" s="4" t="s">
        <v>63</v>
      </c>
      <c r="P3843" s="4" t="s">
        <v>64</v>
      </c>
    </row>
    <row r="3844">
      <c r="A3844" s="4" t="s">
        <v>6785</v>
      </c>
      <c r="B3844" s="4" t="s">
        <v>6786</v>
      </c>
      <c r="C3844" s="4">
        <v>233.0</v>
      </c>
      <c r="D3844" s="5" t="str">
        <f>HYPERLINK("https://www.linkedin.com/ad-library/detail/902000323","Open Ad")</f>
        <v>Open Ad</v>
      </c>
      <c r="E3844" s="4" t="s">
        <v>121</v>
      </c>
      <c r="F3844" s="4" t="s">
        <v>6765</v>
      </c>
      <c r="G3844" s="4" t="s">
        <v>6930</v>
      </c>
      <c r="H3844" s="4" t="s">
        <v>611</v>
      </c>
      <c r="I3844" s="4" t="s">
        <v>6768</v>
      </c>
      <c r="J3844" s="4" t="s">
        <v>121</v>
      </c>
      <c r="K3844" s="7" t="str">
        <f t="shared" si="214"/>
        <v>View Creative</v>
      </c>
      <c r="L3844" s="4" t="s">
        <v>60</v>
      </c>
      <c r="M3844" s="4" t="s">
        <v>6785</v>
      </c>
      <c r="N3844" s="4"/>
      <c r="O3844" s="4" t="s">
        <v>63</v>
      </c>
      <c r="P3844" s="4" t="s">
        <v>64</v>
      </c>
    </row>
    <row r="3845">
      <c r="A3845" s="4" t="s">
        <v>6785</v>
      </c>
      <c r="B3845" s="4" t="s">
        <v>6786</v>
      </c>
      <c r="C3845" s="4">
        <v>234.0</v>
      </c>
      <c r="D3845" s="5" t="str">
        <f>HYPERLINK("https://www.linkedin.com/ad-library/detail/901902883","Open Ad")</f>
        <v>Open Ad</v>
      </c>
      <c r="E3845" s="4" t="s">
        <v>121</v>
      </c>
      <c r="F3845" s="4" t="s">
        <v>6765</v>
      </c>
      <c r="G3845" s="4" t="s">
        <v>6927</v>
      </c>
      <c r="H3845" s="4" t="s">
        <v>49</v>
      </c>
      <c r="I3845" s="4" t="s">
        <v>6768</v>
      </c>
      <c r="J3845" s="4" t="s">
        <v>121</v>
      </c>
      <c r="K3845" s="7" t="str">
        <f t="shared" ref="K3845:K3846" si="215">HYPERLINK("https://dms.licdn.com/playlist/vid/v2/D4D10AQE7900WZxHdYA/mp4-720p-30fp-crf28/B4DZoGvAIFIECM-/0/1761049581072/AccuRankerSquareCEdited1mp4?e=2147483647&amp;v=beta&amp;t=yHLAPx3J5H2cy5orn2DEMS_8d_TeXfEUgGnqojtBmrA","View Creative")</f>
        <v>View Creative</v>
      </c>
      <c r="L3845" s="4" t="s">
        <v>60</v>
      </c>
      <c r="M3845" s="4" t="s">
        <v>6785</v>
      </c>
      <c r="N3845" s="4"/>
      <c r="O3845" s="4" t="s">
        <v>63</v>
      </c>
      <c r="P3845" s="4" t="s">
        <v>64</v>
      </c>
    </row>
    <row r="3846">
      <c r="A3846" s="4" t="s">
        <v>6785</v>
      </c>
      <c r="B3846" s="4" t="s">
        <v>6786</v>
      </c>
      <c r="C3846" s="4">
        <v>235.0</v>
      </c>
      <c r="D3846" s="5" t="str">
        <f>HYPERLINK("https://www.linkedin.com/ad-library/detail/902021783","Open Ad")</f>
        <v>Open Ad</v>
      </c>
      <c r="E3846" s="4" t="s">
        <v>121</v>
      </c>
      <c r="F3846" s="4" t="s">
        <v>6765</v>
      </c>
      <c r="G3846" s="4" t="s">
        <v>6910</v>
      </c>
      <c r="H3846" s="4" t="s">
        <v>49</v>
      </c>
      <c r="I3846" s="4" t="s">
        <v>6768</v>
      </c>
      <c r="J3846" s="4" t="s">
        <v>121</v>
      </c>
      <c r="K3846" s="7" t="str">
        <f t="shared" si="215"/>
        <v>View Creative</v>
      </c>
      <c r="L3846" s="4" t="s">
        <v>60</v>
      </c>
      <c r="M3846" s="4" t="s">
        <v>6785</v>
      </c>
      <c r="N3846" s="4"/>
      <c r="O3846" s="4" t="s">
        <v>63</v>
      </c>
      <c r="P3846" s="4" t="s">
        <v>64</v>
      </c>
    </row>
    <row r="3847">
      <c r="A3847" s="4" t="s">
        <v>6785</v>
      </c>
      <c r="B3847" s="4" t="s">
        <v>6786</v>
      </c>
      <c r="C3847" s="4">
        <v>236.0</v>
      </c>
      <c r="D3847" s="5" t="str">
        <f>HYPERLINK("https://www.linkedin.com/ad-library/detail/901900343","Open Ad")</f>
        <v>Open Ad</v>
      </c>
      <c r="E3847" s="4" t="s">
        <v>121</v>
      </c>
      <c r="F3847" s="4" t="s">
        <v>6765</v>
      </c>
      <c r="G3847" s="4" t="s">
        <v>6927</v>
      </c>
      <c r="H3847" s="4" t="s">
        <v>49</v>
      </c>
      <c r="I3847" s="4" t="s">
        <v>6768</v>
      </c>
      <c r="J3847" s="4" t="s">
        <v>121</v>
      </c>
      <c r="K3847" s="7" t="str">
        <f>HYPERLINK("https://dms.licdn.com/playlist/vid/v2/D4D10AQHATMzXrq4gRg/progressive-servable-video/B4DZoF5ULKHsAY-/0/1761035503786/AccuRankerSquareCEdited1mp4?e=2147483647&amp;v=beta&amp;t=WHNRHFfODEgRi0vQeR12rY6mxCoOjL7aw0ezu0nMM00","View Creative")</f>
        <v>View Creative</v>
      </c>
      <c r="L3847" s="4" t="s">
        <v>60</v>
      </c>
      <c r="M3847" s="4" t="s">
        <v>6785</v>
      </c>
      <c r="N3847" s="4"/>
      <c r="O3847" s="4" t="s">
        <v>63</v>
      </c>
      <c r="P3847" s="4" t="s">
        <v>64</v>
      </c>
    </row>
    <row r="3848">
      <c r="A3848" s="4" t="s">
        <v>6785</v>
      </c>
      <c r="B3848" s="4" t="s">
        <v>6786</v>
      </c>
      <c r="C3848" s="4">
        <v>237.0</v>
      </c>
      <c r="D3848" s="5" t="str">
        <f>HYPERLINK("https://www.linkedin.com/ad-library/detail/901833573","Open Ad")</f>
        <v>Open Ad</v>
      </c>
      <c r="E3848" s="4" t="s">
        <v>121</v>
      </c>
      <c r="F3848" s="4" t="s">
        <v>6765</v>
      </c>
      <c r="G3848" s="4" t="s">
        <v>6930</v>
      </c>
      <c r="H3848" s="4" t="s">
        <v>611</v>
      </c>
      <c r="I3848" s="4" t="s">
        <v>6768</v>
      </c>
      <c r="J3848" s="4" t="s">
        <v>121</v>
      </c>
      <c r="K3848" s="7" t="str">
        <f>HYPERLINK("https://dms.licdn.com/playlist/vid/v2/D4D10AQE7900WZxHdYA/mp4-720p-30fp-crf28/B4DZoGvAIFIECM-/0/1761049581072/AccuRankerSquareCEdited1mp4?e=2147483647&amp;v=beta&amp;t=yHLAPx3J5H2cy5orn2DEMS_8d_TeXfEUgGnqojtBmrA","View Creative")</f>
        <v>View Creative</v>
      </c>
      <c r="L3848" s="4" t="s">
        <v>60</v>
      </c>
      <c r="M3848" s="4" t="s">
        <v>6785</v>
      </c>
      <c r="N3848" s="4" t="s">
        <v>6942</v>
      </c>
      <c r="O3848" s="4" t="s">
        <v>63</v>
      </c>
      <c r="P3848" s="4" t="s">
        <v>64</v>
      </c>
    </row>
    <row r="3849">
      <c r="A3849" s="4" t="s">
        <v>6785</v>
      </c>
      <c r="B3849" s="4" t="s">
        <v>6786</v>
      </c>
      <c r="C3849" s="4">
        <v>238.0</v>
      </c>
      <c r="D3849" s="5" t="str">
        <f>HYPERLINK("https://www.linkedin.com/ad-library/detail/901812973","Open Ad")</f>
        <v>Open Ad</v>
      </c>
      <c r="E3849" s="4" t="s">
        <v>121</v>
      </c>
      <c r="F3849" s="4" t="s">
        <v>6765</v>
      </c>
      <c r="G3849" s="4" t="s">
        <v>6910</v>
      </c>
      <c r="H3849" s="4" t="s">
        <v>49</v>
      </c>
      <c r="I3849" s="4" t="s">
        <v>6768</v>
      </c>
      <c r="J3849" s="4" t="s">
        <v>121</v>
      </c>
      <c r="K3849" s="7" t="str">
        <f t="shared" ref="K3849:K3851" si="216">HYPERLINK("https://dms.licdn.com/playlist/vid/v2/D4D10AQHATMzXrq4gRg/progressive-servable-video/B4DZoF5ULKHsAY-/0/1761035503786/AccuRankerSquareCEdited1mp4?e=2147483647&amp;v=beta&amp;t=WHNRHFfODEgRi0vQeR12rY6mxCoOjL7aw0ezu0nMM00","View Creative")</f>
        <v>View Creative</v>
      </c>
      <c r="L3849" s="4" t="s">
        <v>60</v>
      </c>
      <c r="M3849" s="4" t="s">
        <v>6785</v>
      </c>
      <c r="N3849" s="4"/>
      <c r="O3849" s="4" t="s">
        <v>63</v>
      </c>
      <c r="P3849" s="4" t="s">
        <v>64</v>
      </c>
    </row>
    <row r="3850">
      <c r="A3850" s="4" t="s">
        <v>6785</v>
      </c>
      <c r="B3850" s="4" t="s">
        <v>6786</v>
      </c>
      <c r="C3850" s="4">
        <v>239.0</v>
      </c>
      <c r="D3850" s="5" t="str">
        <f>HYPERLINK("https://www.linkedin.com/ad-library/detail/901870523","Open Ad")</f>
        <v>Open Ad</v>
      </c>
      <c r="E3850" s="4" t="s">
        <v>121</v>
      </c>
      <c r="F3850" s="4" t="s">
        <v>6765</v>
      </c>
      <c r="G3850" s="4" t="s">
        <v>6927</v>
      </c>
      <c r="H3850" s="4" t="s">
        <v>49</v>
      </c>
      <c r="I3850" s="4" t="s">
        <v>6768</v>
      </c>
      <c r="J3850" s="4" t="s">
        <v>121</v>
      </c>
      <c r="K3850" s="7" t="str">
        <f t="shared" si="216"/>
        <v>View Creative</v>
      </c>
      <c r="L3850" s="4" t="s">
        <v>60</v>
      </c>
      <c r="M3850" s="4" t="s">
        <v>6785</v>
      </c>
      <c r="N3850" s="4"/>
      <c r="O3850" s="4" t="s">
        <v>63</v>
      </c>
      <c r="P3850" s="4" t="s">
        <v>64</v>
      </c>
    </row>
    <row r="3851">
      <c r="A3851" s="4" t="s">
        <v>6785</v>
      </c>
      <c r="B3851" s="4" t="s">
        <v>6786</v>
      </c>
      <c r="C3851" s="4">
        <v>240.0</v>
      </c>
      <c r="D3851" s="5" t="str">
        <f>HYPERLINK("https://www.linkedin.com/ad-library/detail/901960153","Open Ad")</f>
        <v>Open Ad</v>
      </c>
      <c r="E3851" s="4" t="s">
        <v>121</v>
      </c>
      <c r="F3851" s="4" t="s">
        <v>6765</v>
      </c>
      <c r="G3851" s="4" t="s">
        <v>6943</v>
      </c>
      <c r="H3851" s="4" t="s">
        <v>49</v>
      </c>
      <c r="I3851" s="4" t="s">
        <v>6768</v>
      </c>
      <c r="J3851" s="4" t="s">
        <v>121</v>
      </c>
      <c r="K3851" s="7" t="str">
        <f t="shared" si="216"/>
        <v>View Creative</v>
      </c>
      <c r="L3851" s="4" t="s">
        <v>60</v>
      </c>
      <c r="M3851" s="4" t="s">
        <v>6785</v>
      </c>
      <c r="N3851" s="4" t="s">
        <v>6944</v>
      </c>
      <c r="O3851" s="4" t="s">
        <v>63</v>
      </c>
      <c r="P3851" s="4" t="s">
        <v>64</v>
      </c>
    </row>
    <row r="3852">
      <c r="A3852" s="4" t="s">
        <v>6785</v>
      </c>
      <c r="B3852" s="4" t="s">
        <v>6786</v>
      </c>
      <c r="C3852" s="4">
        <v>241.0</v>
      </c>
      <c r="D3852" s="5" t="str">
        <f t="shared" ref="D3852:D3853" si="217">HYPERLINK("https://www.linkedin.com/ad-library/detail/879045003","Open Ad")</f>
        <v>Open Ad</v>
      </c>
      <c r="E3852" s="4" t="s">
        <v>52</v>
      </c>
      <c r="F3852" s="4" t="s">
        <v>6765</v>
      </c>
      <c r="G3852" s="4" t="s">
        <v>6910</v>
      </c>
      <c r="H3852" s="4" t="s">
        <v>49</v>
      </c>
      <c r="I3852" s="4" t="s">
        <v>6768</v>
      </c>
      <c r="J3852" s="4" t="s">
        <v>52</v>
      </c>
      <c r="K3852" s="4" t="s">
        <v>59</v>
      </c>
      <c r="L3852" s="4" t="s">
        <v>60</v>
      </c>
      <c r="M3852" s="4" t="s">
        <v>6785</v>
      </c>
      <c r="N3852" s="4"/>
      <c r="O3852" s="4" t="s">
        <v>63</v>
      </c>
      <c r="P3852" s="4" t="s">
        <v>64</v>
      </c>
    </row>
    <row r="3853">
      <c r="A3853" s="4" t="s">
        <v>6785</v>
      </c>
      <c r="B3853" s="4" t="s">
        <v>6786</v>
      </c>
      <c r="C3853" s="4">
        <v>242.0</v>
      </c>
      <c r="D3853" s="5" t="str">
        <f t="shared" si="217"/>
        <v>Open Ad</v>
      </c>
      <c r="E3853" s="4" t="s">
        <v>121</v>
      </c>
      <c r="F3853" s="4" t="s">
        <v>6765</v>
      </c>
      <c r="G3853" s="4" t="s">
        <v>6910</v>
      </c>
      <c r="H3853" s="4" t="s">
        <v>49</v>
      </c>
      <c r="I3853" s="4" t="s">
        <v>6768</v>
      </c>
      <c r="J3853" s="4" t="s">
        <v>121</v>
      </c>
      <c r="K3853" s="7" t="str">
        <f>HYPERLINK("https://dms.licdn.com/playlist/vid/v2/D4D10AQEQ11lzulK81Q/mp4-720p-30fp-crf28/B4DZniAGkbHsCM-/0/1760433306194/AccuRankerSquareCEdited1mp4?e=2147483647&amp;v=beta&amp;t=RDvtfWw3LwDmBFNQx3smJIFyoh48jV9CPaDIeqWQyzM","View Creative")</f>
        <v>View Creative</v>
      </c>
      <c r="L3853" s="4" t="s">
        <v>60</v>
      </c>
      <c r="M3853" s="4" t="s">
        <v>6785</v>
      </c>
      <c r="N3853" s="4"/>
      <c r="O3853" s="4" t="s">
        <v>63</v>
      </c>
      <c r="P3853" s="4" t="s">
        <v>64</v>
      </c>
    </row>
    <row r="3854">
      <c r="A3854" s="4" t="s">
        <v>6785</v>
      </c>
      <c r="B3854" s="4" t="s">
        <v>6786</v>
      </c>
      <c r="C3854" s="4">
        <v>243.0</v>
      </c>
      <c r="D3854" s="5" t="str">
        <f t="shared" ref="D3854:D3855" si="218">HYPERLINK("https://www.linkedin.com/ad-library/detail/878886593","Open Ad")</f>
        <v>Open Ad</v>
      </c>
      <c r="E3854" s="4" t="s">
        <v>121</v>
      </c>
      <c r="F3854" s="4" t="s">
        <v>6765</v>
      </c>
      <c r="G3854" s="4" t="s">
        <v>6945</v>
      </c>
      <c r="H3854" s="4" t="s">
        <v>49</v>
      </c>
      <c r="I3854" s="4" t="s">
        <v>6768</v>
      </c>
      <c r="J3854" s="4" t="s">
        <v>121</v>
      </c>
      <c r="K3854" s="7" t="str">
        <f t="shared" ref="K3854:K3855" si="219">HYPERLINK("https://dms.licdn.com/playlist/vid/v2/D4D10AQHFY0PzaTOu5g/mp4-640p-30fp-crf28/B4DZniTDSUIcBs-/0/1760438274042/AccuRankerSquareCEdited1mp4?e=2147483647&amp;v=beta&amp;t=0DXhBATfFMBfD3O3Z61J437bm4aBCxCzzq961FqcRfI","View Creative")</f>
        <v>View Creative</v>
      </c>
      <c r="L3854" s="4" t="s">
        <v>60</v>
      </c>
      <c r="M3854" s="4" t="s">
        <v>6785</v>
      </c>
      <c r="N3854" s="4"/>
      <c r="O3854" s="4" t="s">
        <v>63</v>
      </c>
      <c r="P3854" s="4" t="s">
        <v>64</v>
      </c>
    </row>
    <row r="3855">
      <c r="A3855" s="4" t="s">
        <v>6785</v>
      </c>
      <c r="B3855" s="4" t="s">
        <v>6786</v>
      </c>
      <c r="C3855" s="4">
        <v>244.0</v>
      </c>
      <c r="D3855" s="5" t="str">
        <f t="shared" si="218"/>
        <v>Open Ad</v>
      </c>
      <c r="E3855" s="4" t="s">
        <v>121</v>
      </c>
      <c r="F3855" s="4" t="s">
        <v>6765</v>
      </c>
      <c r="G3855" s="4" t="s">
        <v>6945</v>
      </c>
      <c r="H3855" s="4" t="s">
        <v>49</v>
      </c>
      <c r="I3855" s="4" t="s">
        <v>6768</v>
      </c>
      <c r="J3855" s="4" t="s">
        <v>121</v>
      </c>
      <c r="K3855" s="7" t="str">
        <f t="shared" si="219"/>
        <v>View Creative</v>
      </c>
      <c r="L3855" s="4" t="s">
        <v>60</v>
      </c>
      <c r="M3855" s="4" t="s">
        <v>6785</v>
      </c>
      <c r="N3855" s="4"/>
      <c r="O3855" s="4" t="s">
        <v>63</v>
      </c>
      <c r="P3855" s="4" t="s">
        <v>64</v>
      </c>
    </row>
    <row r="3856">
      <c r="A3856" s="4" t="s">
        <v>6785</v>
      </c>
      <c r="B3856" s="4" t="s">
        <v>6786</v>
      </c>
      <c r="C3856" s="4">
        <v>245.0</v>
      </c>
      <c r="D3856" s="5" t="str">
        <f t="shared" ref="D3856:D3857" si="220">HYPERLINK("https://www.linkedin.com/ad-library/detail/878965593","Open Ad")</f>
        <v>Open Ad</v>
      </c>
      <c r="E3856" s="4" t="s">
        <v>121</v>
      </c>
      <c r="F3856" s="4" t="s">
        <v>6765</v>
      </c>
      <c r="G3856" s="4" t="s">
        <v>6946</v>
      </c>
      <c r="H3856" s="4" t="s">
        <v>49</v>
      </c>
      <c r="I3856" s="4" t="s">
        <v>6768</v>
      </c>
      <c r="J3856" s="4" t="s">
        <v>121</v>
      </c>
      <c r="K3856" s="7" t="str">
        <f t="shared" ref="K3856:K3857" si="221">HYPERLINK("https://dms.licdn.com/playlist/vid/v2/D4D10AQEQ11lzulK81Q/mp4-720p-30fp-crf28/B4DZniAGkbHsCM-/0/1760433306194/AccuRankerSquareCEdited1mp4?e=2147483647&amp;v=beta&amp;t=RDvtfWw3LwDmBFNQx3smJIFyoh48jV9CPaDIeqWQyzM","View Creative")</f>
        <v>View Creative</v>
      </c>
      <c r="L3856" s="4" t="s">
        <v>60</v>
      </c>
      <c r="M3856" s="4" t="s">
        <v>6785</v>
      </c>
      <c r="N3856" s="4"/>
      <c r="O3856" s="4" t="s">
        <v>63</v>
      </c>
      <c r="P3856" s="4" t="s">
        <v>64</v>
      </c>
    </row>
    <row r="3857">
      <c r="A3857" s="4" t="s">
        <v>6785</v>
      </c>
      <c r="B3857" s="4" t="s">
        <v>6786</v>
      </c>
      <c r="C3857" s="4">
        <v>246.0</v>
      </c>
      <c r="D3857" s="5" t="str">
        <f t="shared" si="220"/>
        <v>Open Ad</v>
      </c>
      <c r="E3857" s="4" t="s">
        <v>121</v>
      </c>
      <c r="F3857" s="4" t="s">
        <v>6765</v>
      </c>
      <c r="G3857" s="4" t="s">
        <v>6946</v>
      </c>
      <c r="H3857" s="4" t="s">
        <v>49</v>
      </c>
      <c r="I3857" s="4" t="s">
        <v>6768</v>
      </c>
      <c r="J3857" s="4" t="s">
        <v>121</v>
      </c>
      <c r="K3857" s="7" t="str">
        <f t="shared" si="221"/>
        <v>View Creative</v>
      </c>
      <c r="L3857" s="4" t="s">
        <v>60</v>
      </c>
      <c r="M3857" s="4" t="s">
        <v>6785</v>
      </c>
      <c r="N3857" s="4"/>
      <c r="O3857" s="4" t="s">
        <v>63</v>
      </c>
      <c r="P3857" s="4" t="s">
        <v>64</v>
      </c>
    </row>
    <row r="3858">
      <c r="A3858" s="4" t="s">
        <v>6785</v>
      </c>
      <c r="B3858" s="4" t="s">
        <v>6786</v>
      </c>
      <c r="C3858" s="4">
        <v>247.0</v>
      </c>
      <c r="D3858" s="5" t="str">
        <f t="shared" ref="D3858:D3859" si="222">HYPERLINK("https://www.linkedin.com/ad-library/detail/878895983","Open Ad")</f>
        <v>Open Ad</v>
      </c>
      <c r="E3858" s="4" t="s">
        <v>121</v>
      </c>
      <c r="F3858" s="4" t="s">
        <v>6765</v>
      </c>
      <c r="G3858" s="4" t="s">
        <v>6910</v>
      </c>
      <c r="H3858" s="4" t="s">
        <v>49</v>
      </c>
      <c r="I3858" s="4" t="s">
        <v>6768</v>
      </c>
      <c r="J3858" s="4" t="s">
        <v>121</v>
      </c>
      <c r="K3858" s="7" t="str">
        <f t="shared" ref="K3858:K3863" si="223">HYPERLINK("https://dms.licdn.com/playlist/vid/v2/D4D10AQHFY0PzaTOu5g/mp4-640p-30fp-crf28/B4DZniTDSUIcBs-/0/1760438274042/AccuRankerSquareCEdited1mp4?e=2147483647&amp;v=beta&amp;t=0DXhBATfFMBfD3O3Z61J437bm4aBCxCzzq961FqcRfI","View Creative")</f>
        <v>View Creative</v>
      </c>
      <c r="L3858" s="4" t="s">
        <v>60</v>
      </c>
      <c r="M3858" s="4" t="s">
        <v>6785</v>
      </c>
      <c r="N3858" s="4" t="s">
        <v>6947</v>
      </c>
      <c r="O3858" s="4" t="s">
        <v>63</v>
      </c>
      <c r="P3858" s="4" t="s">
        <v>64</v>
      </c>
    </row>
    <row r="3859">
      <c r="A3859" s="4" t="s">
        <v>6785</v>
      </c>
      <c r="B3859" s="4" t="s">
        <v>6786</v>
      </c>
      <c r="C3859" s="4">
        <v>248.0</v>
      </c>
      <c r="D3859" s="5" t="str">
        <f t="shared" si="222"/>
        <v>Open Ad</v>
      </c>
      <c r="E3859" s="4" t="s">
        <v>121</v>
      </c>
      <c r="F3859" s="4" t="s">
        <v>6765</v>
      </c>
      <c r="G3859" s="4" t="s">
        <v>6910</v>
      </c>
      <c r="H3859" s="4" t="s">
        <v>49</v>
      </c>
      <c r="I3859" s="4" t="s">
        <v>6768</v>
      </c>
      <c r="J3859" s="4" t="s">
        <v>121</v>
      </c>
      <c r="K3859" s="7" t="str">
        <f t="shared" si="223"/>
        <v>View Creative</v>
      </c>
      <c r="L3859" s="4" t="s">
        <v>60</v>
      </c>
      <c r="M3859" s="4" t="s">
        <v>6785</v>
      </c>
      <c r="N3859" s="4" t="s">
        <v>6947</v>
      </c>
      <c r="O3859" s="4" t="s">
        <v>63</v>
      </c>
      <c r="P3859" s="4" t="s">
        <v>64</v>
      </c>
    </row>
    <row r="3860">
      <c r="A3860" s="4" t="s">
        <v>6785</v>
      </c>
      <c r="B3860" s="4" t="s">
        <v>6786</v>
      </c>
      <c r="C3860" s="4">
        <v>249.0</v>
      </c>
      <c r="D3860" s="5" t="str">
        <f t="shared" ref="D3860:D3861" si="224">HYPERLINK("https://www.linkedin.com/ad-library/detail/879015793","Open Ad")</f>
        <v>Open Ad</v>
      </c>
      <c r="E3860" s="4" t="s">
        <v>121</v>
      </c>
      <c r="F3860" s="4" t="s">
        <v>6765</v>
      </c>
      <c r="G3860" s="4" t="s">
        <v>6948</v>
      </c>
      <c r="H3860" s="4" t="s">
        <v>49</v>
      </c>
      <c r="I3860" s="4" t="s">
        <v>6768</v>
      </c>
      <c r="J3860" s="4" t="s">
        <v>121</v>
      </c>
      <c r="K3860" s="7" t="str">
        <f t="shared" si="223"/>
        <v>View Creative</v>
      </c>
      <c r="L3860" s="4" t="s">
        <v>60</v>
      </c>
      <c r="M3860" s="4" t="s">
        <v>6785</v>
      </c>
      <c r="N3860" s="4"/>
      <c r="O3860" s="4" t="s">
        <v>63</v>
      </c>
      <c r="P3860" s="4" t="s">
        <v>64</v>
      </c>
    </row>
    <row r="3861">
      <c r="A3861" s="4" t="s">
        <v>6785</v>
      </c>
      <c r="B3861" s="4" t="s">
        <v>6786</v>
      </c>
      <c r="C3861" s="4">
        <v>250.0</v>
      </c>
      <c r="D3861" s="5" t="str">
        <f t="shared" si="224"/>
        <v>Open Ad</v>
      </c>
      <c r="E3861" s="4" t="s">
        <v>121</v>
      </c>
      <c r="F3861" s="4" t="s">
        <v>6765</v>
      </c>
      <c r="G3861" s="4" t="s">
        <v>6948</v>
      </c>
      <c r="H3861" s="4" t="s">
        <v>49</v>
      </c>
      <c r="I3861" s="4" t="s">
        <v>6768</v>
      </c>
      <c r="J3861" s="4" t="s">
        <v>121</v>
      </c>
      <c r="K3861" s="7" t="str">
        <f t="shared" si="223"/>
        <v>View Creative</v>
      </c>
      <c r="L3861" s="4" t="s">
        <v>60</v>
      </c>
      <c r="M3861" s="4" t="s">
        <v>6785</v>
      </c>
      <c r="N3861" s="4"/>
      <c r="O3861" s="4" t="s">
        <v>63</v>
      </c>
      <c r="P3861" s="4" t="s">
        <v>64</v>
      </c>
    </row>
    <row r="3862">
      <c r="A3862" s="4" t="s">
        <v>6785</v>
      </c>
      <c r="B3862" s="4" t="s">
        <v>6786</v>
      </c>
      <c r="C3862" s="4">
        <v>251.0</v>
      </c>
      <c r="D3862" s="5" t="str">
        <f t="shared" ref="D3862:D3863" si="225">HYPERLINK("https://www.linkedin.com/ad-library/detail/878966343","Open Ad")</f>
        <v>Open Ad</v>
      </c>
      <c r="E3862" s="4" t="s">
        <v>121</v>
      </c>
      <c r="F3862" s="4" t="s">
        <v>6765</v>
      </c>
      <c r="G3862" s="4" t="s">
        <v>6948</v>
      </c>
      <c r="H3862" s="4" t="s">
        <v>49</v>
      </c>
      <c r="I3862" s="4" t="s">
        <v>6768</v>
      </c>
      <c r="J3862" s="4" t="s">
        <v>121</v>
      </c>
      <c r="K3862" s="7" t="str">
        <f t="shared" si="223"/>
        <v>View Creative</v>
      </c>
      <c r="L3862" s="4" t="s">
        <v>60</v>
      </c>
      <c r="M3862" s="4" t="s">
        <v>6785</v>
      </c>
      <c r="N3862" s="4"/>
      <c r="O3862" s="4" t="s">
        <v>63</v>
      </c>
      <c r="P3862" s="4" t="s">
        <v>64</v>
      </c>
    </row>
    <row r="3863">
      <c r="A3863" s="4" t="s">
        <v>6785</v>
      </c>
      <c r="B3863" s="4" t="s">
        <v>6786</v>
      </c>
      <c r="C3863" s="4">
        <v>252.0</v>
      </c>
      <c r="D3863" s="5" t="str">
        <f t="shared" si="225"/>
        <v>Open Ad</v>
      </c>
      <c r="E3863" s="4" t="s">
        <v>121</v>
      </c>
      <c r="F3863" s="4" t="s">
        <v>6765</v>
      </c>
      <c r="G3863" s="4" t="s">
        <v>6948</v>
      </c>
      <c r="H3863" s="4" t="s">
        <v>49</v>
      </c>
      <c r="I3863" s="4" t="s">
        <v>6768</v>
      </c>
      <c r="J3863" s="4" t="s">
        <v>121</v>
      </c>
      <c r="K3863" s="7" t="str">
        <f t="shared" si="223"/>
        <v>View Creative</v>
      </c>
      <c r="L3863" s="4" t="s">
        <v>60</v>
      </c>
      <c r="M3863" s="4" t="s">
        <v>6785</v>
      </c>
      <c r="N3863" s="4"/>
      <c r="O3863" s="4" t="s">
        <v>63</v>
      </c>
      <c r="P3863" s="4" t="s">
        <v>64</v>
      </c>
    </row>
    <row r="3864">
      <c r="A3864" s="4" t="s">
        <v>6785</v>
      </c>
      <c r="B3864" s="4" t="s">
        <v>6786</v>
      </c>
      <c r="C3864" s="4">
        <v>253.0</v>
      </c>
      <c r="D3864" s="5" t="str">
        <f t="shared" ref="D3864:D3865" si="226">HYPERLINK("https://www.linkedin.com/ad-library/detail/901950083","Open Ad")</f>
        <v>Open Ad</v>
      </c>
      <c r="E3864" s="4" t="s">
        <v>121</v>
      </c>
      <c r="F3864" s="4" t="s">
        <v>6765</v>
      </c>
      <c r="G3864" s="4" t="s">
        <v>6927</v>
      </c>
      <c r="H3864" s="4" t="s">
        <v>49</v>
      </c>
      <c r="I3864" s="4" t="s">
        <v>6768</v>
      </c>
      <c r="J3864" s="4" t="s">
        <v>121</v>
      </c>
      <c r="K3864" s="7" t="str">
        <f t="shared" ref="K3864:K3865" si="227">HYPERLINK("https://dms.licdn.com/playlist/vid/v2/D4D10AQHATMzXrq4gRg/progressive-servable-video/B4DZoF5ULKHsAY-/0/1761035503786/AccuRankerSquareCEdited1mp4?e=2147483647&amp;v=beta&amp;t=WHNRHFfODEgRi0vQeR12rY6mxCoOjL7aw0ezu0nMM00","View Creative")</f>
        <v>View Creative</v>
      </c>
      <c r="L3864" s="4" t="s">
        <v>60</v>
      </c>
      <c r="M3864" s="4" t="s">
        <v>6785</v>
      </c>
      <c r="N3864" s="4" t="s">
        <v>6944</v>
      </c>
      <c r="O3864" s="4" t="s">
        <v>63</v>
      </c>
      <c r="P3864" s="4" t="s">
        <v>64</v>
      </c>
    </row>
    <row r="3865">
      <c r="A3865" s="4" t="s">
        <v>6785</v>
      </c>
      <c r="B3865" s="4" t="s">
        <v>6786</v>
      </c>
      <c r="C3865" s="4">
        <v>254.0</v>
      </c>
      <c r="D3865" s="5" t="str">
        <f t="shared" si="226"/>
        <v>Open Ad</v>
      </c>
      <c r="E3865" s="4" t="s">
        <v>121</v>
      </c>
      <c r="F3865" s="4" t="s">
        <v>6765</v>
      </c>
      <c r="G3865" s="4" t="s">
        <v>6927</v>
      </c>
      <c r="H3865" s="4" t="s">
        <v>49</v>
      </c>
      <c r="I3865" s="4" t="s">
        <v>6768</v>
      </c>
      <c r="J3865" s="4" t="s">
        <v>121</v>
      </c>
      <c r="K3865" s="7" t="str">
        <f t="shared" si="227"/>
        <v>View Creative</v>
      </c>
      <c r="L3865" s="4" t="s">
        <v>60</v>
      </c>
      <c r="M3865" s="4" t="s">
        <v>6785</v>
      </c>
      <c r="N3865" s="4" t="s">
        <v>6944</v>
      </c>
      <c r="O3865" s="4" t="s">
        <v>63</v>
      </c>
      <c r="P3865" s="4" t="s">
        <v>64</v>
      </c>
    </row>
    <row r="3866">
      <c r="A3866" s="4" t="s">
        <v>6785</v>
      </c>
      <c r="B3866" s="4" t="s">
        <v>6786</v>
      </c>
      <c r="C3866" s="4">
        <v>255.0</v>
      </c>
      <c r="D3866" s="5" t="str">
        <f t="shared" ref="D3866:D3867" si="228">HYPERLINK("https://www.linkedin.com/ad-library/detail/879005403","Open Ad")</f>
        <v>Open Ad</v>
      </c>
      <c r="E3866" s="4" t="s">
        <v>121</v>
      </c>
      <c r="F3866" s="4" t="s">
        <v>6765</v>
      </c>
      <c r="G3866" s="4" t="s">
        <v>6946</v>
      </c>
      <c r="H3866" s="4" t="s">
        <v>49</v>
      </c>
      <c r="I3866" s="4" t="s">
        <v>6768</v>
      </c>
      <c r="J3866" s="4" t="s">
        <v>121</v>
      </c>
      <c r="K3866" s="7" t="str">
        <f t="shared" ref="K3866:K3867" si="229">HYPERLINK("https://dms.licdn.com/playlist/vid/v2/D4D10AQEQ11lzulK81Q/mp4-720p-30fp-crf28/B4DZniAGkbHsCM-/0/1760433306194/AccuRankerSquareCEdited1mp4?e=2147483647&amp;v=beta&amp;t=RDvtfWw3LwDmBFNQx3smJIFyoh48jV9CPaDIeqWQyzM","View Creative")</f>
        <v>View Creative</v>
      </c>
      <c r="L3866" s="4" t="s">
        <v>60</v>
      </c>
      <c r="M3866" s="4" t="s">
        <v>6785</v>
      </c>
      <c r="N3866" s="4" t="s">
        <v>6949</v>
      </c>
      <c r="O3866" s="4" t="s">
        <v>63</v>
      </c>
      <c r="P3866" s="4" t="s">
        <v>64</v>
      </c>
    </row>
    <row r="3867">
      <c r="A3867" s="4" t="s">
        <v>6785</v>
      </c>
      <c r="B3867" s="4" t="s">
        <v>6786</v>
      </c>
      <c r="C3867" s="4">
        <v>256.0</v>
      </c>
      <c r="D3867" s="5" t="str">
        <f t="shared" si="228"/>
        <v>Open Ad</v>
      </c>
      <c r="E3867" s="4" t="s">
        <v>121</v>
      </c>
      <c r="F3867" s="4" t="s">
        <v>6765</v>
      </c>
      <c r="G3867" s="4" t="s">
        <v>6946</v>
      </c>
      <c r="H3867" s="4" t="s">
        <v>49</v>
      </c>
      <c r="I3867" s="4" t="s">
        <v>6768</v>
      </c>
      <c r="J3867" s="4" t="s">
        <v>121</v>
      </c>
      <c r="K3867" s="7" t="str">
        <f t="shared" si="229"/>
        <v>View Creative</v>
      </c>
      <c r="L3867" s="4" t="s">
        <v>60</v>
      </c>
      <c r="M3867" s="4" t="s">
        <v>6785</v>
      </c>
      <c r="N3867" s="4" t="s">
        <v>6949</v>
      </c>
      <c r="O3867" s="4" t="s">
        <v>63</v>
      </c>
      <c r="P3867" s="4" t="s">
        <v>64</v>
      </c>
    </row>
    <row r="3868">
      <c r="A3868" s="4" t="s">
        <v>6785</v>
      </c>
      <c r="B3868" s="4" t="s">
        <v>6786</v>
      </c>
      <c r="C3868" s="4">
        <v>257.0</v>
      </c>
      <c r="D3868" s="5" t="str">
        <f t="shared" ref="D3868:D3869" si="230">HYPERLINK("https://www.linkedin.com/ad-library/detail/863533023","Open Ad")</f>
        <v>Open Ad</v>
      </c>
      <c r="E3868" s="4" t="s">
        <v>121</v>
      </c>
      <c r="F3868" s="4" t="s">
        <v>6765</v>
      </c>
      <c r="G3868" s="4" t="s">
        <v>6950</v>
      </c>
      <c r="H3868" s="4" t="s">
        <v>49</v>
      </c>
      <c r="I3868" s="4" t="s">
        <v>6768</v>
      </c>
      <c r="J3868" s="4" t="s">
        <v>121</v>
      </c>
      <c r="K3868" s="7" t="str">
        <f t="shared" ref="K3868:K3871" si="231">HYPERLINK("https://dms.licdn.com/playlist/vid/v2/D4D10AQEHTNGRI9DfPw/mp4-360p-30fp-crf28/B4DZmp0qBtKQCI-/0/1759490781877/AccuRankerSquare_3mp4?e=2147483647&amp;v=beta&amp;t=Oo1cpz8RpAPmCblL2OGYu8O8EUNfLno9JSNNGXdmiMU","View Creative")</f>
        <v>View Creative</v>
      </c>
      <c r="L3868" s="4" t="s">
        <v>60</v>
      </c>
      <c r="M3868" s="4" t="s">
        <v>6785</v>
      </c>
      <c r="N3868" s="4"/>
      <c r="O3868" s="4" t="s">
        <v>63</v>
      </c>
      <c r="P3868" s="4" t="s">
        <v>64</v>
      </c>
    </row>
    <row r="3869">
      <c r="A3869" s="4" t="s">
        <v>6785</v>
      </c>
      <c r="B3869" s="4" t="s">
        <v>6786</v>
      </c>
      <c r="C3869" s="4">
        <v>258.0</v>
      </c>
      <c r="D3869" s="5" t="str">
        <f t="shared" si="230"/>
        <v>Open Ad</v>
      </c>
      <c r="E3869" s="4" t="s">
        <v>121</v>
      </c>
      <c r="F3869" s="4" t="s">
        <v>6765</v>
      </c>
      <c r="G3869" s="4" t="s">
        <v>6950</v>
      </c>
      <c r="H3869" s="4" t="s">
        <v>49</v>
      </c>
      <c r="I3869" s="4" t="s">
        <v>6768</v>
      </c>
      <c r="J3869" s="4" t="s">
        <v>121</v>
      </c>
      <c r="K3869" s="7" t="str">
        <f t="shared" si="231"/>
        <v>View Creative</v>
      </c>
      <c r="L3869" s="4" t="s">
        <v>60</v>
      </c>
      <c r="M3869" s="4" t="s">
        <v>6785</v>
      </c>
      <c r="N3869" s="4"/>
      <c r="O3869" s="4" t="s">
        <v>63</v>
      </c>
      <c r="P3869" s="4" t="s">
        <v>64</v>
      </c>
    </row>
    <row r="3870">
      <c r="A3870" s="4" t="s">
        <v>6785</v>
      </c>
      <c r="B3870" s="4" t="s">
        <v>6786</v>
      </c>
      <c r="C3870" s="4">
        <v>259.0</v>
      </c>
      <c r="D3870" s="5" t="str">
        <f t="shared" ref="D3870:D3871" si="232">HYPERLINK("https://www.linkedin.com/ad-library/detail/863552823","Open Ad")</f>
        <v>Open Ad</v>
      </c>
      <c r="E3870" s="4" t="s">
        <v>121</v>
      </c>
      <c r="F3870" s="4" t="s">
        <v>6765</v>
      </c>
      <c r="G3870" s="4" t="s">
        <v>6951</v>
      </c>
      <c r="H3870" s="4" t="s">
        <v>49</v>
      </c>
      <c r="I3870" s="4" t="s">
        <v>6768</v>
      </c>
      <c r="J3870" s="4" t="s">
        <v>121</v>
      </c>
      <c r="K3870" s="7" t="str">
        <f t="shared" si="231"/>
        <v>View Creative</v>
      </c>
      <c r="L3870" s="4" t="s">
        <v>60</v>
      </c>
      <c r="M3870" s="4" t="s">
        <v>6785</v>
      </c>
      <c r="N3870" s="4"/>
      <c r="O3870" s="4" t="s">
        <v>63</v>
      </c>
      <c r="P3870" s="4" t="s">
        <v>64</v>
      </c>
    </row>
    <row r="3871">
      <c r="A3871" s="4" t="s">
        <v>6785</v>
      </c>
      <c r="B3871" s="4" t="s">
        <v>6786</v>
      </c>
      <c r="C3871" s="4">
        <v>260.0</v>
      </c>
      <c r="D3871" s="5" t="str">
        <f t="shared" si="232"/>
        <v>Open Ad</v>
      </c>
      <c r="E3871" s="4" t="s">
        <v>121</v>
      </c>
      <c r="F3871" s="4" t="s">
        <v>6765</v>
      </c>
      <c r="G3871" s="4" t="s">
        <v>6951</v>
      </c>
      <c r="H3871" s="4" t="s">
        <v>49</v>
      </c>
      <c r="I3871" s="4" t="s">
        <v>6768</v>
      </c>
      <c r="J3871" s="4" t="s">
        <v>121</v>
      </c>
      <c r="K3871" s="7" t="str">
        <f t="shared" si="231"/>
        <v>View Creative</v>
      </c>
      <c r="L3871" s="4" t="s">
        <v>60</v>
      </c>
      <c r="M3871" s="4" t="s">
        <v>6785</v>
      </c>
      <c r="N3871" s="4"/>
      <c r="O3871" s="4" t="s">
        <v>63</v>
      </c>
      <c r="P3871" s="4" t="s">
        <v>64</v>
      </c>
    </row>
    <row r="3872">
      <c r="A3872" s="4" t="s">
        <v>6785</v>
      </c>
      <c r="B3872" s="4" t="s">
        <v>6786</v>
      </c>
      <c r="C3872" s="4">
        <v>261.0</v>
      </c>
      <c r="D3872" s="5" t="str">
        <f t="shared" ref="D3872:D3873" si="233">HYPERLINK("https://www.linkedin.com/ad-library/detail/879055693","Open Ad")</f>
        <v>Open Ad</v>
      </c>
      <c r="E3872" s="4" t="s">
        <v>121</v>
      </c>
      <c r="F3872" s="4" t="s">
        <v>6765</v>
      </c>
      <c r="G3872" s="4" t="s">
        <v>6910</v>
      </c>
      <c r="H3872" s="4" t="s">
        <v>49</v>
      </c>
      <c r="I3872" s="4" t="s">
        <v>6768</v>
      </c>
      <c r="J3872" s="4" t="s">
        <v>121</v>
      </c>
      <c r="K3872" s="7" t="str">
        <f t="shared" ref="K3872:K3875" si="234">HYPERLINK("https://dms.licdn.com/playlist/vid/v2/D4D10AQHFY0PzaTOu5g/mp4-640p-30fp-crf28/B4DZniTDSUIcBs-/0/1760438274042/AccuRankerSquareCEdited1mp4?e=2147483647&amp;v=beta&amp;t=0DXhBATfFMBfD3O3Z61J437bm4aBCxCzzq961FqcRfI","View Creative")</f>
        <v>View Creative</v>
      </c>
      <c r="L3872" s="4" t="s">
        <v>60</v>
      </c>
      <c r="M3872" s="4" t="s">
        <v>6785</v>
      </c>
      <c r="N3872" s="4"/>
      <c r="O3872" s="4" t="s">
        <v>63</v>
      </c>
      <c r="P3872" s="4" t="s">
        <v>64</v>
      </c>
    </row>
    <row r="3873">
      <c r="A3873" s="4" t="s">
        <v>6785</v>
      </c>
      <c r="B3873" s="4" t="s">
        <v>6786</v>
      </c>
      <c r="C3873" s="4">
        <v>262.0</v>
      </c>
      <c r="D3873" s="5" t="str">
        <f t="shared" si="233"/>
        <v>Open Ad</v>
      </c>
      <c r="E3873" s="4" t="s">
        <v>121</v>
      </c>
      <c r="F3873" s="4" t="s">
        <v>6765</v>
      </c>
      <c r="G3873" s="4" t="s">
        <v>6910</v>
      </c>
      <c r="H3873" s="4" t="s">
        <v>49</v>
      </c>
      <c r="I3873" s="4" t="s">
        <v>6768</v>
      </c>
      <c r="J3873" s="4" t="s">
        <v>121</v>
      </c>
      <c r="K3873" s="7" t="str">
        <f t="shared" si="234"/>
        <v>View Creative</v>
      </c>
      <c r="L3873" s="4" t="s">
        <v>60</v>
      </c>
      <c r="M3873" s="4" t="s">
        <v>6785</v>
      </c>
      <c r="N3873" s="4"/>
      <c r="O3873" s="4" t="s">
        <v>63</v>
      </c>
      <c r="P3873" s="4" t="s">
        <v>64</v>
      </c>
    </row>
    <row r="3874">
      <c r="A3874" s="4" t="s">
        <v>6785</v>
      </c>
      <c r="B3874" s="4" t="s">
        <v>6786</v>
      </c>
      <c r="C3874" s="4">
        <v>263.0</v>
      </c>
      <c r="D3874" s="5" t="str">
        <f t="shared" ref="D3874:D3875" si="235">HYPERLINK("https://www.linkedin.com/ad-library/detail/878985533","Open Ad")</f>
        <v>Open Ad</v>
      </c>
      <c r="E3874" s="4" t="s">
        <v>121</v>
      </c>
      <c r="F3874" s="4" t="s">
        <v>6765</v>
      </c>
      <c r="G3874" s="4" t="s">
        <v>6945</v>
      </c>
      <c r="H3874" s="4" t="s">
        <v>49</v>
      </c>
      <c r="I3874" s="4" t="s">
        <v>6768</v>
      </c>
      <c r="J3874" s="4" t="s">
        <v>121</v>
      </c>
      <c r="K3874" s="7" t="str">
        <f t="shared" si="234"/>
        <v>View Creative</v>
      </c>
      <c r="L3874" s="4" t="s">
        <v>60</v>
      </c>
      <c r="M3874" s="4" t="s">
        <v>6785</v>
      </c>
      <c r="N3874" s="4" t="s">
        <v>6947</v>
      </c>
      <c r="O3874" s="4" t="s">
        <v>63</v>
      </c>
      <c r="P3874" s="4" t="s">
        <v>64</v>
      </c>
    </row>
    <row r="3875">
      <c r="A3875" s="4" t="s">
        <v>6785</v>
      </c>
      <c r="B3875" s="4" t="s">
        <v>6786</v>
      </c>
      <c r="C3875" s="4">
        <v>264.0</v>
      </c>
      <c r="D3875" s="5" t="str">
        <f t="shared" si="235"/>
        <v>Open Ad</v>
      </c>
      <c r="E3875" s="4" t="s">
        <v>121</v>
      </c>
      <c r="F3875" s="4" t="s">
        <v>6765</v>
      </c>
      <c r="G3875" s="4" t="s">
        <v>6945</v>
      </c>
      <c r="H3875" s="4" t="s">
        <v>49</v>
      </c>
      <c r="I3875" s="4" t="s">
        <v>6768</v>
      </c>
      <c r="J3875" s="4" t="s">
        <v>121</v>
      </c>
      <c r="K3875" s="7" t="str">
        <f t="shared" si="234"/>
        <v>View Creative</v>
      </c>
      <c r="L3875" s="4" t="s">
        <v>60</v>
      </c>
      <c r="M3875" s="4" t="s">
        <v>6785</v>
      </c>
      <c r="N3875" s="4" t="s">
        <v>6947</v>
      </c>
      <c r="O3875" s="4" t="s">
        <v>63</v>
      </c>
      <c r="P3875" s="4" t="s">
        <v>64</v>
      </c>
    </row>
    <row r="3876">
      <c r="A3876" s="4" t="s">
        <v>6785</v>
      </c>
      <c r="B3876" s="4" t="s">
        <v>6786</v>
      </c>
      <c r="C3876" s="4">
        <v>265.0</v>
      </c>
      <c r="D3876" s="5" t="str">
        <f t="shared" ref="D3876:D3877" si="236">HYPERLINK("https://www.linkedin.com/ad-library/detail/879005393","Open Ad")</f>
        <v>Open Ad</v>
      </c>
      <c r="E3876" s="4" t="s">
        <v>121</v>
      </c>
      <c r="F3876" s="4" t="s">
        <v>6765</v>
      </c>
      <c r="G3876" s="4" t="s">
        <v>6946</v>
      </c>
      <c r="H3876" s="4" t="s">
        <v>49</v>
      </c>
      <c r="I3876" s="4" t="s">
        <v>6768</v>
      </c>
      <c r="J3876" s="4" t="s">
        <v>121</v>
      </c>
      <c r="K3876" s="7" t="str">
        <f t="shared" ref="K3876:K3879" si="237">HYPERLINK("https://dms.licdn.com/playlist/vid/v2/D4D10AQEQ11lzulK81Q/mp4-720p-30fp-crf28/B4DZniAGkbHsCM-/0/1760433306194/AccuRankerSquareCEdited1mp4?e=2147483647&amp;v=beta&amp;t=RDvtfWw3LwDmBFNQx3smJIFyoh48jV9CPaDIeqWQyzM","View Creative")</f>
        <v>View Creative</v>
      </c>
      <c r="L3876" s="4" t="s">
        <v>60</v>
      </c>
      <c r="M3876" s="4" t="s">
        <v>6785</v>
      </c>
      <c r="N3876" s="4"/>
      <c r="O3876" s="4" t="s">
        <v>63</v>
      </c>
      <c r="P3876" s="4" t="s">
        <v>64</v>
      </c>
    </row>
    <row r="3877">
      <c r="A3877" s="4" t="s">
        <v>6785</v>
      </c>
      <c r="B3877" s="4" t="s">
        <v>6786</v>
      </c>
      <c r="C3877" s="4">
        <v>266.0</v>
      </c>
      <c r="D3877" s="5" t="str">
        <f t="shared" si="236"/>
        <v>Open Ad</v>
      </c>
      <c r="E3877" s="4" t="s">
        <v>121</v>
      </c>
      <c r="F3877" s="4" t="s">
        <v>6765</v>
      </c>
      <c r="G3877" s="4" t="s">
        <v>6946</v>
      </c>
      <c r="H3877" s="4" t="s">
        <v>49</v>
      </c>
      <c r="I3877" s="4" t="s">
        <v>6768</v>
      </c>
      <c r="J3877" s="4" t="s">
        <v>121</v>
      </c>
      <c r="K3877" s="7" t="str">
        <f t="shared" si="237"/>
        <v>View Creative</v>
      </c>
      <c r="L3877" s="4" t="s">
        <v>60</v>
      </c>
      <c r="M3877" s="4" t="s">
        <v>6785</v>
      </c>
      <c r="N3877" s="4"/>
      <c r="O3877" s="4" t="s">
        <v>63</v>
      </c>
      <c r="P3877" s="4" t="s">
        <v>64</v>
      </c>
    </row>
    <row r="3878">
      <c r="A3878" s="4" t="s">
        <v>6785</v>
      </c>
      <c r="B3878" s="4" t="s">
        <v>6786</v>
      </c>
      <c r="C3878" s="4">
        <v>267.0</v>
      </c>
      <c r="D3878" s="5" t="str">
        <f t="shared" ref="D3878:D3879" si="238">HYPERLINK("https://www.linkedin.com/ad-library/detail/878906053","Open Ad")</f>
        <v>Open Ad</v>
      </c>
      <c r="E3878" s="4" t="s">
        <v>121</v>
      </c>
      <c r="F3878" s="4" t="s">
        <v>6765</v>
      </c>
      <c r="G3878" s="4" t="s">
        <v>6952</v>
      </c>
      <c r="H3878" s="4" t="s">
        <v>49</v>
      </c>
      <c r="I3878" s="4" t="s">
        <v>6768</v>
      </c>
      <c r="J3878" s="4" t="s">
        <v>121</v>
      </c>
      <c r="K3878" s="7" t="str">
        <f t="shared" si="237"/>
        <v>View Creative</v>
      </c>
      <c r="L3878" s="4" t="s">
        <v>60</v>
      </c>
      <c r="M3878" s="4" t="s">
        <v>6785</v>
      </c>
      <c r="N3878" s="4"/>
      <c r="O3878" s="4" t="s">
        <v>63</v>
      </c>
      <c r="P3878" s="4" t="s">
        <v>64</v>
      </c>
    </row>
    <row r="3879">
      <c r="A3879" s="4" t="s">
        <v>6785</v>
      </c>
      <c r="B3879" s="4" t="s">
        <v>6786</v>
      </c>
      <c r="C3879" s="4">
        <v>268.0</v>
      </c>
      <c r="D3879" s="5" t="str">
        <f t="shared" si="238"/>
        <v>Open Ad</v>
      </c>
      <c r="E3879" s="4" t="s">
        <v>121</v>
      </c>
      <c r="F3879" s="4" t="s">
        <v>6765</v>
      </c>
      <c r="G3879" s="4" t="s">
        <v>6952</v>
      </c>
      <c r="H3879" s="4" t="s">
        <v>49</v>
      </c>
      <c r="I3879" s="4" t="s">
        <v>6768</v>
      </c>
      <c r="J3879" s="4" t="s">
        <v>121</v>
      </c>
      <c r="K3879" s="7" t="str">
        <f t="shared" si="237"/>
        <v>View Creative</v>
      </c>
      <c r="L3879" s="4" t="s">
        <v>60</v>
      </c>
      <c r="M3879" s="4" t="s">
        <v>6785</v>
      </c>
      <c r="N3879" s="4"/>
      <c r="O3879" s="4" t="s">
        <v>63</v>
      </c>
      <c r="P3879" s="4" t="s">
        <v>64</v>
      </c>
    </row>
    <row r="3880">
      <c r="A3880" s="4" t="s">
        <v>6785</v>
      </c>
      <c r="B3880" s="4" t="s">
        <v>6786</v>
      </c>
      <c r="C3880" s="4">
        <v>269.0</v>
      </c>
      <c r="D3880" s="5" t="str">
        <f t="shared" ref="D3880:D3881" si="239">HYPERLINK("https://www.linkedin.com/ad-library/detail/878876323","Open Ad")</f>
        <v>Open Ad</v>
      </c>
      <c r="E3880" s="4" t="s">
        <v>121</v>
      </c>
      <c r="F3880" s="4" t="s">
        <v>6765</v>
      </c>
      <c r="G3880" s="4" t="s">
        <v>6910</v>
      </c>
      <c r="H3880" s="4" t="s">
        <v>49</v>
      </c>
      <c r="I3880" s="4" t="s">
        <v>6768</v>
      </c>
      <c r="J3880" s="4" t="s">
        <v>121</v>
      </c>
      <c r="K3880" s="7" t="str">
        <f t="shared" ref="K3880:K3881" si="240">HYPERLINK("https://dms.licdn.com/playlist/vid/v2/D4D10AQHFY0PzaTOu5g/mp4-640p-30fp-crf28/B4DZniTDSUIcBs-/0/1760438274042/AccuRankerSquareCEdited1mp4?e=2147483647&amp;v=beta&amp;t=0DXhBATfFMBfD3O3Z61J437bm4aBCxCzzq961FqcRfI","View Creative")</f>
        <v>View Creative</v>
      </c>
      <c r="L3880" s="4" t="s">
        <v>60</v>
      </c>
      <c r="M3880" s="4" t="s">
        <v>6785</v>
      </c>
      <c r="N3880" s="4"/>
      <c r="O3880" s="4" t="s">
        <v>63</v>
      </c>
      <c r="P3880" s="4" t="s">
        <v>64</v>
      </c>
    </row>
    <row r="3881">
      <c r="A3881" s="4" t="s">
        <v>6785</v>
      </c>
      <c r="B3881" s="4" t="s">
        <v>6786</v>
      </c>
      <c r="C3881" s="4">
        <v>270.0</v>
      </c>
      <c r="D3881" s="5" t="str">
        <f t="shared" si="239"/>
        <v>Open Ad</v>
      </c>
      <c r="E3881" s="4" t="s">
        <v>121</v>
      </c>
      <c r="F3881" s="4" t="s">
        <v>6765</v>
      </c>
      <c r="G3881" s="4" t="s">
        <v>6910</v>
      </c>
      <c r="H3881" s="4" t="s">
        <v>49</v>
      </c>
      <c r="I3881" s="4" t="s">
        <v>6768</v>
      </c>
      <c r="J3881" s="4" t="s">
        <v>121</v>
      </c>
      <c r="K3881" s="7" t="str">
        <f t="shared" si="240"/>
        <v>View Creative</v>
      </c>
      <c r="L3881" s="4" t="s">
        <v>60</v>
      </c>
      <c r="M3881" s="4" t="s">
        <v>6785</v>
      </c>
      <c r="N3881" s="4"/>
      <c r="O3881" s="4" t="s">
        <v>63</v>
      </c>
      <c r="P3881" s="4" t="s">
        <v>64</v>
      </c>
    </row>
    <row r="3882">
      <c r="A3882" s="4" t="s">
        <v>6785</v>
      </c>
      <c r="B3882" s="4" t="s">
        <v>6786</v>
      </c>
      <c r="C3882" s="4">
        <v>271.0</v>
      </c>
      <c r="D3882" s="5" t="str">
        <f t="shared" ref="D3882:D3883" si="241">HYPERLINK("https://www.linkedin.com/ad-library/detail/878855923","Open Ad")</f>
        <v>Open Ad</v>
      </c>
      <c r="E3882" s="4" t="s">
        <v>121</v>
      </c>
      <c r="F3882" s="4" t="s">
        <v>6765</v>
      </c>
      <c r="G3882" s="4" t="s">
        <v>6952</v>
      </c>
      <c r="H3882" s="4" t="s">
        <v>49</v>
      </c>
      <c r="I3882" s="4" t="s">
        <v>6768</v>
      </c>
      <c r="J3882" s="4" t="s">
        <v>121</v>
      </c>
      <c r="K3882" s="7" t="str">
        <f t="shared" ref="K3882:K3883" si="242">HYPERLINK("https://dms.licdn.com/playlist/vid/v2/D4D10AQEQ11lzulK81Q/mp4-720p-30fp-crf28/B4DZniAGkbHsCM-/0/1760433306194/AccuRankerSquareCEdited1mp4?e=2147483647&amp;v=beta&amp;t=RDvtfWw3LwDmBFNQx3smJIFyoh48jV9CPaDIeqWQyzM","View Creative")</f>
        <v>View Creative</v>
      </c>
      <c r="L3882" s="4" t="s">
        <v>60</v>
      </c>
      <c r="M3882" s="4" t="s">
        <v>6785</v>
      </c>
      <c r="N3882" s="4" t="s">
        <v>6949</v>
      </c>
      <c r="O3882" s="4" t="s">
        <v>63</v>
      </c>
      <c r="P3882" s="4" t="s">
        <v>64</v>
      </c>
    </row>
    <row r="3883">
      <c r="A3883" s="4" t="s">
        <v>6785</v>
      </c>
      <c r="B3883" s="4" t="s">
        <v>6786</v>
      </c>
      <c r="C3883" s="4">
        <v>272.0</v>
      </c>
      <c r="D3883" s="5" t="str">
        <f t="shared" si="241"/>
        <v>Open Ad</v>
      </c>
      <c r="E3883" s="4" t="s">
        <v>121</v>
      </c>
      <c r="F3883" s="4" t="s">
        <v>6765</v>
      </c>
      <c r="G3883" s="4" t="s">
        <v>6952</v>
      </c>
      <c r="H3883" s="4" t="s">
        <v>49</v>
      </c>
      <c r="I3883" s="4" t="s">
        <v>6768</v>
      </c>
      <c r="J3883" s="4" t="s">
        <v>121</v>
      </c>
      <c r="K3883" s="7" t="str">
        <f t="shared" si="242"/>
        <v>View Creative</v>
      </c>
      <c r="L3883" s="4" t="s">
        <v>60</v>
      </c>
      <c r="M3883" s="4" t="s">
        <v>6785</v>
      </c>
      <c r="N3883" s="4" t="s">
        <v>6949</v>
      </c>
      <c r="O3883" s="4" t="s">
        <v>63</v>
      </c>
      <c r="P3883" s="4" t="s">
        <v>64</v>
      </c>
    </row>
    <row r="3884">
      <c r="A3884" s="4" t="s">
        <v>6785</v>
      </c>
      <c r="B3884" s="4" t="s">
        <v>6786</v>
      </c>
      <c r="C3884" s="4">
        <v>273.0</v>
      </c>
      <c r="D3884" s="5" t="str">
        <f t="shared" ref="D3884:D3885" si="243">HYPERLINK("https://www.linkedin.com/ad-library/detail/878906073","Open Ad")</f>
        <v>Open Ad</v>
      </c>
      <c r="E3884" s="4" t="s">
        <v>121</v>
      </c>
      <c r="F3884" s="4" t="s">
        <v>6765</v>
      </c>
      <c r="G3884" s="4" t="s">
        <v>6948</v>
      </c>
      <c r="H3884" s="4" t="s">
        <v>49</v>
      </c>
      <c r="I3884" s="4" t="s">
        <v>6768</v>
      </c>
      <c r="J3884" s="4" t="s">
        <v>121</v>
      </c>
      <c r="K3884" s="7" t="str">
        <f t="shared" ref="K3884:K3887" si="244">HYPERLINK("https://dms.licdn.com/playlist/vid/v2/D4D10AQHFY0PzaTOu5g/mp4-640p-30fp-crf28/B4DZniTDSUIcBs-/0/1760438274042/AccuRankerSquareCEdited1mp4?e=2147483647&amp;v=beta&amp;t=0DXhBATfFMBfD3O3Z61J437bm4aBCxCzzq961FqcRfI","View Creative")</f>
        <v>View Creative</v>
      </c>
      <c r="L3884" s="4" t="s">
        <v>60</v>
      </c>
      <c r="M3884" s="4" t="s">
        <v>6785</v>
      </c>
      <c r="N3884" s="4" t="s">
        <v>6947</v>
      </c>
      <c r="O3884" s="4" t="s">
        <v>63</v>
      </c>
      <c r="P3884" s="4" t="s">
        <v>64</v>
      </c>
    </row>
    <row r="3885">
      <c r="A3885" s="4" t="s">
        <v>6785</v>
      </c>
      <c r="B3885" s="4" t="s">
        <v>6786</v>
      </c>
      <c r="C3885" s="4">
        <v>274.0</v>
      </c>
      <c r="D3885" s="5" t="str">
        <f t="shared" si="243"/>
        <v>Open Ad</v>
      </c>
      <c r="E3885" s="4" t="s">
        <v>121</v>
      </c>
      <c r="F3885" s="4" t="s">
        <v>6765</v>
      </c>
      <c r="G3885" s="4" t="s">
        <v>6948</v>
      </c>
      <c r="H3885" s="4" t="s">
        <v>49</v>
      </c>
      <c r="I3885" s="4" t="s">
        <v>6768</v>
      </c>
      <c r="J3885" s="4" t="s">
        <v>121</v>
      </c>
      <c r="K3885" s="7" t="str">
        <f t="shared" si="244"/>
        <v>View Creative</v>
      </c>
      <c r="L3885" s="4" t="s">
        <v>60</v>
      </c>
      <c r="M3885" s="4" t="s">
        <v>6785</v>
      </c>
      <c r="N3885" s="4" t="s">
        <v>6947</v>
      </c>
      <c r="O3885" s="4" t="s">
        <v>63</v>
      </c>
      <c r="P3885" s="4" t="s">
        <v>64</v>
      </c>
    </row>
    <row r="3886">
      <c r="A3886" s="4" t="s">
        <v>6785</v>
      </c>
      <c r="B3886" s="4" t="s">
        <v>6786</v>
      </c>
      <c r="C3886" s="4">
        <v>275.0</v>
      </c>
      <c r="D3886" s="5" t="str">
        <f t="shared" ref="D3886:D3887" si="245">HYPERLINK("https://www.linkedin.com/ad-library/detail/878985483","Open Ad")</f>
        <v>Open Ad</v>
      </c>
      <c r="E3886" s="4" t="s">
        <v>121</v>
      </c>
      <c r="F3886" s="4" t="s">
        <v>6765</v>
      </c>
      <c r="G3886" s="4" t="s">
        <v>6945</v>
      </c>
      <c r="H3886" s="4" t="s">
        <v>49</v>
      </c>
      <c r="I3886" s="4" t="s">
        <v>6768</v>
      </c>
      <c r="J3886" s="4" t="s">
        <v>121</v>
      </c>
      <c r="K3886" s="7" t="str">
        <f t="shared" si="244"/>
        <v>View Creative</v>
      </c>
      <c r="L3886" s="4" t="s">
        <v>60</v>
      </c>
      <c r="M3886" s="4" t="s">
        <v>6785</v>
      </c>
      <c r="N3886" s="4"/>
      <c r="O3886" s="4" t="s">
        <v>63</v>
      </c>
      <c r="P3886" s="4" t="s">
        <v>64</v>
      </c>
    </row>
    <row r="3887">
      <c r="A3887" s="4" t="s">
        <v>6785</v>
      </c>
      <c r="B3887" s="4" t="s">
        <v>6786</v>
      </c>
      <c r="C3887" s="4">
        <v>276.0</v>
      </c>
      <c r="D3887" s="5" t="str">
        <f t="shared" si="245"/>
        <v>Open Ad</v>
      </c>
      <c r="E3887" s="4" t="s">
        <v>121</v>
      </c>
      <c r="F3887" s="4" t="s">
        <v>6765</v>
      </c>
      <c r="G3887" s="4" t="s">
        <v>6945</v>
      </c>
      <c r="H3887" s="4" t="s">
        <v>49</v>
      </c>
      <c r="I3887" s="4" t="s">
        <v>6768</v>
      </c>
      <c r="J3887" s="4" t="s">
        <v>121</v>
      </c>
      <c r="K3887" s="7" t="str">
        <f t="shared" si="244"/>
        <v>View Creative</v>
      </c>
      <c r="L3887" s="4" t="s">
        <v>60</v>
      </c>
      <c r="M3887" s="4" t="s">
        <v>6785</v>
      </c>
      <c r="N3887" s="4"/>
      <c r="O3887" s="4" t="s">
        <v>63</v>
      </c>
      <c r="P3887" s="4" t="s">
        <v>64</v>
      </c>
    </row>
    <row r="3888">
      <c r="A3888" s="4" t="s">
        <v>6785</v>
      </c>
      <c r="B3888" s="4" t="s">
        <v>6786</v>
      </c>
      <c r="C3888" s="4">
        <v>277.0</v>
      </c>
      <c r="D3888" s="5" t="str">
        <f t="shared" ref="D3888:D3889" si="246">HYPERLINK("https://www.linkedin.com/ad-library/detail/878845693","Open Ad")</f>
        <v>Open Ad</v>
      </c>
      <c r="E3888" s="4" t="s">
        <v>121</v>
      </c>
      <c r="F3888" s="4" t="s">
        <v>6765</v>
      </c>
      <c r="G3888" s="4" t="s">
        <v>6952</v>
      </c>
      <c r="H3888" s="4" t="s">
        <v>49</v>
      </c>
      <c r="I3888" s="4" t="s">
        <v>6768</v>
      </c>
      <c r="J3888" s="4" t="s">
        <v>121</v>
      </c>
      <c r="K3888" s="7" t="str">
        <f t="shared" ref="K3888:K3891" si="247">HYPERLINK("https://dms.licdn.com/playlist/vid/v2/D4D10AQEQ11lzulK81Q/mp4-720p-30fp-crf28/B4DZniAGkbHsCM-/0/1760433306194/AccuRankerSquareCEdited1mp4?e=2147483647&amp;v=beta&amp;t=RDvtfWw3LwDmBFNQx3smJIFyoh48jV9CPaDIeqWQyzM","View Creative")</f>
        <v>View Creative</v>
      </c>
      <c r="L3888" s="4" t="s">
        <v>60</v>
      </c>
      <c r="M3888" s="4" t="s">
        <v>6785</v>
      </c>
      <c r="N3888" s="4"/>
      <c r="O3888" s="4" t="s">
        <v>63</v>
      </c>
      <c r="P3888" s="4" t="s">
        <v>64</v>
      </c>
    </row>
    <row r="3889">
      <c r="A3889" s="4" t="s">
        <v>6785</v>
      </c>
      <c r="B3889" s="4" t="s">
        <v>6786</v>
      </c>
      <c r="C3889" s="4">
        <v>278.0</v>
      </c>
      <c r="D3889" s="5" t="str">
        <f t="shared" si="246"/>
        <v>Open Ad</v>
      </c>
      <c r="E3889" s="4" t="s">
        <v>121</v>
      </c>
      <c r="F3889" s="4" t="s">
        <v>6765</v>
      </c>
      <c r="G3889" s="4" t="s">
        <v>6952</v>
      </c>
      <c r="H3889" s="4" t="s">
        <v>49</v>
      </c>
      <c r="I3889" s="4" t="s">
        <v>6768</v>
      </c>
      <c r="J3889" s="4" t="s">
        <v>121</v>
      </c>
      <c r="K3889" s="7" t="str">
        <f t="shared" si="247"/>
        <v>View Creative</v>
      </c>
      <c r="L3889" s="4" t="s">
        <v>60</v>
      </c>
      <c r="M3889" s="4" t="s">
        <v>6785</v>
      </c>
      <c r="N3889" s="4"/>
      <c r="O3889" s="4" t="s">
        <v>63</v>
      </c>
      <c r="P3889" s="4" t="s">
        <v>64</v>
      </c>
    </row>
    <row r="3890">
      <c r="A3890" s="4" t="s">
        <v>6785</v>
      </c>
      <c r="B3890" s="4" t="s">
        <v>6786</v>
      </c>
      <c r="C3890" s="4">
        <v>279.0</v>
      </c>
      <c r="D3890" s="5" t="str">
        <f t="shared" ref="D3890:D3891" si="248">HYPERLINK("https://www.linkedin.com/ad-library/detail/878886603","Open Ad")</f>
        <v>Open Ad</v>
      </c>
      <c r="E3890" s="4" t="s">
        <v>121</v>
      </c>
      <c r="F3890" s="4" t="s">
        <v>6765</v>
      </c>
      <c r="G3890" s="4" t="s">
        <v>6910</v>
      </c>
      <c r="H3890" s="4" t="s">
        <v>49</v>
      </c>
      <c r="I3890" s="4" t="s">
        <v>6768</v>
      </c>
      <c r="J3890" s="4" t="s">
        <v>121</v>
      </c>
      <c r="K3890" s="7" t="str">
        <f t="shared" si="247"/>
        <v>View Creative</v>
      </c>
      <c r="L3890" s="4" t="s">
        <v>60</v>
      </c>
      <c r="M3890" s="4" t="s">
        <v>6785</v>
      </c>
      <c r="N3890" s="4"/>
      <c r="O3890" s="4" t="s">
        <v>63</v>
      </c>
      <c r="P3890" s="4" t="s">
        <v>64</v>
      </c>
    </row>
    <row r="3891">
      <c r="A3891" s="4" t="s">
        <v>6785</v>
      </c>
      <c r="B3891" s="4" t="s">
        <v>6786</v>
      </c>
      <c r="C3891" s="4">
        <v>280.0</v>
      </c>
      <c r="D3891" s="5" t="str">
        <f t="shared" si="248"/>
        <v>Open Ad</v>
      </c>
      <c r="E3891" s="4" t="s">
        <v>121</v>
      </c>
      <c r="F3891" s="4" t="s">
        <v>6765</v>
      </c>
      <c r="G3891" s="4" t="s">
        <v>6910</v>
      </c>
      <c r="H3891" s="4" t="s">
        <v>49</v>
      </c>
      <c r="I3891" s="4" t="s">
        <v>6768</v>
      </c>
      <c r="J3891" s="4" t="s">
        <v>121</v>
      </c>
      <c r="K3891" s="7" t="str">
        <f t="shared" si="247"/>
        <v>View Creative</v>
      </c>
      <c r="L3891" s="4" t="s">
        <v>60</v>
      </c>
      <c r="M3891" s="4" t="s">
        <v>6785</v>
      </c>
      <c r="N3891" s="4"/>
      <c r="O3891" s="4" t="s">
        <v>63</v>
      </c>
      <c r="P3891" s="4" t="s">
        <v>64</v>
      </c>
    </row>
    <row r="3892">
      <c r="A3892" s="4" t="s">
        <v>6785</v>
      </c>
      <c r="B3892" s="4" t="s">
        <v>6786</v>
      </c>
      <c r="C3892" s="4">
        <v>281.0</v>
      </c>
      <c r="D3892" s="5" t="str">
        <f>HYPERLINK("https://www.linkedin.com/ad-library/detail/866962693","Open Ad")</f>
        <v>Open Ad</v>
      </c>
      <c r="E3892" s="4" t="s">
        <v>52</v>
      </c>
      <c r="F3892" s="4" t="s">
        <v>6765</v>
      </c>
      <c r="G3892" s="4" t="s">
        <v>6953</v>
      </c>
      <c r="H3892" s="4" t="s">
        <v>49</v>
      </c>
      <c r="I3892" s="4" t="s">
        <v>6768</v>
      </c>
      <c r="J3892" s="4" t="s">
        <v>52</v>
      </c>
      <c r="K3892" s="4" t="s">
        <v>59</v>
      </c>
      <c r="L3892" s="4" t="s">
        <v>60</v>
      </c>
      <c r="M3892" s="4" t="s">
        <v>6785</v>
      </c>
      <c r="N3892" s="4" t="s">
        <v>6954</v>
      </c>
      <c r="O3892" s="4" t="s">
        <v>63</v>
      </c>
      <c r="P3892" s="4" t="s">
        <v>64</v>
      </c>
    </row>
    <row r="3893">
      <c r="A3893" s="4" t="s">
        <v>6785</v>
      </c>
      <c r="B3893" s="4" t="s">
        <v>6786</v>
      </c>
      <c r="C3893" s="4">
        <v>282.0</v>
      </c>
      <c r="D3893" s="5" t="str">
        <f t="shared" ref="D3893:D3894" si="249">HYPERLINK("https://www.linkedin.com/ad-library/detail/901831163","Open Ad")</f>
        <v>Open Ad</v>
      </c>
      <c r="E3893" s="4" t="s">
        <v>121</v>
      </c>
      <c r="F3893" s="4" t="s">
        <v>6765</v>
      </c>
      <c r="G3893" s="4" t="s">
        <v>6910</v>
      </c>
      <c r="H3893" s="4" t="s">
        <v>49</v>
      </c>
      <c r="I3893" s="4" t="s">
        <v>6768</v>
      </c>
      <c r="J3893" s="4" t="s">
        <v>121</v>
      </c>
      <c r="K3893" s="7" t="str">
        <f t="shared" ref="K3893:K3894" si="250">HYPERLINK("https://dms.licdn.com/playlist/vid/v2/D4D10AQHATMzXrq4gRg/progressive-servable-video/B4DZoF5ULKHsAY-/0/1761035503786/AccuRankerSquareCEdited1mp4?e=2147483647&amp;v=beta&amp;t=WHNRHFfODEgRi0vQeR12rY6mxCoOjL7aw0ezu0nMM00","View Creative")</f>
        <v>View Creative</v>
      </c>
      <c r="L3893" s="4" t="s">
        <v>60</v>
      </c>
      <c r="M3893" s="4" t="s">
        <v>6785</v>
      </c>
      <c r="N3893" s="4" t="s">
        <v>6944</v>
      </c>
      <c r="O3893" s="4" t="s">
        <v>63</v>
      </c>
      <c r="P3893" s="4" t="s">
        <v>64</v>
      </c>
    </row>
    <row r="3894">
      <c r="A3894" s="4" t="s">
        <v>6785</v>
      </c>
      <c r="B3894" s="4" t="s">
        <v>6786</v>
      </c>
      <c r="C3894" s="4">
        <v>283.0</v>
      </c>
      <c r="D3894" s="5" t="str">
        <f t="shared" si="249"/>
        <v>Open Ad</v>
      </c>
      <c r="E3894" s="4" t="s">
        <v>121</v>
      </c>
      <c r="F3894" s="4" t="s">
        <v>6765</v>
      </c>
      <c r="G3894" s="4" t="s">
        <v>6910</v>
      </c>
      <c r="H3894" s="4" t="s">
        <v>49</v>
      </c>
      <c r="I3894" s="4" t="s">
        <v>6768</v>
      </c>
      <c r="J3894" s="4" t="s">
        <v>121</v>
      </c>
      <c r="K3894" s="7" t="str">
        <f t="shared" si="250"/>
        <v>View Creative</v>
      </c>
      <c r="L3894" s="4" t="s">
        <v>60</v>
      </c>
      <c r="M3894" s="4" t="s">
        <v>6785</v>
      </c>
      <c r="N3894" s="4" t="s">
        <v>6944</v>
      </c>
      <c r="O3894" s="4" t="s">
        <v>63</v>
      </c>
      <c r="P3894" s="4" t="s">
        <v>64</v>
      </c>
    </row>
    <row r="3895">
      <c r="A3895" s="4" t="s">
        <v>6785</v>
      </c>
      <c r="B3895" s="4" t="s">
        <v>6786</v>
      </c>
      <c r="C3895" s="4">
        <v>284.0</v>
      </c>
      <c r="D3895" s="5" t="str">
        <f t="shared" ref="D3895:D3896" si="251">HYPERLINK("https://www.linkedin.com/ad-library/detail/878936023","Open Ad")</f>
        <v>Open Ad</v>
      </c>
      <c r="E3895" s="4" t="s">
        <v>121</v>
      </c>
      <c r="F3895" s="4" t="s">
        <v>6765</v>
      </c>
      <c r="G3895" s="4" t="s">
        <v>6910</v>
      </c>
      <c r="H3895" s="4" t="s">
        <v>49</v>
      </c>
      <c r="I3895" s="4" t="s">
        <v>6768</v>
      </c>
      <c r="J3895" s="4" t="s">
        <v>121</v>
      </c>
      <c r="K3895" s="7" t="str">
        <f t="shared" ref="K3895:K3896" si="252">HYPERLINK("https://dms.licdn.com/playlist/vid/v2/D4D10AQEQ11lzulK81Q/mp4-720p-30fp-crf28/B4DZniAGkbHsCM-/0/1760433306194/AccuRankerSquareCEdited1mp4?e=2147483647&amp;v=beta&amp;t=RDvtfWw3LwDmBFNQx3smJIFyoh48jV9CPaDIeqWQyzM","View Creative")</f>
        <v>View Creative</v>
      </c>
      <c r="L3895" s="4" t="s">
        <v>60</v>
      </c>
      <c r="M3895" s="4" t="s">
        <v>6785</v>
      </c>
      <c r="N3895" s="4" t="s">
        <v>6955</v>
      </c>
      <c r="O3895" s="4" t="s">
        <v>63</v>
      </c>
      <c r="P3895" s="4" t="s">
        <v>64</v>
      </c>
    </row>
    <row r="3896">
      <c r="A3896" s="4" t="s">
        <v>6785</v>
      </c>
      <c r="B3896" s="4" t="s">
        <v>6786</v>
      </c>
      <c r="C3896" s="4">
        <v>285.0</v>
      </c>
      <c r="D3896" s="5" t="str">
        <f t="shared" si="251"/>
        <v>Open Ad</v>
      </c>
      <c r="E3896" s="4" t="s">
        <v>121</v>
      </c>
      <c r="F3896" s="4" t="s">
        <v>6765</v>
      </c>
      <c r="G3896" s="4" t="s">
        <v>6910</v>
      </c>
      <c r="H3896" s="4" t="s">
        <v>49</v>
      </c>
      <c r="I3896" s="4" t="s">
        <v>6768</v>
      </c>
      <c r="J3896" s="4" t="s">
        <v>121</v>
      </c>
      <c r="K3896" s="7" t="str">
        <f t="shared" si="252"/>
        <v>View Creative</v>
      </c>
      <c r="L3896" s="4" t="s">
        <v>60</v>
      </c>
      <c r="M3896" s="4" t="s">
        <v>6785</v>
      </c>
      <c r="N3896" s="4" t="s">
        <v>6955</v>
      </c>
      <c r="O3896" s="4" t="s">
        <v>63</v>
      </c>
      <c r="P3896" s="4" t="s">
        <v>64</v>
      </c>
    </row>
    <row r="3897">
      <c r="A3897" s="4" t="s">
        <v>6785</v>
      </c>
      <c r="B3897" s="4" t="s">
        <v>6786</v>
      </c>
      <c r="C3897" s="4">
        <v>286.0</v>
      </c>
      <c r="D3897" s="5" t="str">
        <f>HYPERLINK("https://www.linkedin.com/ad-library/detail/867052293","Open Ad")</f>
        <v>Open Ad</v>
      </c>
      <c r="E3897" s="4" t="s">
        <v>52</v>
      </c>
      <c r="F3897" s="4" t="s">
        <v>6765</v>
      </c>
      <c r="G3897" s="4" t="s">
        <v>6953</v>
      </c>
      <c r="H3897" s="4" t="s">
        <v>49</v>
      </c>
      <c r="I3897" s="4" t="s">
        <v>6768</v>
      </c>
      <c r="J3897" s="4" t="s">
        <v>52</v>
      </c>
      <c r="K3897" s="4" t="s">
        <v>59</v>
      </c>
      <c r="L3897" s="4" t="s">
        <v>60</v>
      </c>
      <c r="M3897" s="4" t="s">
        <v>6785</v>
      </c>
      <c r="N3897" s="4" t="s">
        <v>6956</v>
      </c>
      <c r="O3897" s="4" t="s">
        <v>63</v>
      </c>
      <c r="P3897" s="4" t="s">
        <v>64</v>
      </c>
    </row>
    <row r="3898">
      <c r="A3898" s="4" t="s">
        <v>6785</v>
      </c>
      <c r="B3898" s="4" t="s">
        <v>6786</v>
      </c>
      <c r="C3898" s="4">
        <v>287.0</v>
      </c>
      <c r="D3898" s="5" t="str">
        <f t="shared" ref="D3898:D3899" si="253">HYPERLINK("https://www.linkedin.com/ad-library/detail/863562343","Open Ad")</f>
        <v>Open Ad</v>
      </c>
      <c r="E3898" s="4" t="s">
        <v>121</v>
      </c>
      <c r="F3898" s="4" t="s">
        <v>6765</v>
      </c>
      <c r="G3898" s="4" t="s">
        <v>6957</v>
      </c>
      <c r="H3898" s="4" t="s">
        <v>49</v>
      </c>
      <c r="I3898" s="4" t="s">
        <v>6768</v>
      </c>
      <c r="J3898" s="4" t="s">
        <v>121</v>
      </c>
      <c r="K3898" s="7" t="str">
        <f t="shared" ref="K3898:K3899" si="254">HYPERLINK("https://dms.licdn.com/playlist/vid/v2/D4D10AQEHTNGRI9DfPw/mp4-360p-30fp-crf28/B4DZmp0qBtKQCI-/0/1759490781877/AccuRankerSquare_3mp4?e=2147483647&amp;v=beta&amp;t=Oo1cpz8RpAPmCblL2OGYu8O8EUNfLno9JSNNGXdmiMU","View Creative")</f>
        <v>View Creative</v>
      </c>
      <c r="L3898" s="4" t="s">
        <v>60</v>
      </c>
      <c r="M3898" s="4" t="s">
        <v>6785</v>
      </c>
      <c r="N3898" s="4"/>
      <c r="O3898" s="4" t="s">
        <v>63</v>
      </c>
      <c r="P3898" s="4" t="s">
        <v>64</v>
      </c>
    </row>
    <row r="3899">
      <c r="A3899" s="4" t="s">
        <v>6785</v>
      </c>
      <c r="B3899" s="4" t="s">
        <v>6786</v>
      </c>
      <c r="C3899" s="4">
        <v>288.0</v>
      </c>
      <c r="D3899" s="5" t="str">
        <f t="shared" si="253"/>
        <v>Open Ad</v>
      </c>
      <c r="E3899" s="4" t="s">
        <v>121</v>
      </c>
      <c r="F3899" s="4" t="s">
        <v>6765</v>
      </c>
      <c r="G3899" s="4" t="s">
        <v>6957</v>
      </c>
      <c r="H3899" s="4" t="s">
        <v>49</v>
      </c>
      <c r="I3899" s="4" t="s">
        <v>6768</v>
      </c>
      <c r="J3899" s="4" t="s">
        <v>121</v>
      </c>
      <c r="K3899" s="7" t="str">
        <f t="shared" si="254"/>
        <v>View Creative</v>
      </c>
      <c r="L3899" s="4" t="s">
        <v>60</v>
      </c>
      <c r="M3899" s="4" t="s">
        <v>6785</v>
      </c>
      <c r="N3899" s="4"/>
      <c r="O3899" s="4" t="s">
        <v>63</v>
      </c>
      <c r="P3899" s="4" t="s">
        <v>64</v>
      </c>
    </row>
    <row r="3900">
      <c r="A3900" s="4" t="s">
        <v>6785</v>
      </c>
      <c r="B3900" s="4" t="s">
        <v>6786</v>
      </c>
      <c r="C3900" s="4">
        <v>289.0</v>
      </c>
      <c r="D3900" s="5" t="str">
        <f t="shared" ref="D3900:D3901" si="255">HYPERLINK("https://www.linkedin.com/ad-library/detail/863431103","Open Ad")</f>
        <v>Open Ad</v>
      </c>
      <c r="E3900" s="4" t="s">
        <v>78</v>
      </c>
      <c r="F3900" s="4" t="s">
        <v>6765</v>
      </c>
      <c r="G3900" s="4" t="s">
        <v>6958</v>
      </c>
      <c r="H3900" s="4" t="s">
        <v>49</v>
      </c>
      <c r="I3900" s="4" t="s">
        <v>6768</v>
      </c>
      <c r="J3900" s="4" t="s">
        <v>78</v>
      </c>
      <c r="K3900" s="7" t="str">
        <f t="shared" ref="K3900:K3901" si="256">HYPERLINK("https://media.licdn.com/dms/image/v2/D4D22AQGebkJ5j84a5A/feedshare-shrink_1280/B4DZmZwzOtIgAw-/0/1759221331902?e=2147483647&amp;v=beta&amp;t=Cvow_3EStPatjmEk0UP8M_fx5HR7k3hSsPfU28pjLls","View Creative")</f>
        <v>View Creative</v>
      </c>
      <c r="L3900" s="4" t="s">
        <v>60</v>
      </c>
      <c r="M3900" s="4" t="s">
        <v>6785</v>
      </c>
      <c r="N3900" s="4" t="s">
        <v>6959</v>
      </c>
      <c r="O3900" s="4" t="s">
        <v>63</v>
      </c>
      <c r="P3900" s="4" t="s">
        <v>64</v>
      </c>
    </row>
    <row r="3901">
      <c r="A3901" s="4" t="s">
        <v>6785</v>
      </c>
      <c r="B3901" s="4" t="s">
        <v>6786</v>
      </c>
      <c r="C3901" s="4">
        <v>290.0</v>
      </c>
      <c r="D3901" s="5" t="str">
        <f t="shared" si="255"/>
        <v>Open Ad</v>
      </c>
      <c r="E3901" s="4" t="s">
        <v>78</v>
      </c>
      <c r="F3901" s="4" t="s">
        <v>6765</v>
      </c>
      <c r="G3901" s="4" t="s">
        <v>6958</v>
      </c>
      <c r="H3901" s="4" t="s">
        <v>49</v>
      </c>
      <c r="I3901" s="4" t="s">
        <v>6768</v>
      </c>
      <c r="J3901" s="4" t="s">
        <v>78</v>
      </c>
      <c r="K3901" s="7" t="str">
        <f t="shared" si="256"/>
        <v>View Creative</v>
      </c>
      <c r="L3901" s="4" t="s">
        <v>60</v>
      </c>
      <c r="M3901" s="4" t="s">
        <v>6785</v>
      </c>
      <c r="N3901" s="4" t="s">
        <v>6959</v>
      </c>
      <c r="O3901" s="4" t="s">
        <v>63</v>
      </c>
      <c r="P3901" s="4" t="s">
        <v>64</v>
      </c>
    </row>
    <row r="3902">
      <c r="A3902" s="4" t="s">
        <v>6785</v>
      </c>
      <c r="B3902" s="4" t="s">
        <v>6786</v>
      </c>
      <c r="C3902" s="4">
        <v>291.0</v>
      </c>
      <c r="D3902" s="5" t="str">
        <f t="shared" ref="D3902:D3903" si="257">HYPERLINK("https://www.linkedin.com/ad-library/detail/863321153","Open Ad")</f>
        <v>Open Ad</v>
      </c>
      <c r="E3902" s="4" t="s">
        <v>78</v>
      </c>
      <c r="F3902" s="4" t="s">
        <v>6765</v>
      </c>
      <c r="G3902" s="4" t="s">
        <v>6960</v>
      </c>
      <c r="H3902" s="4" t="s">
        <v>49</v>
      </c>
      <c r="I3902" s="4" t="s">
        <v>6768</v>
      </c>
      <c r="J3902" s="4" t="s">
        <v>78</v>
      </c>
      <c r="K3902" s="7" t="str">
        <f t="shared" ref="K3902:K3903" si="258">HYPERLINK("https://media.licdn.com/dms/image/v2/D4D22AQGTC46205g9Fw/feedshare-shrink_1280/B4DZmaFeLZIcAs-/0/1759226750074?e=2147483647&amp;v=beta&amp;t=arg04J7Nw-3797nDl3FOnw0mzBD1D7h0p4_UruCEKtw","View Creative")</f>
        <v>View Creative</v>
      </c>
      <c r="L3902" s="4" t="s">
        <v>60</v>
      </c>
      <c r="M3902" s="4" t="s">
        <v>6785</v>
      </c>
      <c r="N3902" s="4" t="s">
        <v>6961</v>
      </c>
      <c r="O3902" s="4" t="s">
        <v>63</v>
      </c>
      <c r="P3902" s="4" t="s">
        <v>64</v>
      </c>
    </row>
    <row r="3903">
      <c r="A3903" s="4" t="s">
        <v>6785</v>
      </c>
      <c r="B3903" s="4" t="s">
        <v>6786</v>
      </c>
      <c r="C3903" s="4">
        <v>292.0</v>
      </c>
      <c r="D3903" s="5" t="str">
        <f t="shared" si="257"/>
        <v>Open Ad</v>
      </c>
      <c r="E3903" s="4" t="s">
        <v>78</v>
      </c>
      <c r="F3903" s="4" t="s">
        <v>6765</v>
      </c>
      <c r="G3903" s="4" t="s">
        <v>6960</v>
      </c>
      <c r="H3903" s="4" t="s">
        <v>49</v>
      </c>
      <c r="I3903" s="4" t="s">
        <v>6768</v>
      </c>
      <c r="J3903" s="4" t="s">
        <v>78</v>
      </c>
      <c r="K3903" s="7" t="str">
        <f t="shared" si="258"/>
        <v>View Creative</v>
      </c>
      <c r="L3903" s="4" t="s">
        <v>60</v>
      </c>
      <c r="M3903" s="4" t="s">
        <v>6785</v>
      </c>
      <c r="N3903" s="4" t="s">
        <v>6961</v>
      </c>
      <c r="O3903" s="4" t="s">
        <v>63</v>
      </c>
      <c r="P3903" s="4" t="s">
        <v>64</v>
      </c>
    </row>
    <row r="3904">
      <c r="A3904" s="4" t="s">
        <v>6785</v>
      </c>
      <c r="B3904" s="4" t="s">
        <v>6786</v>
      </c>
      <c r="C3904" s="4">
        <v>293.0</v>
      </c>
      <c r="D3904" s="5" t="str">
        <f t="shared" ref="D3904:D3905" si="259">HYPERLINK("https://www.linkedin.com/ad-library/detail/863421093","Open Ad")</f>
        <v>Open Ad</v>
      </c>
      <c r="E3904" s="4" t="s">
        <v>78</v>
      </c>
      <c r="F3904" s="4" t="s">
        <v>6765</v>
      </c>
      <c r="G3904" s="4" t="s">
        <v>6962</v>
      </c>
      <c r="H3904" s="4" t="s">
        <v>6963</v>
      </c>
      <c r="I3904" s="4" t="s">
        <v>6768</v>
      </c>
      <c r="J3904" s="4" t="s">
        <v>78</v>
      </c>
      <c r="K3904" s="7" t="str">
        <f t="shared" ref="K3904:K3905" si="260">HYPERLINK("https://media.licdn.com/dms/image/v2/D4E22AQFvstp4V9ygRg/feedshare-image-high-res/B4EZmj8euxKUAo-/0/1759392166073?e=2147483647&amp;v=beta&amp;t=EXDWWhQooEkbgqMDoKDAnhCTL-XFCxG2vIYLmUi9cHI","View Creative")</f>
        <v>View Creative</v>
      </c>
      <c r="L3904" s="4" t="s">
        <v>60</v>
      </c>
      <c r="M3904" s="4" t="s">
        <v>6785</v>
      </c>
      <c r="N3904" s="4" t="s">
        <v>6964</v>
      </c>
      <c r="O3904" s="4" t="s">
        <v>63</v>
      </c>
      <c r="P3904" s="4" t="s">
        <v>64</v>
      </c>
    </row>
    <row r="3905">
      <c r="A3905" s="4" t="s">
        <v>6785</v>
      </c>
      <c r="B3905" s="4" t="s">
        <v>6786</v>
      </c>
      <c r="C3905" s="4">
        <v>294.0</v>
      </c>
      <c r="D3905" s="5" t="str">
        <f t="shared" si="259"/>
        <v>Open Ad</v>
      </c>
      <c r="E3905" s="4" t="s">
        <v>78</v>
      </c>
      <c r="F3905" s="4" t="s">
        <v>6765</v>
      </c>
      <c r="G3905" s="4" t="s">
        <v>6962</v>
      </c>
      <c r="H3905" s="4" t="s">
        <v>6963</v>
      </c>
      <c r="I3905" s="4" t="s">
        <v>6768</v>
      </c>
      <c r="J3905" s="4" t="s">
        <v>78</v>
      </c>
      <c r="K3905" s="7" t="str">
        <f t="shared" si="260"/>
        <v>View Creative</v>
      </c>
      <c r="L3905" s="4" t="s">
        <v>60</v>
      </c>
      <c r="M3905" s="4" t="s">
        <v>6785</v>
      </c>
      <c r="N3905" s="4" t="s">
        <v>6964</v>
      </c>
      <c r="O3905" s="4" t="s">
        <v>63</v>
      </c>
      <c r="P3905" s="4" t="s">
        <v>64</v>
      </c>
    </row>
    <row r="3906">
      <c r="A3906" s="4" t="s">
        <v>6785</v>
      </c>
      <c r="B3906" s="4" t="s">
        <v>6786</v>
      </c>
      <c r="C3906" s="4">
        <v>295.0</v>
      </c>
      <c r="D3906" s="5" t="str">
        <f t="shared" ref="D3906:D3907" si="261">HYPERLINK("https://www.linkedin.com/ad-library/detail/863351423","Open Ad")</f>
        <v>Open Ad</v>
      </c>
      <c r="E3906" s="4" t="s">
        <v>78</v>
      </c>
      <c r="F3906" s="4" t="s">
        <v>6765</v>
      </c>
      <c r="G3906" s="4" t="s">
        <v>6960</v>
      </c>
      <c r="H3906" s="4" t="s">
        <v>49</v>
      </c>
      <c r="I3906" s="4" t="s">
        <v>6768</v>
      </c>
      <c r="J3906" s="4" t="s">
        <v>78</v>
      </c>
      <c r="K3906" s="7" t="str">
        <f t="shared" ref="K3906:K3907" si="262">HYPERLINK("https://media.licdn.com/dms/image/v2/D4D22AQGTC46205g9Fw/feedshare-shrink_1280/B4DZmaFeLZIcAs-/0/1759226750074?e=2147483647&amp;v=beta&amp;t=arg04J7Nw-3797nDl3FOnw0mzBD1D7h0p4_UruCEKtw","View Creative")</f>
        <v>View Creative</v>
      </c>
      <c r="L3906" s="4" t="s">
        <v>60</v>
      </c>
      <c r="M3906" s="4" t="s">
        <v>6785</v>
      </c>
      <c r="N3906" s="4" t="s">
        <v>6961</v>
      </c>
      <c r="O3906" s="4" t="s">
        <v>63</v>
      </c>
      <c r="P3906" s="4" t="s">
        <v>64</v>
      </c>
    </row>
    <row r="3907">
      <c r="A3907" s="4" t="s">
        <v>6785</v>
      </c>
      <c r="B3907" s="4" t="s">
        <v>6786</v>
      </c>
      <c r="C3907" s="4">
        <v>296.0</v>
      </c>
      <c r="D3907" s="5" t="str">
        <f t="shared" si="261"/>
        <v>Open Ad</v>
      </c>
      <c r="E3907" s="4" t="s">
        <v>78</v>
      </c>
      <c r="F3907" s="4" t="s">
        <v>6765</v>
      </c>
      <c r="G3907" s="4" t="s">
        <v>6960</v>
      </c>
      <c r="H3907" s="4" t="s">
        <v>49</v>
      </c>
      <c r="I3907" s="4" t="s">
        <v>6768</v>
      </c>
      <c r="J3907" s="4" t="s">
        <v>78</v>
      </c>
      <c r="K3907" s="7" t="str">
        <f t="shared" si="262"/>
        <v>View Creative</v>
      </c>
      <c r="L3907" s="4" t="s">
        <v>60</v>
      </c>
      <c r="M3907" s="4" t="s">
        <v>6785</v>
      </c>
      <c r="N3907" s="4" t="s">
        <v>6961</v>
      </c>
      <c r="O3907" s="4" t="s">
        <v>63</v>
      </c>
      <c r="P3907" s="4" t="s">
        <v>64</v>
      </c>
    </row>
    <row r="3908">
      <c r="A3908" s="4" t="s">
        <v>6785</v>
      </c>
      <c r="B3908" s="4" t="s">
        <v>6786</v>
      </c>
      <c r="C3908" s="4">
        <v>297.0</v>
      </c>
      <c r="D3908" s="5" t="str">
        <f t="shared" ref="D3908:D3909" si="263">HYPERLINK("https://www.linkedin.com/ad-library/detail/863321123","Open Ad")</f>
        <v>Open Ad</v>
      </c>
      <c r="E3908" s="4" t="s">
        <v>78</v>
      </c>
      <c r="F3908" s="4" t="s">
        <v>6765</v>
      </c>
      <c r="G3908" s="4" t="s">
        <v>6962</v>
      </c>
      <c r="H3908" s="4" t="s">
        <v>6963</v>
      </c>
      <c r="I3908" s="4" t="s">
        <v>6768</v>
      </c>
      <c r="J3908" s="4" t="s">
        <v>78</v>
      </c>
      <c r="K3908" s="7" t="str">
        <f t="shared" ref="K3908:K3909" si="264">HYPERLINK("https://media.licdn.com/dms/image/v2/D4E22AQFvstp4V9ygRg/feedshare-image-high-res/B4EZmj8euxKUAo-/0/1759392166073?e=2147483647&amp;v=beta&amp;t=EXDWWhQooEkbgqMDoKDAnhCTL-XFCxG2vIYLmUi9cHI","View Creative")</f>
        <v>View Creative</v>
      </c>
      <c r="L3908" s="4" t="s">
        <v>60</v>
      </c>
      <c r="M3908" s="4" t="s">
        <v>6785</v>
      </c>
      <c r="N3908" s="4"/>
      <c r="O3908" s="4" t="s">
        <v>63</v>
      </c>
      <c r="P3908" s="4" t="s">
        <v>64</v>
      </c>
    </row>
    <row r="3909">
      <c r="A3909" s="4" t="s">
        <v>6785</v>
      </c>
      <c r="B3909" s="4" t="s">
        <v>6786</v>
      </c>
      <c r="C3909" s="4">
        <v>298.0</v>
      </c>
      <c r="D3909" s="5" t="str">
        <f t="shared" si="263"/>
        <v>Open Ad</v>
      </c>
      <c r="E3909" s="4" t="s">
        <v>78</v>
      </c>
      <c r="F3909" s="4" t="s">
        <v>6765</v>
      </c>
      <c r="G3909" s="4" t="s">
        <v>6962</v>
      </c>
      <c r="H3909" s="4" t="s">
        <v>6963</v>
      </c>
      <c r="I3909" s="4" t="s">
        <v>6768</v>
      </c>
      <c r="J3909" s="4" t="s">
        <v>78</v>
      </c>
      <c r="K3909" s="7" t="str">
        <f t="shared" si="264"/>
        <v>View Creative</v>
      </c>
      <c r="L3909" s="4" t="s">
        <v>60</v>
      </c>
      <c r="M3909" s="4" t="s">
        <v>6785</v>
      </c>
      <c r="N3909" s="4"/>
      <c r="O3909" s="4" t="s">
        <v>63</v>
      </c>
      <c r="P3909" s="4" t="s">
        <v>64</v>
      </c>
    </row>
    <row r="3910">
      <c r="A3910" s="4" t="s">
        <v>6785</v>
      </c>
      <c r="B3910" s="4" t="s">
        <v>6786</v>
      </c>
      <c r="C3910" s="4">
        <v>299.0</v>
      </c>
      <c r="D3910" s="5" t="str">
        <f t="shared" ref="D3910:D3911" si="265">HYPERLINK("https://www.linkedin.com/ad-library/detail/863461113","Open Ad")</f>
        <v>Open Ad</v>
      </c>
      <c r="E3910" s="4" t="s">
        <v>78</v>
      </c>
      <c r="F3910" s="4" t="s">
        <v>6765</v>
      </c>
      <c r="G3910" s="4" t="s">
        <v>6958</v>
      </c>
      <c r="H3910" s="4" t="s">
        <v>49</v>
      </c>
      <c r="I3910" s="4" t="s">
        <v>6768</v>
      </c>
      <c r="J3910" s="4" t="s">
        <v>78</v>
      </c>
      <c r="K3910" s="7" t="str">
        <f t="shared" ref="K3910:K3911" si="266">HYPERLINK("https://media.licdn.com/dms/image/v2/D4D22AQGebkJ5j84a5A/feedshare-shrink_1280/B4DZmZwzOtIgAw-/0/1759221331902?e=2147483647&amp;v=beta&amp;t=Cvow_3EStPatjmEk0UP8M_fx5HR7k3hSsPfU28pjLls","View Creative")</f>
        <v>View Creative</v>
      </c>
      <c r="L3910" s="4" t="s">
        <v>60</v>
      </c>
      <c r="M3910" s="4" t="s">
        <v>6785</v>
      </c>
      <c r="N3910" s="4"/>
      <c r="O3910" s="4" t="s">
        <v>63</v>
      </c>
      <c r="P3910" s="4" t="s">
        <v>64</v>
      </c>
    </row>
    <row r="3911">
      <c r="A3911" s="4" t="s">
        <v>6785</v>
      </c>
      <c r="B3911" s="4" t="s">
        <v>6786</v>
      </c>
      <c r="C3911" s="4">
        <v>300.0</v>
      </c>
      <c r="D3911" s="5" t="str">
        <f t="shared" si="265"/>
        <v>Open Ad</v>
      </c>
      <c r="E3911" s="4" t="s">
        <v>78</v>
      </c>
      <c r="F3911" s="4" t="s">
        <v>6765</v>
      </c>
      <c r="G3911" s="4" t="s">
        <v>6958</v>
      </c>
      <c r="H3911" s="4" t="s">
        <v>49</v>
      </c>
      <c r="I3911" s="4" t="s">
        <v>6768</v>
      </c>
      <c r="J3911" s="4" t="s">
        <v>78</v>
      </c>
      <c r="K3911" s="7" t="str">
        <f t="shared" si="266"/>
        <v>View Creative</v>
      </c>
      <c r="L3911" s="4" t="s">
        <v>60</v>
      </c>
      <c r="M3911" s="4" t="s">
        <v>6785</v>
      </c>
      <c r="N3911" s="4"/>
      <c r="O3911" s="4" t="s">
        <v>63</v>
      </c>
      <c r="P3911" s="4" t="s">
        <v>64</v>
      </c>
    </row>
    <row r="3912">
      <c r="A3912" s="4" t="s">
        <v>6785</v>
      </c>
      <c r="B3912" s="4" t="s">
        <v>6786</v>
      </c>
      <c r="C3912" s="4">
        <v>301.0</v>
      </c>
      <c r="D3912" s="5" t="str">
        <f t="shared" ref="D3912:D3913" si="267">HYPERLINK("https://www.linkedin.com/ad-library/detail/863682603","Open Ad")</f>
        <v>Open Ad</v>
      </c>
      <c r="E3912" s="4" t="s">
        <v>121</v>
      </c>
      <c r="F3912" s="4" t="s">
        <v>6765</v>
      </c>
      <c r="G3912" s="4" t="s">
        <v>6965</v>
      </c>
      <c r="H3912" s="4" t="s">
        <v>49</v>
      </c>
      <c r="I3912" s="4" t="s">
        <v>6768</v>
      </c>
      <c r="J3912" s="4" t="s">
        <v>121</v>
      </c>
      <c r="K3912" s="7" t="str">
        <f t="shared" ref="K3912:K3913" si="268">HYPERLINK("https://dms.licdn.com/playlist/vid/v2/D4D10AQEHTNGRI9DfPw/mp4-360p-30fp-crf28/B4DZmp0qBtKQCI-/0/1759490781877/AccuRankerSquare_3mp4?e=2147483647&amp;v=beta&amp;t=Oo1cpz8RpAPmCblL2OGYu8O8EUNfLno9JSNNGXdmiMU","View Creative")</f>
        <v>View Creative</v>
      </c>
      <c r="L3912" s="4" t="s">
        <v>60</v>
      </c>
      <c r="M3912" s="4" t="s">
        <v>6785</v>
      </c>
      <c r="N3912" s="4"/>
      <c r="O3912" s="4" t="s">
        <v>63</v>
      </c>
      <c r="P3912" s="4" t="s">
        <v>64</v>
      </c>
    </row>
    <row r="3913">
      <c r="A3913" s="4" t="s">
        <v>6785</v>
      </c>
      <c r="B3913" s="4" t="s">
        <v>6786</v>
      </c>
      <c r="C3913" s="4">
        <v>302.0</v>
      </c>
      <c r="D3913" s="5" t="str">
        <f t="shared" si="267"/>
        <v>Open Ad</v>
      </c>
      <c r="E3913" s="4" t="s">
        <v>121</v>
      </c>
      <c r="F3913" s="4" t="s">
        <v>6765</v>
      </c>
      <c r="G3913" s="4" t="s">
        <v>6965</v>
      </c>
      <c r="H3913" s="4" t="s">
        <v>49</v>
      </c>
      <c r="I3913" s="4" t="s">
        <v>6768</v>
      </c>
      <c r="J3913" s="4" t="s">
        <v>121</v>
      </c>
      <c r="K3913" s="7" t="str">
        <f t="shared" si="268"/>
        <v>View Creative</v>
      </c>
      <c r="L3913" s="4" t="s">
        <v>60</v>
      </c>
      <c r="M3913" s="4" t="s">
        <v>6785</v>
      </c>
      <c r="N3913" s="4"/>
      <c r="O3913" s="4" t="s">
        <v>63</v>
      </c>
      <c r="P3913" s="4" t="s">
        <v>64</v>
      </c>
    </row>
    <row r="3914">
      <c r="A3914" s="4" t="s">
        <v>6785</v>
      </c>
      <c r="B3914" s="4" t="s">
        <v>6786</v>
      </c>
      <c r="C3914" s="4">
        <v>303.0</v>
      </c>
      <c r="D3914" s="5" t="str">
        <f t="shared" ref="D3914:D3915" si="269">HYPERLINK("https://www.linkedin.com/ad-library/detail/863300183","Open Ad")</f>
        <v>Open Ad</v>
      </c>
      <c r="E3914" s="4" t="s">
        <v>78</v>
      </c>
      <c r="F3914" s="4" t="s">
        <v>6765</v>
      </c>
      <c r="G3914" s="4" t="s">
        <v>6960</v>
      </c>
      <c r="H3914" s="4" t="s">
        <v>49</v>
      </c>
      <c r="I3914" s="4" t="s">
        <v>6768</v>
      </c>
      <c r="J3914" s="4" t="s">
        <v>78</v>
      </c>
      <c r="K3914" s="7" t="str">
        <f t="shared" ref="K3914:K3915" si="270">HYPERLINK("https://media.licdn.com/dms/image/v2/D4D22AQGTC46205g9Fw/feedshare-shrink_1280/B4DZmaFeLZIcAs-/0/1759226750074?e=2147483647&amp;v=beta&amp;t=arg04J7Nw-3797nDl3FOnw0mzBD1D7h0p4_UruCEKtw","View Creative")</f>
        <v>View Creative</v>
      </c>
      <c r="L3914" s="4" t="s">
        <v>60</v>
      </c>
      <c r="M3914" s="4" t="s">
        <v>6785</v>
      </c>
      <c r="N3914" s="4"/>
      <c r="O3914" s="4" t="s">
        <v>63</v>
      </c>
      <c r="P3914" s="4" t="s">
        <v>64</v>
      </c>
    </row>
    <row r="3915">
      <c r="A3915" s="4" t="s">
        <v>6785</v>
      </c>
      <c r="B3915" s="4" t="s">
        <v>6786</v>
      </c>
      <c r="C3915" s="4">
        <v>304.0</v>
      </c>
      <c r="D3915" s="5" t="str">
        <f t="shared" si="269"/>
        <v>Open Ad</v>
      </c>
      <c r="E3915" s="4" t="s">
        <v>78</v>
      </c>
      <c r="F3915" s="4" t="s">
        <v>6765</v>
      </c>
      <c r="G3915" s="4" t="s">
        <v>6960</v>
      </c>
      <c r="H3915" s="4" t="s">
        <v>49</v>
      </c>
      <c r="I3915" s="4" t="s">
        <v>6768</v>
      </c>
      <c r="J3915" s="4" t="s">
        <v>78</v>
      </c>
      <c r="K3915" s="7" t="str">
        <f t="shared" si="270"/>
        <v>View Creative</v>
      </c>
      <c r="L3915" s="4" t="s">
        <v>60</v>
      </c>
      <c r="M3915" s="4" t="s">
        <v>6785</v>
      </c>
      <c r="N3915" s="4"/>
      <c r="O3915" s="4" t="s">
        <v>63</v>
      </c>
      <c r="P3915" s="4" t="s">
        <v>64</v>
      </c>
    </row>
    <row r="3916">
      <c r="A3916" s="4" t="s">
        <v>6785</v>
      </c>
      <c r="B3916" s="4" t="s">
        <v>6786</v>
      </c>
      <c r="C3916" s="4">
        <v>305.0</v>
      </c>
      <c r="D3916" s="5" t="str">
        <f t="shared" ref="D3916:D3917" si="271">HYPERLINK("https://www.linkedin.com/ad-library/detail/863622363","Open Ad")</f>
        <v>Open Ad</v>
      </c>
      <c r="E3916" s="4" t="s">
        <v>121</v>
      </c>
      <c r="F3916" s="4" t="s">
        <v>6765</v>
      </c>
      <c r="G3916" s="4" t="s">
        <v>6966</v>
      </c>
      <c r="H3916" s="4" t="s">
        <v>49</v>
      </c>
      <c r="I3916" s="4" t="s">
        <v>6768</v>
      </c>
      <c r="J3916" s="4" t="s">
        <v>121</v>
      </c>
      <c r="K3916" s="7" t="str">
        <f t="shared" ref="K3916:K3917" si="272">HYPERLINK("https://dms.licdn.com/playlist/vid/v2/D4D10AQEHTNGRI9DfPw/mp4-360p-30fp-crf28/B4DZmp0qBtKQCI-/0/1759490781877/AccuRankerSquare_3mp4?e=2147483647&amp;v=beta&amp;t=Oo1cpz8RpAPmCblL2OGYu8O8EUNfLno9JSNNGXdmiMU","View Creative")</f>
        <v>View Creative</v>
      </c>
      <c r="L3916" s="4" t="s">
        <v>60</v>
      </c>
      <c r="M3916" s="4" t="s">
        <v>6785</v>
      </c>
      <c r="N3916" s="4"/>
      <c r="O3916" s="4" t="s">
        <v>63</v>
      </c>
      <c r="P3916" s="4" t="s">
        <v>64</v>
      </c>
    </row>
    <row r="3917">
      <c r="A3917" s="4" t="s">
        <v>6785</v>
      </c>
      <c r="B3917" s="4" t="s">
        <v>6786</v>
      </c>
      <c r="C3917" s="4">
        <v>306.0</v>
      </c>
      <c r="D3917" s="5" t="str">
        <f t="shared" si="271"/>
        <v>Open Ad</v>
      </c>
      <c r="E3917" s="4" t="s">
        <v>121</v>
      </c>
      <c r="F3917" s="4" t="s">
        <v>6765</v>
      </c>
      <c r="G3917" s="4" t="s">
        <v>6966</v>
      </c>
      <c r="H3917" s="4" t="s">
        <v>49</v>
      </c>
      <c r="I3917" s="4" t="s">
        <v>6768</v>
      </c>
      <c r="J3917" s="4" t="s">
        <v>121</v>
      </c>
      <c r="K3917" s="7" t="str">
        <f t="shared" si="272"/>
        <v>View Creative</v>
      </c>
      <c r="L3917" s="4" t="s">
        <v>60</v>
      </c>
      <c r="M3917" s="4" t="s">
        <v>6785</v>
      </c>
      <c r="N3917" s="4"/>
      <c r="O3917" s="4" t="s">
        <v>63</v>
      </c>
      <c r="P3917" s="4" t="s">
        <v>64</v>
      </c>
    </row>
    <row r="3918">
      <c r="A3918" s="4" t="s">
        <v>6785</v>
      </c>
      <c r="B3918" s="4" t="s">
        <v>6786</v>
      </c>
      <c r="C3918" s="4">
        <v>307.0</v>
      </c>
      <c r="D3918" s="5" t="str">
        <f t="shared" ref="D3918:D3919" si="273">HYPERLINK("https://www.linkedin.com/ad-library/detail/863251273","Open Ad")</f>
        <v>Open Ad</v>
      </c>
      <c r="E3918" s="4" t="s">
        <v>78</v>
      </c>
      <c r="F3918" s="4" t="s">
        <v>6765</v>
      </c>
      <c r="G3918" s="4" t="s">
        <v>6967</v>
      </c>
      <c r="H3918" s="4" t="s">
        <v>49</v>
      </c>
      <c r="I3918" s="4" t="s">
        <v>6768</v>
      </c>
      <c r="J3918" s="4" t="s">
        <v>78</v>
      </c>
      <c r="K3918" s="7" t="str">
        <f t="shared" ref="K3918:K3921" si="274">HYPERLINK("https://media.licdn.com/dms/image/sync/v2/D4D27AQF0tAsgIK3wHw/articleshare-shrink_1280_800/B4DZmZm3VWH4AQ-/0/1759218727257?e=2147483647&amp;v=beta&amp;t=21PYqWQqk9O4sv5kzEn8I2Y0jNOMvskG2ILx4TZJO7U","View Creative")</f>
        <v>View Creative</v>
      </c>
      <c r="L3918" s="4" t="s">
        <v>60</v>
      </c>
      <c r="M3918" s="4" t="s">
        <v>6785</v>
      </c>
      <c r="N3918" s="4"/>
      <c r="O3918" s="4" t="s">
        <v>63</v>
      </c>
      <c r="P3918" s="4" t="s">
        <v>64</v>
      </c>
    </row>
    <row r="3919">
      <c r="A3919" s="4" t="s">
        <v>6785</v>
      </c>
      <c r="B3919" s="4" t="s">
        <v>6786</v>
      </c>
      <c r="C3919" s="4">
        <v>308.0</v>
      </c>
      <c r="D3919" s="5" t="str">
        <f t="shared" si="273"/>
        <v>Open Ad</v>
      </c>
      <c r="E3919" s="4" t="s">
        <v>78</v>
      </c>
      <c r="F3919" s="4" t="s">
        <v>6765</v>
      </c>
      <c r="G3919" s="4" t="s">
        <v>6967</v>
      </c>
      <c r="H3919" s="4" t="s">
        <v>49</v>
      </c>
      <c r="I3919" s="4" t="s">
        <v>6768</v>
      </c>
      <c r="J3919" s="4" t="s">
        <v>78</v>
      </c>
      <c r="K3919" s="7" t="str">
        <f t="shared" si="274"/>
        <v>View Creative</v>
      </c>
      <c r="L3919" s="4" t="s">
        <v>60</v>
      </c>
      <c r="M3919" s="4" t="s">
        <v>6785</v>
      </c>
      <c r="N3919" s="4"/>
      <c r="O3919" s="4" t="s">
        <v>63</v>
      </c>
      <c r="P3919" s="4" t="s">
        <v>64</v>
      </c>
    </row>
    <row r="3920">
      <c r="A3920" s="4" t="s">
        <v>6785</v>
      </c>
      <c r="B3920" s="4" t="s">
        <v>6786</v>
      </c>
      <c r="C3920" s="4">
        <v>309.0</v>
      </c>
      <c r="D3920" s="5" t="str">
        <f t="shared" ref="D3920:D3921" si="275">HYPERLINK("https://www.linkedin.com/ad-library/detail/863271353","Open Ad")</f>
        <v>Open Ad</v>
      </c>
      <c r="E3920" s="4" t="s">
        <v>78</v>
      </c>
      <c r="F3920" s="4" t="s">
        <v>6765</v>
      </c>
      <c r="G3920" s="4" t="s">
        <v>6967</v>
      </c>
      <c r="H3920" s="4" t="s">
        <v>49</v>
      </c>
      <c r="I3920" s="4" t="s">
        <v>6768</v>
      </c>
      <c r="J3920" s="4" t="s">
        <v>78</v>
      </c>
      <c r="K3920" s="7" t="str">
        <f t="shared" si="274"/>
        <v>View Creative</v>
      </c>
      <c r="L3920" s="4" t="s">
        <v>60</v>
      </c>
      <c r="M3920" s="4" t="s">
        <v>6785</v>
      </c>
      <c r="N3920" s="4" t="s">
        <v>6968</v>
      </c>
      <c r="O3920" s="4" t="s">
        <v>63</v>
      </c>
      <c r="P3920" s="4" t="s">
        <v>64</v>
      </c>
    </row>
    <row r="3921">
      <c r="A3921" s="4" t="s">
        <v>6785</v>
      </c>
      <c r="B3921" s="4" t="s">
        <v>6786</v>
      </c>
      <c r="C3921" s="4">
        <v>310.0</v>
      </c>
      <c r="D3921" s="5" t="str">
        <f t="shared" si="275"/>
        <v>Open Ad</v>
      </c>
      <c r="E3921" s="4" t="s">
        <v>78</v>
      </c>
      <c r="F3921" s="4" t="s">
        <v>6765</v>
      </c>
      <c r="G3921" s="4" t="s">
        <v>6967</v>
      </c>
      <c r="H3921" s="4" t="s">
        <v>49</v>
      </c>
      <c r="I3921" s="4" t="s">
        <v>6768</v>
      </c>
      <c r="J3921" s="4" t="s">
        <v>78</v>
      </c>
      <c r="K3921" s="7" t="str">
        <f t="shared" si="274"/>
        <v>View Creative</v>
      </c>
      <c r="L3921" s="4" t="s">
        <v>60</v>
      </c>
      <c r="M3921" s="4" t="s">
        <v>6785</v>
      </c>
      <c r="N3921" s="4" t="s">
        <v>6968</v>
      </c>
      <c r="O3921" s="4" t="s">
        <v>63</v>
      </c>
      <c r="P3921" s="4" t="s">
        <v>64</v>
      </c>
    </row>
    <row r="3922">
      <c r="A3922" s="4" t="s">
        <v>6785</v>
      </c>
      <c r="B3922" s="4" t="s">
        <v>6786</v>
      </c>
      <c r="C3922" s="4">
        <v>311.0</v>
      </c>
      <c r="D3922" s="5" t="str">
        <f t="shared" ref="D3922:D3923" si="276">HYPERLINK("https://www.linkedin.com/ad-library/detail/863271343","Open Ad")</f>
        <v>Open Ad</v>
      </c>
      <c r="E3922" s="4" t="s">
        <v>78</v>
      </c>
      <c r="F3922" s="4" t="s">
        <v>6765</v>
      </c>
      <c r="G3922" s="4" t="s">
        <v>6962</v>
      </c>
      <c r="H3922" s="4" t="s">
        <v>6963</v>
      </c>
      <c r="I3922" s="4" t="s">
        <v>6768</v>
      </c>
      <c r="J3922" s="4" t="s">
        <v>78</v>
      </c>
      <c r="K3922" s="7" t="str">
        <f t="shared" ref="K3922:K3923" si="277">HYPERLINK("https://media.licdn.com/dms/image/v2/D4E22AQFvstp4V9ygRg/feedshare-image-high-res/B4EZmj8euxKUAo-/0/1759392166073?e=2147483647&amp;v=beta&amp;t=EXDWWhQooEkbgqMDoKDAnhCTL-XFCxG2vIYLmUi9cHI","View Creative")</f>
        <v>View Creative</v>
      </c>
      <c r="L3922" s="4" t="s">
        <v>60</v>
      </c>
      <c r="M3922" s="4" t="s">
        <v>6785</v>
      </c>
      <c r="N3922" s="4" t="s">
        <v>6964</v>
      </c>
      <c r="O3922" s="4" t="s">
        <v>63</v>
      </c>
      <c r="P3922" s="4" t="s">
        <v>64</v>
      </c>
    </row>
    <row r="3923">
      <c r="A3923" s="4" t="s">
        <v>6785</v>
      </c>
      <c r="B3923" s="4" t="s">
        <v>6786</v>
      </c>
      <c r="C3923" s="4">
        <v>312.0</v>
      </c>
      <c r="D3923" s="5" t="str">
        <f t="shared" si="276"/>
        <v>Open Ad</v>
      </c>
      <c r="E3923" s="4" t="s">
        <v>78</v>
      </c>
      <c r="F3923" s="4" t="s">
        <v>6765</v>
      </c>
      <c r="G3923" s="4" t="s">
        <v>6962</v>
      </c>
      <c r="H3923" s="4" t="s">
        <v>6963</v>
      </c>
      <c r="I3923" s="4" t="s">
        <v>6768</v>
      </c>
      <c r="J3923" s="4" t="s">
        <v>78</v>
      </c>
      <c r="K3923" s="7" t="str">
        <f t="shared" si="277"/>
        <v>View Creative</v>
      </c>
      <c r="L3923" s="4" t="s">
        <v>60</v>
      </c>
      <c r="M3923" s="4" t="s">
        <v>6785</v>
      </c>
      <c r="N3923" s="4" t="s">
        <v>6964</v>
      </c>
      <c r="O3923" s="4" t="s">
        <v>63</v>
      </c>
      <c r="P3923" s="4" t="s">
        <v>64</v>
      </c>
    </row>
    <row r="3924">
      <c r="A3924" s="4" t="s">
        <v>6785</v>
      </c>
      <c r="B3924" s="4" t="s">
        <v>6786</v>
      </c>
      <c r="C3924" s="4">
        <v>313.0</v>
      </c>
      <c r="D3924" s="5" t="str">
        <f t="shared" ref="D3924:D3925" si="278">HYPERLINK("https://www.linkedin.com/ad-library/detail/863502523","Open Ad")</f>
        <v>Open Ad</v>
      </c>
      <c r="E3924" s="4" t="s">
        <v>121</v>
      </c>
      <c r="F3924" s="4" t="s">
        <v>6765</v>
      </c>
      <c r="G3924" s="4" t="s">
        <v>6950</v>
      </c>
      <c r="H3924" s="4" t="s">
        <v>49</v>
      </c>
      <c r="I3924" s="4" t="s">
        <v>6768</v>
      </c>
      <c r="J3924" s="4" t="s">
        <v>121</v>
      </c>
      <c r="K3924" s="7" t="str">
        <f t="shared" ref="K3924:K3927" si="279">HYPERLINK("https://dms.licdn.com/playlist/vid/v2/D4D10AQEHTNGRI9DfPw/mp4-360p-30fp-crf28/B4DZmp0qBtKQCI-/0/1759490781877/AccuRankerSquare_3mp4?e=2147483647&amp;v=beta&amp;t=Oo1cpz8RpAPmCblL2OGYu8O8EUNfLno9JSNNGXdmiMU","View Creative")</f>
        <v>View Creative</v>
      </c>
      <c r="L3924" s="4" t="s">
        <v>60</v>
      </c>
      <c r="M3924" s="4" t="s">
        <v>6785</v>
      </c>
      <c r="N3924" s="4"/>
      <c r="O3924" s="4" t="s">
        <v>63</v>
      </c>
      <c r="P3924" s="4" t="s">
        <v>64</v>
      </c>
    </row>
    <row r="3925">
      <c r="A3925" s="4" t="s">
        <v>6785</v>
      </c>
      <c r="B3925" s="4" t="s">
        <v>6786</v>
      </c>
      <c r="C3925" s="4">
        <v>314.0</v>
      </c>
      <c r="D3925" s="5" t="str">
        <f t="shared" si="278"/>
        <v>Open Ad</v>
      </c>
      <c r="E3925" s="4" t="s">
        <v>121</v>
      </c>
      <c r="F3925" s="4" t="s">
        <v>6765</v>
      </c>
      <c r="G3925" s="4" t="s">
        <v>6950</v>
      </c>
      <c r="H3925" s="4" t="s">
        <v>49</v>
      </c>
      <c r="I3925" s="4" t="s">
        <v>6768</v>
      </c>
      <c r="J3925" s="4" t="s">
        <v>121</v>
      </c>
      <c r="K3925" s="7" t="str">
        <f t="shared" si="279"/>
        <v>View Creative</v>
      </c>
      <c r="L3925" s="4" t="s">
        <v>60</v>
      </c>
      <c r="M3925" s="4" t="s">
        <v>6785</v>
      </c>
      <c r="N3925" s="4"/>
      <c r="O3925" s="4" t="s">
        <v>63</v>
      </c>
      <c r="P3925" s="4" t="s">
        <v>64</v>
      </c>
    </row>
    <row r="3926">
      <c r="A3926" s="4" t="s">
        <v>6785</v>
      </c>
      <c r="B3926" s="4" t="s">
        <v>6786</v>
      </c>
      <c r="C3926" s="4">
        <v>315.0</v>
      </c>
      <c r="D3926" s="5" t="str">
        <f t="shared" ref="D3926:D3927" si="280">HYPERLINK("https://www.linkedin.com/ad-library/detail/863652493","Open Ad")</f>
        <v>Open Ad</v>
      </c>
      <c r="E3926" s="4" t="s">
        <v>121</v>
      </c>
      <c r="F3926" s="4" t="s">
        <v>6765</v>
      </c>
      <c r="G3926" s="4" t="s">
        <v>6951</v>
      </c>
      <c r="H3926" s="4" t="s">
        <v>49</v>
      </c>
      <c r="I3926" s="4" t="s">
        <v>6768</v>
      </c>
      <c r="J3926" s="4" t="s">
        <v>121</v>
      </c>
      <c r="K3926" s="7" t="str">
        <f t="shared" si="279"/>
        <v>View Creative</v>
      </c>
      <c r="L3926" s="4" t="s">
        <v>60</v>
      </c>
      <c r="M3926" s="4" t="s">
        <v>6785</v>
      </c>
      <c r="N3926" s="4"/>
      <c r="O3926" s="4" t="s">
        <v>63</v>
      </c>
      <c r="P3926" s="4" t="s">
        <v>64</v>
      </c>
    </row>
    <row r="3927">
      <c r="A3927" s="4" t="s">
        <v>6785</v>
      </c>
      <c r="B3927" s="4" t="s">
        <v>6786</v>
      </c>
      <c r="C3927" s="4">
        <v>316.0</v>
      </c>
      <c r="D3927" s="5" t="str">
        <f t="shared" si="280"/>
        <v>Open Ad</v>
      </c>
      <c r="E3927" s="4" t="s">
        <v>121</v>
      </c>
      <c r="F3927" s="4" t="s">
        <v>6765</v>
      </c>
      <c r="G3927" s="4" t="s">
        <v>6951</v>
      </c>
      <c r="H3927" s="4" t="s">
        <v>49</v>
      </c>
      <c r="I3927" s="4" t="s">
        <v>6768</v>
      </c>
      <c r="J3927" s="4" t="s">
        <v>121</v>
      </c>
      <c r="K3927" s="7" t="str">
        <f t="shared" si="279"/>
        <v>View Creative</v>
      </c>
      <c r="L3927" s="4" t="s">
        <v>60</v>
      </c>
      <c r="M3927" s="4" t="s">
        <v>6785</v>
      </c>
      <c r="N3927" s="4"/>
      <c r="O3927" s="4" t="s">
        <v>63</v>
      </c>
      <c r="P3927" s="4" t="s">
        <v>64</v>
      </c>
    </row>
    <row r="3928">
      <c r="A3928" s="4" t="s">
        <v>6785</v>
      </c>
      <c r="B3928" s="4" t="s">
        <v>6786</v>
      </c>
      <c r="C3928" s="4">
        <v>317.0</v>
      </c>
      <c r="D3928" s="5" t="str">
        <f t="shared" ref="D3928:D3929" si="281">HYPERLINK("https://www.linkedin.com/ad-library/detail/863420123","Open Ad")</f>
        <v>Open Ad</v>
      </c>
      <c r="E3928" s="4" t="s">
        <v>78</v>
      </c>
      <c r="F3928" s="4" t="s">
        <v>6765</v>
      </c>
      <c r="G3928" s="4" t="s">
        <v>6967</v>
      </c>
      <c r="H3928" s="4" t="s">
        <v>49</v>
      </c>
      <c r="I3928" s="4" t="s">
        <v>6768</v>
      </c>
      <c r="J3928" s="4" t="s">
        <v>78</v>
      </c>
      <c r="K3928" s="7" t="str">
        <f t="shared" ref="K3928:K3929" si="282">HYPERLINK("https://media.licdn.com/dms/image/sync/v2/D4D27AQF0tAsgIK3wHw/articleshare-shrink_1280_800/B4DZmZm3VWH4AQ-/0/1759218727257?e=2147483647&amp;v=beta&amp;t=21PYqWQqk9O4sv5kzEn8I2Y0jNOMvskG2ILx4TZJO7U","View Creative")</f>
        <v>View Creative</v>
      </c>
      <c r="L3928" s="4" t="s">
        <v>60</v>
      </c>
      <c r="M3928" s="4" t="s">
        <v>6785</v>
      </c>
      <c r="N3928" s="4"/>
      <c r="O3928" s="4" t="s">
        <v>63</v>
      </c>
      <c r="P3928" s="4" t="s">
        <v>64</v>
      </c>
    </row>
    <row r="3929">
      <c r="A3929" s="4" t="s">
        <v>6785</v>
      </c>
      <c r="B3929" s="4" t="s">
        <v>6786</v>
      </c>
      <c r="C3929" s="4">
        <v>318.0</v>
      </c>
      <c r="D3929" s="5" t="str">
        <f t="shared" si="281"/>
        <v>Open Ad</v>
      </c>
      <c r="E3929" s="4" t="s">
        <v>78</v>
      </c>
      <c r="F3929" s="4" t="s">
        <v>6765</v>
      </c>
      <c r="G3929" s="4" t="s">
        <v>6967</v>
      </c>
      <c r="H3929" s="4" t="s">
        <v>49</v>
      </c>
      <c r="I3929" s="4" t="s">
        <v>6768</v>
      </c>
      <c r="J3929" s="4" t="s">
        <v>78</v>
      </c>
      <c r="K3929" s="7" t="str">
        <f t="shared" si="282"/>
        <v>View Creative</v>
      </c>
      <c r="L3929" s="4" t="s">
        <v>60</v>
      </c>
      <c r="M3929" s="4" t="s">
        <v>6785</v>
      </c>
      <c r="N3929" s="4"/>
      <c r="O3929" s="4" t="s">
        <v>63</v>
      </c>
      <c r="P3929" s="4" t="s">
        <v>64</v>
      </c>
    </row>
    <row r="3930">
      <c r="A3930" s="4" t="s">
        <v>6785</v>
      </c>
      <c r="B3930" s="4" t="s">
        <v>6786</v>
      </c>
      <c r="C3930" s="4">
        <v>319.0</v>
      </c>
      <c r="D3930" s="5" t="str">
        <f t="shared" ref="D3930:D3931" si="283">HYPERLINK("https://www.linkedin.com/ad-library/detail/863331353","Open Ad")</f>
        <v>Open Ad</v>
      </c>
      <c r="E3930" s="4" t="s">
        <v>78</v>
      </c>
      <c r="F3930" s="4" t="s">
        <v>6765</v>
      </c>
      <c r="G3930" s="4" t="s">
        <v>6960</v>
      </c>
      <c r="H3930" s="4" t="s">
        <v>49</v>
      </c>
      <c r="I3930" s="4" t="s">
        <v>6768</v>
      </c>
      <c r="J3930" s="4" t="s">
        <v>78</v>
      </c>
      <c r="K3930" s="7" t="str">
        <f t="shared" ref="K3930:K3931" si="284">HYPERLINK("https://media.licdn.com/dms/image/v2/D4D22AQGTC46205g9Fw/feedshare-shrink_1280/B4DZmaFeLZIcAs-/0/1759226750074?e=2147483647&amp;v=beta&amp;t=arg04J7Nw-3797nDl3FOnw0mzBD1D7h0p4_UruCEKtw","View Creative")</f>
        <v>View Creative</v>
      </c>
      <c r="L3930" s="4" t="s">
        <v>60</v>
      </c>
      <c r="M3930" s="4" t="s">
        <v>6785</v>
      </c>
      <c r="N3930" s="4"/>
      <c r="O3930" s="4" t="s">
        <v>63</v>
      </c>
      <c r="P3930" s="4" t="s">
        <v>64</v>
      </c>
    </row>
    <row r="3931">
      <c r="A3931" s="4" t="s">
        <v>6785</v>
      </c>
      <c r="B3931" s="4" t="s">
        <v>6786</v>
      </c>
      <c r="C3931" s="4">
        <v>320.0</v>
      </c>
      <c r="D3931" s="5" t="str">
        <f t="shared" si="283"/>
        <v>Open Ad</v>
      </c>
      <c r="E3931" s="4" t="s">
        <v>78</v>
      </c>
      <c r="F3931" s="4" t="s">
        <v>6765</v>
      </c>
      <c r="G3931" s="4" t="s">
        <v>6960</v>
      </c>
      <c r="H3931" s="4" t="s">
        <v>49</v>
      </c>
      <c r="I3931" s="4" t="s">
        <v>6768</v>
      </c>
      <c r="J3931" s="4" t="s">
        <v>78</v>
      </c>
      <c r="K3931" s="7" t="str">
        <f t="shared" si="284"/>
        <v>View Creative</v>
      </c>
      <c r="L3931" s="4" t="s">
        <v>60</v>
      </c>
      <c r="M3931" s="4" t="s">
        <v>6785</v>
      </c>
      <c r="N3931" s="4"/>
      <c r="O3931" s="4" t="s">
        <v>63</v>
      </c>
      <c r="P3931" s="4" t="s">
        <v>64</v>
      </c>
    </row>
    <row r="3932">
      <c r="A3932" s="4" t="s">
        <v>6785</v>
      </c>
      <c r="B3932" s="4" t="s">
        <v>6786</v>
      </c>
      <c r="C3932" s="4">
        <v>321.0</v>
      </c>
      <c r="D3932" s="5" t="str">
        <f t="shared" ref="D3932:D3933" si="285">HYPERLINK("https://www.linkedin.com/ad-library/detail/863672193","Open Ad")</f>
        <v>Open Ad</v>
      </c>
      <c r="E3932" s="4" t="s">
        <v>121</v>
      </c>
      <c r="F3932" s="4" t="s">
        <v>6765</v>
      </c>
      <c r="G3932" s="4" t="s">
        <v>6957</v>
      </c>
      <c r="H3932" s="4" t="s">
        <v>49</v>
      </c>
      <c r="I3932" s="4" t="s">
        <v>6768</v>
      </c>
      <c r="J3932" s="4" t="s">
        <v>121</v>
      </c>
      <c r="K3932" s="7" t="str">
        <f t="shared" ref="K3932:K3933" si="286">HYPERLINK("https://dms.licdn.com/playlist/vid/v2/D4D10AQEHTNGRI9DfPw/mp4-360p-30fp-crf28/B4DZmp0qBtKQCI-/0/1759490781877/AccuRankerSquare_3mp4?e=2147483647&amp;v=beta&amp;t=Oo1cpz8RpAPmCblL2OGYu8O8EUNfLno9JSNNGXdmiMU","View Creative")</f>
        <v>View Creative</v>
      </c>
      <c r="L3932" s="4" t="s">
        <v>60</v>
      </c>
      <c r="M3932" s="4" t="s">
        <v>6785</v>
      </c>
      <c r="N3932" s="4"/>
      <c r="O3932" s="4" t="s">
        <v>63</v>
      </c>
      <c r="P3932" s="4" t="s">
        <v>64</v>
      </c>
    </row>
    <row r="3933">
      <c r="A3933" s="4" t="s">
        <v>6785</v>
      </c>
      <c r="B3933" s="4" t="s">
        <v>6786</v>
      </c>
      <c r="C3933" s="4">
        <v>322.0</v>
      </c>
      <c r="D3933" s="5" t="str">
        <f t="shared" si="285"/>
        <v>Open Ad</v>
      </c>
      <c r="E3933" s="4" t="s">
        <v>121</v>
      </c>
      <c r="F3933" s="4" t="s">
        <v>6765</v>
      </c>
      <c r="G3933" s="4" t="s">
        <v>6957</v>
      </c>
      <c r="H3933" s="4" t="s">
        <v>49</v>
      </c>
      <c r="I3933" s="4" t="s">
        <v>6768</v>
      </c>
      <c r="J3933" s="4" t="s">
        <v>121</v>
      </c>
      <c r="K3933" s="7" t="str">
        <f t="shared" si="286"/>
        <v>View Creative</v>
      </c>
      <c r="L3933" s="4" t="s">
        <v>60</v>
      </c>
      <c r="M3933" s="4" t="s">
        <v>6785</v>
      </c>
      <c r="N3933" s="4"/>
      <c r="O3933" s="4" t="s">
        <v>63</v>
      </c>
      <c r="P3933" s="4" t="s">
        <v>64</v>
      </c>
    </row>
    <row r="3934">
      <c r="A3934" s="4" t="s">
        <v>6785</v>
      </c>
      <c r="B3934" s="4" t="s">
        <v>6786</v>
      </c>
      <c r="C3934" s="4">
        <v>323.0</v>
      </c>
      <c r="D3934" s="5" t="str">
        <f t="shared" ref="D3934:D3935" si="287">HYPERLINK("https://www.linkedin.com/ad-library/detail/863470343","Open Ad")</f>
        <v>Open Ad</v>
      </c>
      <c r="E3934" s="4" t="s">
        <v>78</v>
      </c>
      <c r="F3934" s="4" t="s">
        <v>6765</v>
      </c>
      <c r="G3934" s="4" t="s">
        <v>6962</v>
      </c>
      <c r="H3934" s="4" t="s">
        <v>6963</v>
      </c>
      <c r="I3934" s="4" t="s">
        <v>6768</v>
      </c>
      <c r="J3934" s="4" t="s">
        <v>78</v>
      </c>
      <c r="K3934" s="7" t="str">
        <f t="shared" ref="K3934:K3935" si="288">HYPERLINK("https://media.licdn.com/dms/image/v2/D4E22AQFvstp4V9ygRg/feedshare-image-high-res/B4EZmj8euxKUAo-/0/1759392166073?e=2147483647&amp;v=beta&amp;t=EXDWWhQooEkbgqMDoKDAnhCTL-XFCxG2vIYLmUi9cHI","View Creative")</f>
        <v>View Creative</v>
      </c>
      <c r="L3934" s="4" t="s">
        <v>60</v>
      </c>
      <c r="M3934" s="4" t="s">
        <v>6785</v>
      </c>
      <c r="N3934" s="4"/>
      <c r="O3934" s="4" t="s">
        <v>63</v>
      </c>
      <c r="P3934" s="4" t="s">
        <v>64</v>
      </c>
    </row>
    <row r="3935">
      <c r="A3935" s="4" t="s">
        <v>6785</v>
      </c>
      <c r="B3935" s="4" t="s">
        <v>6786</v>
      </c>
      <c r="C3935" s="4">
        <v>324.0</v>
      </c>
      <c r="D3935" s="5" t="str">
        <f t="shared" si="287"/>
        <v>Open Ad</v>
      </c>
      <c r="E3935" s="4" t="s">
        <v>78</v>
      </c>
      <c r="F3935" s="4" t="s">
        <v>6765</v>
      </c>
      <c r="G3935" s="4" t="s">
        <v>6962</v>
      </c>
      <c r="H3935" s="4" t="s">
        <v>6963</v>
      </c>
      <c r="I3935" s="4" t="s">
        <v>6768</v>
      </c>
      <c r="J3935" s="4" t="s">
        <v>78</v>
      </c>
      <c r="K3935" s="7" t="str">
        <f t="shared" si="288"/>
        <v>View Creative</v>
      </c>
      <c r="L3935" s="4" t="s">
        <v>60</v>
      </c>
      <c r="M3935" s="4" t="s">
        <v>6785</v>
      </c>
      <c r="N3935" s="4"/>
      <c r="O3935" s="4" t="s">
        <v>63</v>
      </c>
      <c r="P3935" s="4" t="s">
        <v>64</v>
      </c>
    </row>
    <row r="3936">
      <c r="A3936" s="4" t="s">
        <v>6785</v>
      </c>
      <c r="B3936" s="4" t="s">
        <v>6786</v>
      </c>
      <c r="C3936" s="4">
        <v>325.0</v>
      </c>
      <c r="D3936" s="5" t="str">
        <f t="shared" ref="D3936:D3937" si="289">HYPERLINK("https://www.linkedin.com/ad-library/detail/863241063","Open Ad")</f>
        <v>Open Ad</v>
      </c>
      <c r="E3936" s="4" t="s">
        <v>78</v>
      </c>
      <c r="F3936" s="4" t="s">
        <v>6765</v>
      </c>
      <c r="G3936" s="4" t="s">
        <v>6958</v>
      </c>
      <c r="H3936" s="4" t="s">
        <v>49</v>
      </c>
      <c r="I3936" s="4" t="s">
        <v>6768</v>
      </c>
      <c r="J3936" s="4" t="s">
        <v>78</v>
      </c>
      <c r="K3936" s="7" t="str">
        <f t="shared" ref="K3936:K3937" si="290">HYPERLINK("https://media.licdn.com/dms/image/v2/D4D22AQGebkJ5j84a5A/feedshare-shrink_1280/B4DZmZwzOtIgAw-/0/1759221331902?e=2147483647&amp;v=beta&amp;t=Cvow_3EStPatjmEk0UP8M_fx5HR7k3hSsPfU28pjLls","View Creative")</f>
        <v>View Creative</v>
      </c>
      <c r="L3936" s="4" t="s">
        <v>60</v>
      </c>
      <c r="M3936" s="4" t="s">
        <v>6785</v>
      </c>
      <c r="N3936" s="4" t="s">
        <v>6959</v>
      </c>
      <c r="O3936" s="4" t="s">
        <v>63</v>
      </c>
      <c r="P3936" s="4" t="s">
        <v>64</v>
      </c>
    </row>
    <row r="3937">
      <c r="A3937" s="4" t="s">
        <v>6785</v>
      </c>
      <c r="B3937" s="4" t="s">
        <v>6786</v>
      </c>
      <c r="C3937" s="4">
        <v>326.0</v>
      </c>
      <c r="D3937" s="5" t="str">
        <f t="shared" si="289"/>
        <v>Open Ad</v>
      </c>
      <c r="E3937" s="4" t="s">
        <v>78</v>
      </c>
      <c r="F3937" s="4" t="s">
        <v>6765</v>
      </c>
      <c r="G3937" s="4" t="s">
        <v>6958</v>
      </c>
      <c r="H3937" s="4" t="s">
        <v>49</v>
      </c>
      <c r="I3937" s="4" t="s">
        <v>6768</v>
      </c>
      <c r="J3937" s="4" t="s">
        <v>78</v>
      </c>
      <c r="K3937" s="7" t="str">
        <f t="shared" si="290"/>
        <v>View Creative</v>
      </c>
      <c r="L3937" s="4" t="s">
        <v>60</v>
      </c>
      <c r="M3937" s="4" t="s">
        <v>6785</v>
      </c>
      <c r="N3937" s="4" t="s">
        <v>6959</v>
      </c>
      <c r="O3937" s="4" t="s">
        <v>63</v>
      </c>
      <c r="P3937" s="4" t="s">
        <v>64</v>
      </c>
    </row>
    <row r="3938">
      <c r="A3938" s="4" t="s">
        <v>6785</v>
      </c>
      <c r="B3938" s="4" t="s">
        <v>6786</v>
      </c>
      <c r="C3938" s="4">
        <v>327.0</v>
      </c>
      <c r="D3938" s="5" t="str">
        <f t="shared" ref="D3938:D3939" si="291">HYPERLINK("https://www.linkedin.com/ad-library/detail/863562523","Open Ad")</f>
        <v>Open Ad</v>
      </c>
      <c r="E3938" s="4" t="s">
        <v>121</v>
      </c>
      <c r="F3938" s="4" t="s">
        <v>6765</v>
      </c>
      <c r="G3938" s="4" t="s">
        <v>6966</v>
      </c>
      <c r="H3938" s="4" t="s">
        <v>49</v>
      </c>
      <c r="I3938" s="4" t="s">
        <v>6768</v>
      </c>
      <c r="J3938" s="4" t="s">
        <v>121</v>
      </c>
      <c r="K3938" s="7" t="str">
        <f t="shared" ref="K3938:K3939" si="292">HYPERLINK("https://dms.licdn.com/playlist/vid/v2/D4D10AQEHTNGRI9DfPw/mp4-360p-30fp-crf28/B4DZmp0qBtKQCI-/0/1759490781877/AccuRankerSquare_3mp4?e=2147483647&amp;v=beta&amp;t=Oo1cpz8RpAPmCblL2OGYu8O8EUNfLno9JSNNGXdmiMU","View Creative")</f>
        <v>View Creative</v>
      </c>
      <c r="L3938" s="4" t="s">
        <v>60</v>
      </c>
      <c r="M3938" s="4" t="s">
        <v>6785</v>
      </c>
      <c r="N3938" s="4"/>
      <c r="O3938" s="4" t="s">
        <v>63</v>
      </c>
      <c r="P3938" s="4" t="s">
        <v>64</v>
      </c>
    </row>
    <row r="3939">
      <c r="A3939" s="4" t="s">
        <v>6785</v>
      </c>
      <c r="B3939" s="4" t="s">
        <v>6786</v>
      </c>
      <c r="C3939" s="4">
        <v>328.0</v>
      </c>
      <c r="D3939" s="5" t="str">
        <f t="shared" si="291"/>
        <v>Open Ad</v>
      </c>
      <c r="E3939" s="4" t="s">
        <v>121</v>
      </c>
      <c r="F3939" s="4" t="s">
        <v>6765</v>
      </c>
      <c r="G3939" s="4" t="s">
        <v>6966</v>
      </c>
      <c r="H3939" s="4" t="s">
        <v>49</v>
      </c>
      <c r="I3939" s="4" t="s">
        <v>6768</v>
      </c>
      <c r="J3939" s="4" t="s">
        <v>121</v>
      </c>
      <c r="K3939" s="7" t="str">
        <f t="shared" si="292"/>
        <v>View Creative</v>
      </c>
      <c r="L3939" s="4" t="s">
        <v>60</v>
      </c>
      <c r="M3939" s="4" t="s">
        <v>6785</v>
      </c>
      <c r="N3939" s="4"/>
      <c r="O3939" s="4" t="s">
        <v>63</v>
      </c>
      <c r="P3939" s="4" t="s">
        <v>64</v>
      </c>
    </row>
    <row r="3940">
      <c r="A3940" s="4" t="s">
        <v>6785</v>
      </c>
      <c r="B3940" s="4" t="s">
        <v>6786</v>
      </c>
      <c r="C3940" s="4">
        <v>329.0</v>
      </c>
      <c r="D3940" s="5" t="str">
        <f t="shared" ref="D3940:D3941" si="293">HYPERLINK("https://www.linkedin.com/ad-library/detail/863430313","Open Ad")</f>
        <v>Open Ad</v>
      </c>
      <c r="E3940" s="4" t="s">
        <v>78</v>
      </c>
      <c r="F3940" s="4" t="s">
        <v>6765</v>
      </c>
      <c r="G3940" s="4" t="s">
        <v>6962</v>
      </c>
      <c r="H3940" s="4" t="s">
        <v>6963</v>
      </c>
      <c r="I3940" s="4" t="s">
        <v>6768</v>
      </c>
      <c r="J3940" s="4" t="s">
        <v>78</v>
      </c>
      <c r="K3940" s="7" t="str">
        <f t="shared" ref="K3940:K3941" si="294">HYPERLINK("https://media.licdn.com/dms/image/v2/D4E22AQFvstp4V9ygRg/feedshare-image-high-res/B4EZmj8euxKUAo-/0/1759392166073?e=2147483647&amp;v=beta&amp;t=EXDWWhQooEkbgqMDoKDAnhCTL-XFCxG2vIYLmUi9cHI","View Creative")</f>
        <v>View Creative</v>
      </c>
      <c r="L3940" s="4" t="s">
        <v>60</v>
      </c>
      <c r="M3940" s="4" t="s">
        <v>6785</v>
      </c>
      <c r="N3940" s="4" t="s">
        <v>6964</v>
      </c>
      <c r="O3940" s="4" t="s">
        <v>63</v>
      </c>
      <c r="P3940" s="4" t="s">
        <v>64</v>
      </c>
    </row>
    <row r="3941">
      <c r="A3941" s="4" t="s">
        <v>6785</v>
      </c>
      <c r="B3941" s="4" t="s">
        <v>6786</v>
      </c>
      <c r="C3941" s="4">
        <v>330.0</v>
      </c>
      <c r="D3941" s="5" t="str">
        <f t="shared" si="293"/>
        <v>Open Ad</v>
      </c>
      <c r="E3941" s="4" t="s">
        <v>78</v>
      </c>
      <c r="F3941" s="4" t="s">
        <v>6765</v>
      </c>
      <c r="G3941" s="4" t="s">
        <v>6962</v>
      </c>
      <c r="H3941" s="4" t="s">
        <v>6963</v>
      </c>
      <c r="I3941" s="4" t="s">
        <v>6768</v>
      </c>
      <c r="J3941" s="4" t="s">
        <v>78</v>
      </c>
      <c r="K3941" s="7" t="str">
        <f t="shared" si="294"/>
        <v>View Creative</v>
      </c>
      <c r="L3941" s="4" t="s">
        <v>60</v>
      </c>
      <c r="M3941" s="4" t="s">
        <v>6785</v>
      </c>
      <c r="N3941" s="4" t="s">
        <v>6964</v>
      </c>
      <c r="O3941" s="4" t="s">
        <v>63</v>
      </c>
      <c r="P3941" s="4" t="s">
        <v>64</v>
      </c>
    </row>
    <row r="3942">
      <c r="A3942" s="4" t="s">
        <v>6785</v>
      </c>
      <c r="B3942" s="4" t="s">
        <v>6786</v>
      </c>
      <c r="C3942" s="4">
        <v>331.0</v>
      </c>
      <c r="D3942" s="5" t="str">
        <f t="shared" ref="D3942:D3943" si="295">HYPERLINK("https://www.linkedin.com/ad-library/detail/863612493","Open Ad")</f>
        <v>Open Ad</v>
      </c>
      <c r="E3942" s="4" t="s">
        <v>121</v>
      </c>
      <c r="F3942" s="4" t="s">
        <v>6765</v>
      </c>
      <c r="G3942" s="4" t="s">
        <v>6965</v>
      </c>
      <c r="H3942" s="4" t="s">
        <v>49</v>
      </c>
      <c r="I3942" s="4" t="s">
        <v>6768</v>
      </c>
      <c r="J3942" s="4" t="s">
        <v>121</v>
      </c>
      <c r="K3942" s="7" t="str">
        <f t="shared" ref="K3942:K3943" si="296">HYPERLINK("https://dms.licdn.com/playlist/vid/v2/D4D10AQEHTNGRI9DfPw/mp4-360p-30fp-crf28/B4DZmp0qBtKQCI-/0/1759490781877/AccuRankerSquare_3mp4?e=2147483647&amp;v=beta&amp;t=Oo1cpz8RpAPmCblL2OGYu8O8EUNfLno9JSNNGXdmiMU","View Creative")</f>
        <v>View Creative</v>
      </c>
      <c r="L3942" s="4" t="s">
        <v>60</v>
      </c>
      <c r="M3942" s="4" t="s">
        <v>6785</v>
      </c>
      <c r="N3942" s="4"/>
      <c r="O3942" s="4" t="s">
        <v>63</v>
      </c>
      <c r="P3942" s="4" t="s">
        <v>64</v>
      </c>
    </row>
    <row r="3943">
      <c r="A3943" s="4" t="s">
        <v>6785</v>
      </c>
      <c r="B3943" s="4" t="s">
        <v>6786</v>
      </c>
      <c r="C3943" s="4">
        <v>332.0</v>
      </c>
      <c r="D3943" s="5" t="str">
        <f t="shared" si="295"/>
        <v>Open Ad</v>
      </c>
      <c r="E3943" s="4" t="s">
        <v>121</v>
      </c>
      <c r="F3943" s="4" t="s">
        <v>6765</v>
      </c>
      <c r="G3943" s="4" t="s">
        <v>6965</v>
      </c>
      <c r="H3943" s="4" t="s">
        <v>49</v>
      </c>
      <c r="I3943" s="4" t="s">
        <v>6768</v>
      </c>
      <c r="J3943" s="4" t="s">
        <v>121</v>
      </c>
      <c r="K3943" s="7" t="str">
        <f t="shared" si="296"/>
        <v>View Creative</v>
      </c>
      <c r="L3943" s="4" t="s">
        <v>60</v>
      </c>
      <c r="M3943" s="4" t="s">
        <v>6785</v>
      </c>
      <c r="N3943" s="4"/>
      <c r="O3943" s="4" t="s">
        <v>63</v>
      </c>
      <c r="P3943" s="4" t="s">
        <v>64</v>
      </c>
    </row>
    <row r="3944">
      <c r="A3944" s="4" t="s">
        <v>6785</v>
      </c>
      <c r="B3944" s="4" t="s">
        <v>6786</v>
      </c>
      <c r="C3944" s="4">
        <v>333.0</v>
      </c>
      <c r="D3944" s="5" t="str">
        <f t="shared" ref="D3944:D3945" si="297">HYPERLINK("https://www.linkedin.com/ad-library/detail/863241033","Open Ad")</f>
        <v>Open Ad</v>
      </c>
      <c r="E3944" s="4" t="s">
        <v>78</v>
      </c>
      <c r="F3944" s="4" t="s">
        <v>6765</v>
      </c>
      <c r="G3944" s="4" t="s">
        <v>6967</v>
      </c>
      <c r="H3944" s="4" t="s">
        <v>49</v>
      </c>
      <c r="I3944" s="4" t="s">
        <v>6768</v>
      </c>
      <c r="J3944" s="4" t="s">
        <v>78</v>
      </c>
      <c r="K3944" s="7" t="str">
        <f t="shared" ref="K3944:K3945" si="298">HYPERLINK("https://media.licdn.com/dms/image/sync/v2/D4D27AQF0tAsgIK3wHw/articleshare-shrink_1280_800/B4DZmZm3VWH4AQ-/0/1759218727257?e=2147483647&amp;v=beta&amp;t=21PYqWQqk9O4sv5kzEn8I2Y0jNOMvskG2ILx4TZJO7U","View Creative")</f>
        <v>View Creative</v>
      </c>
      <c r="L3944" s="4" t="s">
        <v>60</v>
      </c>
      <c r="M3944" s="4" t="s">
        <v>6785</v>
      </c>
      <c r="N3944" s="4" t="s">
        <v>6969</v>
      </c>
      <c r="O3944" s="4" t="s">
        <v>63</v>
      </c>
      <c r="P3944" s="4" t="s">
        <v>64</v>
      </c>
    </row>
    <row r="3945">
      <c r="A3945" s="4" t="s">
        <v>6785</v>
      </c>
      <c r="B3945" s="4" t="s">
        <v>6786</v>
      </c>
      <c r="C3945" s="4">
        <v>334.0</v>
      </c>
      <c r="D3945" s="5" t="str">
        <f t="shared" si="297"/>
        <v>Open Ad</v>
      </c>
      <c r="E3945" s="4" t="s">
        <v>78</v>
      </c>
      <c r="F3945" s="4" t="s">
        <v>6765</v>
      </c>
      <c r="G3945" s="4" t="s">
        <v>6967</v>
      </c>
      <c r="H3945" s="4" t="s">
        <v>49</v>
      </c>
      <c r="I3945" s="4" t="s">
        <v>6768</v>
      </c>
      <c r="J3945" s="4" t="s">
        <v>78</v>
      </c>
      <c r="K3945" s="7" t="str">
        <f t="shared" si="298"/>
        <v>View Creative</v>
      </c>
      <c r="L3945" s="4" t="s">
        <v>60</v>
      </c>
      <c r="M3945" s="4" t="s">
        <v>6785</v>
      </c>
      <c r="N3945" s="4" t="s">
        <v>6969</v>
      </c>
      <c r="O3945" s="4" t="s">
        <v>63</v>
      </c>
      <c r="P3945" s="4" t="s">
        <v>64</v>
      </c>
    </row>
    <row r="3946">
      <c r="A3946" s="4" t="s">
        <v>6785</v>
      </c>
      <c r="B3946" s="4" t="s">
        <v>6786</v>
      </c>
      <c r="C3946" s="4">
        <v>335.0</v>
      </c>
      <c r="D3946" s="5" t="str">
        <f>HYPERLINK("https://www.linkedin.com/ad-library/detail/859950623","Open Ad")</f>
        <v>Open Ad</v>
      </c>
      <c r="E3946" s="4" t="s">
        <v>52</v>
      </c>
      <c r="F3946" s="4" t="s">
        <v>6765</v>
      </c>
      <c r="G3946" s="4" t="s">
        <v>6752</v>
      </c>
      <c r="H3946" s="4" t="s">
        <v>49</v>
      </c>
      <c r="I3946" s="4" t="s">
        <v>6768</v>
      </c>
      <c r="J3946" s="4" t="s">
        <v>52</v>
      </c>
      <c r="K3946" s="4" t="s">
        <v>59</v>
      </c>
      <c r="L3946" s="4" t="s">
        <v>60</v>
      </c>
      <c r="M3946" s="4" t="s">
        <v>6785</v>
      </c>
      <c r="N3946" s="4"/>
      <c r="O3946" s="4" t="s">
        <v>63</v>
      </c>
      <c r="P3946" s="4" t="s">
        <v>64</v>
      </c>
    </row>
    <row r="3947">
      <c r="A3947" s="4" t="s">
        <v>6785</v>
      </c>
      <c r="B3947" s="4" t="s">
        <v>6786</v>
      </c>
      <c r="C3947" s="4">
        <v>336.0</v>
      </c>
      <c r="D3947" s="5" t="str">
        <f t="shared" ref="D3947:D3948" si="299">HYPERLINK("https://www.linkedin.com/ad-library/detail/852117813","Open Ad")</f>
        <v>Open Ad</v>
      </c>
      <c r="E3947" s="4" t="s">
        <v>78</v>
      </c>
      <c r="F3947" s="4" t="s">
        <v>6765</v>
      </c>
      <c r="G3947" s="4" t="s">
        <v>6970</v>
      </c>
      <c r="H3947" s="4" t="s">
        <v>6971</v>
      </c>
      <c r="I3947" s="4" t="s">
        <v>6768</v>
      </c>
      <c r="J3947" s="4" t="s">
        <v>78</v>
      </c>
      <c r="K3947" s="7" t="str">
        <f t="shared" ref="K3947:K3948" si="300">HYPERLINK("https://media.licdn.com/dms/image/v2/D4D22AQGtsBP1bczt5w/feedshare-shrink_800/B4DZedKV4XHMAw-/0/1750688423901?e=2147483647&amp;v=beta&amp;t=LpjhFjPRY9unK5Mgs_VI-A-NVbcevye3cTPaIQ0T5-8","View Creative")</f>
        <v>View Creative</v>
      </c>
      <c r="L3947" s="4" t="s">
        <v>60</v>
      </c>
      <c r="M3947" s="4" t="s">
        <v>6785</v>
      </c>
      <c r="N3947" s="4" t="s">
        <v>6972</v>
      </c>
      <c r="O3947" s="4" t="s">
        <v>63</v>
      </c>
      <c r="P3947" s="4" t="s">
        <v>64</v>
      </c>
    </row>
    <row r="3948">
      <c r="A3948" s="4" t="s">
        <v>6785</v>
      </c>
      <c r="B3948" s="4" t="s">
        <v>6786</v>
      </c>
      <c r="C3948" s="4">
        <v>337.0</v>
      </c>
      <c r="D3948" s="5" t="str">
        <f t="shared" si="299"/>
        <v>Open Ad</v>
      </c>
      <c r="E3948" s="4" t="s">
        <v>78</v>
      </c>
      <c r="F3948" s="4" t="s">
        <v>6765</v>
      </c>
      <c r="G3948" s="4" t="s">
        <v>6970</v>
      </c>
      <c r="H3948" s="4" t="s">
        <v>6971</v>
      </c>
      <c r="I3948" s="4" t="s">
        <v>6768</v>
      </c>
      <c r="J3948" s="4" t="s">
        <v>78</v>
      </c>
      <c r="K3948" s="7" t="str">
        <f t="shared" si="300"/>
        <v>View Creative</v>
      </c>
      <c r="L3948" s="4" t="s">
        <v>60</v>
      </c>
      <c r="M3948" s="4" t="s">
        <v>6785</v>
      </c>
      <c r="N3948" s="4" t="s">
        <v>6972</v>
      </c>
      <c r="O3948" s="4" t="s">
        <v>63</v>
      </c>
      <c r="P3948" s="4" t="s">
        <v>64</v>
      </c>
    </row>
    <row r="3949">
      <c r="A3949" s="4" t="s">
        <v>6785</v>
      </c>
      <c r="B3949" s="4" t="s">
        <v>6786</v>
      </c>
      <c r="C3949" s="4">
        <v>338.0</v>
      </c>
      <c r="D3949" s="5" t="str">
        <f>HYPERLINK("https://www.linkedin.com/ad-library/detail/859920783","Open Ad")</f>
        <v>Open Ad</v>
      </c>
      <c r="E3949" s="4" t="s">
        <v>52</v>
      </c>
      <c r="F3949" s="4" t="s">
        <v>6765</v>
      </c>
      <c r="G3949" s="4" t="s">
        <v>6752</v>
      </c>
      <c r="H3949" s="4" t="s">
        <v>49</v>
      </c>
      <c r="I3949" s="4" t="s">
        <v>6768</v>
      </c>
      <c r="J3949" s="4" t="s">
        <v>52</v>
      </c>
      <c r="K3949" s="4" t="s">
        <v>59</v>
      </c>
      <c r="L3949" s="4" t="s">
        <v>60</v>
      </c>
      <c r="M3949" s="4" t="s">
        <v>6785</v>
      </c>
      <c r="N3949" s="4" t="s">
        <v>6973</v>
      </c>
      <c r="O3949" s="4" t="s">
        <v>63</v>
      </c>
      <c r="P3949" s="4" t="s">
        <v>64</v>
      </c>
    </row>
    <row r="3950">
      <c r="A3950" s="4" t="s">
        <v>6785</v>
      </c>
      <c r="B3950" s="4" t="s">
        <v>6786</v>
      </c>
      <c r="C3950" s="4">
        <v>339.0</v>
      </c>
      <c r="D3950" s="5" t="str">
        <f t="shared" ref="D3950:D3951" si="301">HYPERLINK("https://www.linkedin.com/ad-library/detail/863239953","Open Ad")</f>
        <v>Open Ad</v>
      </c>
      <c r="E3950" s="4" t="s">
        <v>78</v>
      </c>
      <c r="F3950" s="4" t="s">
        <v>6765</v>
      </c>
      <c r="G3950" s="4" t="s">
        <v>6974</v>
      </c>
      <c r="H3950" s="4" t="s">
        <v>49</v>
      </c>
      <c r="I3950" s="4" t="s">
        <v>6768</v>
      </c>
      <c r="J3950" s="4" t="s">
        <v>78</v>
      </c>
      <c r="K3950" s="7" t="str">
        <f t="shared" ref="K3950:K3951" si="302">HYPERLINK("https://media.licdn.com/dms/image/v2/D5610AQG-YY0zwJt23w/image-shrink_1280/B56Zh5fEggHkAY-/0/1754384845992/image4png?e=2147483647&amp;v=beta&amp;t=BnrQp-K1CE-GUlC70OcGvIOhrglH7B8UGujusi3xbXE","View Creative")</f>
        <v>View Creative</v>
      </c>
      <c r="L3950" s="4" t="s">
        <v>60</v>
      </c>
      <c r="M3950" s="4" t="s">
        <v>6785</v>
      </c>
      <c r="N3950" s="4" t="s">
        <v>6975</v>
      </c>
      <c r="O3950" s="4" t="s">
        <v>63</v>
      </c>
      <c r="P3950" s="4" t="s">
        <v>64</v>
      </c>
    </row>
    <row r="3951">
      <c r="A3951" s="4" t="s">
        <v>6785</v>
      </c>
      <c r="B3951" s="4" t="s">
        <v>6786</v>
      </c>
      <c r="C3951" s="4">
        <v>340.0</v>
      </c>
      <c r="D3951" s="5" t="str">
        <f t="shared" si="301"/>
        <v>Open Ad</v>
      </c>
      <c r="E3951" s="4" t="s">
        <v>78</v>
      </c>
      <c r="F3951" s="4" t="s">
        <v>6765</v>
      </c>
      <c r="G3951" s="4" t="s">
        <v>6974</v>
      </c>
      <c r="H3951" s="4" t="s">
        <v>49</v>
      </c>
      <c r="I3951" s="4" t="s">
        <v>6768</v>
      </c>
      <c r="J3951" s="4" t="s">
        <v>78</v>
      </c>
      <c r="K3951" s="7" t="str">
        <f t="shared" si="302"/>
        <v>View Creative</v>
      </c>
      <c r="L3951" s="4" t="s">
        <v>60</v>
      </c>
      <c r="M3951" s="4" t="s">
        <v>6785</v>
      </c>
      <c r="N3951" s="4" t="s">
        <v>6975</v>
      </c>
      <c r="O3951" s="4" t="s">
        <v>63</v>
      </c>
      <c r="P3951" s="4" t="s">
        <v>64</v>
      </c>
    </row>
    <row r="3952">
      <c r="A3952" s="4" t="s">
        <v>6785</v>
      </c>
      <c r="B3952" s="4" t="s">
        <v>6786</v>
      </c>
      <c r="C3952" s="4">
        <v>341.0</v>
      </c>
      <c r="D3952" s="5" t="str">
        <f>HYPERLINK("https://www.linkedin.com/ad-library/detail/859649413","Open Ad")</f>
        <v>Open Ad</v>
      </c>
      <c r="E3952" s="4" t="s">
        <v>52</v>
      </c>
      <c r="F3952" s="4" t="s">
        <v>6765</v>
      </c>
      <c r="G3952" s="4" t="s">
        <v>6752</v>
      </c>
      <c r="H3952" s="4" t="s">
        <v>49</v>
      </c>
      <c r="I3952" s="4" t="s">
        <v>6768</v>
      </c>
      <c r="J3952" s="4" t="s">
        <v>52</v>
      </c>
      <c r="K3952" s="4" t="s">
        <v>59</v>
      </c>
      <c r="L3952" s="4" t="s">
        <v>60</v>
      </c>
      <c r="M3952" s="4" t="s">
        <v>6785</v>
      </c>
      <c r="N3952" s="4" t="s">
        <v>6976</v>
      </c>
      <c r="O3952" s="4" t="s">
        <v>63</v>
      </c>
      <c r="P3952" s="4" t="s">
        <v>64</v>
      </c>
    </row>
    <row r="3953">
      <c r="A3953" s="4" t="s">
        <v>6785</v>
      </c>
      <c r="B3953" s="4" t="s">
        <v>6786</v>
      </c>
      <c r="C3953" s="4">
        <v>342.0</v>
      </c>
      <c r="D3953" s="5" t="str">
        <f>HYPERLINK("https://www.linkedin.com/ad-library/detail/859959923","Open Ad")</f>
        <v>Open Ad</v>
      </c>
      <c r="E3953" s="4" t="s">
        <v>52</v>
      </c>
      <c r="F3953" s="4" t="s">
        <v>6765</v>
      </c>
      <c r="G3953" s="4" t="s">
        <v>6752</v>
      </c>
      <c r="H3953" s="4" t="s">
        <v>49</v>
      </c>
      <c r="I3953" s="4" t="s">
        <v>6768</v>
      </c>
      <c r="J3953" s="4" t="s">
        <v>52</v>
      </c>
      <c r="K3953" s="4" t="s">
        <v>59</v>
      </c>
      <c r="L3953" s="4" t="s">
        <v>60</v>
      </c>
      <c r="M3953" s="4" t="s">
        <v>6785</v>
      </c>
      <c r="N3953" s="4" t="s">
        <v>6976</v>
      </c>
      <c r="O3953" s="4" t="s">
        <v>63</v>
      </c>
      <c r="P3953" s="4" t="s">
        <v>64</v>
      </c>
    </row>
    <row r="3954">
      <c r="A3954" s="4" t="s">
        <v>6785</v>
      </c>
      <c r="B3954" s="4" t="s">
        <v>6786</v>
      </c>
      <c r="C3954" s="4">
        <v>343.0</v>
      </c>
      <c r="D3954" s="5" t="str">
        <f>HYPERLINK("https://www.linkedin.com/ad-library/detail/859801523","Open Ad")</f>
        <v>Open Ad</v>
      </c>
      <c r="E3954" s="4" t="s">
        <v>52</v>
      </c>
      <c r="F3954" s="4" t="s">
        <v>6765</v>
      </c>
      <c r="G3954" s="4" t="s">
        <v>6752</v>
      </c>
      <c r="H3954" s="4" t="s">
        <v>49</v>
      </c>
      <c r="I3954" s="4" t="s">
        <v>6768</v>
      </c>
      <c r="J3954" s="4" t="s">
        <v>52</v>
      </c>
      <c r="K3954" s="4" t="s">
        <v>59</v>
      </c>
      <c r="L3954" s="4" t="s">
        <v>60</v>
      </c>
      <c r="M3954" s="4" t="s">
        <v>6785</v>
      </c>
      <c r="N3954" s="4"/>
      <c r="O3954" s="4" t="s">
        <v>63</v>
      </c>
      <c r="P3954" s="4" t="s">
        <v>64</v>
      </c>
    </row>
    <row r="3955">
      <c r="A3955" s="4" t="s">
        <v>6785</v>
      </c>
      <c r="B3955" s="4" t="s">
        <v>6786</v>
      </c>
      <c r="C3955" s="4">
        <v>344.0</v>
      </c>
      <c r="D3955" s="5" t="str">
        <f>HYPERLINK("https://www.linkedin.com/ad-library/detail/859787603","Open Ad")</f>
        <v>Open Ad</v>
      </c>
      <c r="E3955" s="4" t="s">
        <v>52</v>
      </c>
      <c r="F3955" s="4" t="s">
        <v>6765</v>
      </c>
      <c r="G3955" s="4" t="s">
        <v>6752</v>
      </c>
      <c r="H3955" s="4" t="s">
        <v>49</v>
      </c>
      <c r="I3955" s="4" t="s">
        <v>6768</v>
      </c>
      <c r="J3955" s="4" t="s">
        <v>52</v>
      </c>
      <c r="K3955" s="4" t="s">
        <v>59</v>
      </c>
      <c r="L3955" s="4" t="s">
        <v>60</v>
      </c>
      <c r="M3955" s="4" t="s">
        <v>6785</v>
      </c>
      <c r="N3955" s="4"/>
      <c r="O3955" s="4" t="s">
        <v>63</v>
      </c>
      <c r="P3955" s="4" t="s">
        <v>64</v>
      </c>
    </row>
    <row r="3956">
      <c r="A3956" s="4" t="s">
        <v>6785</v>
      </c>
      <c r="B3956" s="4" t="s">
        <v>6786</v>
      </c>
      <c r="C3956" s="4">
        <v>345.0</v>
      </c>
      <c r="D3956" s="5" t="str">
        <f t="shared" ref="D3956:D3957" si="303">HYPERLINK("https://www.linkedin.com/ad-library/detail/863290013","Open Ad")</f>
        <v>Open Ad</v>
      </c>
      <c r="E3956" s="4" t="s">
        <v>78</v>
      </c>
      <c r="F3956" s="4" t="s">
        <v>6765</v>
      </c>
      <c r="G3956" s="4" t="s">
        <v>6977</v>
      </c>
      <c r="H3956" s="4" t="s">
        <v>49</v>
      </c>
      <c r="I3956" s="4" t="s">
        <v>6768</v>
      </c>
      <c r="J3956" s="4" t="s">
        <v>78</v>
      </c>
      <c r="K3956" s="7" t="str">
        <f t="shared" ref="K3956:K3957" si="304">HYPERLINK("https://media.licdn.com/dms/image/v2/D5610AQFkGrh2YkqHOg/image-shrink_1280/B56Zh5kX.HG0AY-/0/1754386236420/image5png?e=2147483647&amp;v=beta&amp;t=u_Vfx2_BKDJnHlCqaZq_XVVYpqKo2eEmLkIQzTAN98c","View Creative")</f>
        <v>View Creative</v>
      </c>
      <c r="L3956" s="4" t="s">
        <v>60</v>
      </c>
      <c r="M3956" s="4" t="s">
        <v>6785</v>
      </c>
      <c r="N3956" s="4" t="s">
        <v>6975</v>
      </c>
      <c r="O3956" s="4" t="s">
        <v>63</v>
      </c>
      <c r="P3956" s="4" t="s">
        <v>64</v>
      </c>
    </row>
    <row r="3957">
      <c r="A3957" s="4" t="s">
        <v>6785</v>
      </c>
      <c r="B3957" s="4" t="s">
        <v>6786</v>
      </c>
      <c r="C3957" s="4">
        <v>346.0</v>
      </c>
      <c r="D3957" s="5" t="str">
        <f t="shared" si="303"/>
        <v>Open Ad</v>
      </c>
      <c r="E3957" s="4" t="s">
        <v>78</v>
      </c>
      <c r="F3957" s="4" t="s">
        <v>6765</v>
      </c>
      <c r="G3957" s="4" t="s">
        <v>6977</v>
      </c>
      <c r="H3957" s="4" t="s">
        <v>49</v>
      </c>
      <c r="I3957" s="4" t="s">
        <v>6768</v>
      </c>
      <c r="J3957" s="4" t="s">
        <v>78</v>
      </c>
      <c r="K3957" s="7" t="str">
        <f t="shared" si="304"/>
        <v>View Creative</v>
      </c>
      <c r="L3957" s="4" t="s">
        <v>60</v>
      </c>
      <c r="M3957" s="4" t="s">
        <v>6785</v>
      </c>
      <c r="N3957" s="4" t="s">
        <v>6975</v>
      </c>
      <c r="O3957" s="4" t="s">
        <v>63</v>
      </c>
      <c r="P3957" s="4" t="s">
        <v>64</v>
      </c>
    </row>
    <row r="3958">
      <c r="A3958" s="4" t="s">
        <v>6785</v>
      </c>
      <c r="B3958" s="4" t="s">
        <v>6786</v>
      </c>
      <c r="C3958" s="4">
        <v>347.0</v>
      </c>
      <c r="D3958" s="5" t="str">
        <f>HYPERLINK("https://www.linkedin.com/ad-library/detail/859728783","Open Ad")</f>
        <v>Open Ad</v>
      </c>
      <c r="E3958" s="4" t="s">
        <v>52</v>
      </c>
      <c r="F3958" s="4" t="s">
        <v>6765</v>
      </c>
      <c r="G3958" s="4" t="s">
        <v>6752</v>
      </c>
      <c r="H3958" s="4" t="s">
        <v>49</v>
      </c>
      <c r="I3958" s="4" t="s">
        <v>6768</v>
      </c>
      <c r="J3958" s="4" t="s">
        <v>52</v>
      </c>
      <c r="K3958" s="4" t="s">
        <v>59</v>
      </c>
      <c r="L3958" s="4" t="s">
        <v>60</v>
      </c>
      <c r="M3958" s="4" t="s">
        <v>6785</v>
      </c>
      <c r="N3958" s="4" t="s">
        <v>6973</v>
      </c>
      <c r="O3958" s="4" t="s">
        <v>63</v>
      </c>
      <c r="P3958" s="4" t="s">
        <v>64</v>
      </c>
    </row>
    <row r="3959">
      <c r="A3959" s="4" t="s">
        <v>6785</v>
      </c>
      <c r="B3959" s="4" t="s">
        <v>6786</v>
      </c>
      <c r="C3959" s="4">
        <v>348.0</v>
      </c>
      <c r="D3959" s="5" t="str">
        <f>HYPERLINK("https://www.linkedin.com/ad-library/detail/859980393","Open Ad")</f>
        <v>Open Ad</v>
      </c>
      <c r="E3959" s="4" t="s">
        <v>52</v>
      </c>
      <c r="F3959" s="4" t="s">
        <v>6765</v>
      </c>
      <c r="G3959" s="4" t="s">
        <v>6752</v>
      </c>
      <c r="H3959" s="4" t="s">
        <v>49</v>
      </c>
      <c r="I3959" s="4" t="s">
        <v>6768</v>
      </c>
      <c r="J3959" s="4" t="s">
        <v>52</v>
      </c>
      <c r="K3959" s="4" t="s">
        <v>59</v>
      </c>
      <c r="L3959" s="4" t="s">
        <v>60</v>
      </c>
      <c r="M3959" s="4" t="s">
        <v>6785</v>
      </c>
      <c r="N3959" s="4"/>
      <c r="O3959" s="4" t="s">
        <v>63</v>
      </c>
      <c r="P3959" s="4" t="s">
        <v>64</v>
      </c>
    </row>
    <row r="3960">
      <c r="A3960" s="4" t="s">
        <v>6785</v>
      </c>
      <c r="B3960" s="4" t="s">
        <v>6786</v>
      </c>
      <c r="C3960" s="4">
        <v>349.0</v>
      </c>
      <c r="D3960" s="5" t="str">
        <f>HYPERLINK("https://www.linkedin.com/ad-library/detail/859811193","Open Ad")</f>
        <v>Open Ad</v>
      </c>
      <c r="E3960" s="4" t="s">
        <v>52</v>
      </c>
      <c r="F3960" s="4" t="s">
        <v>6765</v>
      </c>
      <c r="G3960" s="4" t="s">
        <v>6752</v>
      </c>
      <c r="H3960" s="4" t="s">
        <v>49</v>
      </c>
      <c r="I3960" s="4" t="s">
        <v>6768</v>
      </c>
      <c r="J3960" s="4" t="s">
        <v>52</v>
      </c>
      <c r="K3960" s="4" t="s">
        <v>59</v>
      </c>
      <c r="L3960" s="4" t="s">
        <v>60</v>
      </c>
      <c r="M3960" s="4" t="s">
        <v>6785</v>
      </c>
      <c r="N3960" s="4" t="s">
        <v>6978</v>
      </c>
      <c r="O3960" s="4" t="s">
        <v>63</v>
      </c>
      <c r="P3960" s="4" t="s">
        <v>64</v>
      </c>
    </row>
    <row r="3961">
      <c r="A3961" s="4" t="s">
        <v>6785</v>
      </c>
      <c r="B3961" s="4" t="s">
        <v>6786</v>
      </c>
      <c r="C3961" s="4">
        <v>350.0</v>
      </c>
      <c r="D3961" s="5" t="str">
        <f t="shared" ref="D3961:D3962" si="305">HYPERLINK("https://www.linkedin.com/ad-library/detail/863380163","Open Ad")</f>
        <v>Open Ad</v>
      </c>
      <c r="E3961" s="4" t="s">
        <v>78</v>
      </c>
      <c r="F3961" s="4" t="s">
        <v>6765</v>
      </c>
      <c r="G3961" s="4" t="s">
        <v>6958</v>
      </c>
      <c r="H3961" s="4" t="s">
        <v>49</v>
      </c>
      <c r="I3961" s="4" t="s">
        <v>6768</v>
      </c>
      <c r="J3961" s="4" t="s">
        <v>78</v>
      </c>
      <c r="K3961" s="7" t="str">
        <f t="shared" ref="K3961:K3962" si="306">HYPERLINK("https://media.licdn.com/dms/image/v2/D4D22AQGebkJ5j84a5A/feedshare-shrink_1280/B4DZmZwzOtIgAw-/0/1759221331902?e=2147483647&amp;v=beta&amp;t=Cvow_3EStPatjmEk0UP8M_fx5HR7k3hSsPfU28pjLls","View Creative")</f>
        <v>View Creative</v>
      </c>
      <c r="L3961" s="4" t="s">
        <v>60</v>
      </c>
      <c r="M3961" s="4" t="s">
        <v>6785</v>
      </c>
      <c r="N3961" s="4"/>
      <c r="O3961" s="4" t="s">
        <v>63</v>
      </c>
      <c r="P3961" s="4" t="s">
        <v>64</v>
      </c>
    </row>
    <row r="3962">
      <c r="A3962" s="4" t="s">
        <v>6785</v>
      </c>
      <c r="B3962" s="4" t="s">
        <v>6786</v>
      </c>
      <c r="C3962" s="4">
        <v>351.0</v>
      </c>
      <c r="D3962" s="5" t="str">
        <f t="shared" si="305"/>
        <v>Open Ad</v>
      </c>
      <c r="E3962" s="4" t="s">
        <v>78</v>
      </c>
      <c r="F3962" s="4" t="s">
        <v>6765</v>
      </c>
      <c r="G3962" s="4" t="s">
        <v>6958</v>
      </c>
      <c r="H3962" s="4" t="s">
        <v>49</v>
      </c>
      <c r="I3962" s="4" t="s">
        <v>6768</v>
      </c>
      <c r="J3962" s="4" t="s">
        <v>78</v>
      </c>
      <c r="K3962" s="7" t="str">
        <f t="shared" si="306"/>
        <v>View Creative</v>
      </c>
      <c r="L3962" s="4" t="s">
        <v>60</v>
      </c>
      <c r="M3962" s="4" t="s">
        <v>6785</v>
      </c>
      <c r="N3962" s="4"/>
      <c r="O3962" s="4" t="s">
        <v>63</v>
      </c>
      <c r="P3962" s="4" t="s">
        <v>64</v>
      </c>
    </row>
    <row r="3963">
      <c r="A3963" s="4" t="s">
        <v>6785</v>
      </c>
      <c r="B3963" s="4" t="s">
        <v>6786</v>
      </c>
      <c r="C3963" s="4">
        <v>352.0</v>
      </c>
      <c r="D3963" s="5" t="str">
        <f>HYPERLINK("https://www.linkedin.com/ad-library/detail/859851113","Open Ad")</f>
        <v>Open Ad</v>
      </c>
      <c r="E3963" s="4" t="s">
        <v>52</v>
      </c>
      <c r="F3963" s="4" t="s">
        <v>6765</v>
      </c>
      <c r="G3963" s="4" t="s">
        <v>6752</v>
      </c>
      <c r="H3963" s="4" t="s">
        <v>49</v>
      </c>
      <c r="I3963" s="4" t="s">
        <v>6768</v>
      </c>
      <c r="J3963" s="4" t="s">
        <v>52</v>
      </c>
      <c r="K3963" s="4" t="s">
        <v>59</v>
      </c>
      <c r="L3963" s="4" t="s">
        <v>60</v>
      </c>
      <c r="M3963" s="4" t="s">
        <v>6785</v>
      </c>
      <c r="N3963" s="4" t="s">
        <v>6973</v>
      </c>
      <c r="O3963" s="4" t="s">
        <v>63</v>
      </c>
      <c r="P3963" s="4" t="s">
        <v>64</v>
      </c>
    </row>
    <row r="3964">
      <c r="A3964" s="4" t="s">
        <v>6785</v>
      </c>
      <c r="B3964" s="4" t="s">
        <v>6786</v>
      </c>
      <c r="C3964" s="4">
        <v>353.0</v>
      </c>
      <c r="D3964" s="5" t="str">
        <f>HYPERLINK("https://www.linkedin.com/ad-library/detail/859930073","Open Ad")</f>
        <v>Open Ad</v>
      </c>
      <c r="E3964" s="4" t="s">
        <v>52</v>
      </c>
      <c r="F3964" s="4" t="s">
        <v>6765</v>
      </c>
      <c r="G3964" s="4" t="s">
        <v>6752</v>
      </c>
      <c r="H3964" s="4" t="s">
        <v>49</v>
      </c>
      <c r="I3964" s="4" t="s">
        <v>6768</v>
      </c>
      <c r="J3964" s="4" t="s">
        <v>52</v>
      </c>
      <c r="K3964" s="4" t="s">
        <v>59</v>
      </c>
      <c r="L3964" s="4" t="s">
        <v>60</v>
      </c>
      <c r="M3964" s="4" t="s">
        <v>6785</v>
      </c>
      <c r="N3964" s="4" t="s">
        <v>6973</v>
      </c>
      <c r="O3964" s="4" t="s">
        <v>63</v>
      </c>
      <c r="P3964" s="4" t="s">
        <v>64</v>
      </c>
    </row>
    <row r="3965">
      <c r="A3965" s="4" t="s">
        <v>6785</v>
      </c>
      <c r="B3965" s="4" t="s">
        <v>6786</v>
      </c>
      <c r="C3965" s="4">
        <v>354.0</v>
      </c>
      <c r="D3965" s="5" t="str">
        <f t="shared" ref="D3965:D3966" si="307">HYPERLINK("https://www.linkedin.com/ad-library/detail/863460053","Open Ad")</f>
        <v>Open Ad</v>
      </c>
      <c r="E3965" s="4" t="s">
        <v>78</v>
      </c>
      <c r="F3965" s="4" t="s">
        <v>6765</v>
      </c>
      <c r="G3965" s="4" t="s">
        <v>6958</v>
      </c>
      <c r="H3965" s="4" t="s">
        <v>49</v>
      </c>
      <c r="I3965" s="4" t="s">
        <v>6768</v>
      </c>
      <c r="J3965" s="4" t="s">
        <v>78</v>
      </c>
      <c r="K3965" s="7" t="str">
        <f t="shared" ref="K3965:K3966" si="308">HYPERLINK("https://media.licdn.com/dms/image/v2/D4D22AQGebkJ5j84a5A/feedshare-shrink_1280/B4DZmZwzOtIgAw-/0/1759221331902?e=2147483647&amp;v=beta&amp;t=Cvow_3EStPatjmEk0UP8M_fx5HR7k3hSsPfU28pjLls","View Creative")</f>
        <v>View Creative</v>
      </c>
      <c r="L3965" s="4" t="s">
        <v>60</v>
      </c>
      <c r="M3965" s="4" t="s">
        <v>6785</v>
      </c>
      <c r="N3965" s="4" t="s">
        <v>6968</v>
      </c>
      <c r="O3965" s="4" t="s">
        <v>63</v>
      </c>
      <c r="P3965" s="4" t="s">
        <v>64</v>
      </c>
    </row>
    <row r="3966">
      <c r="A3966" s="4" t="s">
        <v>6785</v>
      </c>
      <c r="B3966" s="4" t="s">
        <v>6786</v>
      </c>
      <c r="C3966" s="4">
        <v>355.0</v>
      </c>
      <c r="D3966" s="5" t="str">
        <f t="shared" si="307"/>
        <v>Open Ad</v>
      </c>
      <c r="E3966" s="4" t="s">
        <v>78</v>
      </c>
      <c r="F3966" s="4" t="s">
        <v>6765</v>
      </c>
      <c r="G3966" s="4" t="s">
        <v>6958</v>
      </c>
      <c r="H3966" s="4" t="s">
        <v>49</v>
      </c>
      <c r="I3966" s="4" t="s">
        <v>6768</v>
      </c>
      <c r="J3966" s="4" t="s">
        <v>78</v>
      </c>
      <c r="K3966" s="7" t="str">
        <f t="shared" si="308"/>
        <v>View Creative</v>
      </c>
      <c r="L3966" s="4" t="s">
        <v>60</v>
      </c>
      <c r="M3966" s="4" t="s">
        <v>6785</v>
      </c>
      <c r="N3966" s="4" t="s">
        <v>6968</v>
      </c>
      <c r="O3966" s="4" t="s">
        <v>63</v>
      </c>
      <c r="P3966" s="4" t="s">
        <v>64</v>
      </c>
    </row>
    <row r="3967">
      <c r="A3967" s="4" t="s">
        <v>6785</v>
      </c>
      <c r="B3967" s="4" t="s">
        <v>6786</v>
      </c>
      <c r="C3967" s="4">
        <v>356.0</v>
      </c>
      <c r="D3967" s="5" t="str">
        <f>HYPERLINK("https://www.linkedin.com/ad-library/detail/859939953","Open Ad")</f>
        <v>Open Ad</v>
      </c>
      <c r="E3967" s="4" t="s">
        <v>52</v>
      </c>
      <c r="F3967" s="4" t="s">
        <v>6765</v>
      </c>
      <c r="G3967" s="4" t="s">
        <v>6752</v>
      </c>
      <c r="H3967" s="4" t="s">
        <v>49</v>
      </c>
      <c r="I3967" s="4" t="s">
        <v>6768</v>
      </c>
      <c r="J3967" s="4" t="s">
        <v>52</v>
      </c>
      <c r="K3967" s="4" t="s">
        <v>59</v>
      </c>
      <c r="L3967" s="4" t="s">
        <v>60</v>
      </c>
      <c r="M3967" s="4" t="s">
        <v>6785</v>
      </c>
      <c r="N3967" s="4"/>
      <c r="O3967" s="4" t="s">
        <v>63</v>
      </c>
      <c r="P3967" s="4" t="s">
        <v>64</v>
      </c>
    </row>
    <row r="3968">
      <c r="A3968" s="4" t="s">
        <v>6785</v>
      </c>
      <c r="B3968" s="4" t="s">
        <v>6786</v>
      </c>
      <c r="C3968" s="4">
        <v>357.0</v>
      </c>
      <c r="D3968" s="5" t="str">
        <f t="shared" ref="D3968:D3969" si="309">HYPERLINK("https://www.linkedin.com/ad-library/detail/863330223","Open Ad")</f>
        <v>Open Ad</v>
      </c>
      <c r="E3968" s="4" t="s">
        <v>78</v>
      </c>
      <c r="F3968" s="4" t="s">
        <v>6765</v>
      </c>
      <c r="G3968" s="4" t="s">
        <v>6967</v>
      </c>
      <c r="H3968" s="4" t="s">
        <v>49</v>
      </c>
      <c r="I3968" s="4" t="s">
        <v>6768</v>
      </c>
      <c r="J3968" s="4" t="s">
        <v>78</v>
      </c>
      <c r="K3968" s="7" t="str">
        <f t="shared" ref="K3968:K3969" si="310">HYPERLINK("https://media.licdn.com/dms/image/sync/v2/D4D27AQF0tAsgIK3wHw/articleshare-shrink_1280_800/B4DZmZm3VWH4AQ-/0/1759218727257?e=2147483647&amp;v=beta&amp;t=21PYqWQqk9O4sv5kzEn8I2Y0jNOMvskG2ILx4TZJO7U","View Creative")</f>
        <v>View Creative</v>
      </c>
      <c r="L3968" s="4" t="s">
        <v>60</v>
      </c>
      <c r="M3968" s="4" t="s">
        <v>6785</v>
      </c>
      <c r="N3968" s="4" t="s">
        <v>6968</v>
      </c>
      <c r="O3968" s="4" t="s">
        <v>63</v>
      </c>
      <c r="P3968" s="4" t="s">
        <v>64</v>
      </c>
    </row>
    <row r="3969">
      <c r="A3969" s="4" t="s">
        <v>6785</v>
      </c>
      <c r="B3969" s="4" t="s">
        <v>6786</v>
      </c>
      <c r="C3969" s="4">
        <v>358.0</v>
      </c>
      <c r="D3969" s="5" t="str">
        <f t="shared" si="309"/>
        <v>Open Ad</v>
      </c>
      <c r="E3969" s="4" t="s">
        <v>78</v>
      </c>
      <c r="F3969" s="4" t="s">
        <v>6765</v>
      </c>
      <c r="G3969" s="4" t="s">
        <v>6967</v>
      </c>
      <c r="H3969" s="4" t="s">
        <v>49</v>
      </c>
      <c r="I3969" s="4" t="s">
        <v>6768</v>
      </c>
      <c r="J3969" s="4" t="s">
        <v>78</v>
      </c>
      <c r="K3969" s="7" t="str">
        <f t="shared" si="310"/>
        <v>View Creative</v>
      </c>
      <c r="L3969" s="4" t="s">
        <v>60</v>
      </c>
      <c r="M3969" s="4" t="s">
        <v>6785</v>
      </c>
      <c r="N3969" s="4" t="s">
        <v>6968</v>
      </c>
      <c r="O3969" s="4" t="s">
        <v>63</v>
      </c>
      <c r="P3969" s="4" t="s">
        <v>64</v>
      </c>
    </row>
    <row r="3970">
      <c r="A3970" s="4" t="s">
        <v>6785</v>
      </c>
      <c r="B3970" s="4" t="s">
        <v>6786</v>
      </c>
      <c r="C3970" s="4">
        <v>359.0</v>
      </c>
      <c r="D3970" s="5" t="str">
        <f>HYPERLINK("https://www.linkedin.com/ad-library/detail/859880213","Open Ad")</f>
        <v>Open Ad</v>
      </c>
      <c r="E3970" s="4" t="s">
        <v>52</v>
      </c>
      <c r="F3970" s="4" t="s">
        <v>6765</v>
      </c>
      <c r="G3970" s="4" t="s">
        <v>6752</v>
      </c>
      <c r="H3970" s="4" t="s">
        <v>49</v>
      </c>
      <c r="I3970" s="4" t="s">
        <v>6768</v>
      </c>
      <c r="J3970" s="4" t="s">
        <v>52</v>
      </c>
      <c r="K3970" s="4" t="s">
        <v>59</v>
      </c>
      <c r="L3970" s="4" t="s">
        <v>60</v>
      </c>
      <c r="M3970" s="4" t="s">
        <v>6785</v>
      </c>
      <c r="N3970" s="4" t="s">
        <v>6978</v>
      </c>
      <c r="O3970" s="4" t="s">
        <v>63</v>
      </c>
      <c r="P3970" s="4" t="s">
        <v>64</v>
      </c>
    </row>
    <row r="3971">
      <c r="A3971" s="4" t="s">
        <v>6785</v>
      </c>
      <c r="B3971" s="4" t="s">
        <v>6786</v>
      </c>
      <c r="C3971" s="4">
        <v>360.0</v>
      </c>
      <c r="D3971" s="5" t="str">
        <f>HYPERLINK("https://www.linkedin.com/ad-library/detail/852169233","Open Ad")</f>
        <v>Open Ad</v>
      </c>
      <c r="E3971" s="4" t="s">
        <v>52</v>
      </c>
      <c r="F3971" s="4" t="s">
        <v>6765</v>
      </c>
      <c r="G3971" s="4" t="s">
        <v>6979</v>
      </c>
      <c r="H3971" s="4" t="s">
        <v>49</v>
      </c>
      <c r="I3971" s="4" t="s">
        <v>6768</v>
      </c>
      <c r="J3971" s="4" t="s">
        <v>52</v>
      </c>
      <c r="K3971" s="4" t="s">
        <v>59</v>
      </c>
      <c r="L3971" s="4" t="s">
        <v>60</v>
      </c>
      <c r="M3971" s="4" t="s">
        <v>6785</v>
      </c>
      <c r="N3971" s="4" t="s">
        <v>6980</v>
      </c>
      <c r="O3971" s="4" t="s">
        <v>63</v>
      </c>
      <c r="P3971" s="4" t="s">
        <v>64</v>
      </c>
    </row>
    <row r="3972">
      <c r="A3972" s="4" t="s">
        <v>6785</v>
      </c>
      <c r="B3972" s="4" t="s">
        <v>6786</v>
      </c>
      <c r="C3972" s="4">
        <v>361.0</v>
      </c>
      <c r="D3972" s="5" t="str">
        <f>HYPERLINK("https://www.linkedin.com/ad-library/detail/859758643","Open Ad")</f>
        <v>Open Ad</v>
      </c>
      <c r="E3972" s="4" t="s">
        <v>52</v>
      </c>
      <c r="F3972" s="4" t="s">
        <v>6765</v>
      </c>
      <c r="G3972" s="4" t="s">
        <v>6752</v>
      </c>
      <c r="H3972" s="4" t="s">
        <v>49</v>
      </c>
      <c r="I3972" s="4" t="s">
        <v>6768</v>
      </c>
      <c r="J3972" s="4" t="s">
        <v>52</v>
      </c>
      <c r="K3972" s="4" t="s">
        <v>59</v>
      </c>
      <c r="L3972" s="4" t="s">
        <v>60</v>
      </c>
      <c r="M3972" s="4" t="s">
        <v>6785</v>
      </c>
      <c r="N3972" s="4"/>
      <c r="O3972" s="4" t="s">
        <v>63</v>
      </c>
      <c r="P3972" s="4" t="s">
        <v>64</v>
      </c>
    </row>
    <row r="3973">
      <c r="A3973" s="4" t="s">
        <v>6785</v>
      </c>
      <c r="B3973" s="4" t="s">
        <v>6786</v>
      </c>
      <c r="C3973" s="4">
        <v>362.0</v>
      </c>
      <c r="D3973" s="5" t="str">
        <f>HYPERLINK("https://www.linkedin.com/ad-library/detail/859820073","Open Ad")</f>
        <v>Open Ad</v>
      </c>
      <c r="E3973" s="4" t="s">
        <v>52</v>
      </c>
      <c r="F3973" s="4" t="s">
        <v>6765</v>
      </c>
      <c r="G3973" s="4" t="s">
        <v>6752</v>
      </c>
      <c r="H3973" s="4" t="s">
        <v>49</v>
      </c>
      <c r="I3973" s="4" t="s">
        <v>6768</v>
      </c>
      <c r="J3973" s="4" t="s">
        <v>52</v>
      </c>
      <c r="K3973" s="4" t="s">
        <v>59</v>
      </c>
      <c r="L3973" s="4" t="s">
        <v>60</v>
      </c>
      <c r="M3973" s="4" t="s">
        <v>6785</v>
      </c>
      <c r="N3973" s="4" t="s">
        <v>6978</v>
      </c>
      <c r="O3973" s="4" t="s">
        <v>63</v>
      </c>
      <c r="P3973" s="4" t="s">
        <v>64</v>
      </c>
    </row>
    <row r="3974">
      <c r="A3974" s="4" t="s">
        <v>6785</v>
      </c>
      <c r="B3974" s="4" t="s">
        <v>6786</v>
      </c>
      <c r="C3974" s="4">
        <v>363.0</v>
      </c>
      <c r="D3974" s="5" t="str">
        <f>HYPERLINK("https://www.linkedin.com/ad-library/detail/852117803","Open Ad")</f>
        <v>Open Ad</v>
      </c>
      <c r="E3974" s="4" t="s">
        <v>52</v>
      </c>
      <c r="F3974" s="4" t="s">
        <v>6765</v>
      </c>
      <c r="G3974" s="4" t="s">
        <v>6979</v>
      </c>
      <c r="H3974" s="4" t="s">
        <v>49</v>
      </c>
      <c r="I3974" s="4" t="s">
        <v>6768</v>
      </c>
      <c r="J3974" s="4" t="s">
        <v>52</v>
      </c>
      <c r="K3974" s="4" t="s">
        <v>59</v>
      </c>
      <c r="L3974" s="4" t="s">
        <v>60</v>
      </c>
      <c r="M3974" s="4" t="s">
        <v>6785</v>
      </c>
      <c r="N3974" s="4" t="s">
        <v>6980</v>
      </c>
      <c r="O3974" s="4" t="s">
        <v>63</v>
      </c>
      <c r="P3974" s="4" t="s">
        <v>64</v>
      </c>
    </row>
    <row r="3975">
      <c r="A3975" s="4" t="s">
        <v>6785</v>
      </c>
      <c r="B3975" s="4" t="s">
        <v>6786</v>
      </c>
      <c r="C3975" s="4">
        <v>364.0</v>
      </c>
      <c r="D3975" s="5" t="str">
        <f t="shared" ref="D3975:D3976" si="311">HYPERLINK("https://www.linkedin.com/ad-library/detail/863390143","Open Ad")</f>
        <v>Open Ad</v>
      </c>
      <c r="E3975" s="4" t="s">
        <v>78</v>
      </c>
      <c r="F3975" s="4" t="s">
        <v>6765</v>
      </c>
      <c r="G3975" s="4" t="s">
        <v>6960</v>
      </c>
      <c r="H3975" s="4" t="s">
        <v>49</v>
      </c>
      <c r="I3975" s="4" t="s">
        <v>6768</v>
      </c>
      <c r="J3975" s="4" t="s">
        <v>78</v>
      </c>
      <c r="K3975" s="7" t="str">
        <f t="shared" ref="K3975:K3976" si="312">HYPERLINK("https://media.licdn.com/dms/image/v2/D4D22AQGTC46205g9Fw/feedshare-shrink_1280/B4DZmaFeLZIcAs-/0/1759226750074?e=2147483647&amp;v=beta&amp;t=arg04J7Nw-3797nDl3FOnw0mzBD1D7h0p4_UruCEKtw","View Creative")</f>
        <v>View Creative</v>
      </c>
      <c r="L3975" s="4" t="s">
        <v>60</v>
      </c>
      <c r="M3975" s="4" t="s">
        <v>6785</v>
      </c>
      <c r="N3975" s="4" t="s">
        <v>6964</v>
      </c>
      <c r="O3975" s="4" t="s">
        <v>63</v>
      </c>
      <c r="P3975" s="4" t="s">
        <v>64</v>
      </c>
    </row>
    <row r="3976">
      <c r="A3976" s="4" t="s">
        <v>6785</v>
      </c>
      <c r="B3976" s="4" t="s">
        <v>6786</v>
      </c>
      <c r="C3976" s="4">
        <v>365.0</v>
      </c>
      <c r="D3976" s="5" t="str">
        <f t="shared" si="311"/>
        <v>Open Ad</v>
      </c>
      <c r="E3976" s="4" t="s">
        <v>78</v>
      </c>
      <c r="F3976" s="4" t="s">
        <v>6765</v>
      </c>
      <c r="G3976" s="4" t="s">
        <v>6960</v>
      </c>
      <c r="H3976" s="4" t="s">
        <v>49</v>
      </c>
      <c r="I3976" s="4" t="s">
        <v>6768</v>
      </c>
      <c r="J3976" s="4" t="s">
        <v>78</v>
      </c>
      <c r="K3976" s="7" t="str">
        <f t="shared" si="312"/>
        <v>View Creative</v>
      </c>
      <c r="L3976" s="4" t="s">
        <v>60</v>
      </c>
      <c r="M3976" s="4" t="s">
        <v>6785</v>
      </c>
      <c r="N3976" s="4" t="s">
        <v>6964</v>
      </c>
      <c r="O3976" s="4" t="s">
        <v>63</v>
      </c>
      <c r="P3976" s="4" t="s">
        <v>64</v>
      </c>
    </row>
    <row r="3977">
      <c r="A3977" s="4" t="s">
        <v>6785</v>
      </c>
      <c r="B3977" s="4" t="s">
        <v>6786</v>
      </c>
      <c r="C3977" s="4">
        <v>366.0</v>
      </c>
      <c r="D3977" s="5" t="str">
        <f>HYPERLINK("https://www.linkedin.com/ad-library/detail/834075533","Open Ad")</f>
        <v>Open Ad</v>
      </c>
      <c r="E3977" s="4" t="s">
        <v>52</v>
      </c>
      <c r="F3977" s="4" t="s">
        <v>6765</v>
      </c>
      <c r="G3977" s="4" t="s">
        <v>6981</v>
      </c>
      <c r="H3977" s="4" t="s">
        <v>49</v>
      </c>
      <c r="I3977" s="4" t="s">
        <v>6768</v>
      </c>
      <c r="J3977" s="4" t="s">
        <v>52</v>
      </c>
      <c r="K3977" s="4" t="s">
        <v>59</v>
      </c>
      <c r="L3977" s="4" t="s">
        <v>60</v>
      </c>
      <c r="M3977" s="4" t="s">
        <v>6785</v>
      </c>
      <c r="N3977" s="4" t="s">
        <v>6982</v>
      </c>
      <c r="O3977" s="4" t="s">
        <v>63</v>
      </c>
      <c r="P3977" s="4" t="s">
        <v>64</v>
      </c>
    </row>
    <row r="3978">
      <c r="A3978" s="4" t="s">
        <v>6785</v>
      </c>
      <c r="B3978" s="4" t="s">
        <v>6786</v>
      </c>
      <c r="C3978" s="4">
        <v>367.0</v>
      </c>
      <c r="D3978" s="5" t="str">
        <f t="shared" ref="D3978:D3979" si="313">HYPERLINK("https://www.linkedin.com/ad-library/detail/813596313","Open Ad")</f>
        <v>Open Ad</v>
      </c>
      <c r="E3978" s="4" t="s">
        <v>78</v>
      </c>
      <c r="F3978" s="4" t="s">
        <v>6765</v>
      </c>
      <c r="G3978" s="4" t="s">
        <v>6983</v>
      </c>
      <c r="H3978" s="4" t="s">
        <v>49</v>
      </c>
      <c r="I3978" s="4" t="s">
        <v>6768</v>
      </c>
      <c r="J3978" s="4" t="s">
        <v>78</v>
      </c>
      <c r="K3978" s="7" t="str">
        <f t="shared" ref="K3978:K3979" si="314">HYPERLINK("https://media.licdn.com/dms/image/v2/D4D22AQFZnQ5EGUW9Bg/feedshare-shrink_1280/B4DZkEot5OIEAw-/0/1756719407895?e=2147483647&amp;v=beta&amp;t=PoQ1GShkNh05CZn-sJ_nskNmEbkJYeugLNcTmiSLII0","View Creative")</f>
        <v>View Creative</v>
      </c>
      <c r="L3978" s="4" t="s">
        <v>60</v>
      </c>
      <c r="M3978" s="4" t="s">
        <v>6785</v>
      </c>
      <c r="N3978" s="4"/>
      <c r="O3978" s="4" t="s">
        <v>63</v>
      </c>
      <c r="P3978" s="4" t="s">
        <v>64</v>
      </c>
    </row>
    <row r="3979">
      <c r="A3979" s="4" t="s">
        <v>6785</v>
      </c>
      <c r="B3979" s="4" t="s">
        <v>6786</v>
      </c>
      <c r="C3979" s="4">
        <v>368.0</v>
      </c>
      <c r="D3979" s="5" t="str">
        <f t="shared" si="313"/>
        <v>Open Ad</v>
      </c>
      <c r="E3979" s="4" t="s">
        <v>78</v>
      </c>
      <c r="F3979" s="4" t="s">
        <v>6765</v>
      </c>
      <c r="G3979" s="4" t="s">
        <v>6983</v>
      </c>
      <c r="H3979" s="4" t="s">
        <v>49</v>
      </c>
      <c r="I3979" s="4" t="s">
        <v>6768</v>
      </c>
      <c r="J3979" s="4" t="s">
        <v>78</v>
      </c>
      <c r="K3979" s="7" t="str">
        <f t="shared" si="314"/>
        <v>View Creative</v>
      </c>
      <c r="L3979" s="4" t="s">
        <v>60</v>
      </c>
      <c r="M3979" s="4" t="s">
        <v>6785</v>
      </c>
      <c r="N3979" s="4"/>
      <c r="O3979" s="4" t="s">
        <v>63</v>
      </c>
      <c r="P3979" s="4" t="s">
        <v>64</v>
      </c>
    </row>
    <row r="3980">
      <c r="A3980" s="4" t="s">
        <v>6785</v>
      </c>
      <c r="B3980" s="4" t="s">
        <v>6786</v>
      </c>
      <c r="C3980" s="4">
        <v>369.0</v>
      </c>
      <c r="D3980" s="5" t="str">
        <f>HYPERLINK("https://www.linkedin.com/ad-library/detail/836253483","Open Ad")</f>
        <v>Open Ad</v>
      </c>
      <c r="E3980" s="4" t="s">
        <v>52</v>
      </c>
      <c r="F3980" s="4" t="s">
        <v>6765</v>
      </c>
      <c r="G3980" s="4" t="s">
        <v>6981</v>
      </c>
      <c r="H3980" s="4" t="s">
        <v>49</v>
      </c>
      <c r="I3980" s="4" t="s">
        <v>6768</v>
      </c>
      <c r="J3980" s="4" t="s">
        <v>52</v>
      </c>
      <c r="K3980" s="4" t="s">
        <v>59</v>
      </c>
      <c r="L3980" s="4" t="s">
        <v>60</v>
      </c>
      <c r="M3980" s="4" t="s">
        <v>6785</v>
      </c>
      <c r="N3980" s="4"/>
      <c r="O3980" s="4" t="s">
        <v>63</v>
      </c>
      <c r="P3980" s="4" t="s">
        <v>64</v>
      </c>
    </row>
    <row r="3981">
      <c r="A3981" s="4" t="s">
        <v>6785</v>
      </c>
      <c r="B3981" s="4" t="s">
        <v>6786</v>
      </c>
      <c r="C3981" s="4">
        <v>370.0</v>
      </c>
      <c r="D3981" s="5" t="str">
        <f>HYPERLINK("https://www.linkedin.com/ad-library/detail/836254453","Open Ad")</f>
        <v>Open Ad</v>
      </c>
      <c r="E3981" s="4" t="s">
        <v>52</v>
      </c>
      <c r="F3981" s="4" t="s">
        <v>6765</v>
      </c>
      <c r="G3981" s="4" t="s">
        <v>6984</v>
      </c>
      <c r="H3981" s="4" t="s">
        <v>49</v>
      </c>
      <c r="I3981" s="4" t="s">
        <v>6768</v>
      </c>
      <c r="J3981" s="4" t="s">
        <v>52</v>
      </c>
      <c r="K3981" s="4" t="s">
        <v>59</v>
      </c>
      <c r="L3981" s="4" t="s">
        <v>60</v>
      </c>
      <c r="M3981" s="4" t="s">
        <v>6785</v>
      </c>
      <c r="N3981" s="4"/>
      <c r="O3981" s="4" t="s">
        <v>63</v>
      </c>
      <c r="P3981" s="4" t="s">
        <v>64</v>
      </c>
    </row>
    <row r="3982">
      <c r="A3982" s="4" t="s">
        <v>6785</v>
      </c>
      <c r="B3982" s="4" t="s">
        <v>6786</v>
      </c>
      <c r="C3982" s="4">
        <v>371.0</v>
      </c>
      <c r="D3982" s="5" t="str">
        <f>HYPERLINK("https://www.linkedin.com/ad-library/detail/854206463","Open Ad")</f>
        <v>Open Ad</v>
      </c>
      <c r="E3982" s="4" t="s">
        <v>52</v>
      </c>
      <c r="F3982" s="4" t="s">
        <v>6765</v>
      </c>
      <c r="G3982" s="4" t="s">
        <v>6985</v>
      </c>
      <c r="H3982" s="4" t="s">
        <v>49</v>
      </c>
      <c r="I3982" s="4" t="s">
        <v>6768</v>
      </c>
      <c r="J3982" s="4" t="s">
        <v>52</v>
      </c>
      <c r="K3982" s="4" t="s">
        <v>59</v>
      </c>
      <c r="L3982" s="4" t="s">
        <v>60</v>
      </c>
      <c r="M3982" s="4" t="s">
        <v>6785</v>
      </c>
      <c r="N3982" s="4" t="s">
        <v>6986</v>
      </c>
      <c r="O3982" s="4" t="s">
        <v>63</v>
      </c>
      <c r="P3982" s="4" t="s">
        <v>64</v>
      </c>
    </row>
    <row r="3983">
      <c r="A3983" s="4" t="s">
        <v>6785</v>
      </c>
      <c r="B3983" s="4" t="s">
        <v>6786</v>
      </c>
      <c r="C3983" s="4">
        <v>372.0</v>
      </c>
      <c r="D3983" s="5" t="str">
        <f t="shared" ref="D3983:D3984" si="315">HYPERLINK("https://www.linkedin.com/ad-library/detail/848735553","Open Ad")</f>
        <v>Open Ad</v>
      </c>
      <c r="E3983" s="4" t="s">
        <v>78</v>
      </c>
      <c r="F3983" s="4" t="s">
        <v>6765</v>
      </c>
      <c r="G3983" s="4" t="s">
        <v>6987</v>
      </c>
      <c r="H3983" s="4" t="s">
        <v>611</v>
      </c>
      <c r="I3983" s="4" t="s">
        <v>6768</v>
      </c>
      <c r="J3983" s="4" t="s">
        <v>78</v>
      </c>
      <c r="K3983" s="7" t="str">
        <f t="shared" ref="K3983:K3984" si="316">HYPERLINK("https://media.licdn.com/dms/image/v2/D4D22AQGklBrcFlUWjw/feedshare-shrink_1280/B4DZk987KuIYAw-/0/1757681005899?e=2147483647&amp;v=beta&amp;t=wwyx_7lsHvXykm3UAxYpN2NrRYXdxGjwmiJn8topM_0","View Creative")</f>
        <v>View Creative</v>
      </c>
      <c r="L3983" s="4" t="s">
        <v>60</v>
      </c>
      <c r="M3983" s="4" t="s">
        <v>6785</v>
      </c>
      <c r="N3983" s="4"/>
      <c r="O3983" s="4" t="s">
        <v>63</v>
      </c>
      <c r="P3983" s="4" t="s">
        <v>64</v>
      </c>
    </row>
    <row r="3984">
      <c r="A3984" s="4" t="s">
        <v>6785</v>
      </c>
      <c r="B3984" s="4" t="s">
        <v>6786</v>
      </c>
      <c r="C3984" s="4">
        <v>373.0</v>
      </c>
      <c r="D3984" s="5" t="str">
        <f t="shared" si="315"/>
        <v>Open Ad</v>
      </c>
      <c r="E3984" s="4" t="s">
        <v>78</v>
      </c>
      <c r="F3984" s="4" t="s">
        <v>6765</v>
      </c>
      <c r="G3984" s="4" t="s">
        <v>6987</v>
      </c>
      <c r="H3984" s="4" t="s">
        <v>611</v>
      </c>
      <c r="I3984" s="4" t="s">
        <v>6768</v>
      </c>
      <c r="J3984" s="4" t="s">
        <v>78</v>
      </c>
      <c r="K3984" s="7" t="str">
        <f t="shared" si="316"/>
        <v>View Creative</v>
      </c>
      <c r="L3984" s="4" t="s">
        <v>60</v>
      </c>
      <c r="M3984" s="4" t="s">
        <v>6785</v>
      </c>
      <c r="N3984" s="4"/>
      <c r="O3984" s="4" t="s">
        <v>63</v>
      </c>
      <c r="P3984" s="4" t="s">
        <v>64</v>
      </c>
    </row>
    <row r="3985">
      <c r="A3985" s="4" t="s">
        <v>6785</v>
      </c>
      <c r="B3985" s="4" t="s">
        <v>6786</v>
      </c>
      <c r="C3985" s="4">
        <v>374.0</v>
      </c>
      <c r="D3985" s="5" t="str">
        <f t="shared" ref="D3985:D3986" si="317">HYPERLINK("https://www.linkedin.com/ad-library/detail/834055773","Open Ad")</f>
        <v>Open Ad</v>
      </c>
      <c r="E3985" s="4" t="s">
        <v>78</v>
      </c>
      <c r="F3985" s="4" t="s">
        <v>6765</v>
      </c>
      <c r="G3985" s="4" t="s">
        <v>6988</v>
      </c>
      <c r="H3985" s="4" t="s">
        <v>6989</v>
      </c>
      <c r="I3985" s="4" t="s">
        <v>6768</v>
      </c>
      <c r="J3985" s="4" t="s">
        <v>78</v>
      </c>
      <c r="K3985" s="7" t="str">
        <f t="shared" ref="K3985:K3988" si="318">HYPERLINK("https://media.licdn.com/dms/image/v2/D4E22AQFOUH_VQEMYzA/feedshare-shrink_1280/B4EZkEooY4GwAs-/0/1756719385104?e=2147483647&amp;v=beta&amp;t=39XfaDdt1-NAHPDM5HGNhrwQ7KUaPvcN9JuhvfY5f2E","View Creative")</f>
        <v>View Creative</v>
      </c>
      <c r="L3985" s="4" t="s">
        <v>60</v>
      </c>
      <c r="M3985" s="4" t="s">
        <v>6785</v>
      </c>
      <c r="N3985" s="4"/>
      <c r="O3985" s="4" t="s">
        <v>63</v>
      </c>
      <c r="P3985" s="4" t="s">
        <v>64</v>
      </c>
    </row>
    <row r="3986">
      <c r="A3986" s="4" t="s">
        <v>6785</v>
      </c>
      <c r="B3986" s="4" t="s">
        <v>6786</v>
      </c>
      <c r="C3986" s="4">
        <v>375.0</v>
      </c>
      <c r="D3986" s="5" t="str">
        <f t="shared" si="317"/>
        <v>Open Ad</v>
      </c>
      <c r="E3986" s="4" t="s">
        <v>78</v>
      </c>
      <c r="F3986" s="4" t="s">
        <v>6765</v>
      </c>
      <c r="G3986" s="4" t="s">
        <v>6988</v>
      </c>
      <c r="H3986" s="4" t="s">
        <v>6989</v>
      </c>
      <c r="I3986" s="4" t="s">
        <v>6768</v>
      </c>
      <c r="J3986" s="4" t="s">
        <v>78</v>
      </c>
      <c r="K3986" s="7" t="str">
        <f t="shared" si="318"/>
        <v>View Creative</v>
      </c>
      <c r="L3986" s="4" t="s">
        <v>60</v>
      </c>
      <c r="M3986" s="4" t="s">
        <v>6785</v>
      </c>
      <c r="N3986" s="4"/>
      <c r="O3986" s="4" t="s">
        <v>63</v>
      </c>
      <c r="P3986" s="4" t="s">
        <v>64</v>
      </c>
    </row>
    <row r="3987">
      <c r="A3987" s="4" t="s">
        <v>6785</v>
      </c>
      <c r="B3987" s="4" t="s">
        <v>6786</v>
      </c>
      <c r="C3987" s="4">
        <v>376.0</v>
      </c>
      <c r="D3987" s="5" t="str">
        <f t="shared" ref="D3987:D3988" si="319">HYPERLINK("https://www.linkedin.com/ad-library/detail/848704463","Open Ad")</f>
        <v>Open Ad</v>
      </c>
      <c r="E3987" s="4" t="s">
        <v>78</v>
      </c>
      <c r="F3987" s="4" t="s">
        <v>6765</v>
      </c>
      <c r="G3987" s="4" t="s">
        <v>6988</v>
      </c>
      <c r="H3987" s="4" t="s">
        <v>6989</v>
      </c>
      <c r="I3987" s="4" t="s">
        <v>6768</v>
      </c>
      <c r="J3987" s="4" t="s">
        <v>78</v>
      </c>
      <c r="K3987" s="7" t="str">
        <f t="shared" si="318"/>
        <v>View Creative</v>
      </c>
      <c r="L3987" s="4" t="s">
        <v>60</v>
      </c>
      <c r="M3987" s="4" t="s">
        <v>6785</v>
      </c>
      <c r="N3987" s="4" t="s">
        <v>6990</v>
      </c>
      <c r="O3987" s="4" t="s">
        <v>63</v>
      </c>
      <c r="P3987" s="4" t="s">
        <v>64</v>
      </c>
    </row>
    <row r="3988">
      <c r="A3988" s="4" t="s">
        <v>6785</v>
      </c>
      <c r="B3988" s="4" t="s">
        <v>6786</v>
      </c>
      <c r="C3988" s="4">
        <v>377.0</v>
      </c>
      <c r="D3988" s="5" t="str">
        <f t="shared" si="319"/>
        <v>Open Ad</v>
      </c>
      <c r="E3988" s="4" t="s">
        <v>78</v>
      </c>
      <c r="F3988" s="4" t="s">
        <v>6765</v>
      </c>
      <c r="G3988" s="4" t="s">
        <v>6988</v>
      </c>
      <c r="H3988" s="4" t="s">
        <v>6989</v>
      </c>
      <c r="I3988" s="4" t="s">
        <v>6768</v>
      </c>
      <c r="J3988" s="4" t="s">
        <v>78</v>
      </c>
      <c r="K3988" s="7" t="str">
        <f t="shared" si="318"/>
        <v>View Creative</v>
      </c>
      <c r="L3988" s="4" t="s">
        <v>60</v>
      </c>
      <c r="M3988" s="4" t="s">
        <v>6785</v>
      </c>
      <c r="N3988" s="4" t="s">
        <v>6990</v>
      </c>
      <c r="O3988" s="4" t="s">
        <v>63</v>
      </c>
      <c r="P3988" s="4" t="s">
        <v>64</v>
      </c>
    </row>
    <row r="3989">
      <c r="A3989" s="4" t="s">
        <v>6785</v>
      </c>
      <c r="B3989" s="4" t="s">
        <v>6786</v>
      </c>
      <c r="C3989" s="4">
        <v>378.0</v>
      </c>
      <c r="D3989" s="5" t="str">
        <f t="shared" ref="D3989:D3990" si="320">HYPERLINK("https://www.linkedin.com/ad-library/detail/820359823","Open Ad")</f>
        <v>Open Ad</v>
      </c>
      <c r="E3989" s="4" t="s">
        <v>78</v>
      </c>
      <c r="F3989" s="4" t="s">
        <v>6765</v>
      </c>
      <c r="G3989" s="4" t="s">
        <v>6983</v>
      </c>
      <c r="H3989" s="4" t="s">
        <v>49</v>
      </c>
      <c r="I3989" s="4" t="s">
        <v>6768</v>
      </c>
      <c r="J3989" s="4" t="s">
        <v>78</v>
      </c>
      <c r="K3989" s="7" t="str">
        <f t="shared" ref="K3989:K3990" si="321">HYPERLINK("https://media.licdn.com/dms/image/v2/D4D22AQFZnQ5EGUW9Bg/feedshare-shrink_1280/B4DZkEot5OIEAw-/0/1756719407895?e=2147483647&amp;v=beta&amp;t=PoQ1GShkNh05CZn-sJ_nskNmEbkJYeugLNcTmiSLII0","View Creative")</f>
        <v>View Creative</v>
      </c>
      <c r="L3989" s="4" t="s">
        <v>60</v>
      </c>
      <c r="M3989" s="4" t="s">
        <v>6785</v>
      </c>
      <c r="N3989" s="4" t="s">
        <v>6991</v>
      </c>
      <c r="O3989" s="4" t="s">
        <v>63</v>
      </c>
      <c r="P3989" s="4" t="s">
        <v>64</v>
      </c>
    </row>
    <row r="3990">
      <c r="A3990" s="4" t="s">
        <v>6785</v>
      </c>
      <c r="B3990" s="4" t="s">
        <v>6786</v>
      </c>
      <c r="C3990" s="4">
        <v>379.0</v>
      </c>
      <c r="D3990" s="5" t="str">
        <f t="shared" si="320"/>
        <v>Open Ad</v>
      </c>
      <c r="E3990" s="4" t="s">
        <v>78</v>
      </c>
      <c r="F3990" s="4" t="s">
        <v>6765</v>
      </c>
      <c r="G3990" s="4" t="s">
        <v>6983</v>
      </c>
      <c r="H3990" s="4" t="s">
        <v>49</v>
      </c>
      <c r="I3990" s="4" t="s">
        <v>6768</v>
      </c>
      <c r="J3990" s="4" t="s">
        <v>78</v>
      </c>
      <c r="K3990" s="7" t="str">
        <f t="shared" si="321"/>
        <v>View Creative</v>
      </c>
      <c r="L3990" s="4" t="s">
        <v>60</v>
      </c>
      <c r="M3990" s="4" t="s">
        <v>6785</v>
      </c>
      <c r="N3990" s="4" t="s">
        <v>6991</v>
      </c>
      <c r="O3990" s="4" t="s">
        <v>63</v>
      </c>
      <c r="P3990" s="4" t="s">
        <v>64</v>
      </c>
    </row>
    <row r="3991">
      <c r="A3991" s="4" t="s">
        <v>6785</v>
      </c>
      <c r="B3991" s="4" t="s">
        <v>6786</v>
      </c>
      <c r="C3991" s="4">
        <v>380.0</v>
      </c>
      <c r="D3991" s="5" t="str">
        <f t="shared" ref="D3991:D3992" si="322">HYPERLINK("https://www.linkedin.com/ad-library/detail/820359833","Open Ad")</f>
        <v>Open Ad</v>
      </c>
      <c r="E3991" s="4" t="s">
        <v>78</v>
      </c>
      <c r="F3991" s="4" t="s">
        <v>6765</v>
      </c>
      <c r="G3991" s="4" t="s">
        <v>6992</v>
      </c>
      <c r="H3991" s="4" t="s">
        <v>49</v>
      </c>
      <c r="I3991" s="4" t="s">
        <v>6768</v>
      </c>
      <c r="J3991" s="4" t="s">
        <v>78</v>
      </c>
      <c r="K3991" s="7" t="str">
        <f t="shared" ref="K3991:K3992" si="323">HYPERLINK("https://media.licdn.com/dms/image/v2/D4D22AQFSStIZYa_5-g/feedshare-shrink_1280/B4DZkFOTHhHYA4-/0/1756729259383?e=2147483647&amp;v=beta&amp;t=nP11zE2rYG_Hfl-wu8DAbV5Uqs4BIe0d0lkTy82IgAk","View Creative")</f>
        <v>View Creative</v>
      </c>
      <c r="L3991" s="4" t="s">
        <v>60</v>
      </c>
      <c r="M3991" s="4" t="s">
        <v>6785</v>
      </c>
      <c r="N3991" s="4" t="s">
        <v>6991</v>
      </c>
      <c r="O3991" s="4" t="s">
        <v>63</v>
      </c>
      <c r="P3991" s="4" t="s">
        <v>64</v>
      </c>
    </row>
    <row r="3992">
      <c r="A3992" s="4" t="s">
        <v>6785</v>
      </c>
      <c r="B3992" s="4" t="s">
        <v>6786</v>
      </c>
      <c r="C3992" s="4">
        <v>381.0</v>
      </c>
      <c r="D3992" s="5" t="str">
        <f t="shared" si="322"/>
        <v>Open Ad</v>
      </c>
      <c r="E3992" s="4" t="s">
        <v>78</v>
      </c>
      <c r="F3992" s="4" t="s">
        <v>6765</v>
      </c>
      <c r="G3992" s="4" t="s">
        <v>6992</v>
      </c>
      <c r="H3992" s="4" t="s">
        <v>49</v>
      </c>
      <c r="I3992" s="4" t="s">
        <v>6768</v>
      </c>
      <c r="J3992" s="4" t="s">
        <v>78</v>
      </c>
      <c r="K3992" s="7" t="str">
        <f t="shared" si="323"/>
        <v>View Creative</v>
      </c>
      <c r="L3992" s="4" t="s">
        <v>60</v>
      </c>
      <c r="M3992" s="4" t="s">
        <v>6785</v>
      </c>
      <c r="N3992" s="4" t="s">
        <v>6991</v>
      </c>
      <c r="O3992" s="4" t="s">
        <v>63</v>
      </c>
      <c r="P3992" s="4" t="s">
        <v>64</v>
      </c>
    </row>
    <row r="3993">
      <c r="A3993" s="4" t="s">
        <v>6785</v>
      </c>
      <c r="B3993" s="4" t="s">
        <v>6786</v>
      </c>
      <c r="C3993" s="4">
        <v>382.0</v>
      </c>
      <c r="D3993" s="5" t="str">
        <f t="shared" ref="D3993:D3994" si="324">HYPERLINK("https://www.linkedin.com/ad-library/detail/813666223","Open Ad")</f>
        <v>Open Ad</v>
      </c>
      <c r="E3993" s="4" t="s">
        <v>78</v>
      </c>
      <c r="F3993" s="4" t="s">
        <v>6765</v>
      </c>
      <c r="G3993" s="4" t="s">
        <v>6993</v>
      </c>
      <c r="H3993" s="4" t="s">
        <v>49</v>
      </c>
      <c r="I3993" s="4" t="s">
        <v>6768</v>
      </c>
      <c r="J3993" s="4" t="s">
        <v>78</v>
      </c>
      <c r="K3993" s="7" t="str">
        <f t="shared" ref="K3993:K3994" si="325">HYPERLINK("https://media.licdn.com/dms/image/v2/D4D22AQHtB0915GN-xA/feedshare-shrink_1280/B4DZkE3f07HsAs-/0/1756723281899?e=2147483647&amp;v=beta&amp;t=UN_2oo85eqCkfa1YpN6JuYs2z4rNOZwNiXoN3018gg4","View Creative")</f>
        <v>View Creative</v>
      </c>
      <c r="L3993" s="4" t="s">
        <v>60</v>
      </c>
      <c r="M3993" s="4" t="s">
        <v>6785</v>
      </c>
      <c r="N3993" s="4"/>
      <c r="O3993" s="4" t="s">
        <v>63</v>
      </c>
      <c r="P3993" s="4" t="s">
        <v>64</v>
      </c>
    </row>
    <row r="3994">
      <c r="A3994" s="4" t="s">
        <v>6785</v>
      </c>
      <c r="B3994" s="4" t="s">
        <v>6786</v>
      </c>
      <c r="C3994" s="4">
        <v>383.0</v>
      </c>
      <c r="D3994" s="5" t="str">
        <f t="shared" si="324"/>
        <v>Open Ad</v>
      </c>
      <c r="E3994" s="4" t="s">
        <v>78</v>
      </c>
      <c r="F3994" s="4" t="s">
        <v>6765</v>
      </c>
      <c r="G3994" s="4" t="s">
        <v>6993</v>
      </c>
      <c r="H3994" s="4" t="s">
        <v>49</v>
      </c>
      <c r="I3994" s="4" t="s">
        <v>6768</v>
      </c>
      <c r="J3994" s="4" t="s">
        <v>78</v>
      </c>
      <c r="K3994" s="7" t="str">
        <f t="shared" si="325"/>
        <v>View Creative</v>
      </c>
      <c r="L3994" s="4" t="s">
        <v>60</v>
      </c>
      <c r="M3994" s="4" t="s">
        <v>6785</v>
      </c>
      <c r="N3994" s="4"/>
      <c r="O3994" s="4" t="s">
        <v>63</v>
      </c>
      <c r="P3994" s="4" t="s">
        <v>64</v>
      </c>
    </row>
    <row r="3995">
      <c r="A3995" s="4" t="s">
        <v>6785</v>
      </c>
      <c r="B3995" s="4" t="s">
        <v>6786</v>
      </c>
      <c r="C3995" s="4">
        <v>384.0</v>
      </c>
      <c r="D3995" s="5" t="str">
        <f t="shared" ref="D3995:D3996" si="326">HYPERLINK("https://www.linkedin.com/ad-library/detail/848835713","Open Ad")</f>
        <v>Open Ad</v>
      </c>
      <c r="E3995" s="4" t="s">
        <v>78</v>
      </c>
      <c r="F3995" s="4" t="s">
        <v>6765</v>
      </c>
      <c r="G3995" s="4" t="s">
        <v>6987</v>
      </c>
      <c r="H3995" s="4" t="s">
        <v>611</v>
      </c>
      <c r="I3995" s="4" t="s">
        <v>6768</v>
      </c>
      <c r="J3995" s="4" t="s">
        <v>78</v>
      </c>
      <c r="K3995" s="7" t="str">
        <f t="shared" ref="K3995:K3996" si="327">HYPERLINK("https://media.licdn.com/dms/image/v2/D4D22AQGklBrcFlUWjw/feedshare-shrink_1280/B4DZk987KuIYAw-/0/1757681005899?e=2147483647&amp;v=beta&amp;t=wwyx_7lsHvXykm3UAxYpN2NrRYXdxGjwmiJn8topM_0","View Creative")</f>
        <v>View Creative</v>
      </c>
      <c r="L3995" s="4" t="s">
        <v>60</v>
      </c>
      <c r="M3995" s="4" t="s">
        <v>6785</v>
      </c>
      <c r="N3995" s="4"/>
      <c r="O3995" s="4" t="s">
        <v>63</v>
      </c>
      <c r="P3995" s="4" t="s">
        <v>64</v>
      </c>
    </row>
    <row r="3996">
      <c r="A3996" s="4" t="s">
        <v>6785</v>
      </c>
      <c r="B3996" s="4" t="s">
        <v>6786</v>
      </c>
      <c r="C3996" s="4">
        <v>385.0</v>
      </c>
      <c r="D3996" s="5" t="str">
        <f t="shared" si="326"/>
        <v>Open Ad</v>
      </c>
      <c r="E3996" s="4" t="s">
        <v>78</v>
      </c>
      <c r="F3996" s="4" t="s">
        <v>6765</v>
      </c>
      <c r="G3996" s="4" t="s">
        <v>6987</v>
      </c>
      <c r="H3996" s="4" t="s">
        <v>611</v>
      </c>
      <c r="I3996" s="4" t="s">
        <v>6768</v>
      </c>
      <c r="J3996" s="4" t="s">
        <v>78</v>
      </c>
      <c r="K3996" s="7" t="str">
        <f t="shared" si="327"/>
        <v>View Creative</v>
      </c>
      <c r="L3996" s="4" t="s">
        <v>60</v>
      </c>
      <c r="M3996" s="4" t="s">
        <v>6785</v>
      </c>
      <c r="N3996" s="4"/>
      <c r="O3996" s="4" t="s">
        <v>63</v>
      </c>
      <c r="P3996" s="4" t="s">
        <v>64</v>
      </c>
    </row>
    <row r="3997">
      <c r="A3997" s="4" t="s">
        <v>6785</v>
      </c>
      <c r="B3997" s="4" t="s">
        <v>6786</v>
      </c>
      <c r="C3997" s="4">
        <v>386.0</v>
      </c>
      <c r="D3997" s="5" t="str">
        <f>HYPERLINK("https://www.linkedin.com/ad-library/detail/836244733","Open Ad")</f>
        <v>Open Ad</v>
      </c>
      <c r="E3997" s="4" t="s">
        <v>52</v>
      </c>
      <c r="F3997" s="4" t="s">
        <v>6765</v>
      </c>
      <c r="G3997" s="4" t="s">
        <v>6984</v>
      </c>
      <c r="H3997" s="4" t="s">
        <v>49</v>
      </c>
      <c r="I3997" s="4" t="s">
        <v>6768</v>
      </c>
      <c r="J3997" s="4" t="s">
        <v>52</v>
      </c>
      <c r="K3997" s="4" t="s">
        <v>59</v>
      </c>
      <c r="L3997" s="4" t="s">
        <v>60</v>
      </c>
      <c r="M3997" s="4" t="s">
        <v>6785</v>
      </c>
      <c r="N3997" s="4" t="s">
        <v>6982</v>
      </c>
      <c r="O3997" s="4" t="s">
        <v>63</v>
      </c>
      <c r="P3997" s="4" t="s">
        <v>64</v>
      </c>
    </row>
    <row r="3998">
      <c r="A3998" s="4" t="s">
        <v>6785</v>
      </c>
      <c r="B3998" s="4" t="s">
        <v>6786</v>
      </c>
      <c r="C3998" s="4">
        <v>387.0</v>
      </c>
      <c r="D3998" s="5" t="str">
        <f t="shared" ref="D3998:D3999" si="328">HYPERLINK("https://www.linkedin.com/ad-library/detail/813626603","Open Ad")</f>
        <v>Open Ad</v>
      </c>
      <c r="E3998" s="4" t="s">
        <v>78</v>
      </c>
      <c r="F3998" s="4" t="s">
        <v>6765</v>
      </c>
      <c r="G3998" s="4" t="s">
        <v>6992</v>
      </c>
      <c r="H3998" s="4" t="s">
        <v>49</v>
      </c>
      <c r="I3998" s="4" t="s">
        <v>6768</v>
      </c>
      <c r="J3998" s="4" t="s">
        <v>78</v>
      </c>
      <c r="K3998" s="7" t="str">
        <f t="shared" ref="K3998:K3999" si="329">HYPERLINK("https://media.licdn.com/dms/image/v2/D4D22AQFSStIZYa_5-g/feedshare-shrink_1280/B4DZkFOTHhHYA4-/0/1756729259383?e=2147483647&amp;v=beta&amp;t=nP11zE2rYG_Hfl-wu8DAbV5Uqs4BIe0d0lkTy82IgAk","View Creative")</f>
        <v>View Creative</v>
      </c>
      <c r="L3998" s="4" t="s">
        <v>60</v>
      </c>
      <c r="M3998" s="4" t="s">
        <v>6785</v>
      </c>
      <c r="N3998" s="4" t="s">
        <v>6994</v>
      </c>
      <c r="O3998" s="4" t="s">
        <v>63</v>
      </c>
      <c r="P3998" s="4" t="s">
        <v>64</v>
      </c>
    </row>
    <row r="3999">
      <c r="A3999" s="4" t="s">
        <v>6785</v>
      </c>
      <c r="B3999" s="4" t="s">
        <v>6786</v>
      </c>
      <c r="C3999" s="4">
        <v>388.0</v>
      </c>
      <c r="D3999" s="5" t="str">
        <f t="shared" si="328"/>
        <v>Open Ad</v>
      </c>
      <c r="E3999" s="4" t="s">
        <v>78</v>
      </c>
      <c r="F3999" s="4" t="s">
        <v>6765</v>
      </c>
      <c r="G3999" s="4" t="s">
        <v>6992</v>
      </c>
      <c r="H3999" s="4" t="s">
        <v>49</v>
      </c>
      <c r="I3999" s="4" t="s">
        <v>6768</v>
      </c>
      <c r="J3999" s="4" t="s">
        <v>78</v>
      </c>
      <c r="K3999" s="7" t="str">
        <f t="shared" si="329"/>
        <v>View Creative</v>
      </c>
      <c r="L3999" s="4" t="s">
        <v>60</v>
      </c>
      <c r="M3999" s="4" t="s">
        <v>6785</v>
      </c>
      <c r="N3999" s="4" t="s">
        <v>6994</v>
      </c>
      <c r="O3999" s="4" t="s">
        <v>63</v>
      </c>
      <c r="P3999" s="4" t="s">
        <v>64</v>
      </c>
    </row>
    <row r="4000">
      <c r="A4000" s="4" t="s">
        <v>6785</v>
      </c>
      <c r="B4000" s="4" t="s">
        <v>6786</v>
      </c>
      <c r="C4000" s="4">
        <v>389.0</v>
      </c>
      <c r="D4000" s="5" t="str">
        <f>HYPERLINK("https://www.linkedin.com/ad-library/detail/836224563","Open Ad")</f>
        <v>Open Ad</v>
      </c>
      <c r="E4000" s="4" t="s">
        <v>52</v>
      </c>
      <c r="F4000" s="4" t="s">
        <v>6765</v>
      </c>
      <c r="G4000" s="4" t="s">
        <v>6981</v>
      </c>
      <c r="H4000" s="4" t="s">
        <v>49</v>
      </c>
      <c r="I4000" s="4" t="s">
        <v>6768</v>
      </c>
      <c r="J4000" s="4" t="s">
        <v>52</v>
      </c>
      <c r="K4000" s="4" t="s">
        <v>59</v>
      </c>
      <c r="L4000" s="4" t="s">
        <v>60</v>
      </c>
      <c r="M4000" s="4" t="s">
        <v>6785</v>
      </c>
      <c r="N4000" s="4"/>
      <c r="O4000" s="4" t="s">
        <v>63</v>
      </c>
      <c r="P4000" s="4" t="s">
        <v>64</v>
      </c>
    </row>
    <row r="4001">
      <c r="A4001" s="4" t="s">
        <v>6785</v>
      </c>
      <c r="B4001" s="4" t="s">
        <v>6786</v>
      </c>
      <c r="C4001" s="4">
        <v>390.0</v>
      </c>
      <c r="D4001" s="5" t="str">
        <f>HYPERLINK("https://www.linkedin.com/ad-library/detail/834136143","Open Ad")</f>
        <v>Open Ad</v>
      </c>
      <c r="E4001" s="4" t="s">
        <v>52</v>
      </c>
      <c r="F4001" s="4" t="s">
        <v>6765</v>
      </c>
      <c r="G4001" s="4" t="s">
        <v>6984</v>
      </c>
      <c r="H4001" s="4" t="s">
        <v>49</v>
      </c>
      <c r="I4001" s="4" t="s">
        <v>6768</v>
      </c>
      <c r="J4001" s="4" t="s">
        <v>52</v>
      </c>
      <c r="K4001" s="4" t="s">
        <v>59</v>
      </c>
      <c r="L4001" s="4" t="s">
        <v>60</v>
      </c>
      <c r="M4001" s="4" t="s">
        <v>6785</v>
      </c>
      <c r="N4001" s="4" t="s">
        <v>6995</v>
      </c>
      <c r="O4001" s="4" t="s">
        <v>63</v>
      </c>
      <c r="P4001" s="4" t="s">
        <v>64</v>
      </c>
    </row>
    <row r="4002">
      <c r="A4002" s="4" t="s">
        <v>6785</v>
      </c>
      <c r="B4002" s="4" t="s">
        <v>6786</v>
      </c>
      <c r="C4002" s="4">
        <v>391.0</v>
      </c>
      <c r="D4002" s="5" t="str">
        <f t="shared" ref="D4002:D4003" si="330">HYPERLINK("https://www.linkedin.com/ad-library/detail/820290863","Open Ad")</f>
        <v>Open Ad</v>
      </c>
      <c r="E4002" s="4" t="s">
        <v>78</v>
      </c>
      <c r="F4002" s="4" t="s">
        <v>6765</v>
      </c>
      <c r="G4002" s="4" t="s">
        <v>6992</v>
      </c>
      <c r="H4002" s="4" t="s">
        <v>49</v>
      </c>
      <c r="I4002" s="4" t="s">
        <v>6768</v>
      </c>
      <c r="J4002" s="4" t="s">
        <v>78</v>
      </c>
      <c r="K4002" s="7" t="str">
        <f t="shared" ref="K4002:K4003" si="331">HYPERLINK("https://media.licdn.com/dms/image/v2/D4D22AQFSStIZYa_5-g/feedshare-shrink_1280/B4DZkFOTHhHYA4-/0/1756729259383?e=2147483647&amp;v=beta&amp;t=nP11zE2rYG_Hfl-wu8DAbV5Uqs4BIe0d0lkTy82IgAk","View Creative")</f>
        <v>View Creative</v>
      </c>
      <c r="L4002" s="4" t="s">
        <v>60</v>
      </c>
      <c r="M4002" s="4" t="s">
        <v>6785</v>
      </c>
      <c r="N4002" s="4"/>
      <c r="O4002" s="4" t="s">
        <v>63</v>
      </c>
      <c r="P4002" s="4" t="s">
        <v>64</v>
      </c>
    </row>
    <row r="4003">
      <c r="A4003" s="4" t="s">
        <v>6785</v>
      </c>
      <c r="B4003" s="4" t="s">
        <v>6786</v>
      </c>
      <c r="C4003" s="4">
        <v>392.0</v>
      </c>
      <c r="D4003" s="5" t="str">
        <f t="shared" si="330"/>
        <v>Open Ad</v>
      </c>
      <c r="E4003" s="4" t="s">
        <v>78</v>
      </c>
      <c r="F4003" s="4" t="s">
        <v>6765</v>
      </c>
      <c r="G4003" s="4" t="s">
        <v>6992</v>
      </c>
      <c r="H4003" s="4" t="s">
        <v>49</v>
      </c>
      <c r="I4003" s="4" t="s">
        <v>6768</v>
      </c>
      <c r="J4003" s="4" t="s">
        <v>78</v>
      </c>
      <c r="K4003" s="7" t="str">
        <f t="shared" si="331"/>
        <v>View Creative</v>
      </c>
      <c r="L4003" s="4" t="s">
        <v>60</v>
      </c>
      <c r="M4003" s="4" t="s">
        <v>6785</v>
      </c>
      <c r="N4003" s="4"/>
      <c r="O4003" s="4" t="s">
        <v>63</v>
      </c>
      <c r="P4003" s="4" t="s">
        <v>64</v>
      </c>
    </row>
    <row r="4004">
      <c r="A4004" s="4" t="s">
        <v>6785</v>
      </c>
      <c r="B4004" s="4" t="s">
        <v>6786</v>
      </c>
      <c r="C4004" s="4">
        <v>393.0</v>
      </c>
      <c r="D4004" s="5" t="str">
        <f>HYPERLINK("https://www.linkedin.com/ad-library/detail/852166783","Open Ad")</f>
        <v>Open Ad</v>
      </c>
      <c r="E4004" s="4" t="s">
        <v>52</v>
      </c>
      <c r="F4004" s="4" t="s">
        <v>6765</v>
      </c>
      <c r="G4004" s="4" t="s">
        <v>6985</v>
      </c>
      <c r="H4004" s="4" t="s">
        <v>49</v>
      </c>
      <c r="I4004" s="4" t="s">
        <v>6768</v>
      </c>
      <c r="J4004" s="4" t="s">
        <v>52</v>
      </c>
      <c r="K4004" s="4" t="s">
        <v>59</v>
      </c>
      <c r="L4004" s="4" t="s">
        <v>60</v>
      </c>
      <c r="M4004" s="4" t="s">
        <v>6785</v>
      </c>
      <c r="N4004" s="4"/>
      <c r="O4004" s="4" t="s">
        <v>63</v>
      </c>
      <c r="P4004" s="4" t="s">
        <v>64</v>
      </c>
    </row>
    <row r="4005">
      <c r="A4005" s="4" t="s">
        <v>6785</v>
      </c>
      <c r="B4005" s="4" t="s">
        <v>6786</v>
      </c>
      <c r="C4005" s="4">
        <v>394.0</v>
      </c>
      <c r="D4005" s="5" t="str">
        <f>HYPERLINK("https://www.linkedin.com/ad-library/detail/834105523","Open Ad")</f>
        <v>Open Ad</v>
      </c>
      <c r="E4005" s="4" t="s">
        <v>52</v>
      </c>
      <c r="F4005" s="4" t="s">
        <v>6765</v>
      </c>
      <c r="G4005" s="4" t="s">
        <v>6981</v>
      </c>
      <c r="H4005" s="4" t="s">
        <v>49</v>
      </c>
      <c r="I4005" s="4" t="s">
        <v>6768</v>
      </c>
      <c r="J4005" s="4" t="s">
        <v>52</v>
      </c>
      <c r="K4005" s="4" t="s">
        <v>59</v>
      </c>
      <c r="L4005" s="4" t="s">
        <v>60</v>
      </c>
      <c r="M4005" s="4" t="s">
        <v>6785</v>
      </c>
      <c r="N4005" s="4" t="s">
        <v>6996</v>
      </c>
      <c r="O4005" s="4" t="s">
        <v>63</v>
      </c>
      <c r="P4005" s="4" t="s">
        <v>64</v>
      </c>
    </row>
    <row r="4006">
      <c r="A4006" s="4" t="s">
        <v>6785</v>
      </c>
      <c r="B4006" s="4" t="s">
        <v>6786</v>
      </c>
      <c r="C4006" s="4">
        <v>395.0</v>
      </c>
      <c r="D4006" s="5" t="str">
        <f t="shared" ref="D4006:D4007" si="332">HYPERLINK("https://www.linkedin.com/ad-library/detail/813695893","Open Ad")</f>
        <v>Open Ad</v>
      </c>
      <c r="E4006" s="4" t="s">
        <v>78</v>
      </c>
      <c r="F4006" s="4" t="s">
        <v>6765</v>
      </c>
      <c r="G4006" s="4" t="s">
        <v>6988</v>
      </c>
      <c r="H4006" s="4" t="s">
        <v>6989</v>
      </c>
      <c r="I4006" s="4" t="s">
        <v>6768</v>
      </c>
      <c r="J4006" s="4" t="s">
        <v>78</v>
      </c>
      <c r="K4006" s="7" t="str">
        <f t="shared" ref="K4006:K4007" si="333">HYPERLINK("https://media.licdn.com/dms/image/v2/D4E22AQFOUH_VQEMYzA/feedshare-shrink_1280/B4EZkEooY4GwAs-/0/1756719385104?e=2147483647&amp;v=beta&amp;t=39XfaDdt1-NAHPDM5HGNhrwQ7KUaPvcN9JuhvfY5f2E","View Creative")</f>
        <v>View Creative</v>
      </c>
      <c r="L4006" s="4" t="s">
        <v>60</v>
      </c>
      <c r="M4006" s="4" t="s">
        <v>6785</v>
      </c>
      <c r="N4006" s="4"/>
      <c r="O4006" s="4" t="s">
        <v>63</v>
      </c>
      <c r="P4006" s="4" t="s">
        <v>64</v>
      </c>
    </row>
    <row r="4007">
      <c r="A4007" s="4" t="s">
        <v>6785</v>
      </c>
      <c r="B4007" s="4" t="s">
        <v>6786</v>
      </c>
      <c r="C4007" s="4">
        <v>396.0</v>
      </c>
      <c r="D4007" s="5" t="str">
        <f t="shared" si="332"/>
        <v>Open Ad</v>
      </c>
      <c r="E4007" s="4" t="s">
        <v>78</v>
      </c>
      <c r="F4007" s="4" t="s">
        <v>6765</v>
      </c>
      <c r="G4007" s="4" t="s">
        <v>6988</v>
      </c>
      <c r="H4007" s="4" t="s">
        <v>6989</v>
      </c>
      <c r="I4007" s="4" t="s">
        <v>6768</v>
      </c>
      <c r="J4007" s="4" t="s">
        <v>78</v>
      </c>
      <c r="K4007" s="7" t="str">
        <f t="shared" si="333"/>
        <v>View Creative</v>
      </c>
      <c r="L4007" s="4" t="s">
        <v>60</v>
      </c>
      <c r="M4007" s="4" t="s">
        <v>6785</v>
      </c>
      <c r="N4007" s="4"/>
      <c r="O4007" s="4" t="s">
        <v>63</v>
      </c>
      <c r="P4007" s="4" t="s">
        <v>64</v>
      </c>
    </row>
    <row r="4008">
      <c r="A4008" s="4" t="s">
        <v>6785</v>
      </c>
      <c r="B4008" s="4" t="s">
        <v>6786</v>
      </c>
      <c r="C4008" s="4">
        <v>397.0</v>
      </c>
      <c r="D4008" s="5" t="str">
        <f t="shared" ref="D4008:D4009" si="334">HYPERLINK("https://www.linkedin.com/ad-library/detail/820290853","Open Ad")</f>
        <v>Open Ad</v>
      </c>
      <c r="E4008" s="4" t="s">
        <v>78</v>
      </c>
      <c r="F4008" s="4" t="s">
        <v>6765</v>
      </c>
      <c r="G4008" s="4" t="s">
        <v>6983</v>
      </c>
      <c r="H4008" s="4" t="s">
        <v>49</v>
      </c>
      <c r="I4008" s="4" t="s">
        <v>6768</v>
      </c>
      <c r="J4008" s="4" t="s">
        <v>78</v>
      </c>
      <c r="K4008" s="7" t="str">
        <f t="shared" ref="K4008:K4009" si="335">HYPERLINK("https://media.licdn.com/dms/image/v2/D4D22AQFZnQ5EGUW9Bg/feedshare-shrink_1280/B4DZkEot5OIEAw-/0/1756719407895?e=2147483647&amp;v=beta&amp;t=PoQ1GShkNh05CZn-sJ_nskNmEbkJYeugLNcTmiSLII0","View Creative")</f>
        <v>View Creative</v>
      </c>
      <c r="L4008" s="4" t="s">
        <v>60</v>
      </c>
      <c r="M4008" s="4" t="s">
        <v>6785</v>
      </c>
      <c r="N4008" s="4"/>
      <c r="O4008" s="4" t="s">
        <v>63</v>
      </c>
      <c r="P4008" s="4" t="s">
        <v>64</v>
      </c>
    </row>
    <row r="4009">
      <c r="A4009" s="4" t="s">
        <v>6785</v>
      </c>
      <c r="B4009" s="4" t="s">
        <v>6786</v>
      </c>
      <c r="C4009" s="4">
        <v>398.0</v>
      </c>
      <c r="D4009" s="5" t="str">
        <f t="shared" si="334"/>
        <v>Open Ad</v>
      </c>
      <c r="E4009" s="4" t="s">
        <v>78</v>
      </c>
      <c r="F4009" s="4" t="s">
        <v>6765</v>
      </c>
      <c r="G4009" s="4" t="s">
        <v>6983</v>
      </c>
      <c r="H4009" s="4" t="s">
        <v>49</v>
      </c>
      <c r="I4009" s="4" t="s">
        <v>6768</v>
      </c>
      <c r="J4009" s="4" t="s">
        <v>78</v>
      </c>
      <c r="K4009" s="7" t="str">
        <f t="shared" si="335"/>
        <v>View Creative</v>
      </c>
      <c r="L4009" s="4" t="s">
        <v>60</v>
      </c>
      <c r="M4009" s="4" t="s">
        <v>6785</v>
      </c>
      <c r="N4009" s="4"/>
      <c r="O4009" s="4" t="s">
        <v>63</v>
      </c>
      <c r="P4009" s="4" t="s">
        <v>64</v>
      </c>
    </row>
    <row r="4010">
      <c r="A4010" s="4" t="s">
        <v>6785</v>
      </c>
      <c r="B4010" s="4" t="s">
        <v>6786</v>
      </c>
      <c r="C4010" s="4">
        <v>399.0</v>
      </c>
      <c r="D4010" s="5" t="str">
        <f>HYPERLINK("https://www.linkedin.com/ad-library/detail/836274063","Open Ad")</f>
        <v>Open Ad</v>
      </c>
      <c r="E4010" s="4" t="s">
        <v>52</v>
      </c>
      <c r="F4010" s="4" t="s">
        <v>6765</v>
      </c>
      <c r="G4010" s="4" t="s">
        <v>6984</v>
      </c>
      <c r="H4010" s="4" t="s">
        <v>49</v>
      </c>
      <c r="I4010" s="4" t="s">
        <v>6768</v>
      </c>
      <c r="J4010" s="4" t="s">
        <v>52</v>
      </c>
      <c r="K4010" s="4" t="s">
        <v>59</v>
      </c>
      <c r="L4010" s="4" t="s">
        <v>60</v>
      </c>
      <c r="M4010" s="4" t="s">
        <v>6785</v>
      </c>
      <c r="N4010" s="4"/>
      <c r="O4010" s="4" t="s">
        <v>63</v>
      </c>
      <c r="P4010" s="4" t="s">
        <v>64</v>
      </c>
    </row>
    <row r="4011">
      <c r="A4011" s="4" t="s">
        <v>6785</v>
      </c>
      <c r="B4011" s="4" t="s">
        <v>6786</v>
      </c>
      <c r="C4011" s="4">
        <v>400.0</v>
      </c>
      <c r="D4011" s="5" t="str">
        <f>HYPERLINK("https://www.linkedin.com/ad-library/detail/834086523","Open Ad")</f>
        <v>Open Ad</v>
      </c>
      <c r="E4011" s="4" t="s">
        <v>52</v>
      </c>
      <c r="F4011" s="4" t="s">
        <v>6765</v>
      </c>
      <c r="G4011" s="4" t="s">
        <v>6984</v>
      </c>
      <c r="H4011" s="4" t="s">
        <v>49</v>
      </c>
      <c r="I4011" s="4" t="s">
        <v>6768</v>
      </c>
      <c r="J4011" s="4" t="s">
        <v>52</v>
      </c>
      <c r="K4011" s="4" t="s">
        <v>59</v>
      </c>
      <c r="L4011" s="4" t="s">
        <v>60</v>
      </c>
      <c r="M4011" s="4" t="s">
        <v>6785</v>
      </c>
      <c r="N4011" s="4" t="s">
        <v>6997</v>
      </c>
      <c r="O4011" s="4" t="s">
        <v>63</v>
      </c>
      <c r="P4011" s="4" t="s">
        <v>64</v>
      </c>
    </row>
    <row r="4012">
      <c r="A4012" s="4" t="s">
        <v>6785</v>
      </c>
      <c r="B4012" s="4" t="s">
        <v>6786</v>
      </c>
      <c r="C4012" s="4">
        <v>401.0</v>
      </c>
      <c r="D4012" s="5" t="str">
        <f>HYPERLINK("https://www.linkedin.com/ad-library/detail/834046323","Open Ad")</f>
        <v>Open Ad</v>
      </c>
      <c r="E4012" s="4" t="s">
        <v>52</v>
      </c>
      <c r="F4012" s="4" t="s">
        <v>6765</v>
      </c>
      <c r="G4012" s="4" t="s">
        <v>6981</v>
      </c>
      <c r="H4012" s="4" t="s">
        <v>49</v>
      </c>
      <c r="I4012" s="4" t="s">
        <v>6768</v>
      </c>
      <c r="J4012" s="4" t="s">
        <v>52</v>
      </c>
      <c r="K4012" s="4" t="s">
        <v>59</v>
      </c>
      <c r="L4012" s="4" t="s">
        <v>60</v>
      </c>
      <c r="M4012" s="4" t="s">
        <v>6785</v>
      </c>
      <c r="N4012" s="4" t="s">
        <v>6996</v>
      </c>
      <c r="O4012" s="4" t="s">
        <v>63</v>
      </c>
      <c r="P4012" s="4" t="s">
        <v>64</v>
      </c>
    </row>
    <row r="4013">
      <c r="A4013" s="4" t="s">
        <v>6785</v>
      </c>
      <c r="B4013" s="4" t="s">
        <v>6786</v>
      </c>
      <c r="C4013" s="4">
        <v>402.0</v>
      </c>
      <c r="D4013" s="5" t="str">
        <f t="shared" ref="D4013:D4014" si="336">HYPERLINK("https://www.linkedin.com/ad-library/detail/822443886","Open Ad")</f>
        <v>Open Ad</v>
      </c>
      <c r="E4013" s="4" t="s">
        <v>78</v>
      </c>
      <c r="F4013" s="4" t="s">
        <v>6765</v>
      </c>
      <c r="G4013" s="4" t="s">
        <v>6974</v>
      </c>
      <c r="H4013" s="4" t="s">
        <v>49</v>
      </c>
      <c r="I4013" s="4" t="s">
        <v>6768</v>
      </c>
      <c r="J4013" s="4" t="s">
        <v>78</v>
      </c>
      <c r="K4013" s="7" t="str">
        <f t="shared" ref="K4013:K4014" si="337">HYPERLINK("https://media.licdn.com/dms/image/v2/D5610AQG-YY0zwJt23w/image-shrink_1280/B56Zh5fEggHkAY-/0/1754384845992/image4png?e=2147483647&amp;v=beta&amp;t=BnrQp-K1CE-GUlC70OcGvIOhrglH7B8UGujusi3xbXE","View Creative")</f>
        <v>View Creative</v>
      </c>
      <c r="L4013" s="4" t="s">
        <v>60</v>
      </c>
      <c r="M4013" s="4" t="s">
        <v>6785</v>
      </c>
      <c r="N4013" s="4"/>
      <c r="O4013" s="4" t="s">
        <v>63</v>
      </c>
      <c r="P4013" s="4" t="s">
        <v>64</v>
      </c>
    </row>
    <row r="4014">
      <c r="A4014" s="4" t="s">
        <v>6785</v>
      </c>
      <c r="B4014" s="4" t="s">
        <v>6786</v>
      </c>
      <c r="C4014" s="4">
        <v>403.0</v>
      </c>
      <c r="D4014" s="5" t="str">
        <f t="shared" si="336"/>
        <v>Open Ad</v>
      </c>
      <c r="E4014" s="4" t="s">
        <v>78</v>
      </c>
      <c r="F4014" s="4" t="s">
        <v>6765</v>
      </c>
      <c r="G4014" s="4" t="s">
        <v>6974</v>
      </c>
      <c r="H4014" s="4" t="s">
        <v>49</v>
      </c>
      <c r="I4014" s="4" t="s">
        <v>6768</v>
      </c>
      <c r="J4014" s="4" t="s">
        <v>78</v>
      </c>
      <c r="K4014" s="7" t="str">
        <f t="shared" si="337"/>
        <v>View Creative</v>
      </c>
      <c r="L4014" s="4" t="s">
        <v>60</v>
      </c>
      <c r="M4014" s="4" t="s">
        <v>6785</v>
      </c>
      <c r="N4014" s="4"/>
      <c r="O4014" s="4" t="s">
        <v>63</v>
      </c>
      <c r="P4014" s="4" t="s">
        <v>64</v>
      </c>
    </row>
    <row r="4015">
      <c r="A4015" s="4" t="s">
        <v>6785</v>
      </c>
      <c r="B4015" s="4" t="s">
        <v>6786</v>
      </c>
      <c r="C4015" s="4">
        <v>404.0</v>
      </c>
      <c r="D4015" s="5" t="str">
        <f t="shared" ref="D4015:D4016" si="338">HYPERLINK("https://www.linkedin.com/ad-library/detail/813596023","Open Ad")</f>
        <v>Open Ad</v>
      </c>
      <c r="E4015" s="4" t="s">
        <v>78</v>
      </c>
      <c r="F4015" s="4" t="s">
        <v>6765</v>
      </c>
      <c r="G4015" s="4" t="s">
        <v>6992</v>
      </c>
      <c r="H4015" s="4" t="s">
        <v>49</v>
      </c>
      <c r="I4015" s="4" t="s">
        <v>6768</v>
      </c>
      <c r="J4015" s="4" t="s">
        <v>78</v>
      </c>
      <c r="K4015" s="7" t="str">
        <f t="shared" ref="K4015:K4016" si="339">HYPERLINK("https://media.licdn.com/dms/image/v2/D4D22AQFSStIZYa_5-g/feedshare-shrink_1280/B4DZkFOTHhHYA4-/0/1756729259383?e=2147483647&amp;v=beta&amp;t=nP11zE2rYG_Hfl-wu8DAbV5Uqs4BIe0d0lkTy82IgAk","View Creative")</f>
        <v>View Creative</v>
      </c>
      <c r="L4015" s="4" t="s">
        <v>60</v>
      </c>
      <c r="M4015" s="4" t="s">
        <v>6785</v>
      </c>
      <c r="N4015" s="4"/>
      <c r="O4015" s="4" t="s">
        <v>63</v>
      </c>
      <c r="P4015" s="4" t="s">
        <v>64</v>
      </c>
    </row>
    <row r="4016">
      <c r="A4016" s="4" t="s">
        <v>6785</v>
      </c>
      <c r="B4016" s="4" t="s">
        <v>6786</v>
      </c>
      <c r="C4016" s="4">
        <v>405.0</v>
      </c>
      <c r="D4016" s="5" t="str">
        <f t="shared" si="338"/>
        <v>Open Ad</v>
      </c>
      <c r="E4016" s="4" t="s">
        <v>78</v>
      </c>
      <c r="F4016" s="4" t="s">
        <v>6765</v>
      </c>
      <c r="G4016" s="4" t="s">
        <v>6992</v>
      </c>
      <c r="H4016" s="4" t="s">
        <v>49</v>
      </c>
      <c r="I4016" s="4" t="s">
        <v>6768</v>
      </c>
      <c r="J4016" s="4" t="s">
        <v>78</v>
      </c>
      <c r="K4016" s="7" t="str">
        <f t="shared" si="339"/>
        <v>View Creative</v>
      </c>
      <c r="L4016" s="4" t="s">
        <v>60</v>
      </c>
      <c r="M4016" s="4" t="s">
        <v>6785</v>
      </c>
      <c r="N4016" s="4"/>
      <c r="O4016" s="4" t="s">
        <v>63</v>
      </c>
      <c r="P4016" s="4" t="s">
        <v>64</v>
      </c>
    </row>
    <row r="4017">
      <c r="A4017" s="4" t="s">
        <v>6785</v>
      </c>
      <c r="B4017" s="4" t="s">
        <v>6786</v>
      </c>
      <c r="C4017" s="4">
        <v>406.0</v>
      </c>
      <c r="D4017" s="5" t="str">
        <f t="shared" ref="D4017:D4018" si="340">HYPERLINK("https://www.linkedin.com/ad-library/detail/822443616","Open Ad")</f>
        <v>Open Ad</v>
      </c>
      <c r="E4017" s="4" t="s">
        <v>78</v>
      </c>
      <c r="F4017" s="4" t="s">
        <v>6765</v>
      </c>
      <c r="G4017" s="4" t="s">
        <v>6974</v>
      </c>
      <c r="H4017" s="4" t="s">
        <v>49</v>
      </c>
      <c r="I4017" s="4" t="s">
        <v>6768</v>
      </c>
      <c r="J4017" s="4" t="s">
        <v>78</v>
      </c>
      <c r="K4017" s="7" t="str">
        <f t="shared" ref="K4017:K4018" si="341">HYPERLINK("https://media.licdn.com/dms/image/v2/D5610AQG-YY0zwJt23w/image-shrink_1280/B56Zh5fEggHkAY-/0/1754384845992/image4png?e=2147483647&amp;v=beta&amp;t=BnrQp-K1CE-GUlC70OcGvIOhrglH7B8UGujusi3xbXE","View Creative")</f>
        <v>View Creative</v>
      </c>
      <c r="L4017" s="4" t="s">
        <v>60</v>
      </c>
      <c r="M4017" s="4" t="s">
        <v>6785</v>
      </c>
      <c r="N4017" s="4" t="s">
        <v>6998</v>
      </c>
      <c r="O4017" s="4" t="s">
        <v>63</v>
      </c>
      <c r="P4017" s="4" t="s">
        <v>64</v>
      </c>
    </row>
    <row r="4018">
      <c r="A4018" s="4" t="s">
        <v>6785</v>
      </c>
      <c r="B4018" s="4" t="s">
        <v>6786</v>
      </c>
      <c r="C4018" s="4">
        <v>407.0</v>
      </c>
      <c r="D4018" s="5" t="str">
        <f t="shared" si="340"/>
        <v>Open Ad</v>
      </c>
      <c r="E4018" s="4" t="s">
        <v>78</v>
      </c>
      <c r="F4018" s="4" t="s">
        <v>6765</v>
      </c>
      <c r="G4018" s="4" t="s">
        <v>6974</v>
      </c>
      <c r="H4018" s="4" t="s">
        <v>49</v>
      </c>
      <c r="I4018" s="4" t="s">
        <v>6768</v>
      </c>
      <c r="J4018" s="4" t="s">
        <v>78</v>
      </c>
      <c r="K4018" s="7" t="str">
        <f t="shared" si="341"/>
        <v>View Creative</v>
      </c>
      <c r="L4018" s="4" t="s">
        <v>60</v>
      </c>
      <c r="M4018" s="4" t="s">
        <v>6785</v>
      </c>
      <c r="N4018" s="4" t="s">
        <v>6998</v>
      </c>
      <c r="O4018" s="4" t="s">
        <v>63</v>
      </c>
      <c r="P4018" s="4" t="s">
        <v>64</v>
      </c>
    </row>
    <row r="4019">
      <c r="A4019" s="4" t="s">
        <v>6785</v>
      </c>
      <c r="B4019" s="4" t="s">
        <v>6786</v>
      </c>
      <c r="C4019" s="4">
        <v>408.0</v>
      </c>
      <c r="D4019" s="5" t="str">
        <f t="shared" ref="D4019:D4020" si="342">HYPERLINK("https://www.linkedin.com/ad-library/detail/752281723","Open Ad")</f>
        <v>Open Ad</v>
      </c>
      <c r="E4019" s="4" t="s">
        <v>78</v>
      </c>
      <c r="F4019" s="4" t="s">
        <v>6765</v>
      </c>
      <c r="G4019" s="4" t="s">
        <v>6831</v>
      </c>
      <c r="H4019" s="4" t="s">
        <v>49</v>
      </c>
      <c r="I4019" s="4" t="s">
        <v>6768</v>
      </c>
      <c r="J4019" s="4" t="s">
        <v>78</v>
      </c>
      <c r="K4019" s="7" t="str">
        <f t="shared" ref="K4019:K4020" si="343">HYPERLINK("https://media.licdn.com/dms/image/v2/D5610AQEpV6JehSeI3A/image-shrink_1280/B56Zh5afxxHUAU-/0/1754383646967/GrumpEscobarImagepng?e=2147483647&amp;v=beta&amp;t=1yljMY63DBOT5XAHyHLZuLJeG68yLEbMvtqgVmA3zh8","View Creative")</f>
        <v>View Creative</v>
      </c>
      <c r="L4019" s="4" t="s">
        <v>60</v>
      </c>
      <c r="M4019" s="4" t="s">
        <v>6785</v>
      </c>
      <c r="N4019" s="4" t="s">
        <v>6999</v>
      </c>
      <c r="O4019" s="4" t="s">
        <v>63</v>
      </c>
      <c r="P4019" s="4" t="s">
        <v>64</v>
      </c>
    </row>
    <row r="4020">
      <c r="A4020" s="4" t="s">
        <v>6785</v>
      </c>
      <c r="B4020" s="4" t="s">
        <v>6786</v>
      </c>
      <c r="C4020" s="4">
        <v>409.0</v>
      </c>
      <c r="D4020" s="5" t="str">
        <f t="shared" si="342"/>
        <v>Open Ad</v>
      </c>
      <c r="E4020" s="4" t="s">
        <v>78</v>
      </c>
      <c r="F4020" s="4" t="s">
        <v>6765</v>
      </c>
      <c r="G4020" s="4" t="s">
        <v>6831</v>
      </c>
      <c r="H4020" s="4" t="s">
        <v>49</v>
      </c>
      <c r="I4020" s="4" t="s">
        <v>6768</v>
      </c>
      <c r="J4020" s="4" t="s">
        <v>78</v>
      </c>
      <c r="K4020" s="7" t="str">
        <f t="shared" si="343"/>
        <v>View Creative</v>
      </c>
      <c r="L4020" s="4" t="s">
        <v>60</v>
      </c>
      <c r="M4020" s="4" t="s">
        <v>6785</v>
      </c>
      <c r="N4020" s="4" t="s">
        <v>6999</v>
      </c>
      <c r="O4020" s="4" t="s">
        <v>63</v>
      </c>
      <c r="P4020" s="4" t="s">
        <v>64</v>
      </c>
    </row>
    <row r="4021">
      <c r="A4021" s="4" t="s">
        <v>6785</v>
      </c>
      <c r="B4021" s="4" t="s">
        <v>6786</v>
      </c>
      <c r="C4021" s="4">
        <v>410.0</v>
      </c>
      <c r="D4021" s="5" t="str">
        <f t="shared" ref="D4021:D4022" si="344">HYPERLINK("https://www.linkedin.com/ad-library/detail/813646453","Open Ad")</f>
        <v>Open Ad</v>
      </c>
      <c r="E4021" s="4" t="s">
        <v>78</v>
      </c>
      <c r="F4021" s="4" t="s">
        <v>6765</v>
      </c>
      <c r="G4021" s="4" t="s">
        <v>6983</v>
      </c>
      <c r="H4021" s="4" t="s">
        <v>49</v>
      </c>
      <c r="I4021" s="4" t="s">
        <v>6768</v>
      </c>
      <c r="J4021" s="4" t="s">
        <v>78</v>
      </c>
      <c r="K4021" s="7" t="str">
        <f t="shared" ref="K4021:K4022" si="345">HYPERLINK("https://media.licdn.com/dms/image/v2/D4D22AQFZnQ5EGUW9Bg/feedshare-shrink_1280/B4DZkEot5OIEAw-/0/1756719407895?e=2147483647&amp;v=beta&amp;t=PoQ1GShkNh05CZn-sJ_nskNmEbkJYeugLNcTmiSLII0","View Creative")</f>
        <v>View Creative</v>
      </c>
      <c r="L4021" s="4" t="s">
        <v>60</v>
      </c>
      <c r="M4021" s="4" t="s">
        <v>6785</v>
      </c>
      <c r="N4021" s="4" t="s">
        <v>6994</v>
      </c>
      <c r="O4021" s="4" t="s">
        <v>63</v>
      </c>
      <c r="P4021" s="4" t="s">
        <v>64</v>
      </c>
    </row>
    <row r="4022">
      <c r="A4022" s="4" t="s">
        <v>6785</v>
      </c>
      <c r="B4022" s="4" t="s">
        <v>6786</v>
      </c>
      <c r="C4022" s="4">
        <v>411.0</v>
      </c>
      <c r="D4022" s="5" t="str">
        <f t="shared" si="344"/>
        <v>Open Ad</v>
      </c>
      <c r="E4022" s="4" t="s">
        <v>78</v>
      </c>
      <c r="F4022" s="4" t="s">
        <v>6765</v>
      </c>
      <c r="G4022" s="4" t="s">
        <v>6983</v>
      </c>
      <c r="H4022" s="4" t="s">
        <v>49</v>
      </c>
      <c r="I4022" s="4" t="s">
        <v>6768</v>
      </c>
      <c r="J4022" s="4" t="s">
        <v>78</v>
      </c>
      <c r="K4022" s="7" t="str">
        <f t="shared" si="345"/>
        <v>View Creative</v>
      </c>
      <c r="L4022" s="4" t="s">
        <v>60</v>
      </c>
      <c r="M4022" s="4" t="s">
        <v>6785</v>
      </c>
      <c r="N4022" s="4" t="s">
        <v>6994</v>
      </c>
      <c r="O4022" s="4" t="s">
        <v>63</v>
      </c>
      <c r="P4022" s="4" t="s">
        <v>64</v>
      </c>
    </row>
    <row r="4023">
      <c r="A4023" s="4" t="s">
        <v>6785</v>
      </c>
      <c r="B4023" s="4" t="s">
        <v>6786</v>
      </c>
      <c r="C4023" s="4">
        <v>412.0</v>
      </c>
      <c r="D4023" s="5" t="str">
        <f t="shared" ref="D4023:D4024" si="346">HYPERLINK("https://www.linkedin.com/ad-library/detail/780160563","Open Ad")</f>
        <v>Open Ad</v>
      </c>
      <c r="E4023" s="4" t="s">
        <v>78</v>
      </c>
      <c r="F4023" s="4" t="s">
        <v>6765</v>
      </c>
      <c r="G4023" s="4" t="s">
        <v>6833</v>
      </c>
      <c r="H4023" s="4" t="s">
        <v>49</v>
      </c>
      <c r="I4023" s="4" t="s">
        <v>6768</v>
      </c>
      <c r="J4023" s="4" t="s">
        <v>78</v>
      </c>
      <c r="K4023" s="7" t="str">
        <f t="shared" ref="K4023:K4024" si="347">HYPERLINK("https://media.licdn.com/dms/image/v2/D4D10AQEN1xXAAmII0w/image-shrink_1280/B4DZjmN70VIEAM-/0/1756209070122/Old-Magnusjpg?e=2147483647&amp;v=beta&amp;t=uGsrcGjae2D5ILKsyDAbdYGQ0Aw9KyOZoaKcYMU4ins","View Creative")</f>
        <v>View Creative</v>
      </c>
      <c r="L4023" s="4" t="s">
        <v>60</v>
      </c>
      <c r="M4023" s="4" t="s">
        <v>6785</v>
      </c>
      <c r="N4023" s="4" t="s">
        <v>7000</v>
      </c>
      <c r="O4023" s="4" t="s">
        <v>63</v>
      </c>
      <c r="P4023" s="4" t="s">
        <v>64</v>
      </c>
    </row>
    <row r="4024">
      <c r="A4024" s="4" t="s">
        <v>6785</v>
      </c>
      <c r="B4024" s="4" t="s">
        <v>6786</v>
      </c>
      <c r="C4024" s="4">
        <v>413.0</v>
      </c>
      <c r="D4024" s="5" t="str">
        <f t="shared" si="346"/>
        <v>Open Ad</v>
      </c>
      <c r="E4024" s="4" t="s">
        <v>78</v>
      </c>
      <c r="F4024" s="4" t="s">
        <v>6765</v>
      </c>
      <c r="G4024" s="4" t="s">
        <v>6833</v>
      </c>
      <c r="H4024" s="4" t="s">
        <v>49</v>
      </c>
      <c r="I4024" s="4" t="s">
        <v>6768</v>
      </c>
      <c r="J4024" s="4" t="s">
        <v>78</v>
      </c>
      <c r="K4024" s="7" t="str">
        <f t="shared" si="347"/>
        <v>View Creative</v>
      </c>
      <c r="L4024" s="4" t="s">
        <v>60</v>
      </c>
      <c r="M4024" s="4" t="s">
        <v>6785</v>
      </c>
      <c r="N4024" s="4" t="s">
        <v>7000</v>
      </c>
      <c r="O4024" s="4" t="s">
        <v>63</v>
      </c>
      <c r="P4024" s="4" t="s">
        <v>64</v>
      </c>
    </row>
    <row r="4025">
      <c r="A4025" s="4" t="s">
        <v>6785</v>
      </c>
      <c r="B4025" s="4" t="s">
        <v>6786</v>
      </c>
      <c r="C4025" s="4">
        <v>414.0</v>
      </c>
      <c r="D4025" s="5" t="str">
        <f>HYPERLINK("https://www.linkedin.com/ad-library/detail/767434543","Open Ad")</f>
        <v>Open Ad</v>
      </c>
      <c r="E4025" s="4" t="s">
        <v>52</v>
      </c>
      <c r="F4025" s="4" t="s">
        <v>6765</v>
      </c>
      <c r="G4025" s="4" t="s">
        <v>6985</v>
      </c>
      <c r="H4025" s="4" t="s">
        <v>49</v>
      </c>
      <c r="I4025" s="4" t="s">
        <v>6768</v>
      </c>
      <c r="J4025" s="4" t="s">
        <v>52</v>
      </c>
      <c r="K4025" s="4" t="s">
        <v>59</v>
      </c>
      <c r="L4025" s="4" t="s">
        <v>60</v>
      </c>
      <c r="M4025" s="4" t="s">
        <v>6785</v>
      </c>
      <c r="N4025" s="4"/>
      <c r="O4025" s="4" t="s">
        <v>63</v>
      </c>
      <c r="P4025" s="4" t="s">
        <v>64</v>
      </c>
    </row>
    <row r="4026">
      <c r="A4026" s="4" t="s">
        <v>6785</v>
      </c>
      <c r="B4026" s="4" t="s">
        <v>6786</v>
      </c>
      <c r="C4026" s="4">
        <v>415.0</v>
      </c>
      <c r="D4026" s="5" t="str">
        <f>HYPERLINK("https://www.linkedin.com/ad-library/detail/729945224","Open Ad")</f>
        <v>Open Ad</v>
      </c>
      <c r="E4026" s="4" t="s">
        <v>52</v>
      </c>
      <c r="F4026" s="4" t="s">
        <v>6765</v>
      </c>
      <c r="G4026" s="4" t="s">
        <v>6979</v>
      </c>
      <c r="H4026" s="4" t="s">
        <v>49</v>
      </c>
      <c r="I4026" s="4" t="s">
        <v>6768</v>
      </c>
      <c r="J4026" s="4" t="s">
        <v>52</v>
      </c>
      <c r="K4026" s="4" t="s">
        <v>59</v>
      </c>
      <c r="L4026" s="4" t="s">
        <v>60</v>
      </c>
      <c r="M4026" s="4" t="s">
        <v>6785</v>
      </c>
      <c r="N4026" s="4"/>
      <c r="O4026" s="4" t="s">
        <v>63</v>
      </c>
      <c r="P4026" s="4" t="s">
        <v>64</v>
      </c>
    </row>
    <row r="4027">
      <c r="A4027" s="4" t="s">
        <v>6785</v>
      </c>
      <c r="B4027" s="4" t="s">
        <v>6786</v>
      </c>
      <c r="C4027" s="4">
        <v>416.0</v>
      </c>
      <c r="D4027" s="5" t="str">
        <f>HYPERLINK("https://www.linkedin.com/ad-library/detail/752455523","Open Ad")</f>
        <v>Open Ad</v>
      </c>
      <c r="E4027" s="4" t="s">
        <v>52</v>
      </c>
      <c r="F4027" s="4" t="s">
        <v>6765</v>
      </c>
      <c r="G4027" s="4" t="s">
        <v>7001</v>
      </c>
      <c r="H4027" s="4" t="s">
        <v>49</v>
      </c>
      <c r="I4027" s="4" t="s">
        <v>6768</v>
      </c>
      <c r="J4027" s="4" t="s">
        <v>52</v>
      </c>
      <c r="K4027" s="4" t="s">
        <v>59</v>
      </c>
      <c r="L4027" s="4" t="s">
        <v>60</v>
      </c>
      <c r="M4027" s="4" t="s">
        <v>6785</v>
      </c>
      <c r="N4027" s="4" t="s">
        <v>7002</v>
      </c>
      <c r="O4027" s="4" t="s">
        <v>63</v>
      </c>
      <c r="P4027" s="4" t="s">
        <v>64</v>
      </c>
    </row>
    <row r="4028">
      <c r="A4028" s="4" t="s">
        <v>6785</v>
      </c>
      <c r="B4028" s="4" t="s">
        <v>6786</v>
      </c>
      <c r="C4028" s="4">
        <v>417.0</v>
      </c>
      <c r="D4028" s="5" t="str">
        <f>HYPERLINK("https://www.linkedin.com/ad-library/detail/813665983","Open Ad")</f>
        <v>Open Ad</v>
      </c>
      <c r="E4028" s="4" t="s">
        <v>52</v>
      </c>
      <c r="F4028" s="4" t="s">
        <v>6765</v>
      </c>
      <c r="G4028" s="4" t="s">
        <v>6752</v>
      </c>
      <c r="H4028" s="4" t="s">
        <v>49</v>
      </c>
      <c r="I4028" s="4" t="s">
        <v>6768</v>
      </c>
      <c r="J4028" s="4" t="s">
        <v>52</v>
      </c>
      <c r="K4028" s="4" t="s">
        <v>59</v>
      </c>
      <c r="L4028" s="4" t="s">
        <v>60</v>
      </c>
      <c r="M4028" s="4" t="s">
        <v>6785</v>
      </c>
      <c r="N4028" s="4" t="s">
        <v>7003</v>
      </c>
      <c r="O4028" s="4" t="s">
        <v>63</v>
      </c>
      <c r="P4028" s="4" t="s">
        <v>64</v>
      </c>
    </row>
    <row r="4029">
      <c r="A4029" s="4" t="s">
        <v>6785</v>
      </c>
      <c r="B4029" s="4" t="s">
        <v>6786</v>
      </c>
      <c r="C4029" s="4">
        <v>418.0</v>
      </c>
      <c r="D4029" s="5" t="str">
        <f>HYPERLINK("https://www.linkedin.com/ad-library/detail/813586393","Open Ad")</f>
        <v>Open Ad</v>
      </c>
      <c r="E4029" s="4" t="s">
        <v>52</v>
      </c>
      <c r="F4029" s="4" t="s">
        <v>6765</v>
      </c>
      <c r="G4029" s="4" t="s">
        <v>6985</v>
      </c>
      <c r="H4029" s="4" t="s">
        <v>49</v>
      </c>
      <c r="I4029" s="4" t="s">
        <v>6768</v>
      </c>
      <c r="J4029" s="4" t="s">
        <v>52</v>
      </c>
      <c r="K4029" s="4" t="s">
        <v>59</v>
      </c>
      <c r="L4029" s="4" t="s">
        <v>60</v>
      </c>
      <c r="M4029" s="4" t="s">
        <v>6785</v>
      </c>
      <c r="N4029" s="4" t="s">
        <v>7004</v>
      </c>
      <c r="O4029" s="4" t="s">
        <v>63</v>
      </c>
      <c r="P4029" s="4" t="s">
        <v>64</v>
      </c>
    </row>
    <row r="4030">
      <c r="A4030" s="4" t="s">
        <v>6785</v>
      </c>
      <c r="B4030" s="4" t="s">
        <v>6786</v>
      </c>
      <c r="C4030" s="4">
        <v>419.0</v>
      </c>
      <c r="D4030" s="5" t="str">
        <f>HYPERLINK("https://www.linkedin.com/ad-library/detail/729945244","Open Ad")</f>
        <v>Open Ad</v>
      </c>
      <c r="E4030" s="4" t="s">
        <v>52</v>
      </c>
      <c r="F4030" s="4" t="s">
        <v>6765</v>
      </c>
      <c r="G4030" s="4" t="s">
        <v>6979</v>
      </c>
      <c r="H4030" s="4" t="s">
        <v>49</v>
      </c>
      <c r="I4030" s="4" t="s">
        <v>6768</v>
      </c>
      <c r="J4030" s="4" t="s">
        <v>52</v>
      </c>
      <c r="K4030" s="4" t="s">
        <v>59</v>
      </c>
      <c r="L4030" s="4" t="s">
        <v>60</v>
      </c>
      <c r="M4030" s="4" t="s">
        <v>6785</v>
      </c>
      <c r="N4030" s="4" t="s">
        <v>7005</v>
      </c>
      <c r="O4030" s="4" t="s">
        <v>63</v>
      </c>
      <c r="P4030" s="4" t="s">
        <v>64</v>
      </c>
    </row>
    <row r="4031">
      <c r="A4031" s="4" t="s">
        <v>6785</v>
      </c>
      <c r="B4031" s="4" t="s">
        <v>6786</v>
      </c>
      <c r="C4031" s="4">
        <v>420.0</v>
      </c>
      <c r="D4031" s="5" t="str">
        <f t="shared" ref="D4031:D4032" si="348">HYPERLINK("https://www.linkedin.com/ad-library/detail/813686063","Open Ad")</f>
        <v>Open Ad</v>
      </c>
      <c r="E4031" s="4" t="s">
        <v>78</v>
      </c>
      <c r="F4031" s="4" t="s">
        <v>6765</v>
      </c>
      <c r="G4031" s="4" t="s">
        <v>6993</v>
      </c>
      <c r="H4031" s="4" t="s">
        <v>49</v>
      </c>
      <c r="I4031" s="4" t="s">
        <v>6768</v>
      </c>
      <c r="J4031" s="4" t="s">
        <v>78</v>
      </c>
      <c r="K4031" s="7" t="str">
        <f t="shared" ref="K4031:K4032" si="349">HYPERLINK("https://media.licdn.com/dms/image/v2/D4D22AQHtB0915GN-xA/feedshare-shrink_1280/B4DZkE3f07HsAs-/0/1756723281899?e=2147483647&amp;v=beta&amp;t=UN_2oo85eqCkfa1YpN6JuYs2z4rNOZwNiXoN3018gg4","View Creative")</f>
        <v>View Creative</v>
      </c>
      <c r="L4031" s="4" t="s">
        <v>60</v>
      </c>
      <c r="M4031" s="4" t="s">
        <v>6785</v>
      </c>
      <c r="N4031" s="4" t="s">
        <v>7006</v>
      </c>
      <c r="O4031" s="4" t="s">
        <v>63</v>
      </c>
      <c r="P4031" s="4" t="s">
        <v>64</v>
      </c>
    </row>
    <row r="4032">
      <c r="A4032" s="4" t="s">
        <v>6785</v>
      </c>
      <c r="B4032" s="4" t="s">
        <v>6786</v>
      </c>
      <c r="C4032" s="4">
        <v>421.0</v>
      </c>
      <c r="D4032" s="5" t="str">
        <f t="shared" si="348"/>
        <v>Open Ad</v>
      </c>
      <c r="E4032" s="4" t="s">
        <v>78</v>
      </c>
      <c r="F4032" s="4" t="s">
        <v>6765</v>
      </c>
      <c r="G4032" s="4" t="s">
        <v>6993</v>
      </c>
      <c r="H4032" s="4" t="s">
        <v>49</v>
      </c>
      <c r="I4032" s="4" t="s">
        <v>6768</v>
      </c>
      <c r="J4032" s="4" t="s">
        <v>78</v>
      </c>
      <c r="K4032" s="7" t="str">
        <f t="shared" si="349"/>
        <v>View Creative</v>
      </c>
      <c r="L4032" s="4" t="s">
        <v>60</v>
      </c>
      <c r="M4032" s="4" t="s">
        <v>6785</v>
      </c>
      <c r="N4032" s="4" t="s">
        <v>7006</v>
      </c>
      <c r="O4032" s="4" t="s">
        <v>63</v>
      </c>
      <c r="P4032" s="4" t="s">
        <v>64</v>
      </c>
    </row>
    <row r="4033">
      <c r="A4033" s="4" t="s">
        <v>6785</v>
      </c>
      <c r="B4033" s="4" t="s">
        <v>6786</v>
      </c>
      <c r="C4033" s="4">
        <v>422.0</v>
      </c>
      <c r="D4033" s="5" t="str">
        <f>HYPERLINK("https://www.linkedin.com/ad-library/detail/813695813","Open Ad")</f>
        <v>Open Ad</v>
      </c>
      <c r="E4033" s="4" t="s">
        <v>52</v>
      </c>
      <c r="F4033" s="4" t="s">
        <v>6765</v>
      </c>
      <c r="G4033" s="4" t="s">
        <v>6752</v>
      </c>
      <c r="H4033" s="4" t="s">
        <v>49</v>
      </c>
      <c r="I4033" s="4" t="s">
        <v>6768</v>
      </c>
      <c r="J4033" s="4" t="s">
        <v>52</v>
      </c>
      <c r="K4033" s="4" t="s">
        <v>59</v>
      </c>
      <c r="L4033" s="4" t="s">
        <v>60</v>
      </c>
      <c r="M4033" s="4" t="s">
        <v>6785</v>
      </c>
      <c r="N4033" s="4" t="s">
        <v>7003</v>
      </c>
      <c r="O4033" s="4" t="s">
        <v>63</v>
      </c>
      <c r="P4033" s="4" t="s">
        <v>64</v>
      </c>
    </row>
    <row r="4034">
      <c r="A4034" s="4" t="s">
        <v>6785</v>
      </c>
      <c r="B4034" s="4" t="s">
        <v>6786</v>
      </c>
      <c r="C4034" s="4">
        <v>423.0</v>
      </c>
      <c r="D4034" s="5" t="str">
        <f t="shared" ref="D4034:D4035" si="350">HYPERLINK("https://www.linkedin.com/ad-library/detail/835297566","Open Ad")</f>
        <v>Open Ad</v>
      </c>
      <c r="E4034" s="4" t="s">
        <v>78</v>
      </c>
      <c r="F4034" s="4" t="s">
        <v>6765</v>
      </c>
      <c r="G4034" s="4" t="s">
        <v>7007</v>
      </c>
      <c r="H4034" s="4" t="s">
        <v>49</v>
      </c>
      <c r="I4034" s="4" t="s">
        <v>6768</v>
      </c>
      <c r="J4034" s="4" t="s">
        <v>78</v>
      </c>
      <c r="K4034" s="7" t="str">
        <f t="shared" ref="K4034:K4035" si="351">HYPERLINK("https://media.licdn.com/dms/image/v2/D5610AQHx9Ml85MWScw/image-shrink_1280/B56ZjLR6qHHkAM-/0/1755757129249/AISVjpg?e=2147483647&amp;v=beta&amp;t=UFkgcAqGKYcczGhp8Zp3cL0Hp7l43mqe0pC-YiU_gtc","View Creative")</f>
        <v>View Creative</v>
      </c>
      <c r="L4034" s="4" t="s">
        <v>60</v>
      </c>
      <c r="M4034" s="4" t="s">
        <v>6785</v>
      </c>
      <c r="N4034" s="4"/>
      <c r="O4034" s="4" t="s">
        <v>63</v>
      </c>
      <c r="P4034" s="4" t="s">
        <v>64</v>
      </c>
    </row>
    <row r="4035">
      <c r="A4035" s="4" t="s">
        <v>6785</v>
      </c>
      <c r="B4035" s="4" t="s">
        <v>6786</v>
      </c>
      <c r="C4035" s="4">
        <v>424.0</v>
      </c>
      <c r="D4035" s="5" t="str">
        <f t="shared" si="350"/>
        <v>Open Ad</v>
      </c>
      <c r="E4035" s="4" t="s">
        <v>78</v>
      </c>
      <c r="F4035" s="4" t="s">
        <v>6765</v>
      </c>
      <c r="G4035" s="4" t="s">
        <v>7007</v>
      </c>
      <c r="H4035" s="4" t="s">
        <v>49</v>
      </c>
      <c r="I4035" s="4" t="s">
        <v>6768</v>
      </c>
      <c r="J4035" s="4" t="s">
        <v>78</v>
      </c>
      <c r="K4035" s="7" t="str">
        <f t="shared" si="351"/>
        <v>View Creative</v>
      </c>
      <c r="L4035" s="4" t="s">
        <v>60</v>
      </c>
      <c r="M4035" s="4" t="s">
        <v>6785</v>
      </c>
      <c r="N4035" s="4"/>
      <c r="O4035" s="4" t="s">
        <v>63</v>
      </c>
      <c r="P4035" s="4" t="s">
        <v>64</v>
      </c>
    </row>
    <row r="4036">
      <c r="A4036" s="4" t="s">
        <v>6785</v>
      </c>
      <c r="B4036" s="4" t="s">
        <v>6786</v>
      </c>
      <c r="C4036" s="4">
        <v>425.0</v>
      </c>
      <c r="D4036" s="5" t="str">
        <f t="shared" ref="D4036:D4037" si="352">HYPERLINK("https://www.linkedin.com/ad-library/detail/813586443","Open Ad")</f>
        <v>Open Ad</v>
      </c>
      <c r="E4036" s="4" t="s">
        <v>78</v>
      </c>
      <c r="F4036" s="4" t="s">
        <v>6765</v>
      </c>
      <c r="G4036" s="4" t="s">
        <v>6988</v>
      </c>
      <c r="H4036" s="4" t="s">
        <v>6989</v>
      </c>
      <c r="I4036" s="4" t="s">
        <v>6768</v>
      </c>
      <c r="J4036" s="4" t="s">
        <v>78</v>
      </c>
      <c r="K4036" s="7" t="str">
        <f t="shared" ref="K4036:K4037" si="353">HYPERLINK("https://media.licdn.com/dms/image/v2/D4E22AQFOUH_VQEMYzA/feedshare-shrink_1280/B4EZkEooY4GwAs-/0/1756719385104?e=2147483647&amp;v=beta&amp;t=39XfaDdt1-NAHPDM5HGNhrwQ7KUaPvcN9JuhvfY5f2E","View Creative")</f>
        <v>View Creative</v>
      </c>
      <c r="L4036" s="4" t="s">
        <v>60</v>
      </c>
      <c r="M4036" s="4" t="s">
        <v>6785</v>
      </c>
      <c r="N4036" s="4" t="s">
        <v>7008</v>
      </c>
      <c r="O4036" s="4" t="s">
        <v>63</v>
      </c>
      <c r="P4036" s="4" t="s">
        <v>64</v>
      </c>
    </row>
    <row r="4037">
      <c r="A4037" s="4" t="s">
        <v>6785</v>
      </c>
      <c r="B4037" s="4" t="s">
        <v>6786</v>
      </c>
      <c r="C4037" s="4">
        <v>426.0</v>
      </c>
      <c r="D4037" s="5" t="str">
        <f t="shared" si="352"/>
        <v>Open Ad</v>
      </c>
      <c r="E4037" s="4" t="s">
        <v>78</v>
      </c>
      <c r="F4037" s="4" t="s">
        <v>6765</v>
      </c>
      <c r="G4037" s="4" t="s">
        <v>6988</v>
      </c>
      <c r="H4037" s="4" t="s">
        <v>6989</v>
      </c>
      <c r="I4037" s="4" t="s">
        <v>6768</v>
      </c>
      <c r="J4037" s="4" t="s">
        <v>78</v>
      </c>
      <c r="K4037" s="7" t="str">
        <f t="shared" si="353"/>
        <v>View Creative</v>
      </c>
      <c r="L4037" s="4" t="s">
        <v>60</v>
      </c>
      <c r="M4037" s="4" t="s">
        <v>6785</v>
      </c>
      <c r="N4037" s="4" t="s">
        <v>7008</v>
      </c>
      <c r="O4037" s="4" t="s">
        <v>63</v>
      </c>
      <c r="P4037" s="4" t="s">
        <v>64</v>
      </c>
    </row>
    <row r="4038">
      <c r="A4038" s="4" t="s">
        <v>6785</v>
      </c>
      <c r="B4038" s="4" t="s">
        <v>6786</v>
      </c>
      <c r="C4038" s="4">
        <v>427.0</v>
      </c>
      <c r="D4038" s="5" t="str">
        <f t="shared" ref="D4038:D4039" si="354">HYPERLINK("https://www.linkedin.com/ad-library/detail/813656073","Open Ad")</f>
        <v>Open Ad</v>
      </c>
      <c r="E4038" s="4" t="s">
        <v>78</v>
      </c>
      <c r="F4038" s="4" t="s">
        <v>6765</v>
      </c>
      <c r="G4038" s="4" t="s">
        <v>6992</v>
      </c>
      <c r="H4038" s="4" t="s">
        <v>49</v>
      </c>
      <c r="I4038" s="4" t="s">
        <v>6768</v>
      </c>
      <c r="J4038" s="4" t="s">
        <v>78</v>
      </c>
      <c r="K4038" s="7" t="str">
        <f t="shared" ref="K4038:K4039" si="355">HYPERLINK("https://media.licdn.com/dms/image/v2/D4D22AQFSStIZYa_5-g/feedshare-shrink_1280/B4DZkFOTHhHYA4-/0/1756729259383?e=2147483647&amp;v=beta&amp;t=nP11zE2rYG_Hfl-wu8DAbV5Uqs4BIe0d0lkTy82IgAk","View Creative")</f>
        <v>View Creative</v>
      </c>
      <c r="L4038" s="4" t="s">
        <v>60</v>
      </c>
      <c r="M4038" s="4" t="s">
        <v>6785</v>
      </c>
      <c r="N4038" s="4" t="s">
        <v>7008</v>
      </c>
      <c r="O4038" s="4" t="s">
        <v>63</v>
      </c>
      <c r="P4038" s="4" t="s">
        <v>64</v>
      </c>
    </row>
    <row r="4039">
      <c r="A4039" s="4" t="s">
        <v>6785</v>
      </c>
      <c r="B4039" s="4" t="s">
        <v>6786</v>
      </c>
      <c r="C4039" s="4">
        <v>428.0</v>
      </c>
      <c r="D4039" s="5" t="str">
        <f t="shared" si="354"/>
        <v>Open Ad</v>
      </c>
      <c r="E4039" s="4" t="s">
        <v>78</v>
      </c>
      <c r="F4039" s="4" t="s">
        <v>6765</v>
      </c>
      <c r="G4039" s="4" t="s">
        <v>6992</v>
      </c>
      <c r="H4039" s="4" t="s">
        <v>49</v>
      </c>
      <c r="I4039" s="4" t="s">
        <v>6768</v>
      </c>
      <c r="J4039" s="4" t="s">
        <v>78</v>
      </c>
      <c r="K4039" s="7" t="str">
        <f t="shared" si="355"/>
        <v>View Creative</v>
      </c>
      <c r="L4039" s="4" t="s">
        <v>60</v>
      </c>
      <c r="M4039" s="4" t="s">
        <v>6785</v>
      </c>
      <c r="N4039" s="4" t="s">
        <v>7008</v>
      </c>
      <c r="O4039" s="4" t="s">
        <v>63</v>
      </c>
      <c r="P4039" s="4" t="s">
        <v>64</v>
      </c>
    </row>
    <row r="4040">
      <c r="A4040" s="4" t="s">
        <v>6785</v>
      </c>
      <c r="B4040" s="4" t="s">
        <v>6786</v>
      </c>
      <c r="C4040" s="4">
        <v>429.0</v>
      </c>
      <c r="D4040" s="5" t="str">
        <f t="shared" ref="D4040:D4041" si="356">HYPERLINK("https://www.linkedin.com/ad-library/detail/822480166","Open Ad")</f>
        <v>Open Ad</v>
      </c>
      <c r="E4040" s="4" t="s">
        <v>78</v>
      </c>
      <c r="F4040" s="4" t="s">
        <v>6765</v>
      </c>
      <c r="G4040" s="4" t="s">
        <v>6977</v>
      </c>
      <c r="H4040" s="4" t="s">
        <v>49</v>
      </c>
      <c r="I4040" s="4" t="s">
        <v>6768</v>
      </c>
      <c r="J4040" s="4" t="s">
        <v>78</v>
      </c>
      <c r="K4040" s="7" t="str">
        <f t="shared" ref="K4040:K4041" si="357">HYPERLINK("https://media.licdn.com/dms/image/v2/D5610AQFkGrh2YkqHOg/image-shrink_1280/B56Zh5kX.HG0AY-/0/1754386236420/image5png?e=2147483647&amp;v=beta&amp;t=u_Vfx2_BKDJnHlCqaZq_XVVYpqKo2eEmLkIQzTAN98c","View Creative")</f>
        <v>View Creative</v>
      </c>
      <c r="L4040" s="4" t="s">
        <v>60</v>
      </c>
      <c r="M4040" s="4" t="s">
        <v>6785</v>
      </c>
      <c r="N4040" s="4" t="s">
        <v>6998</v>
      </c>
      <c r="O4040" s="4" t="s">
        <v>63</v>
      </c>
      <c r="P4040" s="4" t="s">
        <v>64</v>
      </c>
    </row>
    <row r="4041">
      <c r="A4041" s="4" t="s">
        <v>6785</v>
      </c>
      <c r="B4041" s="4" t="s">
        <v>6786</v>
      </c>
      <c r="C4041" s="4">
        <v>430.0</v>
      </c>
      <c r="D4041" s="5" t="str">
        <f t="shared" si="356"/>
        <v>Open Ad</v>
      </c>
      <c r="E4041" s="4" t="s">
        <v>78</v>
      </c>
      <c r="F4041" s="4" t="s">
        <v>6765</v>
      </c>
      <c r="G4041" s="4" t="s">
        <v>6977</v>
      </c>
      <c r="H4041" s="4" t="s">
        <v>49</v>
      </c>
      <c r="I4041" s="4" t="s">
        <v>6768</v>
      </c>
      <c r="J4041" s="4" t="s">
        <v>78</v>
      </c>
      <c r="K4041" s="7" t="str">
        <f t="shared" si="357"/>
        <v>View Creative</v>
      </c>
      <c r="L4041" s="4" t="s">
        <v>60</v>
      </c>
      <c r="M4041" s="4" t="s">
        <v>6785</v>
      </c>
      <c r="N4041" s="4" t="s">
        <v>6998</v>
      </c>
      <c r="O4041" s="4" t="s">
        <v>63</v>
      </c>
      <c r="P4041" s="4" t="s">
        <v>64</v>
      </c>
    </row>
    <row r="4042">
      <c r="A4042" s="4" t="s">
        <v>6785</v>
      </c>
      <c r="B4042" s="4" t="s">
        <v>6786</v>
      </c>
      <c r="C4042" s="4">
        <v>431.0</v>
      </c>
      <c r="D4042" s="5" t="str">
        <f>HYPERLINK("https://www.linkedin.com/ad-library/detail/813596193","Open Ad")</f>
        <v>Open Ad</v>
      </c>
      <c r="E4042" s="4" t="s">
        <v>52</v>
      </c>
      <c r="F4042" s="4" t="s">
        <v>6765</v>
      </c>
      <c r="G4042" s="4" t="s">
        <v>6752</v>
      </c>
      <c r="H4042" s="4" t="s">
        <v>49</v>
      </c>
      <c r="I4042" s="4" t="s">
        <v>6768</v>
      </c>
      <c r="J4042" s="4" t="s">
        <v>52</v>
      </c>
      <c r="K4042" s="4" t="s">
        <v>59</v>
      </c>
      <c r="L4042" s="4" t="s">
        <v>60</v>
      </c>
      <c r="M4042" s="4" t="s">
        <v>6785</v>
      </c>
      <c r="N4042" s="4" t="s">
        <v>7003</v>
      </c>
      <c r="O4042" s="4" t="s">
        <v>63</v>
      </c>
      <c r="P4042" s="4" t="s">
        <v>64</v>
      </c>
    </row>
    <row r="4043">
      <c r="A4043" s="4" t="s">
        <v>6785</v>
      </c>
      <c r="B4043" s="4" t="s">
        <v>6786</v>
      </c>
      <c r="C4043" s="4">
        <v>432.0</v>
      </c>
      <c r="D4043" s="5" t="str">
        <f t="shared" ref="D4043:D4044" si="358">HYPERLINK("https://www.linkedin.com/ad-library/detail/813566913","Open Ad")</f>
        <v>Open Ad</v>
      </c>
      <c r="E4043" s="4" t="s">
        <v>78</v>
      </c>
      <c r="F4043" s="4" t="s">
        <v>6765</v>
      </c>
      <c r="G4043" s="4" t="s">
        <v>6983</v>
      </c>
      <c r="H4043" s="4" t="s">
        <v>49</v>
      </c>
      <c r="I4043" s="4" t="s">
        <v>6768</v>
      </c>
      <c r="J4043" s="4" t="s">
        <v>78</v>
      </c>
      <c r="K4043" s="7" t="str">
        <f t="shared" ref="K4043:K4044" si="359">HYPERLINK("https://media.licdn.com/dms/image/v2/D4D22AQFZnQ5EGUW9Bg/feedshare-shrink_1280/B4DZkEot5OIEAw-/0/1756719407895?e=2147483647&amp;v=beta&amp;t=PoQ1GShkNh05CZn-sJ_nskNmEbkJYeugLNcTmiSLII0","View Creative")</f>
        <v>View Creative</v>
      </c>
      <c r="L4043" s="4" t="s">
        <v>60</v>
      </c>
      <c r="M4043" s="4" t="s">
        <v>6785</v>
      </c>
      <c r="N4043" s="4" t="s">
        <v>7006</v>
      </c>
      <c r="O4043" s="4" t="s">
        <v>63</v>
      </c>
      <c r="P4043" s="4" t="s">
        <v>64</v>
      </c>
    </row>
    <row r="4044">
      <c r="A4044" s="4" t="s">
        <v>6785</v>
      </c>
      <c r="B4044" s="4" t="s">
        <v>6786</v>
      </c>
      <c r="C4044" s="4">
        <v>433.0</v>
      </c>
      <c r="D4044" s="5" t="str">
        <f t="shared" si="358"/>
        <v>Open Ad</v>
      </c>
      <c r="E4044" s="4" t="s">
        <v>78</v>
      </c>
      <c r="F4044" s="4" t="s">
        <v>6765</v>
      </c>
      <c r="G4044" s="4" t="s">
        <v>6983</v>
      </c>
      <c r="H4044" s="4" t="s">
        <v>49</v>
      </c>
      <c r="I4044" s="4" t="s">
        <v>6768</v>
      </c>
      <c r="J4044" s="4" t="s">
        <v>78</v>
      </c>
      <c r="K4044" s="7" t="str">
        <f t="shared" si="359"/>
        <v>View Creative</v>
      </c>
      <c r="L4044" s="4" t="s">
        <v>60</v>
      </c>
      <c r="M4044" s="4" t="s">
        <v>6785</v>
      </c>
      <c r="N4044" s="4" t="s">
        <v>7006</v>
      </c>
      <c r="O4044" s="4" t="s">
        <v>63</v>
      </c>
      <c r="P4044" s="4" t="s">
        <v>64</v>
      </c>
    </row>
    <row r="4045">
      <c r="A4045" s="4" t="s">
        <v>6785</v>
      </c>
      <c r="B4045" s="4" t="s">
        <v>6786</v>
      </c>
      <c r="C4045" s="4">
        <v>434.0</v>
      </c>
      <c r="D4045" s="5" t="str">
        <f>HYPERLINK("https://www.linkedin.com/ad-library/detail/767481643","Open Ad")</f>
        <v>Open Ad</v>
      </c>
      <c r="E4045" s="4" t="s">
        <v>52</v>
      </c>
      <c r="F4045" s="4" t="s">
        <v>6765</v>
      </c>
      <c r="G4045" s="4" t="s">
        <v>6985</v>
      </c>
      <c r="H4045" s="4" t="s">
        <v>49</v>
      </c>
      <c r="I4045" s="4" t="s">
        <v>6768</v>
      </c>
      <c r="J4045" s="4" t="s">
        <v>52</v>
      </c>
      <c r="K4045" s="4" t="s">
        <v>59</v>
      </c>
      <c r="L4045" s="4" t="s">
        <v>60</v>
      </c>
      <c r="M4045" s="4" t="s">
        <v>6785</v>
      </c>
      <c r="N4045" s="4" t="s">
        <v>7009</v>
      </c>
      <c r="O4045" s="4" t="s">
        <v>63</v>
      </c>
      <c r="P4045" s="4" t="s">
        <v>64</v>
      </c>
    </row>
    <row r="4046">
      <c r="A4046" s="4" t="s">
        <v>6785</v>
      </c>
      <c r="B4046" s="4" t="s">
        <v>6786</v>
      </c>
      <c r="C4046" s="4">
        <v>435.0</v>
      </c>
      <c r="D4046" s="5" t="str">
        <f>HYPERLINK("https://www.linkedin.com/ad-library/detail/813596183","Open Ad")</f>
        <v>Open Ad</v>
      </c>
      <c r="E4046" s="4" t="s">
        <v>52</v>
      </c>
      <c r="F4046" s="4" t="s">
        <v>6765</v>
      </c>
      <c r="G4046" s="4" t="s">
        <v>6752</v>
      </c>
      <c r="H4046" s="4" t="s">
        <v>49</v>
      </c>
      <c r="I4046" s="4" t="s">
        <v>6768</v>
      </c>
      <c r="J4046" s="4" t="s">
        <v>52</v>
      </c>
      <c r="K4046" s="4" t="s">
        <v>59</v>
      </c>
      <c r="L4046" s="4" t="s">
        <v>60</v>
      </c>
      <c r="M4046" s="4" t="s">
        <v>6785</v>
      </c>
      <c r="N4046" s="4" t="s">
        <v>7003</v>
      </c>
      <c r="O4046" s="4" t="s">
        <v>63</v>
      </c>
      <c r="P4046" s="4" t="s">
        <v>64</v>
      </c>
    </row>
    <row r="4047">
      <c r="A4047" s="4" t="s">
        <v>6785</v>
      </c>
      <c r="B4047" s="4" t="s">
        <v>6786</v>
      </c>
      <c r="C4047" s="4">
        <v>436.0</v>
      </c>
      <c r="D4047" s="5" t="str">
        <f t="shared" ref="D4047:D4048" si="360">HYPERLINK("https://www.linkedin.com/ad-library/detail/835316806","Open Ad")</f>
        <v>Open Ad</v>
      </c>
      <c r="E4047" s="4" t="s">
        <v>78</v>
      </c>
      <c r="F4047" s="4" t="s">
        <v>6765</v>
      </c>
      <c r="G4047" s="4" t="s">
        <v>7007</v>
      </c>
      <c r="H4047" s="4" t="s">
        <v>49</v>
      </c>
      <c r="I4047" s="4" t="s">
        <v>6768</v>
      </c>
      <c r="J4047" s="4" t="s">
        <v>78</v>
      </c>
      <c r="K4047" s="7" t="str">
        <f t="shared" ref="K4047:K4048" si="361">HYPERLINK("https://media.licdn.com/dms/image/v2/D5610AQHx9Ml85MWScw/image-shrink_1280/B56ZjLR6qHHkAM-/0/1755757129249/AISVjpg?e=2147483647&amp;v=beta&amp;t=UFkgcAqGKYcczGhp8Zp3cL0Hp7l43mqe0pC-YiU_gtc","View Creative")</f>
        <v>View Creative</v>
      </c>
      <c r="L4047" s="4" t="s">
        <v>60</v>
      </c>
      <c r="M4047" s="4" t="s">
        <v>6785</v>
      </c>
      <c r="N4047" s="4" t="s">
        <v>7010</v>
      </c>
      <c r="O4047" s="4" t="s">
        <v>63</v>
      </c>
      <c r="P4047" s="4" t="s">
        <v>64</v>
      </c>
    </row>
    <row r="4048">
      <c r="A4048" s="4" t="s">
        <v>6785</v>
      </c>
      <c r="B4048" s="4" t="s">
        <v>6786</v>
      </c>
      <c r="C4048" s="4">
        <v>437.0</v>
      </c>
      <c r="D4048" s="5" t="str">
        <f t="shared" si="360"/>
        <v>Open Ad</v>
      </c>
      <c r="E4048" s="4" t="s">
        <v>78</v>
      </c>
      <c r="F4048" s="4" t="s">
        <v>6765</v>
      </c>
      <c r="G4048" s="4" t="s">
        <v>7007</v>
      </c>
      <c r="H4048" s="4" t="s">
        <v>49</v>
      </c>
      <c r="I4048" s="4" t="s">
        <v>6768</v>
      </c>
      <c r="J4048" s="4" t="s">
        <v>78</v>
      </c>
      <c r="K4048" s="7" t="str">
        <f t="shared" si="361"/>
        <v>View Creative</v>
      </c>
      <c r="L4048" s="4" t="s">
        <v>60</v>
      </c>
      <c r="M4048" s="4" t="s">
        <v>6785</v>
      </c>
      <c r="N4048" s="4" t="s">
        <v>7010</v>
      </c>
      <c r="O4048" s="4" t="s">
        <v>63</v>
      </c>
      <c r="P4048" s="4" t="s">
        <v>64</v>
      </c>
    </row>
    <row r="4049">
      <c r="A4049" s="4" t="s">
        <v>6785</v>
      </c>
      <c r="B4049" s="4" t="s">
        <v>6786</v>
      </c>
      <c r="C4049" s="4">
        <v>438.0</v>
      </c>
      <c r="D4049" s="5" t="str">
        <f t="shared" ref="D4049:D4050" si="362">HYPERLINK("https://www.linkedin.com/ad-library/detail/822462486","Open Ad")</f>
        <v>Open Ad</v>
      </c>
      <c r="E4049" s="4" t="s">
        <v>78</v>
      </c>
      <c r="F4049" s="4" t="s">
        <v>6765</v>
      </c>
      <c r="G4049" s="4" t="s">
        <v>7011</v>
      </c>
      <c r="H4049" s="4" t="s">
        <v>49</v>
      </c>
      <c r="I4049" s="4" t="s">
        <v>6768</v>
      </c>
      <c r="J4049" s="4" t="s">
        <v>78</v>
      </c>
      <c r="K4049" s="7" t="str">
        <f t="shared" ref="K4049:K4050" si="363">HYPERLINK("https://media.licdn.com/dms/image/v2/D4D10AQFFyg1vRQrScg/image-shrink_1280/B4DZfLdF3yG8AQ-/0/1751465091021/Hostingercasejpg?e=2147483647&amp;v=beta&amp;t=PAU5IjXg7Y-YLWu5SXvSAnf5XMb48_E15oWjWSujWhQ","View Creative")</f>
        <v>View Creative</v>
      </c>
      <c r="L4049" s="4" t="s">
        <v>60</v>
      </c>
      <c r="M4049" s="4" t="s">
        <v>6785</v>
      </c>
      <c r="N4049" s="4" t="s">
        <v>7012</v>
      </c>
      <c r="O4049" s="4" t="s">
        <v>63</v>
      </c>
      <c r="P4049" s="4" t="s">
        <v>64</v>
      </c>
    </row>
    <row r="4050">
      <c r="A4050" s="4" t="s">
        <v>6785</v>
      </c>
      <c r="B4050" s="4" t="s">
        <v>6786</v>
      </c>
      <c r="C4050" s="4">
        <v>439.0</v>
      </c>
      <c r="D4050" s="5" t="str">
        <f t="shared" si="362"/>
        <v>Open Ad</v>
      </c>
      <c r="E4050" s="4" t="s">
        <v>78</v>
      </c>
      <c r="F4050" s="4" t="s">
        <v>6765</v>
      </c>
      <c r="G4050" s="4" t="s">
        <v>7011</v>
      </c>
      <c r="H4050" s="4" t="s">
        <v>49</v>
      </c>
      <c r="I4050" s="4" t="s">
        <v>6768</v>
      </c>
      <c r="J4050" s="4" t="s">
        <v>78</v>
      </c>
      <c r="K4050" s="7" t="str">
        <f t="shared" si="363"/>
        <v>View Creative</v>
      </c>
      <c r="L4050" s="4" t="s">
        <v>60</v>
      </c>
      <c r="M4050" s="4" t="s">
        <v>6785</v>
      </c>
      <c r="N4050" s="4" t="s">
        <v>7012</v>
      </c>
      <c r="O4050" s="4" t="s">
        <v>63</v>
      </c>
      <c r="P4050" s="4" t="s">
        <v>64</v>
      </c>
    </row>
    <row r="4051">
      <c r="A4051" s="4"/>
      <c r="B4051" s="4"/>
      <c r="C4051" s="4"/>
      <c r="E4051" s="4"/>
      <c r="F4051" s="4"/>
      <c r="G4051" s="4"/>
      <c r="H4051" s="4"/>
      <c r="I4051" s="4"/>
      <c r="J4051" s="4"/>
      <c r="K4051" s="4"/>
      <c r="L4051" s="4"/>
      <c r="M4051" s="4"/>
      <c r="N4051" s="4"/>
      <c r="O4051" s="4"/>
      <c r="P4051" s="4"/>
    </row>
    <row r="4052">
      <c r="A4052" s="4" t="s">
        <v>7013</v>
      </c>
      <c r="B4052" s="4" t="s">
        <v>7014</v>
      </c>
      <c r="C4052" s="4">
        <v>1.0</v>
      </c>
      <c r="D4052" s="5" t="str">
        <f t="shared" ref="D4052:D4053" si="364">HYPERLINK("https://www.linkedin.com/ad-library/detail/1463821364","Open Ad")</f>
        <v>Open Ad</v>
      </c>
      <c r="E4052" s="4" t="s">
        <v>121</v>
      </c>
      <c r="F4052" s="4" t="s">
        <v>6765</v>
      </c>
      <c r="G4052" s="4" t="s">
        <v>7015</v>
      </c>
      <c r="H4052" s="4" t="s">
        <v>49</v>
      </c>
      <c r="I4052" s="4" t="s">
        <v>7016</v>
      </c>
      <c r="J4052" s="4" t="s">
        <v>121</v>
      </c>
      <c r="K4052" s="7" t="str">
        <f t="shared" ref="K4052:K4053" si="365">HYPERLINK("https://dms.licdn.com/playlist/vid/v2/D4E10AQG5aIPvxpk1Xg/mp4-640p-30fp-crf28/B4EZ8FHD2kH8Bo-/0/1782497167264?e=2147483647&amp;v=beta&amp;t=v6VcUFI-VG4dylvX-9i1QCfgclDAlQIVCY6ZiiHqUBQ","View Creative")</f>
        <v>View Creative</v>
      </c>
      <c r="L4052" s="4" t="s">
        <v>60</v>
      </c>
      <c r="M4052" s="4" t="s">
        <v>7013</v>
      </c>
      <c r="N4052" s="4" t="s">
        <v>7017</v>
      </c>
      <c r="O4052" s="4" t="s">
        <v>63</v>
      </c>
      <c r="P4052" s="4" t="s">
        <v>64</v>
      </c>
    </row>
    <row r="4053">
      <c r="A4053" s="4" t="s">
        <v>7013</v>
      </c>
      <c r="B4053" s="4" t="s">
        <v>7014</v>
      </c>
      <c r="C4053" s="4">
        <v>2.0</v>
      </c>
      <c r="D4053" s="5" t="str">
        <f t="shared" si="364"/>
        <v>Open Ad</v>
      </c>
      <c r="E4053" s="4" t="s">
        <v>121</v>
      </c>
      <c r="F4053" s="4" t="s">
        <v>6765</v>
      </c>
      <c r="G4053" s="4" t="s">
        <v>7015</v>
      </c>
      <c r="H4053" s="4" t="s">
        <v>49</v>
      </c>
      <c r="I4053" s="4" t="s">
        <v>7016</v>
      </c>
      <c r="J4053" s="4" t="s">
        <v>121</v>
      </c>
      <c r="K4053" s="7" t="str">
        <f t="shared" si="365"/>
        <v>View Creative</v>
      </c>
      <c r="L4053" s="4" t="s">
        <v>60</v>
      </c>
      <c r="M4053" s="4" t="s">
        <v>7013</v>
      </c>
      <c r="N4053" s="4" t="s">
        <v>7017</v>
      </c>
      <c r="O4053" s="4" t="s">
        <v>63</v>
      </c>
      <c r="P4053" s="4" t="s">
        <v>64</v>
      </c>
    </row>
    <row r="4054">
      <c r="A4054" s="4" t="s">
        <v>7013</v>
      </c>
      <c r="B4054" s="4" t="s">
        <v>7014</v>
      </c>
      <c r="C4054" s="4">
        <v>3.0</v>
      </c>
      <c r="D4054" s="5" t="str">
        <f t="shared" ref="D4054:D4055" si="366">HYPERLINK("https://www.linkedin.com/ad-library/detail/1461805154","Open Ad")</f>
        <v>Open Ad</v>
      </c>
      <c r="E4054" s="4" t="s">
        <v>78</v>
      </c>
      <c r="F4054" s="4" t="s">
        <v>6765</v>
      </c>
      <c r="G4054" s="4" t="s">
        <v>7018</v>
      </c>
      <c r="H4054" s="4" t="s">
        <v>49</v>
      </c>
      <c r="I4054" s="4" t="s">
        <v>7016</v>
      </c>
      <c r="J4054" s="4" t="s">
        <v>78</v>
      </c>
      <c r="K4054" s="7" t="str">
        <f t="shared" ref="K4054:K4055" si="367">HYPERLINK("https://media.licdn.com/dms/image/v2/D4E10AQGKueCfWHuNkg/image-shrink_1280/B4EZ7PBKXZJYAc-/0/1781589649194/A2-C5jpg?e=2147483647&amp;v=beta&amp;t=QmYtHSy_ICSJ76MwsGAlNWrT6Yc_kTWrDq9iNJSaLPw","View Creative")</f>
        <v>View Creative</v>
      </c>
      <c r="L4054" s="4" t="s">
        <v>60</v>
      </c>
      <c r="M4054" s="4" t="s">
        <v>7013</v>
      </c>
      <c r="N4054" s="4" t="s">
        <v>7019</v>
      </c>
      <c r="O4054" s="4" t="s">
        <v>63</v>
      </c>
      <c r="P4054" s="4" t="s">
        <v>64</v>
      </c>
    </row>
    <row r="4055">
      <c r="A4055" s="4" t="s">
        <v>7013</v>
      </c>
      <c r="B4055" s="4" t="s">
        <v>7014</v>
      </c>
      <c r="C4055" s="4">
        <v>4.0</v>
      </c>
      <c r="D4055" s="5" t="str">
        <f t="shared" si="366"/>
        <v>Open Ad</v>
      </c>
      <c r="E4055" s="4" t="s">
        <v>78</v>
      </c>
      <c r="F4055" s="4" t="s">
        <v>6765</v>
      </c>
      <c r="G4055" s="4" t="s">
        <v>7018</v>
      </c>
      <c r="H4055" s="4" t="s">
        <v>49</v>
      </c>
      <c r="I4055" s="4" t="s">
        <v>7016</v>
      </c>
      <c r="J4055" s="4" t="s">
        <v>78</v>
      </c>
      <c r="K4055" s="7" t="str">
        <f t="shared" si="367"/>
        <v>View Creative</v>
      </c>
      <c r="L4055" s="4" t="s">
        <v>60</v>
      </c>
      <c r="M4055" s="4" t="s">
        <v>7013</v>
      </c>
      <c r="N4055" s="4" t="s">
        <v>7019</v>
      </c>
      <c r="O4055" s="4" t="s">
        <v>63</v>
      </c>
      <c r="P4055" s="4" t="s">
        <v>64</v>
      </c>
    </row>
    <row r="4056">
      <c r="A4056" s="4" t="s">
        <v>7013</v>
      </c>
      <c r="B4056" s="4" t="s">
        <v>7014</v>
      </c>
      <c r="C4056" s="4">
        <v>5.0</v>
      </c>
      <c r="D4056" s="5" t="str">
        <f t="shared" ref="D4056:D4057" si="368">HYPERLINK("https://www.linkedin.com/ad-library/detail/1461805354","Open Ad")</f>
        <v>Open Ad</v>
      </c>
      <c r="E4056" s="4" t="s">
        <v>121</v>
      </c>
      <c r="F4056" s="4" t="s">
        <v>6765</v>
      </c>
      <c r="G4056" s="4" t="s">
        <v>7020</v>
      </c>
      <c r="H4056" s="4" t="s">
        <v>49</v>
      </c>
      <c r="I4056" s="4" t="s">
        <v>7016</v>
      </c>
      <c r="J4056" s="4" t="s">
        <v>121</v>
      </c>
      <c r="K4056" s="7" t="str">
        <f t="shared" ref="K4056:K4057" si="369">HYPERLINK("https://dms.licdn.com/playlist/vid/v2/D4D05AQEIf9NwdY28Aw/mp4-640p-30fp-crf28/B4DZ7UjqlwIsBk-/0/1781682586823?e=2147483647&amp;v=beta&amp;t=tBZ48iwqTXeGZnyWtdMDmH2-gats8SVb3dfrwWwiWBA","View Creative")</f>
        <v>View Creative</v>
      </c>
      <c r="L4056" s="4" t="s">
        <v>60</v>
      </c>
      <c r="M4056" s="4" t="s">
        <v>7013</v>
      </c>
      <c r="N4056" s="4" t="s">
        <v>7019</v>
      </c>
      <c r="O4056" s="4" t="s">
        <v>63</v>
      </c>
      <c r="P4056" s="4" t="s">
        <v>64</v>
      </c>
    </row>
    <row r="4057">
      <c r="A4057" s="4" t="s">
        <v>7013</v>
      </c>
      <c r="B4057" s="4" t="s">
        <v>7014</v>
      </c>
      <c r="C4057" s="4">
        <v>6.0</v>
      </c>
      <c r="D4057" s="5" t="str">
        <f t="shared" si="368"/>
        <v>Open Ad</v>
      </c>
      <c r="E4057" s="4" t="s">
        <v>121</v>
      </c>
      <c r="F4057" s="4" t="s">
        <v>6765</v>
      </c>
      <c r="G4057" s="4" t="s">
        <v>7020</v>
      </c>
      <c r="H4057" s="4" t="s">
        <v>49</v>
      </c>
      <c r="I4057" s="4" t="s">
        <v>7016</v>
      </c>
      <c r="J4057" s="4" t="s">
        <v>121</v>
      </c>
      <c r="K4057" s="7" t="str">
        <f t="shared" si="369"/>
        <v>View Creative</v>
      </c>
      <c r="L4057" s="4" t="s">
        <v>60</v>
      </c>
      <c r="M4057" s="4" t="s">
        <v>7013</v>
      </c>
      <c r="N4057" s="4" t="s">
        <v>7019</v>
      </c>
      <c r="O4057" s="4" t="s">
        <v>63</v>
      </c>
      <c r="P4057" s="4" t="s">
        <v>64</v>
      </c>
    </row>
    <row r="4058">
      <c r="A4058" s="4" t="s">
        <v>7013</v>
      </c>
      <c r="B4058" s="4" t="s">
        <v>7014</v>
      </c>
      <c r="C4058" s="4">
        <v>7.0</v>
      </c>
      <c r="D4058" s="5" t="str">
        <f t="shared" ref="D4058:D4059" si="370">HYPERLINK("https://www.linkedin.com/ad-library/detail/1541319404","Open Ad")</f>
        <v>Open Ad</v>
      </c>
      <c r="E4058" s="4" t="s">
        <v>78</v>
      </c>
      <c r="F4058" s="4" t="s">
        <v>6765</v>
      </c>
      <c r="G4058" s="4" t="s">
        <v>7021</v>
      </c>
      <c r="H4058" s="4" t="s">
        <v>49</v>
      </c>
      <c r="I4058" s="4" t="s">
        <v>7016</v>
      </c>
      <c r="J4058" s="4" t="s">
        <v>78</v>
      </c>
      <c r="K4058" s="7" t="str">
        <f t="shared" ref="K4058:K4061" si="371">HYPERLINK("https://media.licdn.com/dms/image/v2/D4E22AQFuX_Bi_VHIsw/feedshare-shrink_1280/B4EaBbyQUFGoAM-/0/1788246296327?e=2147483647&amp;v=beta&amp;t=YN5Q8G0UqOBq9Zp_Ss3o08ZiEogxg1yTMo2G4cPkRC4","View Creative")</f>
        <v>View Creative</v>
      </c>
      <c r="L4058" s="4" t="s">
        <v>60</v>
      </c>
      <c r="M4058" s="4" t="s">
        <v>7013</v>
      </c>
      <c r="N4058" s="4"/>
      <c r="O4058" s="4" t="s">
        <v>63</v>
      </c>
      <c r="P4058" s="4" t="s">
        <v>64</v>
      </c>
    </row>
    <row r="4059">
      <c r="A4059" s="4" t="s">
        <v>7013</v>
      </c>
      <c r="B4059" s="4" t="s">
        <v>7014</v>
      </c>
      <c r="C4059" s="4">
        <v>8.0</v>
      </c>
      <c r="D4059" s="5" t="str">
        <f t="shared" si="370"/>
        <v>Open Ad</v>
      </c>
      <c r="E4059" s="4" t="s">
        <v>78</v>
      </c>
      <c r="F4059" s="4" t="s">
        <v>6765</v>
      </c>
      <c r="G4059" s="4" t="s">
        <v>7021</v>
      </c>
      <c r="H4059" s="4" t="s">
        <v>49</v>
      </c>
      <c r="I4059" s="4" t="s">
        <v>7016</v>
      </c>
      <c r="J4059" s="4" t="s">
        <v>78</v>
      </c>
      <c r="K4059" s="7" t="str">
        <f t="shared" si="371"/>
        <v>View Creative</v>
      </c>
      <c r="L4059" s="4" t="s">
        <v>60</v>
      </c>
      <c r="M4059" s="4" t="s">
        <v>7013</v>
      </c>
      <c r="N4059" s="4"/>
      <c r="O4059" s="4" t="s">
        <v>63</v>
      </c>
      <c r="P4059" s="4" t="s">
        <v>64</v>
      </c>
    </row>
    <row r="4060">
      <c r="A4060" s="4" t="s">
        <v>7013</v>
      </c>
      <c r="B4060" s="4" t="s">
        <v>7014</v>
      </c>
      <c r="C4060" s="4">
        <v>9.0</v>
      </c>
      <c r="D4060" s="5" t="str">
        <f t="shared" ref="D4060:D4061" si="372">HYPERLINK("https://www.linkedin.com/ad-library/detail/1541279364","Open Ad")</f>
        <v>Open Ad</v>
      </c>
      <c r="E4060" s="4" t="s">
        <v>78</v>
      </c>
      <c r="F4060" s="4" t="s">
        <v>6765</v>
      </c>
      <c r="G4060" s="4" t="s">
        <v>7021</v>
      </c>
      <c r="H4060" s="4" t="s">
        <v>49</v>
      </c>
      <c r="I4060" s="4" t="s">
        <v>7016</v>
      </c>
      <c r="J4060" s="4" t="s">
        <v>78</v>
      </c>
      <c r="K4060" s="7" t="str">
        <f t="shared" si="371"/>
        <v>View Creative</v>
      </c>
      <c r="L4060" s="4" t="s">
        <v>60</v>
      </c>
      <c r="M4060" s="4" t="s">
        <v>7013</v>
      </c>
      <c r="N4060" s="4"/>
      <c r="O4060" s="4" t="s">
        <v>63</v>
      </c>
      <c r="P4060" s="4" t="s">
        <v>64</v>
      </c>
    </row>
    <row r="4061">
      <c r="A4061" s="4" t="s">
        <v>7013</v>
      </c>
      <c r="B4061" s="4" t="s">
        <v>7014</v>
      </c>
      <c r="C4061" s="4">
        <v>10.0</v>
      </c>
      <c r="D4061" s="5" t="str">
        <f t="shared" si="372"/>
        <v>Open Ad</v>
      </c>
      <c r="E4061" s="4" t="s">
        <v>78</v>
      </c>
      <c r="F4061" s="4" t="s">
        <v>6765</v>
      </c>
      <c r="G4061" s="4" t="s">
        <v>7021</v>
      </c>
      <c r="H4061" s="4" t="s">
        <v>49</v>
      </c>
      <c r="I4061" s="4" t="s">
        <v>7016</v>
      </c>
      <c r="J4061" s="4" t="s">
        <v>78</v>
      </c>
      <c r="K4061" s="7" t="str">
        <f t="shared" si="371"/>
        <v>View Creative</v>
      </c>
      <c r="L4061" s="4" t="s">
        <v>60</v>
      </c>
      <c r="M4061" s="4" t="s">
        <v>7013</v>
      </c>
      <c r="N4061" s="4"/>
      <c r="O4061" s="4" t="s">
        <v>63</v>
      </c>
      <c r="P4061" s="4" t="s">
        <v>64</v>
      </c>
    </row>
    <row r="4062">
      <c r="A4062" s="4" t="s">
        <v>7013</v>
      </c>
      <c r="B4062" s="4" t="s">
        <v>7014</v>
      </c>
      <c r="C4062" s="4">
        <v>11.0</v>
      </c>
      <c r="D4062" s="5" t="str">
        <f t="shared" ref="D4062:D4063" si="373">HYPERLINK("https://www.linkedin.com/ad-library/detail/1460337384","Open Ad")</f>
        <v>Open Ad</v>
      </c>
      <c r="E4062" s="4" t="s">
        <v>78</v>
      </c>
      <c r="F4062" s="4" t="s">
        <v>6765</v>
      </c>
      <c r="G4062" s="4" t="s">
        <v>7015</v>
      </c>
      <c r="H4062" s="4" t="s">
        <v>49</v>
      </c>
      <c r="I4062" s="4" t="s">
        <v>7016</v>
      </c>
      <c r="J4062" s="4" t="s">
        <v>78</v>
      </c>
      <c r="K4062" s="7" t="str">
        <f t="shared" ref="K4062:K4063" si="374">HYPERLINK("https://media.licdn.com/dms/image/v2/D4E10AQH3OzCdZHf2Rg/image-shrink_1280/B4EZ7PAtc6HsAc-/0/1781589530762/A1-C2jpg?e=2147483647&amp;v=beta&amp;t=jvEEtQo8Ew8RgeBlebDqOzIFj4JMGRWuQ9VpaUwXuGc","View Creative")</f>
        <v>View Creative</v>
      </c>
      <c r="L4062" s="4" t="s">
        <v>60</v>
      </c>
      <c r="M4062" s="4" t="s">
        <v>7013</v>
      </c>
      <c r="N4062" s="4" t="s">
        <v>7022</v>
      </c>
      <c r="O4062" s="4" t="s">
        <v>63</v>
      </c>
      <c r="P4062" s="4" t="s">
        <v>64</v>
      </c>
    </row>
    <row r="4063">
      <c r="A4063" s="4" t="s">
        <v>7013</v>
      </c>
      <c r="B4063" s="4" t="s">
        <v>7014</v>
      </c>
      <c r="C4063" s="4">
        <v>12.0</v>
      </c>
      <c r="D4063" s="5" t="str">
        <f t="shared" si="373"/>
        <v>Open Ad</v>
      </c>
      <c r="E4063" s="4" t="s">
        <v>78</v>
      </c>
      <c r="F4063" s="4" t="s">
        <v>6765</v>
      </c>
      <c r="G4063" s="4" t="s">
        <v>7015</v>
      </c>
      <c r="H4063" s="4" t="s">
        <v>49</v>
      </c>
      <c r="I4063" s="4" t="s">
        <v>7016</v>
      </c>
      <c r="J4063" s="4" t="s">
        <v>78</v>
      </c>
      <c r="K4063" s="7" t="str">
        <f t="shared" si="374"/>
        <v>View Creative</v>
      </c>
      <c r="L4063" s="4" t="s">
        <v>60</v>
      </c>
      <c r="M4063" s="4" t="s">
        <v>7013</v>
      </c>
      <c r="N4063" s="4" t="s">
        <v>7022</v>
      </c>
      <c r="O4063" s="4" t="s">
        <v>63</v>
      </c>
      <c r="P4063" s="4" t="s">
        <v>64</v>
      </c>
    </row>
    <row r="4064">
      <c r="A4064" s="4" t="s">
        <v>7013</v>
      </c>
      <c r="B4064" s="4" t="s">
        <v>7014</v>
      </c>
      <c r="C4064" s="4">
        <v>13.0</v>
      </c>
      <c r="D4064" s="5" t="str">
        <f t="shared" ref="D4064:D4065" si="375">HYPERLINK("https://www.linkedin.com/ad-library/detail/1461991144","Open Ad")</f>
        <v>Open Ad</v>
      </c>
      <c r="E4064" s="4" t="s">
        <v>78</v>
      </c>
      <c r="F4064" s="4" t="s">
        <v>6765</v>
      </c>
      <c r="G4064" s="4" t="s">
        <v>7023</v>
      </c>
      <c r="H4064" s="4" t="s">
        <v>49</v>
      </c>
      <c r="I4064" s="4" t="s">
        <v>7016</v>
      </c>
      <c r="J4064" s="4" t="s">
        <v>78</v>
      </c>
      <c r="K4064" s="7" t="str">
        <f t="shared" ref="K4064:K4065" si="376">HYPERLINK("https://media.licdn.com/dms/image/v2/D4E10AQF2ktfInfNdRA/image-shrink_1280/B4EZ7PAwycKkAc-/0/1781589544471/A1-C3jpg?e=2147483647&amp;v=beta&amp;t=4ZB7lsD7pClowz17nBscZmQ9yX3zLhyBGjzU36FpmnA","View Creative")</f>
        <v>View Creative</v>
      </c>
      <c r="L4064" s="4" t="s">
        <v>60</v>
      </c>
      <c r="M4064" s="4" t="s">
        <v>7013</v>
      </c>
      <c r="N4064" s="4" t="s">
        <v>7019</v>
      </c>
      <c r="O4064" s="4" t="s">
        <v>63</v>
      </c>
      <c r="P4064" s="4" t="s">
        <v>64</v>
      </c>
    </row>
    <row r="4065">
      <c r="A4065" s="4" t="s">
        <v>7013</v>
      </c>
      <c r="B4065" s="4" t="s">
        <v>7014</v>
      </c>
      <c r="C4065" s="4">
        <v>14.0</v>
      </c>
      <c r="D4065" s="5" t="str">
        <f t="shared" si="375"/>
        <v>Open Ad</v>
      </c>
      <c r="E4065" s="4" t="s">
        <v>78</v>
      </c>
      <c r="F4065" s="4" t="s">
        <v>6765</v>
      </c>
      <c r="G4065" s="4" t="s">
        <v>7023</v>
      </c>
      <c r="H4065" s="4" t="s">
        <v>49</v>
      </c>
      <c r="I4065" s="4" t="s">
        <v>7016</v>
      </c>
      <c r="J4065" s="4" t="s">
        <v>78</v>
      </c>
      <c r="K4065" s="7" t="str">
        <f t="shared" si="376"/>
        <v>View Creative</v>
      </c>
      <c r="L4065" s="4" t="s">
        <v>60</v>
      </c>
      <c r="M4065" s="4" t="s">
        <v>7013</v>
      </c>
      <c r="N4065" s="4" t="s">
        <v>7019</v>
      </c>
      <c r="O4065" s="4" t="s">
        <v>63</v>
      </c>
      <c r="P4065" s="4" t="s">
        <v>64</v>
      </c>
    </row>
    <row r="4066">
      <c r="A4066" s="4" t="s">
        <v>7013</v>
      </c>
      <c r="B4066" s="4" t="s">
        <v>7014</v>
      </c>
      <c r="C4066" s="4">
        <v>15.0</v>
      </c>
      <c r="D4066" s="5" t="str">
        <f t="shared" ref="D4066:D4067" si="377">HYPERLINK("https://www.linkedin.com/ad-library/detail/1461823274","Open Ad")</f>
        <v>Open Ad</v>
      </c>
      <c r="E4066" s="4" t="s">
        <v>78</v>
      </c>
      <c r="F4066" s="4" t="s">
        <v>6765</v>
      </c>
      <c r="G4066" s="4" t="s">
        <v>7024</v>
      </c>
      <c r="H4066" s="4" t="s">
        <v>49</v>
      </c>
      <c r="I4066" s="4" t="s">
        <v>7016</v>
      </c>
      <c r="J4066" s="4" t="s">
        <v>78</v>
      </c>
      <c r="K4066" s="7" t="str">
        <f t="shared" ref="K4066:K4067" si="378">HYPERLINK("https://media.licdn.com/dms/image/v2/D4E10AQE-9lDIBMB7ow/image-shrink_1280/B4EZ7PB6fVHkAc-/0/1781589846302/A3-C3jpg?e=2147483647&amp;v=beta&amp;t=VzXZ0xKb8Cn-eOV6wgC2UKL8s8P_uVXnTsOkNB8-WY0","View Creative")</f>
        <v>View Creative</v>
      </c>
      <c r="L4066" s="4" t="s">
        <v>60</v>
      </c>
      <c r="M4066" s="4" t="s">
        <v>7013</v>
      </c>
      <c r="N4066" s="4" t="s">
        <v>7019</v>
      </c>
      <c r="O4066" s="4" t="s">
        <v>63</v>
      </c>
      <c r="P4066" s="4" t="s">
        <v>64</v>
      </c>
    </row>
    <row r="4067">
      <c r="A4067" s="4" t="s">
        <v>7013</v>
      </c>
      <c r="B4067" s="4" t="s">
        <v>7014</v>
      </c>
      <c r="C4067" s="4">
        <v>16.0</v>
      </c>
      <c r="D4067" s="5" t="str">
        <f t="shared" si="377"/>
        <v>Open Ad</v>
      </c>
      <c r="E4067" s="4" t="s">
        <v>78</v>
      </c>
      <c r="F4067" s="4" t="s">
        <v>6765</v>
      </c>
      <c r="G4067" s="4" t="s">
        <v>7024</v>
      </c>
      <c r="H4067" s="4" t="s">
        <v>49</v>
      </c>
      <c r="I4067" s="4" t="s">
        <v>7016</v>
      </c>
      <c r="J4067" s="4" t="s">
        <v>78</v>
      </c>
      <c r="K4067" s="7" t="str">
        <f t="shared" si="378"/>
        <v>View Creative</v>
      </c>
      <c r="L4067" s="4" t="s">
        <v>60</v>
      </c>
      <c r="M4067" s="4" t="s">
        <v>7013</v>
      </c>
      <c r="N4067" s="4" t="s">
        <v>7019</v>
      </c>
      <c r="O4067" s="4" t="s">
        <v>63</v>
      </c>
      <c r="P4067" s="4" t="s">
        <v>64</v>
      </c>
    </row>
    <row r="4068">
      <c r="A4068" s="4" t="s">
        <v>7013</v>
      </c>
      <c r="B4068" s="4" t="s">
        <v>7014</v>
      </c>
      <c r="C4068" s="4">
        <v>17.0</v>
      </c>
      <c r="D4068" s="5" t="str">
        <f t="shared" ref="D4068:D4069" si="379">HYPERLINK("https://www.linkedin.com/ad-library/detail/1461873934","Open Ad")</f>
        <v>Open Ad</v>
      </c>
      <c r="E4068" s="4" t="s">
        <v>121</v>
      </c>
      <c r="F4068" s="4" t="s">
        <v>6765</v>
      </c>
      <c r="G4068" s="4" t="s">
        <v>7025</v>
      </c>
      <c r="H4068" s="4" t="s">
        <v>49</v>
      </c>
      <c r="I4068" s="4" t="s">
        <v>7016</v>
      </c>
      <c r="J4068" s="4" t="s">
        <v>121</v>
      </c>
      <c r="K4068" s="7" t="str">
        <f t="shared" ref="K4068:K4069" si="380">HYPERLINK("https://dms.licdn.com/playlist/vid/v2/D4E10AQGVR5Jkuz5k7Q/progressive-servable-video/B4EZ8FHsvYIwAY-/0/1782497333364?e=2147483647&amp;v=beta&amp;t=Ujdv20Z3XG7SdfMbXDMG-TRqCsBxqC5FJt5bzXovMK0","View Creative")</f>
        <v>View Creative</v>
      </c>
      <c r="L4068" s="4" t="s">
        <v>60</v>
      </c>
      <c r="M4068" s="4" t="s">
        <v>7013</v>
      </c>
      <c r="N4068" s="4" t="s">
        <v>7026</v>
      </c>
      <c r="O4068" s="4" t="s">
        <v>63</v>
      </c>
      <c r="P4068" s="4" t="s">
        <v>64</v>
      </c>
    </row>
    <row r="4069">
      <c r="A4069" s="4" t="s">
        <v>7013</v>
      </c>
      <c r="B4069" s="4" t="s">
        <v>7014</v>
      </c>
      <c r="C4069" s="4">
        <v>18.0</v>
      </c>
      <c r="D4069" s="5" t="str">
        <f t="shared" si="379"/>
        <v>Open Ad</v>
      </c>
      <c r="E4069" s="4" t="s">
        <v>121</v>
      </c>
      <c r="F4069" s="4" t="s">
        <v>6765</v>
      </c>
      <c r="G4069" s="4" t="s">
        <v>7025</v>
      </c>
      <c r="H4069" s="4" t="s">
        <v>49</v>
      </c>
      <c r="I4069" s="4" t="s">
        <v>7016</v>
      </c>
      <c r="J4069" s="4" t="s">
        <v>121</v>
      </c>
      <c r="K4069" s="7" t="str">
        <f t="shared" si="380"/>
        <v>View Creative</v>
      </c>
      <c r="L4069" s="4" t="s">
        <v>60</v>
      </c>
      <c r="M4069" s="4" t="s">
        <v>7013</v>
      </c>
      <c r="N4069" s="4" t="s">
        <v>7026</v>
      </c>
      <c r="O4069" s="4" t="s">
        <v>63</v>
      </c>
      <c r="P4069" s="4" t="s">
        <v>64</v>
      </c>
    </row>
    <row r="4070">
      <c r="A4070" s="4" t="s">
        <v>7013</v>
      </c>
      <c r="B4070" s="4" t="s">
        <v>7014</v>
      </c>
      <c r="C4070" s="4">
        <v>19.0</v>
      </c>
      <c r="D4070" s="5" t="str">
        <f t="shared" ref="D4070:D4071" si="381">HYPERLINK("https://www.linkedin.com/ad-library/detail/1461951564","Open Ad")</f>
        <v>Open Ad</v>
      </c>
      <c r="E4070" s="4" t="s">
        <v>78</v>
      </c>
      <c r="F4070" s="4" t="s">
        <v>6765</v>
      </c>
      <c r="G4070" s="4" t="s">
        <v>7027</v>
      </c>
      <c r="H4070" s="4" t="s">
        <v>49</v>
      </c>
      <c r="I4070" s="4" t="s">
        <v>7016</v>
      </c>
      <c r="J4070" s="4" t="s">
        <v>78</v>
      </c>
      <c r="K4070" s="7" t="str">
        <f t="shared" ref="K4070:K4071" si="382">HYPERLINK("https://media.licdn.com/dms/image/v2/D4E10AQFefpbzB6Wrnw/image-shrink_1280/B4EZ7PCAamJYAc-/0/1781589870601/A3-C5jpg?e=2147483647&amp;v=beta&amp;t=LtNfPNfoiA2rJgVNC5pKv8gEDmKG_4iO3tCU_G77JNQ","View Creative")</f>
        <v>View Creative</v>
      </c>
      <c r="L4070" s="4" t="s">
        <v>60</v>
      </c>
      <c r="M4070" s="4" t="s">
        <v>7013</v>
      </c>
      <c r="N4070" s="4" t="s">
        <v>7019</v>
      </c>
      <c r="O4070" s="4" t="s">
        <v>63</v>
      </c>
      <c r="P4070" s="4" t="s">
        <v>64</v>
      </c>
    </row>
    <row r="4071">
      <c r="A4071" s="4" t="s">
        <v>7013</v>
      </c>
      <c r="B4071" s="4" t="s">
        <v>7014</v>
      </c>
      <c r="C4071" s="4">
        <v>20.0</v>
      </c>
      <c r="D4071" s="5" t="str">
        <f t="shared" si="381"/>
        <v>Open Ad</v>
      </c>
      <c r="E4071" s="4" t="s">
        <v>78</v>
      </c>
      <c r="F4071" s="4" t="s">
        <v>6765</v>
      </c>
      <c r="G4071" s="4" t="s">
        <v>7027</v>
      </c>
      <c r="H4071" s="4" t="s">
        <v>49</v>
      </c>
      <c r="I4071" s="4" t="s">
        <v>7016</v>
      </c>
      <c r="J4071" s="4" t="s">
        <v>78</v>
      </c>
      <c r="K4071" s="7" t="str">
        <f t="shared" si="382"/>
        <v>View Creative</v>
      </c>
      <c r="L4071" s="4" t="s">
        <v>60</v>
      </c>
      <c r="M4071" s="4" t="s">
        <v>7013</v>
      </c>
      <c r="N4071" s="4" t="s">
        <v>7019</v>
      </c>
      <c r="O4071" s="4" t="s">
        <v>63</v>
      </c>
      <c r="P4071" s="4" t="s">
        <v>64</v>
      </c>
    </row>
    <row r="4072">
      <c r="A4072" s="4" t="s">
        <v>7013</v>
      </c>
      <c r="B4072" s="4" t="s">
        <v>7014</v>
      </c>
      <c r="C4072" s="4">
        <v>21.0</v>
      </c>
      <c r="D4072" s="5" t="str">
        <f t="shared" ref="D4072:D4073" si="383">HYPERLINK("https://www.linkedin.com/ad-library/detail/1463695334","Open Ad")</f>
        <v>Open Ad</v>
      </c>
      <c r="E4072" s="4" t="s">
        <v>121</v>
      </c>
      <c r="F4072" s="4" t="s">
        <v>6765</v>
      </c>
      <c r="G4072" s="4" t="s">
        <v>7025</v>
      </c>
      <c r="H4072" s="4" t="s">
        <v>49</v>
      </c>
      <c r="I4072" s="4" t="s">
        <v>7016</v>
      </c>
      <c r="J4072" s="4" t="s">
        <v>121</v>
      </c>
      <c r="K4072" s="7" t="str">
        <f t="shared" ref="K4072:K4073" si="384">HYPERLINK("https://dms.licdn.com/playlist/vid/v2/D4E10AQGVR5Jkuz5k7Q/progressive-servable-video/B4EZ8FHsvYIwAY-/0/1782497333364?e=2147483647&amp;v=beta&amp;t=Ujdv20Z3XG7SdfMbXDMG-TRqCsBxqC5FJt5bzXovMK0","View Creative")</f>
        <v>View Creative</v>
      </c>
      <c r="L4072" s="4" t="s">
        <v>60</v>
      </c>
      <c r="M4072" s="4" t="s">
        <v>7013</v>
      </c>
      <c r="N4072" s="4" t="s">
        <v>7017</v>
      </c>
      <c r="O4072" s="4" t="s">
        <v>63</v>
      </c>
      <c r="P4072" s="4" t="s">
        <v>64</v>
      </c>
    </row>
    <row r="4073">
      <c r="A4073" s="4" t="s">
        <v>7013</v>
      </c>
      <c r="B4073" s="4" t="s">
        <v>7014</v>
      </c>
      <c r="C4073" s="4">
        <v>22.0</v>
      </c>
      <c r="D4073" s="5" t="str">
        <f t="shared" si="383"/>
        <v>Open Ad</v>
      </c>
      <c r="E4073" s="4" t="s">
        <v>121</v>
      </c>
      <c r="F4073" s="4" t="s">
        <v>6765</v>
      </c>
      <c r="G4073" s="4" t="s">
        <v>7025</v>
      </c>
      <c r="H4073" s="4" t="s">
        <v>49</v>
      </c>
      <c r="I4073" s="4" t="s">
        <v>7016</v>
      </c>
      <c r="J4073" s="4" t="s">
        <v>121</v>
      </c>
      <c r="K4073" s="7" t="str">
        <f t="shared" si="384"/>
        <v>View Creative</v>
      </c>
      <c r="L4073" s="4" t="s">
        <v>60</v>
      </c>
      <c r="M4073" s="4" t="s">
        <v>7013</v>
      </c>
      <c r="N4073" s="4" t="s">
        <v>7017</v>
      </c>
      <c r="O4073" s="4" t="s">
        <v>63</v>
      </c>
      <c r="P4073" s="4" t="s">
        <v>64</v>
      </c>
    </row>
    <row r="4074">
      <c r="A4074" s="4" t="s">
        <v>7013</v>
      </c>
      <c r="B4074" s="4" t="s">
        <v>7014</v>
      </c>
      <c r="C4074" s="4">
        <v>23.0</v>
      </c>
      <c r="D4074" s="5" t="str">
        <f t="shared" ref="D4074:D4075" si="385">HYPERLINK("https://www.linkedin.com/ad-library/detail/1461852804","Open Ad")</f>
        <v>Open Ad</v>
      </c>
      <c r="E4074" s="4" t="s">
        <v>78</v>
      </c>
      <c r="F4074" s="4" t="s">
        <v>6765</v>
      </c>
      <c r="G4074" s="4" t="s">
        <v>7025</v>
      </c>
      <c r="H4074" s="4" t="s">
        <v>49</v>
      </c>
      <c r="I4074" s="4" t="s">
        <v>7016</v>
      </c>
      <c r="J4074" s="4" t="s">
        <v>78</v>
      </c>
      <c r="K4074" s="7" t="str">
        <f t="shared" ref="K4074:K4075" si="386">HYPERLINK("https://media.licdn.com/dms/image/v2/D4E10AQEsenA2dN72-Q/image-shrink_1280/B4EZ7PAqDDHwAc-/0/1781589516809/A1-C1jpg?e=2147483647&amp;v=beta&amp;t=OLJIKQzNXYF585Cu545nuOPmx2JH_ffgToA-fniP23U","View Creative")</f>
        <v>View Creative</v>
      </c>
      <c r="L4074" s="4" t="s">
        <v>60</v>
      </c>
      <c r="M4074" s="4" t="s">
        <v>7013</v>
      </c>
      <c r="N4074" s="4" t="s">
        <v>7019</v>
      </c>
      <c r="O4074" s="4" t="s">
        <v>63</v>
      </c>
      <c r="P4074" s="4" t="s">
        <v>64</v>
      </c>
    </row>
    <row r="4075">
      <c r="A4075" s="4" t="s">
        <v>7013</v>
      </c>
      <c r="B4075" s="4" t="s">
        <v>7014</v>
      </c>
      <c r="C4075" s="4">
        <v>24.0</v>
      </c>
      <c r="D4075" s="5" t="str">
        <f t="shared" si="385"/>
        <v>Open Ad</v>
      </c>
      <c r="E4075" s="4" t="s">
        <v>78</v>
      </c>
      <c r="F4075" s="4" t="s">
        <v>6765</v>
      </c>
      <c r="G4075" s="4" t="s">
        <v>7025</v>
      </c>
      <c r="H4075" s="4" t="s">
        <v>49</v>
      </c>
      <c r="I4075" s="4" t="s">
        <v>7016</v>
      </c>
      <c r="J4075" s="4" t="s">
        <v>78</v>
      </c>
      <c r="K4075" s="7" t="str">
        <f t="shared" si="386"/>
        <v>View Creative</v>
      </c>
      <c r="L4075" s="4" t="s">
        <v>60</v>
      </c>
      <c r="M4075" s="4" t="s">
        <v>7013</v>
      </c>
      <c r="N4075" s="4" t="s">
        <v>7019</v>
      </c>
      <c r="O4075" s="4" t="s">
        <v>63</v>
      </c>
      <c r="P4075" s="4" t="s">
        <v>64</v>
      </c>
    </row>
    <row r="4076">
      <c r="A4076" s="4" t="s">
        <v>7013</v>
      </c>
      <c r="B4076" s="4" t="s">
        <v>7014</v>
      </c>
      <c r="C4076" s="4">
        <v>25.0</v>
      </c>
      <c r="D4076" s="5" t="str">
        <f t="shared" ref="D4076:D4077" si="387">HYPERLINK("https://www.linkedin.com/ad-library/detail/1541333894","Open Ad")</f>
        <v>Open Ad</v>
      </c>
      <c r="E4076" s="4" t="s">
        <v>78</v>
      </c>
      <c r="F4076" s="4" t="s">
        <v>6765</v>
      </c>
      <c r="G4076" s="4" t="s">
        <v>7021</v>
      </c>
      <c r="H4076" s="4" t="s">
        <v>49</v>
      </c>
      <c r="I4076" s="4" t="s">
        <v>7016</v>
      </c>
      <c r="J4076" s="4" t="s">
        <v>78</v>
      </c>
      <c r="K4076" s="7" t="str">
        <f t="shared" ref="K4076:K4077" si="388">HYPERLINK("https://media.licdn.com/dms/image/v2/D4E22AQFuX_Bi_VHIsw/feedshare-shrink_1280/B4EaBbyQUFGoAM-/0/1788246296327?e=2147483647&amp;v=beta&amp;t=YN5Q8G0UqOBq9Zp_Ss3o08ZiEogxg1yTMo2G4cPkRC4","View Creative")</f>
        <v>View Creative</v>
      </c>
      <c r="L4076" s="4" t="s">
        <v>60</v>
      </c>
      <c r="M4076" s="4" t="s">
        <v>7013</v>
      </c>
      <c r="N4076" s="4" t="s">
        <v>7028</v>
      </c>
      <c r="O4076" s="4" t="s">
        <v>63</v>
      </c>
      <c r="P4076" s="4" t="s">
        <v>64</v>
      </c>
    </row>
    <row r="4077">
      <c r="A4077" s="4" t="s">
        <v>7013</v>
      </c>
      <c r="B4077" s="4" t="s">
        <v>7014</v>
      </c>
      <c r="C4077" s="4">
        <v>26.0</v>
      </c>
      <c r="D4077" s="5" t="str">
        <f t="shared" si="387"/>
        <v>Open Ad</v>
      </c>
      <c r="E4077" s="4" t="s">
        <v>78</v>
      </c>
      <c r="F4077" s="4" t="s">
        <v>6765</v>
      </c>
      <c r="G4077" s="4" t="s">
        <v>7021</v>
      </c>
      <c r="H4077" s="4" t="s">
        <v>49</v>
      </c>
      <c r="I4077" s="4" t="s">
        <v>7016</v>
      </c>
      <c r="J4077" s="4" t="s">
        <v>78</v>
      </c>
      <c r="K4077" s="7" t="str">
        <f t="shared" si="388"/>
        <v>View Creative</v>
      </c>
      <c r="L4077" s="4" t="s">
        <v>60</v>
      </c>
      <c r="M4077" s="4" t="s">
        <v>7013</v>
      </c>
      <c r="N4077" s="4" t="s">
        <v>7028</v>
      </c>
      <c r="O4077" s="4" t="s">
        <v>63</v>
      </c>
      <c r="P4077" s="4" t="s">
        <v>64</v>
      </c>
    </row>
    <row r="4078">
      <c r="A4078" s="4" t="s">
        <v>7013</v>
      </c>
      <c r="B4078" s="4" t="s">
        <v>7014</v>
      </c>
      <c r="C4078" s="4">
        <v>27.0</v>
      </c>
      <c r="D4078" s="5" t="str">
        <f t="shared" ref="D4078:D4079" si="389">HYPERLINK("https://www.linkedin.com/ad-library/detail/1460608944","Open Ad")</f>
        <v>Open Ad</v>
      </c>
      <c r="E4078" s="4" t="s">
        <v>78</v>
      </c>
      <c r="F4078" s="4" t="s">
        <v>6765</v>
      </c>
      <c r="G4078" s="4" t="s">
        <v>7029</v>
      </c>
      <c r="H4078" s="4" t="s">
        <v>49</v>
      </c>
      <c r="I4078" s="4" t="s">
        <v>7016</v>
      </c>
      <c r="J4078" s="4" t="s">
        <v>78</v>
      </c>
      <c r="K4078" s="7" t="str">
        <f t="shared" ref="K4078:K4079" si="390">HYPERLINK("https://media.licdn.com/dms/image/v2/D4D22AQEvIB2u0gFk3g/feedshare-shrink_1280/B4DZ7veYpdKsAM-/0/1782134181139?e=2147483647&amp;v=beta&amp;t=wxwaYRCPzKE8_MP0gqxind08qahgrueBY5QK59jkvjI","View Creative")</f>
        <v>View Creative</v>
      </c>
      <c r="L4078" s="4" t="s">
        <v>60</v>
      </c>
      <c r="M4078" s="4" t="s">
        <v>7013</v>
      </c>
      <c r="N4078" s="4" t="s">
        <v>7030</v>
      </c>
      <c r="O4078" s="4" t="s">
        <v>63</v>
      </c>
      <c r="P4078" s="4" t="s">
        <v>64</v>
      </c>
    </row>
    <row r="4079">
      <c r="A4079" s="4" t="s">
        <v>7013</v>
      </c>
      <c r="B4079" s="4" t="s">
        <v>7014</v>
      </c>
      <c r="C4079" s="4">
        <v>28.0</v>
      </c>
      <c r="D4079" s="5" t="str">
        <f t="shared" si="389"/>
        <v>Open Ad</v>
      </c>
      <c r="E4079" s="4" t="s">
        <v>78</v>
      </c>
      <c r="F4079" s="4" t="s">
        <v>6765</v>
      </c>
      <c r="G4079" s="4" t="s">
        <v>7029</v>
      </c>
      <c r="H4079" s="4" t="s">
        <v>49</v>
      </c>
      <c r="I4079" s="4" t="s">
        <v>7016</v>
      </c>
      <c r="J4079" s="4" t="s">
        <v>78</v>
      </c>
      <c r="K4079" s="7" t="str">
        <f t="shared" si="390"/>
        <v>View Creative</v>
      </c>
      <c r="L4079" s="4" t="s">
        <v>60</v>
      </c>
      <c r="M4079" s="4" t="s">
        <v>7013</v>
      </c>
      <c r="N4079" s="4" t="s">
        <v>7030</v>
      </c>
      <c r="O4079" s="4" t="s">
        <v>63</v>
      </c>
      <c r="P4079" s="4" t="s">
        <v>64</v>
      </c>
    </row>
    <row r="4080">
      <c r="A4080" s="4" t="s">
        <v>7013</v>
      </c>
      <c r="B4080" s="4" t="s">
        <v>7014</v>
      </c>
      <c r="C4080" s="4">
        <v>29.0</v>
      </c>
      <c r="D4080" s="5" t="str">
        <f t="shared" ref="D4080:D4081" si="391">HYPERLINK("https://www.linkedin.com/ad-library/detail/1461852814","Open Ad")</f>
        <v>Open Ad</v>
      </c>
      <c r="E4080" s="4" t="s">
        <v>78</v>
      </c>
      <c r="F4080" s="4" t="s">
        <v>6765</v>
      </c>
      <c r="G4080" s="4" t="s">
        <v>7031</v>
      </c>
      <c r="H4080" s="4" t="s">
        <v>49</v>
      </c>
      <c r="I4080" s="4" t="s">
        <v>7016</v>
      </c>
      <c r="J4080" s="4" t="s">
        <v>78</v>
      </c>
      <c r="K4080" s="7" t="str">
        <f t="shared" ref="K4080:K4081" si="392">HYPERLINK("https://media.licdn.com/dms/image/v2/D4E10AQExh4rmJC5IEA/image-shrink_1280/B4EZ7PBG8LJYAc-/0/1781589635154/A2-C4jpg?e=2147483647&amp;v=beta&amp;t=zuMWFlvEIhGikYjrPhKmomgSrR5Nx39hHN-pslXHZ_Q","View Creative")</f>
        <v>View Creative</v>
      </c>
      <c r="L4080" s="4" t="s">
        <v>60</v>
      </c>
      <c r="M4080" s="4" t="s">
        <v>7013</v>
      </c>
      <c r="N4080" s="4" t="s">
        <v>7019</v>
      </c>
      <c r="O4080" s="4" t="s">
        <v>63</v>
      </c>
      <c r="P4080" s="4" t="s">
        <v>64</v>
      </c>
    </row>
    <row r="4081">
      <c r="A4081" s="4" t="s">
        <v>7013</v>
      </c>
      <c r="B4081" s="4" t="s">
        <v>7014</v>
      </c>
      <c r="C4081" s="4">
        <v>30.0</v>
      </c>
      <c r="D4081" s="5" t="str">
        <f t="shared" si="391"/>
        <v>Open Ad</v>
      </c>
      <c r="E4081" s="4" t="s">
        <v>78</v>
      </c>
      <c r="F4081" s="4" t="s">
        <v>6765</v>
      </c>
      <c r="G4081" s="4" t="s">
        <v>7031</v>
      </c>
      <c r="H4081" s="4" t="s">
        <v>49</v>
      </c>
      <c r="I4081" s="4" t="s">
        <v>7016</v>
      </c>
      <c r="J4081" s="4" t="s">
        <v>78</v>
      </c>
      <c r="K4081" s="7" t="str">
        <f t="shared" si="392"/>
        <v>View Creative</v>
      </c>
      <c r="L4081" s="4" t="s">
        <v>60</v>
      </c>
      <c r="M4081" s="4" t="s">
        <v>7013</v>
      </c>
      <c r="N4081" s="4" t="s">
        <v>7019</v>
      </c>
      <c r="O4081" s="4" t="s">
        <v>63</v>
      </c>
      <c r="P4081" s="4" t="s">
        <v>64</v>
      </c>
    </row>
    <row r="4082">
      <c r="A4082" s="4" t="s">
        <v>7013</v>
      </c>
      <c r="B4082" s="4" t="s">
        <v>7014</v>
      </c>
      <c r="C4082" s="4">
        <v>31.0</v>
      </c>
      <c r="D4082" s="5" t="str">
        <f t="shared" ref="D4082:D4083" si="393">HYPERLINK("https://www.linkedin.com/ad-library/detail/1461951534","Open Ad")</f>
        <v>Open Ad</v>
      </c>
      <c r="E4082" s="4" t="s">
        <v>78</v>
      </c>
      <c r="F4082" s="4" t="s">
        <v>6765</v>
      </c>
      <c r="G4082" s="4" t="s">
        <v>7032</v>
      </c>
      <c r="H4082" s="4" t="s">
        <v>49</v>
      </c>
      <c r="I4082" s="4" t="s">
        <v>7016</v>
      </c>
      <c r="J4082" s="4" t="s">
        <v>78</v>
      </c>
      <c r="K4082" s="7" t="str">
        <f t="shared" ref="K4082:K4083" si="394">HYPERLINK("https://media.licdn.com/dms/image/v2/D4E10AQHSAAAf506Y2g/image-shrink_1280/B4EZ7PBpgcJYAc-/0/1781589776758/B1-C1B1-C2jpg?e=2147483647&amp;v=beta&amp;t=kV0bdf50OmBqVi4j6BFJ1WNqYLzEWf-hvx95hn9cfIU","View Creative")</f>
        <v>View Creative</v>
      </c>
      <c r="L4082" s="4" t="s">
        <v>60</v>
      </c>
      <c r="M4082" s="4" t="s">
        <v>7013</v>
      </c>
      <c r="N4082" s="4" t="s">
        <v>7019</v>
      </c>
      <c r="O4082" s="4" t="s">
        <v>63</v>
      </c>
      <c r="P4082" s="4" t="s">
        <v>64</v>
      </c>
    </row>
    <row r="4083">
      <c r="A4083" s="4" t="s">
        <v>7013</v>
      </c>
      <c r="B4083" s="4" t="s">
        <v>7014</v>
      </c>
      <c r="C4083" s="4">
        <v>32.0</v>
      </c>
      <c r="D4083" s="5" t="str">
        <f t="shared" si="393"/>
        <v>Open Ad</v>
      </c>
      <c r="E4083" s="4" t="s">
        <v>78</v>
      </c>
      <c r="F4083" s="4" t="s">
        <v>6765</v>
      </c>
      <c r="G4083" s="4" t="s">
        <v>7032</v>
      </c>
      <c r="H4083" s="4" t="s">
        <v>49</v>
      </c>
      <c r="I4083" s="4" t="s">
        <v>7016</v>
      </c>
      <c r="J4083" s="4" t="s">
        <v>78</v>
      </c>
      <c r="K4083" s="7" t="str">
        <f t="shared" si="394"/>
        <v>View Creative</v>
      </c>
      <c r="L4083" s="4" t="s">
        <v>60</v>
      </c>
      <c r="M4083" s="4" t="s">
        <v>7013</v>
      </c>
      <c r="N4083" s="4" t="s">
        <v>7019</v>
      </c>
      <c r="O4083" s="4" t="s">
        <v>63</v>
      </c>
      <c r="P4083" s="4" t="s">
        <v>64</v>
      </c>
    </row>
    <row r="4084">
      <c r="A4084" s="4" t="s">
        <v>7013</v>
      </c>
      <c r="B4084" s="4" t="s">
        <v>7014</v>
      </c>
      <c r="C4084" s="4">
        <v>33.0</v>
      </c>
      <c r="D4084" s="5" t="str">
        <f t="shared" ref="D4084:D4085" si="395">HYPERLINK("https://www.linkedin.com/ad-library/detail/1461951544","Open Ad")</f>
        <v>Open Ad</v>
      </c>
      <c r="E4084" s="4" t="s">
        <v>78</v>
      </c>
      <c r="F4084" s="4" t="s">
        <v>6765</v>
      </c>
      <c r="G4084" s="8" t="s">
        <v>7033</v>
      </c>
      <c r="H4084" s="4" t="s">
        <v>49</v>
      </c>
      <c r="I4084" s="4" t="s">
        <v>7016</v>
      </c>
      <c r="J4084" s="4" t="s">
        <v>78</v>
      </c>
      <c r="K4084" s="7" t="str">
        <f t="shared" ref="K4084:K4085" si="396">HYPERLINK("https://media.licdn.com/dms/image/v2/D4E10AQEtxr4fqT8NfQ/image-shrink_1280/B4EZ7PB3YvHMAc-/0/1781589833590/A3-C2jpg?e=2147483647&amp;v=beta&amp;t=AjlKWqgFYZfgDAV3dSPU-C_p1yWfgHI_ZLz-ENvzT4s","View Creative")</f>
        <v>View Creative</v>
      </c>
      <c r="L4084" s="4" t="s">
        <v>60</v>
      </c>
      <c r="M4084" s="4" t="s">
        <v>7013</v>
      </c>
      <c r="N4084" s="4" t="s">
        <v>7019</v>
      </c>
      <c r="O4084" s="4" t="s">
        <v>63</v>
      </c>
      <c r="P4084" s="4" t="s">
        <v>64</v>
      </c>
    </row>
    <row r="4085">
      <c r="A4085" s="4" t="s">
        <v>7013</v>
      </c>
      <c r="B4085" s="4" t="s">
        <v>7014</v>
      </c>
      <c r="C4085" s="4">
        <v>34.0</v>
      </c>
      <c r="D4085" s="5" t="str">
        <f t="shared" si="395"/>
        <v>Open Ad</v>
      </c>
      <c r="E4085" s="4" t="s">
        <v>78</v>
      </c>
      <c r="F4085" s="4" t="s">
        <v>6765</v>
      </c>
      <c r="G4085" s="8" t="s">
        <v>7033</v>
      </c>
      <c r="H4085" s="4" t="s">
        <v>49</v>
      </c>
      <c r="I4085" s="4" t="s">
        <v>7016</v>
      </c>
      <c r="J4085" s="4" t="s">
        <v>78</v>
      </c>
      <c r="K4085" s="7" t="str">
        <f t="shared" si="396"/>
        <v>View Creative</v>
      </c>
      <c r="L4085" s="4" t="s">
        <v>60</v>
      </c>
      <c r="M4085" s="4" t="s">
        <v>7013</v>
      </c>
      <c r="N4085" s="4" t="s">
        <v>7019</v>
      </c>
      <c r="O4085" s="4" t="s">
        <v>63</v>
      </c>
      <c r="P4085" s="4" t="s">
        <v>64</v>
      </c>
    </row>
    <row r="4086">
      <c r="A4086" s="4" t="s">
        <v>7013</v>
      </c>
      <c r="B4086" s="4" t="s">
        <v>7014</v>
      </c>
      <c r="C4086" s="4">
        <v>35.0</v>
      </c>
      <c r="D4086" s="5" t="str">
        <f t="shared" ref="D4086:D4087" si="397">HYPERLINK("https://www.linkedin.com/ad-library/detail/1541288994","Open Ad")</f>
        <v>Open Ad</v>
      </c>
      <c r="E4086" s="4" t="s">
        <v>78</v>
      </c>
      <c r="F4086" s="4" t="s">
        <v>6765</v>
      </c>
      <c r="G4086" s="4" t="s">
        <v>7021</v>
      </c>
      <c r="H4086" s="4" t="s">
        <v>49</v>
      </c>
      <c r="I4086" s="4" t="s">
        <v>7016</v>
      </c>
      <c r="J4086" s="4" t="s">
        <v>78</v>
      </c>
      <c r="K4086" s="7" t="str">
        <f t="shared" ref="K4086:K4087" si="398">HYPERLINK("https://media.licdn.com/dms/image/v2/D4E22AQFuX_Bi_VHIsw/feedshare-shrink_1280/B4EaBbyQUFGoAM-/0/1788246296327?e=2147483647&amp;v=beta&amp;t=YN5Q8G0UqOBq9Zp_Ss3o08ZiEogxg1yTMo2G4cPkRC4","View Creative")</f>
        <v>View Creative</v>
      </c>
      <c r="L4086" s="4" t="s">
        <v>60</v>
      </c>
      <c r="M4086" s="4" t="s">
        <v>7013</v>
      </c>
      <c r="N4086" s="4" t="s">
        <v>7028</v>
      </c>
      <c r="O4086" s="4" t="s">
        <v>63</v>
      </c>
      <c r="P4086" s="4" t="s">
        <v>64</v>
      </c>
    </row>
    <row r="4087">
      <c r="A4087" s="4" t="s">
        <v>7013</v>
      </c>
      <c r="B4087" s="4" t="s">
        <v>7014</v>
      </c>
      <c r="C4087" s="4">
        <v>36.0</v>
      </c>
      <c r="D4087" s="5" t="str">
        <f t="shared" si="397"/>
        <v>Open Ad</v>
      </c>
      <c r="E4087" s="4" t="s">
        <v>78</v>
      </c>
      <c r="F4087" s="4" t="s">
        <v>6765</v>
      </c>
      <c r="G4087" s="4" t="s">
        <v>7021</v>
      </c>
      <c r="H4087" s="4" t="s">
        <v>49</v>
      </c>
      <c r="I4087" s="4" t="s">
        <v>7016</v>
      </c>
      <c r="J4087" s="4" t="s">
        <v>78</v>
      </c>
      <c r="K4087" s="7" t="str">
        <f t="shared" si="398"/>
        <v>View Creative</v>
      </c>
      <c r="L4087" s="4" t="s">
        <v>60</v>
      </c>
      <c r="M4087" s="4" t="s">
        <v>7013</v>
      </c>
      <c r="N4087" s="4" t="s">
        <v>7028</v>
      </c>
      <c r="O4087" s="4" t="s">
        <v>63</v>
      </c>
      <c r="P4087" s="4" t="s">
        <v>64</v>
      </c>
    </row>
    <row r="4088">
      <c r="A4088" s="4" t="s">
        <v>7013</v>
      </c>
      <c r="B4088" s="4" t="s">
        <v>7014</v>
      </c>
      <c r="C4088" s="4">
        <v>37.0</v>
      </c>
      <c r="D4088" s="5" t="str">
        <f t="shared" ref="D4088:D4089" si="399">HYPERLINK("https://www.linkedin.com/ad-library/detail/1462020474","Open Ad")</f>
        <v>Open Ad</v>
      </c>
      <c r="E4088" s="4" t="s">
        <v>78</v>
      </c>
      <c r="F4088" s="4" t="s">
        <v>6765</v>
      </c>
      <c r="G4088" s="4" t="s">
        <v>7034</v>
      </c>
      <c r="H4088" s="4" t="s">
        <v>49</v>
      </c>
      <c r="I4088" s="4" t="s">
        <v>7016</v>
      </c>
      <c r="J4088" s="4" t="s">
        <v>78</v>
      </c>
      <c r="K4088" s="7" t="str">
        <f t="shared" ref="K4088:K4089" si="400">HYPERLINK("https://media.licdn.com/dms/image/v2/D4E10AQEESvpqPP5YhA/image-shrink_1280/B4EZ7PB0Y_JYAc-/0/1781589821408/A3-C1jpg?e=2147483647&amp;v=beta&amp;t=5WJ19AWOyib21SFxVma_vc-ZkbdM5W57TXOC4lK0g3c","View Creative")</f>
        <v>View Creative</v>
      </c>
      <c r="L4088" s="4" t="s">
        <v>60</v>
      </c>
      <c r="M4088" s="4" t="s">
        <v>7013</v>
      </c>
      <c r="N4088" s="4" t="s">
        <v>7019</v>
      </c>
      <c r="O4088" s="4" t="s">
        <v>63</v>
      </c>
      <c r="P4088" s="4" t="s">
        <v>64</v>
      </c>
    </row>
    <row r="4089">
      <c r="A4089" s="4" t="s">
        <v>7013</v>
      </c>
      <c r="B4089" s="4" t="s">
        <v>7014</v>
      </c>
      <c r="C4089" s="4">
        <v>38.0</v>
      </c>
      <c r="D4089" s="5" t="str">
        <f t="shared" si="399"/>
        <v>Open Ad</v>
      </c>
      <c r="E4089" s="4" t="s">
        <v>78</v>
      </c>
      <c r="F4089" s="4" t="s">
        <v>6765</v>
      </c>
      <c r="G4089" s="4" t="s">
        <v>7034</v>
      </c>
      <c r="H4089" s="4" t="s">
        <v>49</v>
      </c>
      <c r="I4089" s="4" t="s">
        <v>7016</v>
      </c>
      <c r="J4089" s="4" t="s">
        <v>78</v>
      </c>
      <c r="K4089" s="7" t="str">
        <f t="shared" si="400"/>
        <v>View Creative</v>
      </c>
      <c r="L4089" s="4" t="s">
        <v>60</v>
      </c>
      <c r="M4089" s="4" t="s">
        <v>7013</v>
      </c>
      <c r="N4089" s="4" t="s">
        <v>7019</v>
      </c>
      <c r="O4089" s="4" t="s">
        <v>63</v>
      </c>
      <c r="P4089" s="4" t="s">
        <v>64</v>
      </c>
    </row>
    <row r="4090">
      <c r="A4090" s="4" t="s">
        <v>7013</v>
      </c>
      <c r="B4090" s="4" t="s">
        <v>7014</v>
      </c>
      <c r="C4090" s="4">
        <v>39.0</v>
      </c>
      <c r="D4090" s="5" t="str">
        <f t="shared" ref="D4090:D4091" si="401">HYPERLINK("https://www.linkedin.com/ad-library/detail/1461951514","Open Ad")</f>
        <v>Open Ad</v>
      </c>
      <c r="E4090" s="4" t="s">
        <v>78</v>
      </c>
      <c r="F4090" s="4" t="s">
        <v>6765</v>
      </c>
      <c r="G4090" s="4" t="s">
        <v>7035</v>
      </c>
      <c r="H4090" s="4" t="s">
        <v>49</v>
      </c>
      <c r="I4090" s="4" t="s">
        <v>7016</v>
      </c>
      <c r="J4090" s="4" t="s">
        <v>78</v>
      </c>
      <c r="K4090" s="7" t="str">
        <f t="shared" ref="K4090:K4091" si="402">HYPERLINK("https://media.licdn.com/dms/image/v2/D4E10AQEzBiIWRJhvlg/image-shrink_1280/B4EZ7PBmmsIcAg-/0/1781589764812/B1-C1B1-C2jpg?e=2147483647&amp;v=beta&amp;t=dJLRC4MZ_Khzio0RkH-Q67LXt6hP0DW9MkpDWtFRX7s","View Creative")</f>
        <v>View Creative</v>
      </c>
      <c r="L4090" s="4" t="s">
        <v>60</v>
      </c>
      <c r="M4090" s="4" t="s">
        <v>7013</v>
      </c>
      <c r="N4090" s="4" t="s">
        <v>7019</v>
      </c>
      <c r="O4090" s="4" t="s">
        <v>63</v>
      </c>
      <c r="P4090" s="4" t="s">
        <v>64</v>
      </c>
    </row>
    <row r="4091">
      <c r="A4091" s="4" t="s">
        <v>7013</v>
      </c>
      <c r="B4091" s="4" t="s">
        <v>7014</v>
      </c>
      <c r="C4091" s="4">
        <v>40.0</v>
      </c>
      <c r="D4091" s="5" t="str">
        <f t="shared" si="401"/>
        <v>Open Ad</v>
      </c>
      <c r="E4091" s="4" t="s">
        <v>78</v>
      </c>
      <c r="F4091" s="4" t="s">
        <v>6765</v>
      </c>
      <c r="G4091" s="4" t="s">
        <v>7035</v>
      </c>
      <c r="H4091" s="4" t="s">
        <v>49</v>
      </c>
      <c r="I4091" s="4" t="s">
        <v>7016</v>
      </c>
      <c r="J4091" s="4" t="s">
        <v>78</v>
      </c>
      <c r="K4091" s="7" t="str">
        <f t="shared" si="402"/>
        <v>View Creative</v>
      </c>
      <c r="L4091" s="4" t="s">
        <v>60</v>
      </c>
      <c r="M4091" s="4" t="s">
        <v>7013</v>
      </c>
      <c r="N4091" s="4" t="s">
        <v>7019</v>
      </c>
      <c r="O4091" s="4" t="s">
        <v>63</v>
      </c>
      <c r="P4091" s="4" t="s">
        <v>64</v>
      </c>
    </row>
    <row r="4092">
      <c r="A4092" s="4" t="s">
        <v>7013</v>
      </c>
      <c r="B4092" s="4" t="s">
        <v>7014</v>
      </c>
      <c r="C4092" s="4">
        <v>41.0</v>
      </c>
      <c r="D4092" s="5" t="str">
        <f t="shared" ref="D4092:D4093" si="403">HYPERLINK("https://www.linkedin.com/ad-library/detail/1461963184","Open Ad")</f>
        <v>Open Ad</v>
      </c>
      <c r="E4092" s="4" t="s">
        <v>121</v>
      </c>
      <c r="F4092" s="4" t="s">
        <v>6765</v>
      </c>
      <c r="G4092" s="4" t="s">
        <v>7015</v>
      </c>
      <c r="H4092" s="4" t="s">
        <v>49</v>
      </c>
      <c r="I4092" s="4" t="s">
        <v>7016</v>
      </c>
      <c r="J4092" s="4" t="s">
        <v>121</v>
      </c>
      <c r="K4092" s="7" t="str">
        <f t="shared" ref="K4092:K4093" si="404">HYPERLINK("https://dms.licdn.com/playlist/vid/v2/D4E10AQG5aIPvxpk1Xg/mp4-640p-30fp-crf28/B4EZ8FHD2kH8Bo-/0/1782497167264?e=2147483647&amp;v=beta&amp;t=v6VcUFI-VG4dylvX-9i1QCfgclDAlQIVCY6ZiiHqUBQ","View Creative")</f>
        <v>View Creative</v>
      </c>
      <c r="L4092" s="4" t="s">
        <v>60</v>
      </c>
      <c r="M4092" s="4" t="s">
        <v>7013</v>
      </c>
      <c r="N4092" s="4" t="s">
        <v>7036</v>
      </c>
      <c r="O4092" s="4" t="s">
        <v>63</v>
      </c>
      <c r="P4092" s="4" t="s">
        <v>64</v>
      </c>
    </row>
    <row r="4093">
      <c r="A4093" s="4" t="s">
        <v>7013</v>
      </c>
      <c r="B4093" s="4" t="s">
        <v>7014</v>
      </c>
      <c r="C4093" s="4">
        <v>42.0</v>
      </c>
      <c r="D4093" s="5" t="str">
        <f t="shared" si="403"/>
        <v>Open Ad</v>
      </c>
      <c r="E4093" s="4" t="s">
        <v>121</v>
      </c>
      <c r="F4093" s="4" t="s">
        <v>6765</v>
      </c>
      <c r="G4093" s="4" t="s">
        <v>7015</v>
      </c>
      <c r="H4093" s="4" t="s">
        <v>49</v>
      </c>
      <c r="I4093" s="4" t="s">
        <v>7016</v>
      </c>
      <c r="J4093" s="4" t="s">
        <v>121</v>
      </c>
      <c r="K4093" s="7" t="str">
        <f t="shared" si="404"/>
        <v>View Creative</v>
      </c>
      <c r="L4093" s="4" t="s">
        <v>60</v>
      </c>
      <c r="M4093" s="4" t="s">
        <v>7013</v>
      </c>
      <c r="N4093" s="4" t="s">
        <v>7036</v>
      </c>
      <c r="O4093" s="4" t="s">
        <v>63</v>
      </c>
      <c r="P4093" s="4" t="s">
        <v>64</v>
      </c>
    </row>
    <row r="4094">
      <c r="A4094" s="4" t="s">
        <v>7013</v>
      </c>
      <c r="B4094" s="4" t="s">
        <v>7014</v>
      </c>
      <c r="C4094" s="4">
        <v>43.0</v>
      </c>
      <c r="D4094" s="5" t="str">
        <f t="shared" ref="D4094:D4095" si="405">HYPERLINK("https://www.linkedin.com/ad-library/detail/1461981044","Open Ad")</f>
        <v>Open Ad</v>
      </c>
      <c r="E4094" s="4" t="s">
        <v>78</v>
      </c>
      <c r="F4094" s="4" t="s">
        <v>6765</v>
      </c>
      <c r="G4094" s="4" t="s">
        <v>7015</v>
      </c>
      <c r="H4094" s="4" t="s">
        <v>49</v>
      </c>
      <c r="I4094" s="4" t="s">
        <v>7016</v>
      </c>
      <c r="J4094" s="4" t="s">
        <v>78</v>
      </c>
      <c r="K4094" s="7" t="str">
        <f t="shared" ref="K4094:K4095" si="406">HYPERLINK("https://media.licdn.com/dms/image/v2/D4E10AQH3OzCdZHf2Rg/image-shrink_1280/B4EZ7PAtc6HsAc-/0/1781589530762/A1-C2jpg?e=2147483647&amp;v=beta&amp;t=jvEEtQo8Ew8RgeBlebDqOzIFj4JMGRWuQ9VpaUwXuGc","View Creative")</f>
        <v>View Creative</v>
      </c>
      <c r="L4094" s="4" t="s">
        <v>60</v>
      </c>
      <c r="M4094" s="4" t="s">
        <v>7013</v>
      </c>
      <c r="N4094" s="4" t="s">
        <v>7019</v>
      </c>
      <c r="O4094" s="4" t="s">
        <v>63</v>
      </c>
      <c r="P4094" s="4" t="s">
        <v>64</v>
      </c>
    </row>
    <row r="4095">
      <c r="A4095" s="4" t="s">
        <v>7013</v>
      </c>
      <c r="B4095" s="4" t="s">
        <v>7014</v>
      </c>
      <c r="C4095" s="4">
        <v>44.0</v>
      </c>
      <c r="D4095" s="5" t="str">
        <f t="shared" si="405"/>
        <v>Open Ad</v>
      </c>
      <c r="E4095" s="4" t="s">
        <v>78</v>
      </c>
      <c r="F4095" s="4" t="s">
        <v>6765</v>
      </c>
      <c r="G4095" s="4" t="s">
        <v>7015</v>
      </c>
      <c r="H4095" s="4" t="s">
        <v>49</v>
      </c>
      <c r="I4095" s="4" t="s">
        <v>7016</v>
      </c>
      <c r="J4095" s="4" t="s">
        <v>78</v>
      </c>
      <c r="K4095" s="7" t="str">
        <f t="shared" si="406"/>
        <v>View Creative</v>
      </c>
      <c r="L4095" s="4" t="s">
        <v>60</v>
      </c>
      <c r="M4095" s="4" t="s">
        <v>7013</v>
      </c>
      <c r="N4095" s="4" t="s">
        <v>7019</v>
      </c>
      <c r="O4095" s="4" t="s">
        <v>63</v>
      </c>
      <c r="P4095" s="4" t="s">
        <v>64</v>
      </c>
    </row>
    <row r="4096">
      <c r="A4096" s="4" t="s">
        <v>7013</v>
      </c>
      <c r="B4096" s="4" t="s">
        <v>7014</v>
      </c>
      <c r="C4096" s="4">
        <v>45.0</v>
      </c>
      <c r="D4096" s="5" t="str">
        <f t="shared" ref="D4096:D4097" si="407">HYPERLINK("https://www.linkedin.com/ad-library/detail/1460258364","Open Ad")</f>
        <v>Open Ad</v>
      </c>
      <c r="E4096" s="4" t="s">
        <v>78</v>
      </c>
      <c r="F4096" s="4" t="s">
        <v>6765</v>
      </c>
      <c r="G4096" s="4" t="s">
        <v>7025</v>
      </c>
      <c r="H4096" s="4" t="s">
        <v>49</v>
      </c>
      <c r="I4096" s="4" t="s">
        <v>7016</v>
      </c>
      <c r="J4096" s="4" t="s">
        <v>78</v>
      </c>
      <c r="K4096" s="7" t="str">
        <f t="shared" ref="K4096:K4097" si="408">HYPERLINK("https://media.licdn.com/dms/image/v2/D4E10AQEsenA2dN72-Q/image-shrink_1280/B4EZ7PAqDDHwAc-/0/1781589516809/A1-C1jpg?e=2147483647&amp;v=beta&amp;t=OLJIKQzNXYF585Cu545nuOPmx2JH_ffgToA-fniP23U","View Creative")</f>
        <v>View Creative</v>
      </c>
      <c r="L4096" s="4" t="s">
        <v>60</v>
      </c>
      <c r="M4096" s="4" t="s">
        <v>7013</v>
      </c>
      <c r="N4096" s="4" t="s">
        <v>7022</v>
      </c>
      <c r="O4096" s="4" t="s">
        <v>63</v>
      </c>
      <c r="P4096" s="4" t="s">
        <v>64</v>
      </c>
    </row>
    <row r="4097">
      <c r="A4097" s="4" t="s">
        <v>7013</v>
      </c>
      <c r="B4097" s="4" t="s">
        <v>7014</v>
      </c>
      <c r="C4097" s="4">
        <v>46.0</v>
      </c>
      <c r="D4097" s="5" t="str">
        <f t="shared" si="407"/>
        <v>Open Ad</v>
      </c>
      <c r="E4097" s="4" t="s">
        <v>78</v>
      </c>
      <c r="F4097" s="4" t="s">
        <v>6765</v>
      </c>
      <c r="G4097" s="4" t="s">
        <v>7025</v>
      </c>
      <c r="H4097" s="4" t="s">
        <v>49</v>
      </c>
      <c r="I4097" s="4" t="s">
        <v>7016</v>
      </c>
      <c r="J4097" s="4" t="s">
        <v>78</v>
      </c>
      <c r="K4097" s="7" t="str">
        <f t="shared" si="408"/>
        <v>View Creative</v>
      </c>
      <c r="L4097" s="4" t="s">
        <v>60</v>
      </c>
      <c r="M4097" s="4" t="s">
        <v>7013</v>
      </c>
      <c r="N4097" s="4" t="s">
        <v>7022</v>
      </c>
      <c r="O4097" s="4" t="s">
        <v>63</v>
      </c>
      <c r="P4097" s="4" t="s">
        <v>64</v>
      </c>
    </row>
    <row r="4098">
      <c r="A4098" s="4" t="s">
        <v>7013</v>
      </c>
      <c r="B4098" s="4" t="s">
        <v>7014</v>
      </c>
      <c r="C4098" s="4">
        <v>47.0</v>
      </c>
      <c r="D4098" s="5" t="str">
        <f t="shared" ref="D4098:D4099" si="409">HYPERLINK("https://www.linkedin.com/ad-library/detail/1460258354","Open Ad")</f>
        <v>Open Ad</v>
      </c>
      <c r="E4098" s="4" t="s">
        <v>78</v>
      </c>
      <c r="F4098" s="4" t="s">
        <v>6765</v>
      </c>
      <c r="G4098" s="4" t="s">
        <v>7023</v>
      </c>
      <c r="H4098" s="4" t="s">
        <v>49</v>
      </c>
      <c r="I4098" s="4" t="s">
        <v>7016</v>
      </c>
      <c r="J4098" s="4" t="s">
        <v>78</v>
      </c>
      <c r="K4098" s="7" t="str">
        <f t="shared" ref="K4098:K4099" si="410">HYPERLINK("https://media.licdn.com/dms/image/v2/D4E10AQF2ktfInfNdRA/image-shrink_1280/B4EZ7PAwycKkAc-/0/1781589544471/A1-C3jpg?e=2147483647&amp;v=beta&amp;t=4ZB7lsD7pClowz17nBscZmQ9yX3zLhyBGjzU36FpmnA","View Creative")</f>
        <v>View Creative</v>
      </c>
      <c r="L4098" s="4" t="s">
        <v>60</v>
      </c>
      <c r="M4098" s="4" t="s">
        <v>7013</v>
      </c>
      <c r="N4098" s="4" t="s">
        <v>7022</v>
      </c>
      <c r="O4098" s="4" t="s">
        <v>63</v>
      </c>
      <c r="P4098" s="4" t="s">
        <v>64</v>
      </c>
    </row>
    <row r="4099">
      <c r="A4099" s="4" t="s">
        <v>7013</v>
      </c>
      <c r="B4099" s="4" t="s">
        <v>7014</v>
      </c>
      <c r="C4099" s="4">
        <v>48.0</v>
      </c>
      <c r="D4099" s="5" t="str">
        <f t="shared" si="409"/>
        <v>Open Ad</v>
      </c>
      <c r="E4099" s="4" t="s">
        <v>78</v>
      </c>
      <c r="F4099" s="4" t="s">
        <v>6765</v>
      </c>
      <c r="G4099" s="4" t="s">
        <v>7023</v>
      </c>
      <c r="H4099" s="4" t="s">
        <v>49</v>
      </c>
      <c r="I4099" s="4" t="s">
        <v>7016</v>
      </c>
      <c r="J4099" s="4" t="s">
        <v>78</v>
      </c>
      <c r="K4099" s="7" t="str">
        <f t="shared" si="410"/>
        <v>View Creative</v>
      </c>
      <c r="L4099" s="4" t="s">
        <v>60</v>
      </c>
      <c r="M4099" s="4" t="s">
        <v>7013</v>
      </c>
      <c r="N4099" s="4" t="s">
        <v>7022</v>
      </c>
      <c r="O4099" s="4" t="s">
        <v>63</v>
      </c>
      <c r="P4099" s="4" t="s">
        <v>64</v>
      </c>
    </row>
    <row r="4100">
      <c r="A4100" s="4" t="s">
        <v>7013</v>
      </c>
      <c r="B4100" s="4" t="s">
        <v>7014</v>
      </c>
      <c r="C4100" s="4">
        <v>49.0</v>
      </c>
      <c r="D4100" s="5" t="str">
        <f t="shared" ref="D4100:D4101" si="411">HYPERLINK("https://www.linkedin.com/ad-library/detail/1458827374","Open Ad")</f>
        <v>Open Ad</v>
      </c>
      <c r="E4100" s="4" t="s">
        <v>78</v>
      </c>
      <c r="F4100" s="4" t="s">
        <v>6765</v>
      </c>
      <c r="G4100" s="4" t="s">
        <v>7037</v>
      </c>
      <c r="H4100" s="4" t="s">
        <v>49</v>
      </c>
      <c r="I4100" s="4" t="s">
        <v>7016</v>
      </c>
      <c r="J4100" s="4" t="s">
        <v>78</v>
      </c>
      <c r="K4100" s="7" t="str">
        <f t="shared" ref="K4100:K4101" si="412">HYPERLINK("https://media.licdn.com/dms/image/v2/D4E10AQE4pC45aYPR7g/image-shrink_1280/B4EZ7PBDR1HkAg-/0/1781589620129/A2-C3jpg?e=2147483647&amp;v=beta&amp;t=irAG_z469IUA5tn6BMvjaobhZGaB4yooO_oS-HBc0w4","View Creative")</f>
        <v>View Creative</v>
      </c>
      <c r="L4100" s="4" t="s">
        <v>60</v>
      </c>
      <c r="M4100" s="4" t="s">
        <v>7013</v>
      </c>
      <c r="N4100" s="4" t="s">
        <v>7038</v>
      </c>
      <c r="O4100" s="4" t="s">
        <v>63</v>
      </c>
      <c r="P4100" s="4" t="s">
        <v>64</v>
      </c>
    </row>
    <row r="4101">
      <c r="A4101" s="4" t="s">
        <v>7013</v>
      </c>
      <c r="B4101" s="4" t="s">
        <v>7014</v>
      </c>
      <c r="C4101" s="4">
        <v>50.0</v>
      </c>
      <c r="D4101" s="5" t="str">
        <f t="shared" si="411"/>
        <v>Open Ad</v>
      </c>
      <c r="E4101" s="4" t="s">
        <v>78</v>
      </c>
      <c r="F4101" s="4" t="s">
        <v>6765</v>
      </c>
      <c r="G4101" s="4" t="s">
        <v>7037</v>
      </c>
      <c r="H4101" s="4" t="s">
        <v>49</v>
      </c>
      <c r="I4101" s="4" t="s">
        <v>7016</v>
      </c>
      <c r="J4101" s="4" t="s">
        <v>78</v>
      </c>
      <c r="K4101" s="7" t="str">
        <f t="shared" si="412"/>
        <v>View Creative</v>
      </c>
      <c r="L4101" s="4" t="s">
        <v>60</v>
      </c>
      <c r="M4101" s="4" t="s">
        <v>7013</v>
      </c>
      <c r="N4101" s="4" t="s">
        <v>7038</v>
      </c>
      <c r="O4101" s="4" t="s">
        <v>63</v>
      </c>
      <c r="P4101" s="4" t="s">
        <v>64</v>
      </c>
    </row>
    <row r="4102">
      <c r="A4102" s="4" t="s">
        <v>7013</v>
      </c>
      <c r="B4102" s="4" t="s">
        <v>7014</v>
      </c>
      <c r="C4102" s="4">
        <v>51.0</v>
      </c>
      <c r="D4102" s="5" t="str">
        <f t="shared" ref="D4102:D4103" si="413">HYPERLINK("https://www.linkedin.com/ad-library/detail/1458664364","Open Ad")</f>
        <v>Open Ad</v>
      </c>
      <c r="E4102" s="4" t="s">
        <v>78</v>
      </c>
      <c r="F4102" s="4" t="s">
        <v>6765</v>
      </c>
      <c r="G4102" s="8" t="s">
        <v>7033</v>
      </c>
      <c r="H4102" s="4" t="s">
        <v>49</v>
      </c>
      <c r="I4102" s="4" t="s">
        <v>7016</v>
      </c>
      <c r="J4102" s="4" t="s">
        <v>78</v>
      </c>
      <c r="K4102" s="7" t="str">
        <f t="shared" ref="K4102:K4103" si="414">HYPERLINK("https://media.licdn.com/dms/image/v2/D4E10AQEtxr4fqT8NfQ/image-shrink_1280/B4EZ7PB3YvHMAc-/0/1781589833590/A3-C2jpg?e=2147483647&amp;v=beta&amp;t=AjlKWqgFYZfgDAV3dSPU-C_p1yWfgHI_ZLz-ENvzT4s","View Creative")</f>
        <v>View Creative</v>
      </c>
      <c r="L4102" s="4" t="s">
        <v>60</v>
      </c>
      <c r="M4102" s="4" t="s">
        <v>7013</v>
      </c>
      <c r="N4102" s="4" t="s">
        <v>7039</v>
      </c>
      <c r="O4102" s="4" t="s">
        <v>63</v>
      </c>
      <c r="P4102" s="4" t="s">
        <v>64</v>
      </c>
    </row>
    <row r="4103">
      <c r="A4103" s="4" t="s">
        <v>7013</v>
      </c>
      <c r="B4103" s="4" t="s">
        <v>7014</v>
      </c>
      <c r="C4103" s="4">
        <v>52.0</v>
      </c>
      <c r="D4103" s="5" t="str">
        <f t="shared" si="413"/>
        <v>Open Ad</v>
      </c>
      <c r="E4103" s="4" t="s">
        <v>78</v>
      </c>
      <c r="F4103" s="4" t="s">
        <v>6765</v>
      </c>
      <c r="G4103" s="8" t="s">
        <v>7033</v>
      </c>
      <c r="H4103" s="4" t="s">
        <v>49</v>
      </c>
      <c r="I4103" s="4" t="s">
        <v>7016</v>
      </c>
      <c r="J4103" s="4" t="s">
        <v>78</v>
      </c>
      <c r="K4103" s="7" t="str">
        <f t="shared" si="414"/>
        <v>View Creative</v>
      </c>
      <c r="L4103" s="4" t="s">
        <v>60</v>
      </c>
      <c r="M4103" s="4" t="s">
        <v>7013</v>
      </c>
      <c r="N4103" s="4" t="s">
        <v>7039</v>
      </c>
      <c r="O4103" s="4" t="s">
        <v>63</v>
      </c>
      <c r="P4103" s="4" t="s">
        <v>64</v>
      </c>
    </row>
    <row r="4104">
      <c r="A4104" s="4" t="s">
        <v>7013</v>
      </c>
      <c r="B4104" s="4" t="s">
        <v>7014</v>
      </c>
      <c r="C4104" s="4">
        <v>53.0</v>
      </c>
      <c r="D4104" s="5" t="str">
        <f t="shared" ref="D4104:D4105" si="415">HYPERLINK("https://www.linkedin.com/ad-library/detail/1458827414","Open Ad")</f>
        <v>Open Ad</v>
      </c>
      <c r="E4104" s="4" t="s">
        <v>78</v>
      </c>
      <c r="F4104" s="4" t="s">
        <v>6765</v>
      </c>
      <c r="G4104" s="4" t="s">
        <v>7024</v>
      </c>
      <c r="H4104" s="4" t="s">
        <v>49</v>
      </c>
      <c r="I4104" s="4" t="s">
        <v>7016</v>
      </c>
      <c r="J4104" s="4" t="s">
        <v>78</v>
      </c>
      <c r="K4104" s="7" t="str">
        <f t="shared" ref="K4104:K4105" si="416">HYPERLINK("https://media.licdn.com/dms/image/v2/D4E10AQE-9lDIBMB7ow/image-shrink_1280/B4EZ7PB6fVHkAc-/0/1781589846302/A3-C3jpg?e=2147483647&amp;v=beta&amp;t=VzXZ0xKb8Cn-eOV6wgC2UKL8s8P_uVXnTsOkNB8-WY0","View Creative")</f>
        <v>View Creative</v>
      </c>
      <c r="L4104" s="4" t="s">
        <v>60</v>
      </c>
      <c r="M4104" s="4" t="s">
        <v>7013</v>
      </c>
      <c r="N4104" s="4" t="s">
        <v>7038</v>
      </c>
      <c r="O4104" s="4" t="s">
        <v>63</v>
      </c>
      <c r="P4104" s="4" t="s">
        <v>64</v>
      </c>
    </row>
    <row r="4105">
      <c r="A4105" s="4" t="s">
        <v>7013</v>
      </c>
      <c r="B4105" s="4" t="s">
        <v>7014</v>
      </c>
      <c r="C4105" s="4">
        <v>54.0</v>
      </c>
      <c r="D4105" s="5" t="str">
        <f t="shared" si="415"/>
        <v>Open Ad</v>
      </c>
      <c r="E4105" s="4" t="s">
        <v>78</v>
      </c>
      <c r="F4105" s="4" t="s">
        <v>6765</v>
      </c>
      <c r="G4105" s="4" t="s">
        <v>7024</v>
      </c>
      <c r="H4105" s="4" t="s">
        <v>49</v>
      </c>
      <c r="I4105" s="4" t="s">
        <v>7016</v>
      </c>
      <c r="J4105" s="4" t="s">
        <v>78</v>
      </c>
      <c r="K4105" s="7" t="str">
        <f t="shared" si="416"/>
        <v>View Creative</v>
      </c>
      <c r="L4105" s="4" t="s">
        <v>60</v>
      </c>
      <c r="M4105" s="4" t="s">
        <v>7013</v>
      </c>
      <c r="N4105" s="4" t="s">
        <v>7038</v>
      </c>
      <c r="O4105" s="4" t="s">
        <v>63</v>
      </c>
      <c r="P4105" s="4" t="s">
        <v>64</v>
      </c>
    </row>
    <row r="4106">
      <c r="A4106" s="4" t="s">
        <v>7013</v>
      </c>
      <c r="B4106" s="4" t="s">
        <v>7014</v>
      </c>
      <c r="C4106" s="4">
        <v>55.0</v>
      </c>
      <c r="D4106" s="5" t="str">
        <f t="shared" ref="D4106:D4107" si="417">HYPERLINK("https://www.linkedin.com/ad-library/detail/1458837304","Open Ad")</f>
        <v>Open Ad</v>
      </c>
      <c r="E4106" s="4" t="s">
        <v>78</v>
      </c>
      <c r="F4106" s="4" t="s">
        <v>6765</v>
      </c>
      <c r="G4106" s="4" t="s">
        <v>7018</v>
      </c>
      <c r="H4106" s="4" t="s">
        <v>49</v>
      </c>
      <c r="I4106" s="4" t="s">
        <v>7016</v>
      </c>
      <c r="J4106" s="4" t="s">
        <v>78</v>
      </c>
      <c r="K4106" s="7" t="str">
        <f t="shared" ref="K4106:K4107" si="418">HYPERLINK("https://media.licdn.com/dms/image/v2/D4E10AQGKueCfWHuNkg/image-shrink_1280/B4EZ7PBKXZJYAc-/0/1781589649194/A2-C5jpg?e=2147483647&amp;v=beta&amp;t=QmYtHSy_ICSJ76MwsGAlNWrT6Yc_kTWrDq9iNJSaLPw","View Creative")</f>
        <v>View Creative</v>
      </c>
      <c r="L4106" s="4" t="s">
        <v>60</v>
      </c>
      <c r="M4106" s="4" t="s">
        <v>7013</v>
      </c>
      <c r="N4106" s="4" t="s">
        <v>7038</v>
      </c>
      <c r="O4106" s="4" t="s">
        <v>63</v>
      </c>
      <c r="P4106" s="4" t="s">
        <v>64</v>
      </c>
    </row>
    <row r="4107">
      <c r="A4107" s="4" t="s">
        <v>7013</v>
      </c>
      <c r="B4107" s="4" t="s">
        <v>7014</v>
      </c>
      <c r="C4107" s="4">
        <v>56.0</v>
      </c>
      <c r="D4107" s="5" t="str">
        <f t="shared" si="417"/>
        <v>Open Ad</v>
      </c>
      <c r="E4107" s="4" t="s">
        <v>78</v>
      </c>
      <c r="F4107" s="4" t="s">
        <v>6765</v>
      </c>
      <c r="G4107" s="4" t="s">
        <v>7018</v>
      </c>
      <c r="H4107" s="4" t="s">
        <v>49</v>
      </c>
      <c r="I4107" s="4" t="s">
        <v>7016</v>
      </c>
      <c r="J4107" s="4" t="s">
        <v>78</v>
      </c>
      <c r="K4107" s="7" t="str">
        <f t="shared" si="418"/>
        <v>View Creative</v>
      </c>
      <c r="L4107" s="4" t="s">
        <v>60</v>
      </c>
      <c r="M4107" s="4" t="s">
        <v>7013</v>
      </c>
      <c r="N4107" s="4" t="s">
        <v>7038</v>
      </c>
      <c r="O4107" s="4" t="s">
        <v>63</v>
      </c>
      <c r="P4107" s="4" t="s">
        <v>64</v>
      </c>
    </row>
    <row r="4108">
      <c r="A4108" s="4" t="s">
        <v>7013</v>
      </c>
      <c r="B4108" s="4" t="s">
        <v>7014</v>
      </c>
      <c r="C4108" s="4">
        <v>57.0</v>
      </c>
      <c r="D4108" s="5" t="str">
        <f t="shared" ref="D4108:D4109" si="419">HYPERLINK("https://www.linkedin.com/ad-library/detail/1458728004","Open Ad")</f>
        <v>Open Ad</v>
      </c>
      <c r="E4108" s="4" t="s">
        <v>78</v>
      </c>
      <c r="F4108" s="4" t="s">
        <v>6765</v>
      </c>
      <c r="G4108" s="4" t="s">
        <v>7034</v>
      </c>
      <c r="H4108" s="4" t="s">
        <v>49</v>
      </c>
      <c r="I4108" s="4" t="s">
        <v>7016</v>
      </c>
      <c r="J4108" s="4" t="s">
        <v>78</v>
      </c>
      <c r="K4108" s="7" t="str">
        <f t="shared" ref="K4108:K4109" si="420">HYPERLINK("https://media.licdn.com/dms/image/v2/D4E10AQEESvpqPP5YhA/image-shrink_1280/B4EZ7PB0Y_JYAc-/0/1781589821408/A3-C1jpg?e=2147483647&amp;v=beta&amp;t=5WJ19AWOyib21SFxVma_vc-ZkbdM5W57TXOC4lK0g3c","View Creative")</f>
        <v>View Creative</v>
      </c>
      <c r="L4108" s="4" t="s">
        <v>60</v>
      </c>
      <c r="M4108" s="4" t="s">
        <v>7013</v>
      </c>
      <c r="N4108" s="4" t="s">
        <v>7038</v>
      </c>
      <c r="O4108" s="4" t="s">
        <v>63</v>
      </c>
      <c r="P4108" s="4" t="s">
        <v>64</v>
      </c>
    </row>
    <row r="4109">
      <c r="A4109" s="4" t="s">
        <v>7013</v>
      </c>
      <c r="B4109" s="4" t="s">
        <v>7014</v>
      </c>
      <c r="C4109" s="4">
        <v>58.0</v>
      </c>
      <c r="D4109" s="5" t="str">
        <f t="shared" si="419"/>
        <v>Open Ad</v>
      </c>
      <c r="E4109" s="4" t="s">
        <v>78</v>
      </c>
      <c r="F4109" s="4" t="s">
        <v>6765</v>
      </c>
      <c r="G4109" s="4" t="s">
        <v>7034</v>
      </c>
      <c r="H4109" s="4" t="s">
        <v>49</v>
      </c>
      <c r="I4109" s="4" t="s">
        <v>7016</v>
      </c>
      <c r="J4109" s="4" t="s">
        <v>78</v>
      </c>
      <c r="K4109" s="7" t="str">
        <f t="shared" si="420"/>
        <v>View Creative</v>
      </c>
      <c r="L4109" s="4" t="s">
        <v>60</v>
      </c>
      <c r="M4109" s="4" t="s">
        <v>7013</v>
      </c>
      <c r="N4109" s="4" t="s">
        <v>7038</v>
      </c>
      <c r="O4109" s="4" t="s">
        <v>63</v>
      </c>
      <c r="P4109" s="4" t="s">
        <v>64</v>
      </c>
    </row>
    <row r="4110">
      <c r="A4110" s="4" t="s">
        <v>7013</v>
      </c>
      <c r="B4110" s="4" t="s">
        <v>7014</v>
      </c>
      <c r="C4110" s="4">
        <v>59.0</v>
      </c>
      <c r="D4110" s="5" t="str">
        <f t="shared" ref="D4110:D4111" si="421">HYPERLINK("https://www.linkedin.com/ad-library/detail/1458727994","Open Ad")</f>
        <v>Open Ad</v>
      </c>
      <c r="E4110" s="4" t="s">
        <v>78</v>
      </c>
      <c r="F4110" s="4" t="s">
        <v>6765</v>
      </c>
      <c r="G4110" s="4" t="s">
        <v>7031</v>
      </c>
      <c r="H4110" s="4" t="s">
        <v>49</v>
      </c>
      <c r="I4110" s="4" t="s">
        <v>7016</v>
      </c>
      <c r="J4110" s="4" t="s">
        <v>78</v>
      </c>
      <c r="K4110" s="7" t="str">
        <f t="shared" ref="K4110:K4111" si="422">HYPERLINK("https://media.licdn.com/dms/image/v2/D4E10AQExh4rmJC5IEA/image-shrink_1280/B4EZ7PBG8LJYAc-/0/1781589635154/A2-C4jpg?e=2147483647&amp;v=beta&amp;t=zuMWFlvEIhGikYjrPhKmomgSrR5Nx39hHN-pslXHZ_Q","View Creative")</f>
        <v>View Creative</v>
      </c>
      <c r="L4110" s="4" t="s">
        <v>60</v>
      </c>
      <c r="M4110" s="4" t="s">
        <v>7013</v>
      </c>
      <c r="N4110" s="4" t="s">
        <v>7038</v>
      </c>
      <c r="O4110" s="4" t="s">
        <v>63</v>
      </c>
      <c r="P4110" s="4" t="s">
        <v>64</v>
      </c>
    </row>
    <row r="4111">
      <c r="A4111" s="4" t="s">
        <v>7013</v>
      </c>
      <c r="B4111" s="4" t="s">
        <v>7014</v>
      </c>
      <c r="C4111" s="4">
        <v>60.0</v>
      </c>
      <c r="D4111" s="5" t="str">
        <f t="shared" si="421"/>
        <v>Open Ad</v>
      </c>
      <c r="E4111" s="4" t="s">
        <v>78</v>
      </c>
      <c r="F4111" s="4" t="s">
        <v>6765</v>
      </c>
      <c r="G4111" s="4" t="s">
        <v>7031</v>
      </c>
      <c r="H4111" s="4" t="s">
        <v>49</v>
      </c>
      <c r="I4111" s="4" t="s">
        <v>7016</v>
      </c>
      <c r="J4111" s="4" t="s">
        <v>78</v>
      </c>
      <c r="K4111" s="7" t="str">
        <f t="shared" si="422"/>
        <v>View Creative</v>
      </c>
      <c r="L4111" s="4" t="s">
        <v>60</v>
      </c>
      <c r="M4111" s="4" t="s">
        <v>7013</v>
      </c>
      <c r="N4111" s="4" t="s">
        <v>7038</v>
      </c>
      <c r="O4111" s="4" t="s">
        <v>63</v>
      </c>
      <c r="P4111" s="4" t="s">
        <v>64</v>
      </c>
    </row>
    <row r="4112">
      <c r="A4112" s="4" t="s">
        <v>7013</v>
      </c>
      <c r="B4112" s="4" t="s">
        <v>7014</v>
      </c>
      <c r="C4112" s="4">
        <v>61.0</v>
      </c>
      <c r="D4112" s="5" t="str">
        <f t="shared" ref="D4112:D4113" si="423">HYPERLINK("https://www.linkedin.com/ad-library/detail/1458713804","Open Ad")</f>
        <v>Open Ad</v>
      </c>
      <c r="E4112" s="4" t="s">
        <v>78</v>
      </c>
      <c r="F4112" s="4" t="s">
        <v>6765</v>
      </c>
      <c r="G4112" s="4" t="s">
        <v>7035</v>
      </c>
      <c r="H4112" s="4" t="s">
        <v>49</v>
      </c>
      <c r="I4112" s="4" t="s">
        <v>7016</v>
      </c>
      <c r="J4112" s="4" t="s">
        <v>78</v>
      </c>
      <c r="K4112" s="7" t="str">
        <f t="shared" ref="K4112:K4113" si="424">HYPERLINK("https://media.licdn.com/dms/image/v2/D4E10AQEzBiIWRJhvlg/image-shrink_1280/B4EZ7PBmmsIcAg-/0/1781589764812/B1-C1B1-C2jpg?e=2147483647&amp;v=beta&amp;t=dJLRC4MZ_Khzio0RkH-Q67LXt6hP0DW9MkpDWtFRX7s","View Creative")</f>
        <v>View Creative</v>
      </c>
      <c r="L4112" s="4" t="s">
        <v>60</v>
      </c>
      <c r="M4112" s="4" t="s">
        <v>7013</v>
      </c>
      <c r="N4112" s="4" t="s">
        <v>7040</v>
      </c>
      <c r="O4112" s="4" t="s">
        <v>63</v>
      </c>
      <c r="P4112" s="4" t="s">
        <v>64</v>
      </c>
    </row>
    <row r="4113">
      <c r="A4113" s="4" t="s">
        <v>7013</v>
      </c>
      <c r="B4113" s="4" t="s">
        <v>7014</v>
      </c>
      <c r="C4113" s="4">
        <v>62.0</v>
      </c>
      <c r="D4113" s="5" t="str">
        <f t="shared" si="423"/>
        <v>Open Ad</v>
      </c>
      <c r="E4113" s="4" t="s">
        <v>78</v>
      </c>
      <c r="F4113" s="4" t="s">
        <v>6765</v>
      </c>
      <c r="G4113" s="4" t="s">
        <v>7035</v>
      </c>
      <c r="H4113" s="4" t="s">
        <v>49</v>
      </c>
      <c r="I4113" s="4" t="s">
        <v>7016</v>
      </c>
      <c r="J4113" s="4" t="s">
        <v>78</v>
      </c>
      <c r="K4113" s="7" t="str">
        <f t="shared" si="424"/>
        <v>View Creative</v>
      </c>
      <c r="L4113" s="4" t="s">
        <v>60</v>
      </c>
      <c r="M4113" s="4" t="s">
        <v>7013</v>
      </c>
      <c r="N4113" s="4" t="s">
        <v>7040</v>
      </c>
      <c r="O4113" s="4" t="s">
        <v>63</v>
      </c>
      <c r="P4113" s="4" t="s">
        <v>64</v>
      </c>
    </row>
    <row r="4114">
      <c r="A4114" s="4" t="s">
        <v>7013</v>
      </c>
      <c r="B4114" s="4" t="s">
        <v>7014</v>
      </c>
      <c r="C4114" s="4">
        <v>63.0</v>
      </c>
      <c r="D4114" s="5" t="str">
        <f t="shared" ref="D4114:D4115" si="425">HYPERLINK("https://www.linkedin.com/ad-library/detail/1458822924","Open Ad")</f>
        <v>Open Ad</v>
      </c>
      <c r="E4114" s="4" t="s">
        <v>78</v>
      </c>
      <c r="F4114" s="4" t="s">
        <v>6765</v>
      </c>
      <c r="G4114" s="4" t="s">
        <v>7034</v>
      </c>
      <c r="H4114" s="4" t="s">
        <v>49</v>
      </c>
      <c r="I4114" s="4" t="s">
        <v>7016</v>
      </c>
      <c r="J4114" s="4" t="s">
        <v>78</v>
      </c>
      <c r="K4114" s="7" t="str">
        <f t="shared" ref="K4114:K4115" si="426">HYPERLINK("https://media.licdn.com/dms/image/v2/D4E10AQEESvpqPP5YhA/image-shrink_1280/B4EZ7PB0Y_JYAc-/0/1781589821408/A3-C1jpg?e=2147483647&amp;v=beta&amp;t=5WJ19AWOyib21SFxVma_vc-ZkbdM5W57TXOC4lK0g3c","View Creative")</f>
        <v>View Creative</v>
      </c>
      <c r="L4114" s="4" t="s">
        <v>60</v>
      </c>
      <c r="M4114" s="4" t="s">
        <v>7013</v>
      </c>
      <c r="N4114" s="4" t="s">
        <v>7040</v>
      </c>
      <c r="O4114" s="4" t="s">
        <v>63</v>
      </c>
      <c r="P4114" s="4" t="s">
        <v>64</v>
      </c>
    </row>
    <row r="4115">
      <c r="A4115" s="4" t="s">
        <v>7013</v>
      </c>
      <c r="B4115" s="4" t="s">
        <v>7014</v>
      </c>
      <c r="C4115" s="4">
        <v>64.0</v>
      </c>
      <c r="D4115" s="5" t="str">
        <f t="shared" si="425"/>
        <v>Open Ad</v>
      </c>
      <c r="E4115" s="4" t="s">
        <v>78</v>
      </c>
      <c r="F4115" s="4" t="s">
        <v>6765</v>
      </c>
      <c r="G4115" s="4" t="s">
        <v>7034</v>
      </c>
      <c r="H4115" s="4" t="s">
        <v>49</v>
      </c>
      <c r="I4115" s="4" t="s">
        <v>7016</v>
      </c>
      <c r="J4115" s="4" t="s">
        <v>78</v>
      </c>
      <c r="K4115" s="7" t="str">
        <f t="shared" si="426"/>
        <v>View Creative</v>
      </c>
      <c r="L4115" s="4" t="s">
        <v>60</v>
      </c>
      <c r="M4115" s="4" t="s">
        <v>7013</v>
      </c>
      <c r="N4115" s="4" t="s">
        <v>7040</v>
      </c>
      <c r="O4115" s="4" t="s">
        <v>63</v>
      </c>
      <c r="P4115" s="4" t="s">
        <v>64</v>
      </c>
    </row>
    <row r="4116">
      <c r="A4116" s="4" t="s">
        <v>7013</v>
      </c>
      <c r="B4116" s="4" t="s">
        <v>7014</v>
      </c>
      <c r="C4116" s="4">
        <v>65.0</v>
      </c>
      <c r="D4116" s="5" t="str">
        <f t="shared" ref="D4116:D4117" si="427">HYPERLINK("https://www.linkedin.com/ad-library/detail/1458633804","Open Ad")</f>
        <v>Open Ad</v>
      </c>
      <c r="E4116" s="4" t="s">
        <v>78</v>
      </c>
      <c r="F4116" s="4" t="s">
        <v>6765</v>
      </c>
      <c r="G4116" s="4" t="s">
        <v>7041</v>
      </c>
      <c r="H4116" s="4" t="s">
        <v>49</v>
      </c>
      <c r="I4116" s="4" t="s">
        <v>7016</v>
      </c>
      <c r="J4116" s="4" t="s">
        <v>78</v>
      </c>
      <c r="K4116" s="7" t="str">
        <f t="shared" ref="K4116:K4117" si="428">HYPERLINK("https://media.licdn.com/dms/image/v2/D4E10AQHMra8bcCHO0A/image-shrink_1280/B4EZ7PB9xfJgAc-/0/1781589859722/A3-C4jpg?e=2147483647&amp;v=beta&amp;t=nCAppK4YstfRrJE6gsQvbsQ_Vn64cbuwRRghD0DqzSQ","View Creative")</f>
        <v>View Creative</v>
      </c>
      <c r="L4116" s="4" t="s">
        <v>60</v>
      </c>
      <c r="M4116" s="4" t="s">
        <v>7013</v>
      </c>
      <c r="N4116" s="4" t="s">
        <v>7042</v>
      </c>
      <c r="O4116" s="4" t="s">
        <v>63</v>
      </c>
      <c r="P4116" s="4" t="s">
        <v>64</v>
      </c>
    </row>
    <row r="4117">
      <c r="A4117" s="4" t="s">
        <v>7013</v>
      </c>
      <c r="B4117" s="4" t="s">
        <v>7014</v>
      </c>
      <c r="C4117" s="4">
        <v>66.0</v>
      </c>
      <c r="D4117" s="5" t="str">
        <f t="shared" si="427"/>
        <v>Open Ad</v>
      </c>
      <c r="E4117" s="4" t="s">
        <v>78</v>
      </c>
      <c r="F4117" s="4" t="s">
        <v>6765</v>
      </c>
      <c r="G4117" s="4" t="s">
        <v>7041</v>
      </c>
      <c r="H4117" s="4" t="s">
        <v>49</v>
      </c>
      <c r="I4117" s="4" t="s">
        <v>7016</v>
      </c>
      <c r="J4117" s="4" t="s">
        <v>78</v>
      </c>
      <c r="K4117" s="7" t="str">
        <f t="shared" si="428"/>
        <v>View Creative</v>
      </c>
      <c r="L4117" s="4" t="s">
        <v>60</v>
      </c>
      <c r="M4117" s="4" t="s">
        <v>7013</v>
      </c>
      <c r="N4117" s="4" t="s">
        <v>7042</v>
      </c>
      <c r="O4117" s="4" t="s">
        <v>63</v>
      </c>
      <c r="P4117" s="4" t="s">
        <v>64</v>
      </c>
    </row>
    <row r="4118">
      <c r="A4118" s="4" t="s">
        <v>7013</v>
      </c>
      <c r="B4118" s="4" t="s">
        <v>7014</v>
      </c>
      <c r="C4118" s="4">
        <v>67.0</v>
      </c>
      <c r="D4118" s="5" t="str">
        <f t="shared" ref="D4118:D4119" si="429">HYPERLINK("https://www.linkedin.com/ad-library/detail/1458648354","Open Ad")</f>
        <v>Open Ad</v>
      </c>
      <c r="E4118" s="4" t="s">
        <v>78</v>
      </c>
      <c r="F4118" s="4" t="s">
        <v>6765</v>
      </c>
      <c r="G4118" s="4" t="s">
        <v>7035</v>
      </c>
      <c r="H4118" s="4" t="s">
        <v>49</v>
      </c>
      <c r="I4118" s="4" t="s">
        <v>7016</v>
      </c>
      <c r="J4118" s="4" t="s">
        <v>78</v>
      </c>
      <c r="K4118" s="7" t="str">
        <f t="shared" ref="K4118:K4119" si="430">HYPERLINK("https://media.licdn.com/dms/image/v2/D4E10AQEzBiIWRJhvlg/image-shrink_1280/B4EZ7PBmmsIcAg-/0/1781589764812/B1-C1B1-C2jpg?e=2147483647&amp;v=beta&amp;t=dJLRC4MZ_Khzio0RkH-Q67LXt6hP0DW9MkpDWtFRX7s","View Creative")</f>
        <v>View Creative</v>
      </c>
      <c r="L4118" s="4" t="s">
        <v>60</v>
      </c>
      <c r="M4118" s="4" t="s">
        <v>7013</v>
      </c>
      <c r="N4118" s="4" t="s">
        <v>7038</v>
      </c>
      <c r="O4118" s="4" t="s">
        <v>63</v>
      </c>
      <c r="P4118" s="4" t="s">
        <v>64</v>
      </c>
    </row>
    <row r="4119">
      <c r="A4119" s="4" t="s">
        <v>7013</v>
      </c>
      <c r="B4119" s="4" t="s">
        <v>7014</v>
      </c>
      <c r="C4119" s="4">
        <v>68.0</v>
      </c>
      <c r="D4119" s="5" t="str">
        <f t="shared" si="429"/>
        <v>Open Ad</v>
      </c>
      <c r="E4119" s="4" t="s">
        <v>78</v>
      </c>
      <c r="F4119" s="4" t="s">
        <v>6765</v>
      </c>
      <c r="G4119" s="4" t="s">
        <v>7035</v>
      </c>
      <c r="H4119" s="4" t="s">
        <v>49</v>
      </c>
      <c r="I4119" s="4" t="s">
        <v>7016</v>
      </c>
      <c r="J4119" s="4" t="s">
        <v>78</v>
      </c>
      <c r="K4119" s="7" t="str">
        <f t="shared" si="430"/>
        <v>View Creative</v>
      </c>
      <c r="L4119" s="4" t="s">
        <v>60</v>
      </c>
      <c r="M4119" s="4" t="s">
        <v>7013</v>
      </c>
      <c r="N4119" s="4" t="s">
        <v>7038</v>
      </c>
      <c r="O4119" s="4" t="s">
        <v>63</v>
      </c>
      <c r="P4119" s="4" t="s">
        <v>64</v>
      </c>
    </row>
    <row r="4120">
      <c r="A4120" s="4" t="s">
        <v>7013</v>
      </c>
      <c r="B4120" s="4" t="s">
        <v>7014</v>
      </c>
      <c r="C4120" s="4">
        <v>69.0</v>
      </c>
      <c r="D4120" s="5" t="str">
        <f t="shared" ref="D4120:D4121" si="431">HYPERLINK("https://www.linkedin.com/ad-library/detail/1458694054","Open Ad")</f>
        <v>Open Ad</v>
      </c>
      <c r="E4120" s="4" t="s">
        <v>78</v>
      </c>
      <c r="F4120" s="4" t="s">
        <v>6765</v>
      </c>
      <c r="G4120" s="4" t="s">
        <v>7024</v>
      </c>
      <c r="H4120" s="4" t="s">
        <v>49</v>
      </c>
      <c r="I4120" s="4" t="s">
        <v>7016</v>
      </c>
      <c r="J4120" s="4" t="s">
        <v>78</v>
      </c>
      <c r="K4120" s="7" t="str">
        <f t="shared" ref="K4120:K4121" si="432">HYPERLINK("https://media.licdn.com/dms/image/v2/D4E10AQE-9lDIBMB7ow/image-shrink_1280/B4EZ7PB6fVHkAc-/0/1781589846302/A3-C3jpg?e=2147483647&amp;v=beta&amp;t=VzXZ0xKb8Cn-eOV6wgC2UKL8s8P_uVXnTsOkNB8-WY0","View Creative")</f>
        <v>View Creative</v>
      </c>
      <c r="L4120" s="4" t="s">
        <v>60</v>
      </c>
      <c r="M4120" s="4" t="s">
        <v>7013</v>
      </c>
      <c r="N4120" s="4" t="s">
        <v>7039</v>
      </c>
      <c r="O4120" s="4" t="s">
        <v>63</v>
      </c>
      <c r="P4120" s="4" t="s">
        <v>64</v>
      </c>
    </row>
    <row r="4121">
      <c r="A4121" s="4" t="s">
        <v>7013</v>
      </c>
      <c r="B4121" s="4" t="s">
        <v>7014</v>
      </c>
      <c r="C4121" s="4">
        <v>70.0</v>
      </c>
      <c r="D4121" s="5" t="str">
        <f t="shared" si="431"/>
        <v>Open Ad</v>
      </c>
      <c r="E4121" s="4" t="s">
        <v>78</v>
      </c>
      <c r="F4121" s="4" t="s">
        <v>6765</v>
      </c>
      <c r="G4121" s="4" t="s">
        <v>7024</v>
      </c>
      <c r="H4121" s="4" t="s">
        <v>49</v>
      </c>
      <c r="I4121" s="4" t="s">
        <v>7016</v>
      </c>
      <c r="J4121" s="4" t="s">
        <v>78</v>
      </c>
      <c r="K4121" s="7" t="str">
        <f t="shared" si="432"/>
        <v>View Creative</v>
      </c>
      <c r="L4121" s="4" t="s">
        <v>60</v>
      </c>
      <c r="M4121" s="4" t="s">
        <v>7013</v>
      </c>
      <c r="N4121" s="4" t="s">
        <v>7039</v>
      </c>
      <c r="O4121" s="4" t="s">
        <v>63</v>
      </c>
      <c r="P4121" s="4" t="s">
        <v>64</v>
      </c>
    </row>
    <row r="4122">
      <c r="A4122" s="4" t="s">
        <v>7013</v>
      </c>
      <c r="B4122" s="4" t="s">
        <v>7014</v>
      </c>
      <c r="C4122" s="4">
        <v>71.0</v>
      </c>
      <c r="D4122" s="5" t="str">
        <f t="shared" ref="D4122:D4123" si="433">HYPERLINK("https://www.linkedin.com/ad-library/detail/1458757714","Open Ad")</f>
        <v>Open Ad</v>
      </c>
      <c r="E4122" s="4" t="s">
        <v>78</v>
      </c>
      <c r="F4122" s="4" t="s">
        <v>6765</v>
      </c>
      <c r="G4122" s="4" t="s">
        <v>7032</v>
      </c>
      <c r="H4122" s="4" t="s">
        <v>49</v>
      </c>
      <c r="I4122" s="4" t="s">
        <v>7016</v>
      </c>
      <c r="J4122" s="4" t="s">
        <v>78</v>
      </c>
      <c r="K4122" s="7" t="str">
        <f t="shared" ref="K4122:K4123" si="434">HYPERLINK("https://media.licdn.com/dms/image/v2/D4E10AQHSAAAf506Y2g/image-shrink_1280/B4EZ7PBpgcJYAc-/0/1781589776758/B1-C1B1-C2jpg?e=2147483647&amp;v=beta&amp;t=kV0bdf50OmBqVi4j6BFJ1WNqYLzEWf-hvx95hn9cfIU","View Creative")</f>
        <v>View Creative</v>
      </c>
      <c r="L4122" s="4" t="s">
        <v>60</v>
      </c>
      <c r="M4122" s="4" t="s">
        <v>7013</v>
      </c>
      <c r="N4122" s="4" t="s">
        <v>7038</v>
      </c>
      <c r="O4122" s="4" t="s">
        <v>63</v>
      </c>
      <c r="P4122" s="4" t="s">
        <v>64</v>
      </c>
    </row>
    <row r="4123">
      <c r="A4123" s="4" t="s">
        <v>7013</v>
      </c>
      <c r="B4123" s="4" t="s">
        <v>7014</v>
      </c>
      <c r="C4123" s="4">
        <v>72.0</v>
      </c>
      <c r="D4123" s="5" t="str">
        <f t="shared" si="433"/>
        <v>Open Ad</v>
      </c>
      <c r="E4123" s="4" t="s">
        <v>78</v>
      </c>
      <c r="F4123" s="4" t="s">
        <v>6765</v>
      </c>
      <c r="G4123" s="4" t="s">
        <v>7032</v>
      </c>
      <c r="H4123" s="4" t="s">
        <v>49</v>
      </c>
      <c r="I4123" s="4" t="s">
        <v>7016</v>
      </c>
      <c r="J4123" s="4" t="s">
        <v>78</v>
      </c>
      <c r="K4123" s="7" t="str">
        <f t="shared" si="434"/>
        <v>View Creative</v>
      </c>
      <c r="L4123" s="4" t="s">
        <v>60</v>
      </c>
      <c r="M4123" s="4" t="s">
        <v>7013</v>
      </c>
      <c r="N4123" s="4" t="s">
        <v>7038</v>
      </c>
      <c r="O4123" s="4" t="s">
        <v>63</v>
      </c>
      <c r="P4123" s="4" t="s">
        <v>64</v>
      </c>
    </row>
    <row r="4124">
      <c r="A4124" s="4" t="s">
        <v>7013</v>
      </c>
      <c r="B4124" s="4" t="s">
        <v>7014</v>
      </c>
      <c r="C4124" s="4">
        <v>73.0</v>
      </c>
      <c r="D4124" s="5" t="str">
        <f t="shared" ref="D4124:D4125" si="435">HYPERLINK("https://www.linkedin.com/ad-library/detail/1458757704","Open Ad")</f>
        <v>Open Ad</v>
      </c>
      <c r="E4124" s="4" t="s">
        <v>78</v>
      </c>
      <c r="F4124" s="4" t="s">
        <v>6765</v>
      </c>
      <c r="G4124" s="4" t="s">
        <v>7041</v>
      </c>
      <c r="H4124" s="4" t="s">
        <v>49</v>
      </c>
      <c r="I4124" s="4" t="s">
        <v>7016</v>
      </c>
      <c r="J4124" s="4" t="s">
        <v>78</v>
      </c>
      <c r="K4124" s="7" t="str">
        <f t="shared" ref="K4124:K4125" si="436">HYPERLINK("https://media.licdn.com/dms/image/v2/D4E10AQHMra8bcCHO0A/image-shrink_1280/B4EZ7PB9xfJgAc-/0/1781589859722/A3-C4jpg?e=2147483647&amp;v=beta&amp;t=nCAppK4YstfRrJE6gsQvbsQ_Vn64cbuwRRghD0DqzSQ","View Creative")</f>
        <v>View Creative</v>
      </c>
      <c r="L4124" s="4" t="s">
        <v>60</v>
      </c>
      <c r="M4124" s="4" t="s">
        <v>7013</v>
      </c>
      <c r="N4124" s="4" t="s">
        <v>7038</v>
      </c>
      <c r="O4124" s="4" t="s">
        <v>63</v>
      </c>
      <c r="P4124" s="4" t="s">
        <v>64</v>
      </c>
    </row>
    <row r="4125">
      <c r="A4125" s="4" t="s">
        <v>7013</v>
      </c>
      <c r="B4125" s="4" t="s">
        <v>7014</v>
      </c>
      <c r="C4125" s="4">
        <v>74.0</v>
      </c>
      <c r="D4125" s="5" t="str">
        <f t="shared" si="435"/>
        <v>Open Ad</v>
      </c>
      <c r="E4125" s="4" t="s">
        <v>78</v>
      </c>
      <c r="F4125" s="4" t="s">
        <v>6765</v>
      </c>
      <c r="G4125" s="4" t="s">
        <v>7041</v>
      </c>
      <c r="H4125" s="4" t="s">
        <v>49</v>
      </c>
      <c r="I4125" s="4" t="s">
        <v>7016</v>
      </c>
      <c r="J4125" s="4" t="s">
        <v>78</v>
      </c>
      <c r="K4125" s="7" t="str">
        <f t="shared" si="436"/>
        <v>View Creative</v>
      </c>
      <c r="L4125" s="4" t="s">
        <v>60</v>
      </c>
      <c r="M4125" s="4" t="s">
        <v>7013</v>
      </c>
      <c r="N4125" s="4" t="s">
        <v>7038</v>
      </c>
      <c r="O4125" s="4" t="s">
        <v>63</v>
      </c>
      <c r="P4125" s="4" t="s">
        <v>64</v>
      </c>
    </row>
    <row r="4126">
      <c r="A4126" s="4" t="s">
        <v>7013</v>
      </c>
      <c r="B4126" s="4" t="s">
        <v>7014</v>
      </c>
      <c r="C4126" s="4">
        <v>75.0</v>
      </c>
      <c r="D4126" s="5" t="str">
        <f t="shared" ref="D4126:D4127" si="437">HYPERLINK("https://www.linkedin.com/ad-library/detail/1458738494","Open Ad")</f>
        <v>Open Ad</v>
      </c>
      <c r="E4126" s="4" t="s">
        <v>78</v>
      </c>
      <c r="F4126" s="4" t="s">
        <v>6765</v>
      </c>
      <c r="G4126" s="4" t="s">
        <v>7043</v>
      </c>
      <c r="H4126" s="4" t="s">
        <v>49</v>
      </c>
      <c r="I4126" s="4" t="s">
        <v>7016</v>
      </c>
      <c r="J4126" s="4" t="s">
        <v>78</v>
      </c>
      <c r="K4126" s="7" t="str">
        <f t="shared" ref="K4126:K4127" si="438">HYPERLINK("https://media.licdn.com/dms/image/v2/D4E10AQH5erc-NuEEKQ/image-shrink_1280/B4EZ7PA_r0JMAc-/0/1781589605441/A2-C2jpg?e=2147483647&amp;v=beta&amp;t=sPrbyOYJTOjJb56F-cYbGQFpzyWZ2jHq64xjz8NHl8A","View Creative")</f>
        <v>View Creative</v>
      </c>
      <c r="L4126" s="4" t="s">
        <v>60</v>
      </c>
      <c r="M4126" s="4" t="s">
        <v>7013</v>
      </c>
      <c r="N4126" s="4" t="s">
        <v>7038</v>
      </c>
      <c r="O4126" s="4" t="s">
        <v>63</v>
      </c>
      <c r="P4126" s="4" t="s">
        <v>64</v>
      </c>
    </row>
    <row r="4127">
      <c r="A4127" s="4" t="s">
        <v>7013</v>
      </c>
      <c r="B4127" s="4" t="s">
        <v>7014</v>
      </c>
      <c r="C4127" s="4">
        <v>76.0</v>
      </c>
      <c r="D4127" s="5" t="str">
        <f t="shared" si="437"/>
        <v>Open Ad</v>
      </c>
      <c r="E4127" s="4" t="s">
        <v>78</v>
      </c>
      <c r="F4127" s="4" t="s">
        <v>6765</v>
      </c>
      <c r="G4127" s="4" t="s">
        <v>7043</v>
      </c>
      <c r="H4127" s="4" t="s">
        <v>49</v>
      </c>
      <c r="I4127" s="4" t="s">
        <v>7016</v>
      </c>
      <c r="J4127" s="4" t="s">
        <v>78</v>
      </c>
      <c r="K4127" s="7" t="str">
        <f t="shared" si="438"/>
        <v>View Creative</v>
      </c>
      <c r="L4127" s="4" t="s">
        <v>60</v>
      </c>
      <c r="M4127" s="4" t="s">
        <v>7013</v>
      </c>
      <c r="N4127" s="4" t="s">
        <v>7038</v>
      </c>
      <c r="O4127" s="4" t="s">
        <v>63</v>
      </c>
      <c r="P4127" s="4" t="s">
        <v>64</v>
      </c>
    </row>
    <row r="4128">
      <c r="A4128" s="4" t="s">
        <v>7013</v>
      </c>
      <c r="B4128" s="4" t="s">
        <v>7014</v>
      </c>
      <c r="C4128" s="4">
        <v>77.0</v>
      </c>
      <c r="D4128" s="5" t="str">
        <f t="shared" ref="D4128:D4129" si="439">HYPERLINK("https://www.linkedin.com/ad-library/detail/1458678174","Open Ad")</f>
        <v>Open Ad</v>
      </c>
      <c r="E4128" s="4" t="s">
        <v>78</v>
      </c>
      <c r="F4128" s="4" t="s">
        <v>6765</v>
      </c>
      <c r="G4128" s="4" t="s">
        <v>7018</v>
      </c>
      <c r="H4128" s="4" t="s">
        <v>49</v>
      </c>
      <c r="I4128" s="4" t="s">
        <v>7016</v>
      </c>
      <c r="J4128" s="4" t="s">
        <v>78</v>
      </c>
      <c r="K4128" s="7" t="str">
        <f t="shared" ref="K4128:K4129" si="440">HYPERLINK("https://media.licdn.com/dms/image/v2/D4E10AQFAWEb03BKmkQ/image-shrink_1280/B4EZ7PBRrnJYAc-/0/1781589679153/A2-C51jpg?e=2147483647&amp;v=beta&amp;t=29yYRCvE0Xy_c8MdBNhs9SEpNJJYeiwz0ANimtFoYmo","View Creative")</f>
        <v>View Creative</v>
      </c>
      <c r="L4128" s="4" t="s">
        <v>60</v>
      </c>
      <c r="M4128" s="4" t="s">
        <v>7013</v>
      </c>
      <c r="N4128" s="4" t="s">
        <v>7038</v>
      </c>
      <c r="O4128" s="4" t="s">
        <v>63</v>
      </c>
      <c r="P4128" s="4" t="s">
        <v>64</v>
      </c>
    </row>
    <row r="4129">
      <c r="A4129" s="4" t="s">
        <v>7013</v>
      </c>
      <c r="B4129" s="4" t="s">
        <v>7014</v>
      </c>
      <c r="C4129" s="4">
        <v>78.0</v>
      </c>
      <c r="D4129" s="5" t="str">
        <f t="shared" si="439"/>
        <v>Open Ad</v>
      </c>
      <c r="E4129" s="4" t="s">
        <v>78</v>
      </c>
      <c r="F4129" s="4" t="s">
        <v>6765</v>
      </c>
      <c r="G4129" s="4" t="s">
        <v>7018</v>
      </c>
      <c r="H4129" s="4" t="s">
        <v>49</v>
      </c>
      <c r="I4129" s="4" t="s">
        <v>7016</v>
      </c>
      <c r="J4129" s="4" t="s">
        <v>78</v>
      </c>
      <c r="K4129" s="7" t="str">
        <f t="shared" si="440"/>
        <v>View Creative</v>
      </c>
      <c r="L4129" s="4" t="s">
        <v>60</v>
      </c>
      <c r="M4129" s="4" t="s">
        <v>7013</v>
      </c>
      <c r="N4129" s="4" t="s">
        <v>7038</v>
      </c>
      <c r="O4129" s="4" t="s">
        <v>63</v>
      </c>
      <c r="P4129" s="4" t="s">
        <v>64</v>
      </c>
    </row>
    <row r="4130">
      <c r="A4130" s="4" t="s">
        <v>7013</v>
      </c>
      <c r="B4130" s="4" t="s">
        <v>7014</v>
      </c>
      <c r="C4130" s="4">
        <v>79.0</v>
      </c>
      <c r="D4130" s="5" t="str">
        <f t="shared" ref="D4130:D4131" si="441">HYPERLINK("https://www.linkedin.com/ad-library/detail/1458668644","Open Ad")</f>
        <v>Open Ad</v>
      </c>
      <c r="E4130" s="4" t="s">
        <v>78</v>
      </c>
      <c r="F4130" s="4" t="s">
        <v>6765</v>
      </c>
      <c r="G4130" s="8" t="s">
        <v>7033</v>
      </c>
      <c r="H4130" s="4" t="s">
        <v>49</v>
      </c>
      <c r="I4130" s="4" t="s">
        <v>7016</v>
      </c>
      <c r="J4130" s="4" t="s">
        <v>78</v>
      </c>
      <c r="K4130" s="7" t="str">
        <f t="shared" ref="K4130:K4131" si="442">HYPERLINK("https://media.licdn.com/dms/image/v2/D4E10AQEtxr4fqT8NfQ/image-shrink_1280/B4EZ7PB3YvHMAc-/0/1781589833590/A3-C2jpg?e=2147483647&amp;v=beta&amp;t=AjlKWqgFYZfgDAV3dSPU-C_p1yWfgHI_ZLz-ENvzT4s","View Creative")</f>
        <v>View Creative</v>
      </c>
      <c r="L4130" s="4" t="s">
        <v>60</v>
      </c>
      <c r="M4130" s="4" t="s">
        <v>7013</v>
      </c>
      <c r="N4130" s="4" t="s">
        <v>7038</v>
      </c>
      <c r="O4130" s="4" t="s">
        <v>63</v>
      </c>
      <c r="P4130" s="4" t="s">
        <v>64</v>
      </c>
    </row>
    <row r="4131">
      <c r="A4131" s="4" t="s">
        <v>7013</v>
      </c>
      <c r="B4131" s="4" t="s">
        <v>7014</v>
      </c>
      <c r="C4131" s="4">
        <v>80.0</v>
      </c>
      <c r="D4131" s="5" t="str">
        <f t="shared" si="441"/>
        <v>Open Ad</v>
      </c>
      <c r="E4131" s="4" t="s">
        <v>78</v>
      </c>
      <c r="F4131" s="4" t="s">
        <v>6765</v>
      </c>
      <c r="G4131" s="8" t="s">
        <v>7033</v>
      </c>
      <c r="H4131" s="4" t="s">
        <v>49</v>
      </c>
      <c r="I4131" s="4" t="s">
        <v>7016</v>
      </c>
      <c r="J4131" s="4" t="s">
        <v>78</v>
      </c>
      <c r="K4131" s="7" t="str">
        <f t="shared" si="442"/>
        <v>View Creative</v>
      </c>
      <c r="L4131" s="4" t="s">
        <v>60</v>
      </c>
      <c r="M4131" s="4" t="s">
        <v>7013</v>
      </c>
      <c r="N4131" s="4" t="s">
        <v>7038</v>
      </c>
      <c r="O4131" s="4" t="s">
        <v>63</v>
      </c>
      <c r="P4131" s="4" t="s">
        <v>64</v>
      </c>
    </row>
    <row r="4132">
      <c r="A4132" s="4" t="s">
        <v>7013</v>
      </c>
      <c r="B4132" s="4" t="s">
        <v>7014</v>
      </c>
      <c r="C4132" s="4">
        <v>81.0</v>
      </c>
      <c r="D4132" s="5" t="str">
        <f t="shared" ref="D4132:D4133" si="443">HYPERLINK("https://www.linkedin.com/ad-library/detail/1458847224","Open Ad")</f>
        <v>Open Ad</v>
      </c>
      <c r="E4132" s="4" t="s">
        <v>78</v>
      </c>
      <c r="F4132" s="4" t="s">
        <v>6765</v>
      </c>
      <c r="G4132" s="4" t="s">
        <v>7015</v>
      </c>
      <c r="H4132" s="4" t="s">
        <v>49</v>
      </c>
      <c r="I4132" s="4" t="s">
        <v>7016</v>
      </c>
      <c r="J4132" s="4" t="s">
        <v>78</v>
      </c>
      <c r="K4132" s="7" t="str">
        <f t="shared" ref="K4132:K4133" si="444">HYPERLINK("https://media.licdn.com/dms/image/v2/D4E10AQH3OzCdZHf2Rg/image-shrink_1280/B4EZ7PAtc6HsAc-/0/1781589530762/A1-C2jpg?e=2147483647&amp;v=beta&amp;t=jvEEtQo8Ew8RgeBlebDqOzIFj4JMGRWuQ9VpaUwXuGc","View Creative")</f>
        <v>View Creative</v>
      </c>
      <c r="L4132" s="4" t="s">
        <v>60</v>
      </c>
      <c r="M4132" s="4" t="s">
        <v>7013</v>
      </c>
      <c r="N4132" s="4" t="s">
        <v>7038</v>
      </c>
      <c r="O4132" s="4" t="s">
        <v>63</v>
      </c>
      <c r="P4132" s="4" t="s">
        <v>64</v>
      </c>
    </row>
    <row r="4133">
      <c r="A4133" s="4" t="s">
        <v>7013</v>
      </c>
      <c r="B4133" s="4" t="s">
        <v>7014</v>
      </c>
      <c r="C4133" s="4">
        <v>82.0</v>
      </c>
      <c r="D4133" s="5" t="str">
        <f t="shared" si="443"/>
        <v>Open Ad</v>
      </c>
      <c r="E4133" s="4" t="s">
        <v>78</v>
      </c>
      <c r="F4133" s="4" t="s">
        <v>6765</v>
      </c>
      <c r="G4133" s="4" t="s">
        <v>7015</v>
      </c>
      <c r="H4133" s="4" t="s">
        <v>49</v>
      </c>
      <c r="I4133" s="4" t="s">
        <v>7016</v>
      </c>
      <c r="J4133" s="4" t="s">
        <v>78</v>
      </c>
      <c r="K4133" s="7" t="str">
        <f t="shared" si="444"/>
        <v>View Creative</v>
      </c>
      <c r="L4133" s="4" t="s">
        <v>60</v>
      </c>
      <c r="M4133" s="4" t="s">
        <v>7013</v>
      </c>
      <c r="N4133" s="4" t="s">
        <v>7038</v>
      </c>
      <c r="O4133" s="4" t="s">
        <v>63</v>
      </c>
      <c r="P4133" s="4" t="s">
        <v>64</v>
      </c>
    </row>
    <row r="4134">
      <c r="A4134" s="4" t="s">
        <v>7013</v>
      </c>
      <c r="B4134" s="4" t="s">
        <v>7014</v>
      </c>
      <c r="C4134" s="4">
        <v>83.0</v>
      </c>
      <c r="D4134" s="5" t="str">
        <f t="shared" ref="D4134:D4135" si="445">HYPERLINK("https://www.linkedin.com/ad-library/detail/1458713784","Open Ad")</f>
        <v>Open Ad</v>
      </c>
      <c r="E4134" s="4" t="s">
        <v>78</v>
      </c>
      <c r="F4134" s="4" t="s">
        <v>6765</v>
      </c>
      <c r="G4134" s="4" t="s">
        <v>7043</v>
      </c>
      <c r="H4134" s="4" t="s">
        <v>49</v>
      </c>
      <c r="I4134" s="4" t="s">
        <v>7016</v>
      </c>
      <c r="J4134" s="4" t="s">
        <v>78</v>
      </c>
      <c r="K4134" s="7" t="str">
        <f t="shared" ref="K4134:K4135" si="446">HYPERLINK("https://media.licdn.com/dms/image/v2/D4E10AQH5erc-NuEEKQ/image-shrink_1280/B4EZ7PA_r0JMAc-/0/1781589605441/A2-C2jpg?e=2147483647&amp;v=beta&amp;t=sPrbyOYJTOjJb56F-cYbGQFpzyWZ2jHq64xjz8NHl8A","View Creative")</f>
        <v>View Creative</v>
      </c>
      <c r="L4134" s="4" t="s">
        <v>60</v>
      </c>
      <c r="M4134" s="4" t="s">
        <v>7013</v>
      </c>
      <c r="N4134" s="4" t="s">
        <v>7040</v>
      </c>
      <c r="O4134" s="4" t="s">
        <v>63</v>
      </c>
      <c r="P4134" s="4" t="s">
        <v>64</v>
      </c>
    </row>
    <row r="4135">
      <c r="A4135" s="4" t="s">
        <v>7013</v>
      </c>
      <c r="B4135" s="4" t="s">
        <v>7014</v>
      </c>
      <c r="C4135" s="4">
        <v>84.0</v>
      </c>
      <c r="D4135" s="5" t="str">
        <f t="shared" si="445"/>
        <v>Open Ad</v>
      </c>
      <c r="E4135" s="4" t="s">
        <v>78</v>
      </c>
      <c r="F4135" s="4" t="s">
        <v>6765</v>
      </c>
      <c r="G4135" s="4" t="s">
        <v>7043</v>
      </c>
      <c r="H4135" s="4" t="s">
        <v>49</v>
      </c>
      <c r="I4135" s="4" t="s">
        <v>7016</v>
      </c>
      <c r="J4135" s="4" t="s">
        <v>78</v>
      </c>
      <c r="K4135" s="7" t="str">
        <f t="shared" si="446"/>
        <v>View Creative</v>
      </c>
      <c r="L4135" s="4" t="s">
        <v>60</v>
      </c>
      <c r="M4135" s="4" t="s">
        <v>7013</v>
      </c>
      <c r="N4135" s="4" t="s">
        <v>7040</v>
      </c>
      <c r="O4135" s="4" t="s">
        <v>63</v>
      </c>
      <c r="P4135" s="4" t="s">
        <v>64</v>
      </c>
    </row>
    <row r="4136">
      <c r="A4136" s="4" t="s">
        <v>7013</v>
      </c>
      <c r="B4136" s="4" t="s">
        <v>7014</v>
      </c>
      <c r="C4136" s="4">
        <v>85.0</v>
      </c>
      <c r="D4136" s="5" t="str">
        <f t="shared" ref="D4136:D4137" si="447">HYPERLINK("https://www.linkedin.com/ad-library/detail/1458648324","Open Ad")</f>
        <v>Open Ad</v>
      </c>
      <c r="E4136" s="4" t="s">
        <v>78</v>
      </c>
      <c r="F4136" s="4" t="s">
        <v>6765</v>
      </c>
      <c r="G4136" s="4" t="s">
        <v>7044</v>
      </c>
      <c r="H4136" s="4" t="s">
        <v>49</v>
      </c>
      <c r="I4136" s="4" t="s">
        <v>7016</v>
      </c>
      <c r="J4136" s="4" t="s">
        <v>78</v>
      </c>
      <c r="K4136" s="7" t="str">
        <f t="shared" ref="K4136:K4137" si="448">HYPERLINK("https://media.licdn.com/dms/image/v2/D4E10AQGrpDCaK6FnSw/image-shrink_1280/B4EZ7PA8SFKwAc-/0/1781589591488/A2-C1jpg?e=2147483647&amp;v=beta&amp;t=CD7sAzsJi4BrhyeJe2LdRZ2uzTXkLNtfFX3hvNtbosQ","View Creative")</f>
        <v>View Creative</v>
      </c>
      <c r="L4136" s="4" t="s">
        <v>60</v>
      </c>
      <c r="M4136" s="4" t="s">
        <v>7013</v>
      </c>
      <c r="N4136" s="4" t="s">
        <v>7038</v>
      </c>
      <c r="O4136" s="4" t="s">
        <v>63</v>
      </c>
      <c r="P4136" s="4" t="s">
        <v>64</v>
      </c>
    </row>
    <row r="4137">
      <c r="A4137" s="4" t="s">
        <v>7013</v>
      </c>
      <c r="B4137" s="4" t="s">
        <v>7014</v>
      </c>
      <c r="C4137" s="4">
        <v>86.0</v>
      </c>
      <c r="D4137" s="5" t="str">
        <f t="shared" si="447"/>
        <v>Open Ad</v>
      </c>
      <c r="E4137" s="4" t="s">
        <v>78</v>
      </c>
      <c r="F4137" s="4" t="s">
        <v>6765</v>
      </c>
      <c r="G4137" s="4" t="s">
        <v>7044</v>
      </c>
      <c r="H4137" s="4" t="s">
        <v>49</v>
      </c>
      <c r="I4137" s="4" t="s">
        <v>7016</v>
      </c>
      <c r="J4137" s="4" t="s">
        <v>78</v>
      </c>
      <c r="K4137" s="7" t="str">
        <f t="shared" si="448"/>
        <v>View Creative</v>
      </c>
      <c r="L4137" s="4" t="s">
        <v>60</v>
      </c>
      <c r="M4137" s="4" t="s">
        <v>7013</v>
      </c>
      <c r="N4137" s="4" t="s">
        <v>7038</v>
      </c>
      <c r="O4137" s="4" t="s">
        <v>63</v>
      </c>
      <c r="P4137" s="4" t="s">
        <v>64</v>
      </c>
    </row>
    <row r="4138">
      <c r="A4138" s="4" t="s">
        <v>7013</v>
      </c>
      <c r="B4138" s="4" t="s">
        <v>7014</v>
      </c>
      <c r="C4138" s="4">
        <v>87.0</v>
      </c>
      <c r="D4138" s="5" t="str">
        <f t="shared" ref="D4138:D4139" si="449">HYPERLINK("https://www.linkedin.com/ad-library/detail/1458777834","Open Ad")</f>
        <v>Open Ad</v>
      </c>
      <c r="E4138" s="4" t="s">
        <v>78</v>
      </c>
      <c r="F4138" s="4" t="s">
        <v>6765</v>
      </c>
      <c r="G4138" s="4" t="s">
        <v>7027</v>
      </c>
      <c r="H4138" s="4" t="s">
        <v>49</v>
      </c>
      <c r="I4138" s="4" t="s">
        <v>7016</v>
      </c>
      <c r="J4138" s="4" t="s">
        <v>78</v>
      </c>
      <c r="K4138" s="7" t="str">
        <f t="shared" ref="K4138:K4139" si="450">HYPERLINK("https://media.licdn.com/dms/image/v2/D4E10AQFefpbzB6Wrnw/image-shrink_1280/B4EZ7PCAamJYAc-/0/1781589870601/A3-C5jpg?e=2147483647&amp;v=beta&amp;t=LtNfPNfoiA2rJgVNC5pKv8gEDmKG_4iO3tCU_G77JNQ","View Creative")</f>
        <v>View Creative</v>
      </c>
      <c r="L4138" s="4" t="s">
        <v>60</v>
      </c>
      <c r="M4138" s="4" t="s">
        <v>7013</v>
      </c>
      <c r="N4138" s="4" t="s">
        <v>7038</v>
      </c>
      <c r="O4138" s="4" t="s">
        <v>63</v>
      </c>
      <c r="P4138" s="4" t="s">
        <v>64</v>
      </c>
    </row>
    <row r="4139">
      <c r="A4139" s="4" t="s">
        <v>7013</v>
      </c>
      <c r="B4139" s="4" t="s">
        <v>7014</v>
      </c>
      <c r="C4139" s="4">
        <v>88.0</v>
      </c>
      <c r="D4139" s="5" t="str">
        <f t="shared" si="449"/>
        <v>Open Ad</v>
      </c>
      <c r="E4139" s="4" t="s">
        <v>78</v>
      </c>
      <c r="F4139" s="4" t="s">
        <v>6765</v>
      </c>
      <c r="G4139" s="4" t="s">
        <v>7027</v>
      </c>
      <c r="H4139" s="4" t="s">
        <v>49</v>
      </c>
      <c r="I4139" s="4" t="s">
        <v>7016</v>
      </c>
      <c r="J4139" s="4" t="s">
        <v>78</v>
      </c>
      <c r="K4139" s="7" t="str">
        <f t="shared" si="450"/>
        <v>View Creative</v>
      </c>
      <c r="L4139" s="4" t="s">
        <v>60</v>
      </c>
      <c r="M4139" s="4" t="s">
        <v>7013</v>
      </c>
      <c r="N4139" s="4" t="s">
        <v>7038</v>
      </c>
      <c r="O4139" s="4" t="s">
        <v>63</v>
      </c>
      <c r="P4139" s="4" t="s">
        <v>64</v>
      </c>
    </row>
    <row r="4140">
      <c r="A4140" s="4" t="s">
        <v>7013</v>
      </c>
      <c r="B4140" s="4" t="s">
        <v>7014</v>
      </c>
      <c r="C4140" s="4">
        <v>89.0</v>
      </c>
      <c r="D4140" s="5" t="str">
        <f t="shared" ref="D4140:D4141" si="451">HYPERLINK("https://www.linkedin.com/ad-library/detail/1458698194","Open Ad")</f>
        <v>Open Ad</v>
      </c>
      <c r="E4140" s="4" t="s">
        <v>78</v>
      </c>
      <c r="F4140" s="4" t="s">
        <v>6765</v>
      </c>
      <c r="G4140" s="4" t="s">
        <v>7025</v>
      </c>
      <c r="H4140" s="4" t="s">
        <v>49</v>
      </c>
      <c r="I4140" s="4" t="s">
        <v>7016</v>
      </c>
      <c r="J4140" s="4" t="s">
        <v>78</v>
      </c>
      <c r="K4140" s="7" t="str">
        <f t="shared" ref="K4140:K4141" si="452">HYPERLINK("https://media.licdn.com/dms/image/v2/D4E10AQEsenA2dN72-Q/image-shrink_1280/B4EZ7PAqDDHwAc-/0/1781589516809/A1-C1jpg?e=2147483647&amp;v=beta&amp;t=OLJIKQzNXYF585Cu545nuOPmx2JH_ffgToA-fniP23U","View Creative")</f>
        <v>View Creative</v>
      </c>
      <c r="L4140" s="4" t="s">
        <v>60</v>
      </c>
      <c r="M4140" s="4" t="s">
        <v>7013</v>
      </c>
      <c r="N4140" s="4" t="s">
        <v>7038</v>
      </c>
      <c r="O4140" s="4" t="s">
        <v>63</v>
      </c>
      <c r="P4140" s="4" t="s">
        <v>64</v>
      </c>
    </row>
    <row r="4141">
      <c r="A4141" s="4" t="s">
        <v>7013</v>
      </c>
      <c r="B4141" s="4" t="s">
        <v>7014</v>
      </c>
      <c r="C4141" s="4">
        <v>90.0</v>
      </c>
      <c r="D4141" s="5" t="str">
        <f t="shared" si="451"/>
        <v>Open Ad</v>
      </c>
      <c r="E4141" s="4" t="s">
        <v>78</v>
      </c>
      <c r="F4141" s="4" t="s">
        <v>6765</v>
      </c>
      <c r="G4141" s="4" t="s">
        <v>7025</v>
      </c>
      <c r="H4141" s="4" t="s">
        <v>49</v>
      </c>
      <c r="I4141" s="4" t="s">
        <v>7016</v>
      </c>
      <c r="J4141" s="4" t="s">
        <v>78</v>
      </c>
      <c r="K4141" s="7" t="str">
        <f t="shared" si="452"/>
        <v>View Creative</v>
      </c>
      <c r="L4141" s="4" t="s">
        <v>60</v>
      </c>
      <c r="M4141" s="4" t="s">
        <v>7013</v>
      </c>
      <c r="N4141" s="4" t="s">
        <v>7038</v>
      </c>
      <c r="O4141" s="4" t="s">
        <v>63</v>
      </c>
      <c r="P4141" s="4" t="s">
        <v>64</v>
      </c>
    </row>
    <row r="4142">
      <c r="A4142" s="4" t="s">
        <v>7013</v>
      </c>
      <c r="B4142" s="4" t="s">
        <v>7014</v>
      </c>
      <c r="C4142" s="4">
        <v>91.0</v>
      </c>
      <c r="D4142" s="5" t="str">
        <f t="shared" ref="D4142:D4143" si="453">HYPERLINK("https://www.linkedin.com/ad-library/detail/1458832904","Open Ad")</f>
        <v>Open Ad</v>
      </c>
      <c r="E4142" s="4" t="s">
        <v>78</v>
      </c>
      <c r="F4142" s="4" t="s">
        <v>6765</v>
      </c>
      <c r="G4142" s="4" t="s">
        <v>7027</v>
      </c>
      <c r="H4142" s="4" t="s">
        <v>49</v>
      </c>
      <c r="I4142" s="4" t="s">
        <v>7016</v>
      </c>
      <c r="J4142" s="4" t="s">
        <v>78</v>
      </c>
      <c r="K4142" s="7" t="str">
        <f t="shared" ref="K4142:K4143" si="454">HYPERLINK("https://media.licdn.com/dms/image/v2/D4E10AQFefpbzB6Wrnw/image-shrink_1280/B4EZ7PCAamJYAc-/0/1781589870601/A3-C5jpg?e=2147483647&amp;v=beta&amp;t=LtNfPNfoiA2rJgVNC5pKv8gEDmKG_4iO3tCU_G77JNQ","View Creative")</f>
        <v>View Creative</v>
      </c>
      <c r="L4142" s="4" t="s">
        <v>60</v>
      </c>
      <c r="M4142" s="4" t="s">
        <v>7013</v>
      </c>
      <c r="N4142" s="4" t="s">
        <v>7045</v>
      </c>
      <c r="O4142" s="4" t="s">
        <v>63</v>
      </c>
      <c r="P4142" s="4" t="s">
        <v>64</v>
      </c>
    </row>
    <row r="4143">
      <c r="A4143" s="4" t="s">
        <v>7013</v>
      </c>
      <c r="B4143" s="4" t="s">
        <v>7014</v>
      </c>
      <c r="C4143" s="4">
        <v>92.0</v>
      </c>
      <c r="D4143" s="5" t="str">
        <f t="shared" si="453"/>
        <v>Open Ad</v>
      </c>
      <c r="E4143" s="4" t="s">
        <v>78</v>
      </c>
      <c r="F4143" s="4" t="s">
        <v>6765</v>
      </c>
      <c r="G4143" s="4" t="s">
        <v>7027</v>
      </c>
      <c r="H4143" s="4" t="s">
        <v>49</v>
      </c>
      <c r="I4143" s="4" t="s">
        <v>7016</v>
      </c>
      <c r="J4143" s="4" t="s">
        <v>78</v>
      </c>
      <c r="K4143" s="7" t="str">
        <f t="shared" si="454"/>
        <v>View Creative</v>
      </c>
      <c r="L4143" s="4" t="s">
        <v>60</v>
      </c>
      <c r="M4143" s="4" t="s">
        <v>7013</v>
      </c>
      <c r="N4143" s="4" t="s">
        <v>7045</v>
      </c>
      <c r="O4143" s="4" t="s">
        <v>63</v>
      </c>
      <c r="P4143" s="4" t="s">
        <v>64</v>
      </c>
    </row>
    <row r="4144">
      <c r="A4144" s="4" t="s">
        <v>7013</v>
      </c>
      <c r="B4144" s="4" t="s">
        <v>7014</v>
      </c>
      <c r="C4144" s="4">
        <v>93.0</v>
      </c>
      <c r="D4144" s="5" t="str">
        <f t="shared" ref="D4144:D4145" si="455">HYPERLINK("https://www.linkedin.com/ad-library/detail/1458827394","Open Ad")</f>
        <v>Open Ad</v>
      </c>
      <c r="E4144" s="4" t="s">
        <v>78</v>
      </c>
      <c r="F4144" s="4" t="s">
        <v>6765</v>
      </c>
      <c r="G4144" s="4" t="s">
        <v>7023</v>
      </c>
      <c r="H4144" s="4" t="s">
        <v>49</v>
      </c>
      <c r="I4144" s="4" t="s">
        <v>7016</v>
      </c>
      <c r="J4144" s="4" t="s">
        <v>78</v>
      </c>
      <c r="K4144" s="7" t="str">
        <f t="shared" ref="K4144:K4145" si="456">HYPERLINK("https://media.licdn.com/dms/image/v2/D4E10AQF2ktfInfNdRA/image-shrink_1280/B4EZ7PAwycKkAc-/0/1781589544471/A1-C3jpg?e=2147483647&amp;v=beta&amp;t=4ZB7lsD7pClowz17nBscZmQ9yX3zLhyBGjzU36FpmnA","View Creative")</f>
        <v>View Creative</v>
      </c>
      <c r="L4144" s="4" t="s">
        <v>60</v>
      </c>
      <c r="M4144" s="4" t="s">
        <v>7013</v>
      </c>
      <c r="N4144" s="4" t="s">
        <v>7038</v>
      </c>
      <c r="O4144" s="4" t="s">
        <v>63</v>
      </c>
      <c r="P4144" s="4" t="s">
        <v>64</v>
      </c>
    </row>
    <row r="4145">
      <c r="A4145" s="4" t="s">
        <v>7013</v>
      </c>
      <c r="B4145" s="4" t="s">
        <v>7014</v>
      </c>
      <c r="C4145" s="4">
        <v>94.0</v>
      </c>
      <c r="D4145" s="5" t="str">
        <f t="shared" si="455"/>
        <v>Open Ad</v>
      </c>
      <c r="E4145" s="4" t="s">
        <v>78</v>
      </c>
      <c r="F4145" s="4" t="s">
        <v>6765</v>
      </c>
      <c r="G4145" s="4" t="s">
        <v>7023</v>
      </c>
      <c r="H4145" s="4" t="s">
        <v>49</v>
      </c>
      <c r="I4145" s="4" t="s">
        <v>7016</v>
      </c>
      <c r="J4145" s="4" t="s">
        <v>78</v>
      </c>
      <c r="K4145" s="7" t="str">
        <f t="shared" si="456"/>
        <v>View Creative</v>
      </c>
      <c r="L4145" s="4" t="s">
        <v>60</v>
      </c>
      <c r="M4145" s="4" t="s">
        <v>7013</v>
      </c>
      <c r="N4145" s="4" t="s">
        <v>7038</v>
      </c>
      <c r="O4145" s="4" t="s">
        <v>63</v>
      </c>
      <c r="P4145" s="4" t="s">
        <v>64</v>
      </c>
    </row>
    <row r="4146">
      <c r="A4146" s="4" t="s">
        <v>7013</v>
      </c>
      <c r="B4146" s="4" t="s">
        <v>7014</v>
      </c>
      <c r="C4146" s="4">
        <v>95.0</v>
      </c>
      <c r="D4146" s="5" t="str">
        <f t="shared" ref="D4146:D4147" si="457">HYPERLINK("https://www.linkedin.com/ad-library/detail/1458832914","Open Ad")</f>
        <v>Open Ad</v>
      </c>
      <c r="E4146" s="4" t="s">
        <v>78</v>
      </c>
      <c r="F4146" s="4" t="s">
        <v>6765</v>
      </c>
      <c r="G4146" s="4" t="s">
        <v>7032</v>
      </c>
      <c r="H4146" s="4" t="s">
        <v>49</v>
      </c>
      <c r="I4146" s="4" t="s">
        <v>7016</v>
      </c>
      <c r="J4146" s="4" t="s">
        <v>78</v>
      </c>
      <c r="K4146" s="7" t="str">
        <f t="shared" ref="K4146:K4147" si="458">HYPERLINK("https://media.licdn.com/dms/image/v2/D4E10AQHSAAAf506Y2g/image-shrink_1280/B4EZ7PBpgcJYAc-/0/1781589776758/B1-C1B1-C2jpg?e=2147483647&amp;v=beta&amp;t=kV0bdf50OmBqVi4j6BFJ1WNqYLzEWf-hvx95hn9cfIU","View Creative")</f>
        <v>View Creative</v>
      </c>
      <c r="L4146" s="4" t="s">
        <v>60</v>
      </c>
      <c r="M4146" s="4" t="s">
        <v>7013</v>
      </c>
      <c r="N4146" s="4" t="s">
        <v>7040</v>
      </c>
      <c r="O4146" s="4" t="s">
        <v>63</v>
      </c>
      <c r="P4146" s="4" t="s">
        <v>64</v>
      </c>
    </row>
    <row r="4147">
      <c r="A4147" s="4" t="s">
        <v>7013</v>
      </c>
      <c r="B4147" s="4" t="s">
        <v>7014</v>
      </c>
      <c r="C4147" s="4">
        <v>96.0</v>
      </c>
      <c r="D4147" s="5" t="str">
        <f t="shared" si="457"/>
        <v>Open Ad</v>
      </c>
      <c r="E4147" s="4" t="s">
        <v>78</v>
      </c>
      <c r="F4147" s="4" t="s">
        <v>6765</v>
      </c>
      <c r="G4147" s="4" t="s">
        <v>7032</v>
      </c>
      <c r="H4147" s="4" t="s">
        <v>49</v>
      </c>
      <c r="I4147" s="4" t="s">
        <v>7016</v>
      </c>
      <c r="J4147" s="4" t="s">
        <v>78</v>
      </c>
      <c r="K4147" s="7" t="str">
        <f t="shared" si="458"/>
        <v>View Creative</v>
      </c>
      <c r="L4147" s="4" t="s">
        <v>60</v>
      </c>
      <c r="M4147" s="4" t="s">
        <v>7013</v>
      </c>
      <c r="N4147" s="4" t="s">
        <v>7040</v>
      </c>
      <c r="O4147" s="4" t="s">
        <v>63</v>
      </c>
      <c r="P4147" s="4" t="s">
        <v>64</v>
      </c>
    </row>
    <row r="4148">
      <c r="A4148" s="4" t="s">
        <v>7013</v>
      </c>
      <c r="B4148" s="4" t="s">
        <v>7014</v>
      </c>
      <c r="C4148" s="4">
        <v>97.0</v>
      </c>
      <c r="D4148" s="5" t="str">
        <f t="shared" ref="D4148:D4149" si="459">HYPERLINK("https://www.linkedin.com/ad-library/detail/1457588714","Open Ad")</f>
        <v>Open Ad</v>
      </c>
      <c r="E4148" s="4" t="s">
        <v>78</v>
      </c>
      <c r="F4148" s="4" t="s">
        <v>6765</v>
      </c>
      <c r="G4148" s="4" t="s">
        <v>7015</v>
      </c>
      <c r="H4148" s="4" t="s">
        <v>49</v>
      </c>
      <c r="I4148" s="4" t="s">
        <v>7016</v>
      </c>
      <c r="J4148" s="4" t="s">
        <v>78</v>
      </c>
      <c r="K4148" s="7" t="str">
        <f t="shared" ref="K4148:K4149" si="460">HYPERLINK("https://media.licdn.com/dms/image/v2/D4E10AQH3OzCdZHf2Rg/image-shrink_1280/B4EZ7PAtc6HsAc-/0/1781589530762/A1-C2jpg?e=2147483647&amp;v=beta&amp;t=jvEEtQo8Ew8RgeBlebDqOzIFj4JMGRWuQ9VpaUwXuGc","View Creative")</f>
        <v>View Creative</v>
      </c>
      <c r="L4148" s="4" t="s">
        <v>60</v>
      </c>
      <c r="M4148" s="4" t="s">
        <v>7013</v>
      </c>
      <c r="N4148" s="4" t="s">
        <v>7046</v>
      </c>
      <c r="O4148" s="4" t="s">
        <v>63</v>
      </c>
      <c r="P4148" s="4" t="s">
        <v>64</v>
      </c>
    </row>
    <row r="4149">
      <c r="A4149" s="4" t="s">
        <v>7013</v>
      </c>
      <c r="B4149" s="4" t="s">
        <v>7014</v>
      </c>
      <c r="C4149" s="4">
        <v>98.0</v>
      </c>
      <c r="D4149" s="5" t="str">
        <f t="shared" si="459"/>
        <v>Open Ad</v>
      </c>
      <c r="E4149" s="4" t="s">
        <v>78</v>
      </c>
      <c r="F4149" s="4" t="s">
        <v>6765</v>
      </c>
      <c r="G4149" s="4" t="s">
        <v>7015</v>
      </c>
      <c r="H4149" s="4" t="s">
        <v>49</v>
      </c>
      <c r="I4149" s="4" t="s">
        <v>7016</v>
      </c>
      <c r="J4149" s="4" t="s">
        <v>78</v>
      </c>
      <c r="K4149" s="7" t="str">
        <f t="shared" si="460"/>
        <v>View Creative</v>
      </c>
      <c r="L4149" s="4" t="s">
        <v>60</v>
      </c>
      <c r="M4149" s="4" t="s">
        <v>7013</v>
      </c>
      <c r="N4149" s="4" t="s">
        <v>7046</v>
      </c>
      <c r="O4149" s="4" t="s">
        <v>63</v>
      </c>
      <c r="P4149" s="4" t="s">
        <v>64</v>
      </c>
    </row>
    <row r="4150">
      <c r="A4150" s="4" t="s">
        <v>7013</v>
      </c>
      <c r="B4150" s="4" t="s">
        <v>7014</v>
      </c>
      <c r="C4150" s="4">
        <v>99.0</v>
      </c>
      <c r="D4150" s="5" t="str">
        <f t="shared" ref="D4150:D4153" si="461">HYPERLINK("https://www.linkedin.com/ad-library/detail/1445225834","Open Ad")</f>
        <v>Open Ad</v>
      </c>
      <c r="E4150" s="4" t="s">
        <v>52</v>
      </c>
      <c r="F4150" s="4" t="s">
        <v>6765</v>
      </c>
      <c r="G4150" s="4" t="s">
        <v>7047</v>
      </c>
      <c r="H4150" s="4" t="s">
        <v>49</v>
      </c>
      <c r="I4150" s="4" t="s">
        <v>7016</v>
      </c>
      <c r="J4150" s="4" t="s">
        <v>52</v>
      </c>
      <c r="K4150" s="4" t="s">
        <v>59</v>
      </c>
      <c r="L4150" s="4" t="s">
        <v>60</v>
      </c>
      <c r="M4150" s="4" t="s">
        <v>7013</v>
      </c>
      <c r="N4150" s="4" t="s">
        <v>7048</v>
      </c>
      <c r="O4150" s="4" t="s">
        <v>63</v>
      </c>
      <c r="P4150" s="4" t="s">
        <v>64</v>
      </c>
    </row>
    <row r="4151">
      <c r="A4151" s="4" t="s">
        <v>7013</v>
      </c>
      <c r="B4151" s="4" t="s">
        <v>7014</v>
      </c>
      <c r="C4151" s="4">
        <v>100.0</v>
      </c>
      <c r="D4151" s="5" t="str">
        <f t="shared" si="461"/>
        <v>Open Ad</v>
      </c>
      <c r="E4151" s="4" t="s">
        <v>52</v>
      </c>
      <c r="F4151" s="4" t="s">
        <v>6765</v>
      </c>
      <c r="G4151" s="4" t="s">
        <v>7047</v>
      </c>
      <c r="H4151" s="4" t="s">
        <v>49</v>
      </c>
      <c r="I4151" s="4" t="s">
        <v>7016</v>
      </c>
      <c r="J4151" s="4" t="s">
        <v>52</v>
      </c>
      <c r="K4151" s="4" t="s">
        <v>59</v>
      </c>
      <c r="L4151" s="4" t="s">
        <v>60</v>
      </c>
      <c r="M4151" s="4" t="s">
        <v>7013</v>
      </c>
      <c r="N4151" s="4" t="s">
        <v>7048</v>
      </c>
      <c r="O4151" s="4" t="s">
        <v>63</v>
      </c>
      <c r="P4151" s="4" t="s">
        <v>64</v>
      </c>
    </row>
    <row r="4152">
      <c r="A4152" s="4" t="s">
        <v>7013</v>
      </c>
      <c r="B4152" s="4" t="s">
        <v>7014</v>
      </c>
      <c r="C4152" s="4">
        <v>101.0</v>
      </c>
      <c r="D4152" s="5" t="str">
        <f t="shared" si="461"/>
        <v>Open Ad</v>
      </c>
      <c r="E4152" s="4" t="s">
        <v>52</v>
      </c>
      <c r="F4152" s="4" t="s">
        <v>6765</v>
      </c>
      <c r="G4152" s="4" t="s">
        <v>7047</v>
      </c>
      <c r="H4152" s="4" t="s">
        <v>49</v>
      </c>
      <c r="I4152" s="4" t="s">
        <v>7016</v>
      </c>
      <c r="J4152" s="4" t="s">
        <v>52</v>
      </c>
      <c r="K4152" s="4" t="s">
        <v>59</v>
      </c>
      <c r="L4152" s="4" t="s">
        <v>60</v>
      </c>
      <c r="M4152" s="4" t="s">
        <v>7013</v>
      </c>
      <c r="N4152" s="4" t="s">
        <v>7048</v>
      </c>
      <c r="O4152" s="4" t="s">
        <v>63</v>
      </c>
      <c r="P4152" s="4" t="s">
        <v>64</v>
      </c>
    </row>
    <row r="4153">
      <c r="A4153" s="4" t="s">
        <v>7013</v>
      </c>
      <c r="B4153" s="4" t="s">
        <v>7014</v>
      </c>
      <c r="C4153" s="4">
        <v>102.0</v>
      </c>
      <c r="D4153" s="5" t="str">
        <f t="shared" si="461"/>
        <v>Open Ad</v>
      </c>
      <c r="E4153" s="4" t="s">
        <v>52</v>
      </c>
      <c r="F4153" s="4" t="s">
        <v>6765</v>
      </c>
      <c r="G4153" s="4" t="s">
        <v>7047</v>
      </c>
      <c r="H4153" s="4" t="s">
        <v>49</v>
      </c>
      <c r="I4153" s="4" t="s">
        <v>7016</v>
      </c>
      <c r="J4153" s="4" t="s">
        <v>52</v>
      </c>
      <c r="K4153" s="4" t="s">
        <v>59</v>
      </c>
      <c r="L4153" s="4" t="s">
        <v>60</v>
      </c>
      <c r="M4153" s="4" t="s">
        <v>7013</v>
      </c>
      <c r="N4153" s="4" t="s">
        <v>7048</v>
      </c>
      <c r="O4153" s="4" t="s">
        <v>63</v>
      </c>
      <c r="P4153" s="4" t="s">
        <v>64</v>
      </c>
    </row>
    <row r="4154">
      <c r="A4154" s="4" t="s">
        <v>7013</v>
      </c>
      <c r="B4154" s="4" t="s">
        <v>7014</v>
      </c>
      <c r="C4154" s="4">
        <v>103.0</v>
      </c>
      <c r="D4154" s="5" t="str">
        <f t="shared" ref="D4154:D4155" si="462">HYPERLINK("https://www.linkedin.com/ad-library/detail/1457588834","Open Ad")</f>
        <v>Open Ad</v>
      </c>
      <c r="E4154" s="4" t="s">
        <v>78</v>
      </c>
      <c r="F4154" s="4" t="s">
        <v>6765</v>
      </c>
      <c r="G4154" s="4" t="s">
        <v>7024</v>
      </c>
      <c r="H4154" s="4" t="s">
        <v>49</v>
      </c>
      <c r="I4154" s="4" t="s">
        <v>7016</v>
      </c>
      <c r="J4154" s="4" t="s">
        <v>78</v>
      </c>
      <c r="K4154" s="7" t="str">
        <f t="shared" ref="K4154:K4155" si="463">HYPERLINK("https://media.licdn.com/dms/image/v2/D4E10AQE-9lDIBMB7ow/image-shrink_1280/B4EZ7PB6fVHkAc-/0/1781589846302/A3-C3jpg?e=2147483647&amp;v=beta&amp;t=VzXZ0xKb8Cn-eOV6wgC2UKL8s8P_uVXnTsOkNB8-WY0","View Creative")</f>
        <v>View Creative</v>
      </c>
      <c r="L4154" s="4" t="s">
        <v>60</v>
      </c>
      <c r="M4154" s="4" t="s">
        <v>7013</v>
      </c>
      <c r="N4154" s="4" t="s">
        <v>7049</v>
      </c>
      <c r="O4154" s="4" t="s">
        <v>63</v>
      </c>
      <c r="P4154" s="4" t="s">
        <v>64</v>
      </c>
    </row>
    <row r="4155">
      <c r="A4155" s="4" t="s">
        <v>7013</v>
      </c>
      <c r="B4155" s="4" t="s">
        <v>7014</v>
      </c>
      <c r="C4155" s="4">
        <v>104.0</v>
      </c>
      <c r="D4155" s="5" t="str">
        <f t="shared" si="462"/>
        <v>Open Ad</v>
      </c>
      <c r="E4155" s="4" t="s">
        <v>78</v>
      </c>
      <c r="F4155" s="4" t="s">
        <v>6765</v>
      </c>
      <c r="G4155" s="4" t="s">
        <v>7024</v>
      </c>
      <c r="H4155" s="4" t="s">
        <v>49</v>
      </c>
      <c r="I4155" s="4" t="s">
        <v>7016</v>
      </c>
      <c r="J4155" s="4" t="s">
        <v>78</v>
      </c>
      <c r="K4155" s="7" t="str">
        <f t="shared" si="463"/>
        <v>View Creative</v>
      </c>
      <c r="L4155" s="4" t="s">
        <v>60</v>
      </c>
      <c r="M4155" s="4" t="s">
        <v>7013</v>
      </c>
      <c r="N4155" s="4" t="s">
        <v>7049</v>
      </c>
      <c r="O4155" s="4" t="s">
        <v>63</v>
      </c>
      <c r="P4155" s="4" t="s">
        <v>64</v>
      </c>
    </row>
    <row r="4156">
      <c r="A4156" s="4" t="s">
        <v>7013</v>
      </c>
      <c r="B4156" s="4" t="s">
        <v>7014</v>
      </c>
      <c r="C4156" s="4">
        <v>105.0</v>
      </c>
      <c r="D4156" s="5" t="str">
        <f t="shared" ref="D4156:D4157" si="464">HYPERLINK("https://www.linkedin.com/ad-library/detail/1457579024","Open Ad")</f>
        <v>Open Ad</v>
      </c>
      <c r="E4156" s="4" t="s">
        <v>78</v>
      </c>
      <c r="F4156" s="4" t="s">
        <v>6765</v>
      </c>
      <c r="G4156" s="4" t="s">
        <v>7027</v>
      </c>
      <c r="H4156" s="4" t="s">
        <v>49</v>
      </c>
      <c r="I4156" s="4" t="s">
        <v>7016</v>
      </c>
      <c r="J4156" s="4" t="s">
        <v>78</v>
      </c>
      <c r="K4156" s="7" t="str">
        <f t="shared" ref="K4156:K4157" si="465">HYPERLINK("https://media.licdn.com/dms/image/v2/D4E10AQFefpbzB6Wrnw/image-shrink_1280/B4EZ7PCAamJYAc-/0/1781589870601/A3-C5jpg?e=2147483647&amp;v=beta&amp;t=LtNfPNfoiA2rJgVNC5pKv8gEDmKG_4iO3tCU_G77JNQ","View Creative")</f>
        <v>View Creative</v>
      </c>
      <c r="L4156" s="4" t="s">
        <v>60</v>
      </c>
      <c r="M4156" s="4" t="s">
        <v>7013</v>
      </c>
      <c r="N4156" s="4" t="s">
        <v>7046</v>
      </c>
      <c r="O4156" s="4" t="s">
        <v>63</v>
      </c>
      <c r="P4156" s="4" t="s">
        <v>64</v>
      </c>
    </row>
    <row r="4157">
      <c r="A4157" s="4" t="s">
        <v>7013</v>
      </c>
      <c r="B4157" s="4" t="s">
        <v>7014</v>
      </c>
      <c r="C4157" s="4">
        <v>106.0</v>
      </c>
      <c r="D4157" s="5" t="str">
        <f t="shared" si="464"/>
        <v>Open Ad</v>
      </c>
      <c r="E4157" s="4" t="s">
        <v>78</v>
      </c>
      <c r="F4157" s="4" t="s">
        <v>6765</v>
      </c>
      <c r="G4157" s="4" t="s">
        <v>7027</v>
      </c>
      <c r="H4157" s="4" t="s">
        <v>49</v>
      </c>
      <c r="I4157" s="4" t="s">
        <v>7016</v>
      </c>
      <c r="J4157" s="4" t="s">
        <v>78</v>
      </c>
      <c r="K4157" s="7" t="str">
        <f t="shared" si="465"/>
        <v>View Creative</v>
      </c>
      <c r="L4157" s="4" t="s">
        <v>60</v>
      </c>
      <c r="M4157" s="4" t="s">
        <v>7013</v>
      </c>
      <c r="N4157" s="4" t="s">
        <v>7046</v>
      </c>
      <c r="O4157" s="4" t="s">
        <v>63</v>
      </c>
      <c r="P4157" s="4" t="s">
        <v>64</v>
      </c>
    </row>
    <row r="4158">
      <c r="A4158" s="4" t="s">
        <v>7013</v>
      </c>
      <c r="B4158" s="4" t="s">
        <v>7014</v>
      </c>
      <c r="C4158" s="4">
        <v>107.0</v>
      </c>
      <c r="D4158" s="5" t="str">
        <f t="shared" ref="D4158:D4159" si="466">HYPERLINK("https://www.linkedin.com/ad-library/detail/1458664354","Open Ad")</f>
        <v>Open Ad</v>
      </c>
      <c r="E4158" s="4" t="s">
        <v>78</v>
      </c>
      <c r="F4158" s="4" t="s">
        <v>6765</v>
      </c>
      <c r="G4158" s="4" t="s">
        <v>7031</v>
      </c>
      <c r="H4158" s="4" t="s">
        <v>49</v>
      </c>
      <c r="I4158" s="4" t="s">
        <v>7016</v>
      </c>
      <c r="J4158" s="4" t="s">
        <v>78</v>
      </c>
      <c r="K4158" s="7" t="str">
        <f t="shared" ref="K4158:K4159" si="467">HYPERLINK("https://media.licdn.com/dms/image/v2/D4E10AQExh4rmJC5IEA/image-shrink_1280/B4EZ7PBG8LJYAc-/0/1781589635154/A2-C4jpg?e=2147483647&amp;v=beta&amp;t=zuMWFlvEIhGikYjrPhKmomgSrR5Nx39hHN-pslXHZ_Q","View Creative")</f>
        <v>View Creative</v>
      </c>
      <c r="L4158" s="4" t="s">
        <v>60</v>
      </c>
      <c r="M4158" s="4" t="s">
        <v>7013</v>
      </c>
      <c r="N4158" s="4" t="s">
        <v>7040</v>
      </c>
      <c r="O4158" s="4" t="s">
        <v>63</v>
      </c>
      <c r="P4158" s="4" t="s">
        <v>64</v>
      </c>
    </row>
    <row r="4159">
      <c r="A4159" s="4" t="s">
        <v>7013</v>
      </c>
      <c r="B4159" s="4" t="s">
        <v>7014</v>
      </c>
      <c r="C4159" s="4">
        <v>108.0</v>
      </c>
      <c r="D4159" s="5" t="str">
        <f t="shared" si="466"/>
        <v>Open Ad</v>
      </c>
      <c r="E4159" s="4" t="s">
        <v>78</v>
      </c>
      <c r="F4159" s="4" t="s">
        <v>6765</v>
      </c>
      <c r="G4159" s="4" t="s">
        <v>7031</v>
      </c>
      <c r="H4159" s="4" t="s">
        <v>49</v>
      </c>
      <c r="I4159" s="4" t="s">
        <v>7016</v>
      </c>
      <c r="J4159" s="4" t="s">
        <v>78</v>
      </c>
      <c r="K4159" s="7" t="str">
        <f t="shared" si="467"/>
        <v>View Creative</v>
      </c>
      <c r="L4159" s="4" t="s">
        <v>60</v>
      </c>
      <c r="M4159" s="4" t="s">
        <v>7013</v>
      </c>
      <c r="N4159" s="4" t="s">
        <v>7040</v>
      </c>
      <c r="O4159" s="4" t="s">
        <v>63</v>
      </c>
      <c r="P4159" s="4" t="s">
        <v>64</v>
      </c>
    </row>
    <row r="4160">
      <c r="A4160" s="4" t="s">
        <v>7013</v>
      </c>
      <c r="B4160" s="4" t="s">
        <v>7014</v>
      </c>
      <c r="C4160" s="4">
        <v>109.0</v>
      </c>
      <c r="D4160" s="5" t="str">
        <f t="shared" ref="D4160:D4161" si="468">HYPERLINK("https://www.linkedin.com/ad-library/detail/1458633774","Open Ad")</f>
        <v>Open Ad</v>
      </c>
      <c r="E4160" s="4" t="s">
        <v>78</v>
      </c>
      <c r="F4160" s="4" t="s">
        <v>6765</v>
      </c>
      <c r="G4160" s="4" t="s">
        <v>7018</v>
      </c>
      <c r="H4160" s="4" t="s">
        <v>49</v>
      </c>
      <c r="I4160" s="4" t="s">
        <v>7016</v>
      </c>
      <c r="J4160" s="4" t="s">
        <v>78</v>
      </c>
      <c r="K4160" s="7" t="str">
        <f t="shared" ref="K4160:K4163" si="469">HYPERLINK("https://media.licdn.com/dms/image/v2/D4E10AQGKueCfWHuNkg/image-shrink_1280/B4EZ7PBKXZJYAc-/0/1781589649194/A2-C5jpg?e=2147483647&amp;v=beta&amp;t=QmYtHSy_ICSJ76MwsGAlNWrT6Yc_kTWrDq9iNJSaLPw","View Creative")</f>
        <v>View Creative</v>
      </c>
      <c r="L4160" s="4" t="s">
        <v>60</v>
      </c>
      <c r="M4160" s="4" t="s">
        <v>7013</v>
      </c>
      <c r="N4160" s="4" t="s">
        <v>7040</v>
      </c>
      <c r="O4160" s="4" t="s">
        <v>63</v>
      </c>
      <c r="P4160" s="4" t="s">
        <v>64</v>
      </c>
    </row>
    <row r="4161">
      <c r="A4161" s="4" t="s">
        <v>7013</v>
      </c>
      <c r="B4161" s="4" t="s">
        <v>7014</v>
      </c>
      <c r="C4161" s="4">
        <v>110.0</v>
      </c>
      <c r="D4161" s="5" t="str">
        <f t="shared" si="468"/>
        <v>Open Ad</v>
      </c>
      <c r="E4161" s="4" t="s">
        <v>78</v>
      </c>
      <c r="F4161" s="4" t="s">
        <v>6765</v>
      </c>
      <c r="G4161" s="4" t="s">
        <v>7018</v>
      </c>
      <c r="H4161" s="4" t="s">
        <v>49</v>
      </c>
      <c r="I4161" s="4" t="s">
        <v>7016</v>
      </c>
      <c r="J4161" s="4" t="s">
        <v>78</v>
      </c>
      <c r="K4161" s="7" t="str">
        <f t="shared" si="469"/>
        <v>View Creative</v>
      </c>
      <c r="L4161" s="4" t="s">
        <v>60</v>
      </c>
      <c r="M4161" s="4" t="s">
        <v>7013</v>
      </c>
      <c r="N4161" s="4" t="s">
        <v>7040</v>
      </c>
      <c r="O4161" s="4" t="s">
        <v>63</v>
      </c>
      <c r="P4161" s="4" t="s">
        <v>64</v>
      </c>
    </row>
    <row r="4162">
      <c r="A4162" s="4" t="s">
        <v>7013</v>
      </c>
      <c r="B4162" s="4" t="s">
        <v>7014</v>
      </c>
      <c r="C4162" s="4">
        <v>111.0</v>
      </c>
      <c r="D4162" s="5" t="str">
        <f t="shared" ref="D4162:D4163" si="470">HYPERLINK("https://www.linkedin.com/ad-library/detail/1457518974","Open Ad")</f>
        <v>Open Ad</v>
      </c>
      <c r="E4162" s="4" t="s">
        <v>78</v>
      </c>
      <c r="F4162" s="4" t="s">
        <v>6765</v>
      </c>
      <c r="G4162" s="4" t="s">
        <v>7018</v>
      </c>
      <c r="H4162" s="4" t="s">
        <v>49</v>
      </c>
      <c r="I4162" s="4" t="s">
        <v>7016</v>
      </c>
      <c r="J4162" s="4" t="s">
        <v>78</v>
      </c>
      <c r="K4162" s="7" t="str">
        <f t="shared" si="469"/>
        <v>View Creative</v>
      </c>
      <c r="L4162" s="4" t="s">
        <v>60</v>
      </c>
      <c r="M4162" s="4" t="s">
        <v>7013</v>
      </c>
      <c r="N4162" s="4" t="s">
        <v>7046</v>
      </c>
      <c r="O4162" s="4" t="s">
        <v>63</v>
      </c>
      <c r="P4162" s="4" t="s">
        <v>64</v>
      </c>
    </row>
    <row r="4163">
      <c r="A4163" s="4" t="s">
        <v>7013</v>
      </c>
      <c r="B4163" s="4" t="s">
        <v>7014</v>
      </c>
      <c r="C4163" s="4">
        <v>112.0</v>
      </c>
      <c r="D4163" s="5" t="str">
        <f t="shared" si="470"/>
        <v>Open Ad</v>
      </c>
      <c r="E4163" s="4" t="s">
        <v>78</v>
      </c>
      <c r="F4163" s="4" t="s">
        <v>6765</v>
      </c>
      <c r="G4163" s="4" t="s">
        <v>7018</v>
      </c>
      <c r="H4163" s="4" t="s">
        <v>49</v>
      </c>
      <c r="I4163" s="4" t="s">
        <v>7016</v>
      </c>
      <c r="J4163" s="4" t="s">
        <v>78</v>
      </c>
      <c r="K4163" s="7" t="str">
        <f t="shared" si="469"/>
        <v>View Creative</v>
      </c>
      <c r="L4163" s="4" t="s">
        <v>60</v>
      </c>
      <c r="M4163" s="4" t="s">
        <v>7013</v>
      </c>
      <c r="N4163" s="4" t="s">
        <v>7046</v>
      </c>
      <c r="O4163" s="4" t="s">
        <v>63</v>
      </c>
      <c r="P4163" s="4" t="s">
        <v>64</v>
      </c>
    </row>
    <row r="4164">
      <c r="A4164" s="4" t="s">
        <v>7013</v>
      </c>
      <c r="B4164" s="4" t="s">
        <v>7014</v>
      </c>
      <c r="C4164" s="4">
        <v>113.0</v>
      </c>
      <c r="D4164" s="5" t="str">
        <f t="shared" ref="D4164:D4165" si="471">HYPERLINK("https://www.linkedin.com/ad-library/detail/1457539024","Open Ad")</f>
        <v>Open Ad</v>
      </c>
      <c r="E4164" s="4" t="s">
        <v>78</v>
      </c>
      <c r="F4164" s="4" t="s">
        <v>6765</v>
      </c>
      <c r="G4164" s="4" t="s">
        <v>7025</v>
      </c>
      <c r="H4164" s="4" t="s">
        <v>49</v>
      </c>
      <c r="I4164" s="4" t="s">
        <v>7016</v>
      </c>
      <c r="J4164" s="4" t="s">
        <v>78</v>
      </c>
      <c r="K4164" s="7" t="str">
        <f t="shared" ref="K4164:K4165" si="472">HYPERLINK("https://media.licdn.com/dms/image/v2/D4E10AQEsenA2dN72-Q/image-shrink_1280/B4EZ7PAqDDHwAc-/0/1781589516809/A1-C1jpg?e=2147483647&amp;v=beta&amp;t=OLJIKQzNXYF585Cu545nuOPmx2JH_ffgToA-fniP23U","View Creative")</f>
        <v>View Creative</v>
      </c>
      <c r="L4164" s="4" t="s">
        <v>60</v>
      </c>
      <c r="M4164" s="4" t="s">
        <v>7013</v>
      </c>
      <c r="N4164" s="4" t="s">
        <v>7046</v>
      </c>
      <c r="O4164" s="4" t="s">
        <v>63</v>
      </c>
      <c r="P4164" s="4" t="s">
        <v>64</v>
      </c>
    </row>
    <row r="4165">
      <c r="A4165" s="4" t="s">
        <v>7013</v>
      </c>
      <c r="B4165" s="4" t="s">
        <v>7014</v>
      </c>
      <c r="C4165" s="4">
        <v>114.0</v>
      </c>
      <c r="D4165" s="5" t="str">
        <f t="shared" si="471"/>
        <v>Open Ad</v>
      </c>
      <c r="E4165" s="4" t="s">
        <v>78</v>
      </c>
      <c r="F4165" s="4" t="s">
        <v>6765</v>
      </c>
      <c r="G4165" s="4" t="s">
        <v>7025</v>
      </c>
      <c r="H4165" s="4" t="s">
        <v>49</v>
      </c>
      <c r="I4165" s="4" t="s">
        <v>7016</v>
      </c>
      <c r="J4165" s="4" t="s">
        <v>78</v>
      </c>
      <c r="K4165" s="7" t="str">
        <f t="shared" si="472"/>
        <v>View Creative</v>
      </c>
      <c r="L4165" s="4" t="s">
        <v>60</v>
      </c>
      <c r="M4165" s="4" t="s">
        <v>7013</v>
      </c>
      <c r="N4165" s="4" t="s">
        <v>7046</v>
      </c>
      <c r="O4165" s="4" t="s">
        <v>63</v>
      </c>
      <c r="P4165" s="4" t="s">
        <v>64</v>
      </c>
    </row>
    <row r="4166">
      <c r="A4166" s="4" t="s">
        <v>7013</v>
      </c>
      <c r="B4166" s="4" t="s">
        <v>7014</v>
      </c>
      <c r="C4166" s="4">
        <v>115.0</v>
      </c>
      <c r="D4166" s="5" t="str">
        <f t="shared" ref="D4166:D4167" si="473">HYPERLINK("https://www.linkedin.com/ad-library/detail/1458693994","Open Ad")</f>
        <v>Open Ad</v>
      </c>
      <c r="E4166" s="4" t="s">
        <v>78</v>
      </c>
      <c r="F4166" s="4" t="s">
        <v>6765</v>
      </c>
      <c r="G4166" s="4" t="s">
        <v>7015</v>
      </c>
      <c r="H4166" s="4" t="s">
        <v>49</v>
      </c>
      <c r="I4166" s="4" t="s">
        <v>7016</v>
      </c>
      <c r="J4166" s="4" t="s">
        <v>78</v>
      </c>
      <c r="K4166" s="7" t="str">
        <f t="shared" ref="K4166:K4167" si="474">HYPERLINK("https://media.licdn.com/dms/image/v2/D4E10AQH3OzCdZHf2Rg/image-shrink_1280/B4EZ7PAtc6HsAc-/0/1781589530762/A1-C2jpg?e=2147483647&amp;v=beta&amp;t=jvEEtQo8Ew8RgeBlebDqOzIFj4JMGRWuQ9VpaUwXuGc","View Creative")</f>
        <v>View Creative</v>
      </c>
      <c r="L4166" s="4" t="s">
        <v>60</v>
      </c>
      <c r="M4166" s="4" t="s">
        <v>7013</v>
      </c>
      <c r="N4166" s="4" t="s">
        <v>7040</v>
      </c>
      <c r="O4166" s="4" t="s">
        <v>63</v>
      </c>
      <c r="P4166" s="4" t="s">
        <v>64</v>
      </c>
    </row>
    <row r="4167">
      <c r="A4167" s="4" t="s">
        <v>7013</v>
      </c>
      <c r="B4167" s="4" t="s">
        <v>7014</v>
      </c>
      <c r="C4167" s="4">
        <v>116.0</v>
      </c>
      <c r="D4167" s="5" t="str">
        <f t="shared" si="473"/>
        <v>Open Ad</v>
      </c>
      <c r="E4167" s="4" t="s">
        <v>78</v>
      </c>
      <c r="F4167" s="4" t="s">
        <v>6765</v>
      </c>
      <c r="G4167" s="4" t="s">
        <v>7015</v>
      </c>
      <c r="H4167" s="4" t="s">
        <v>49</v>
      </c>
      <c r="I4167" s="4" t="s">
        <v>7016</v>
      </c>
      <c r="J4167" s="4" t="s">
        <v>78</v>
      </c>
      <c r="K4167" s="7" t="str">
        <f t="shared" si="474"/>
        <v>View Creative</v>
      </c>
      <c r="L4167" s="4" t="s">
        <v>60</v>
      </c>
      <c r="M4167" s="4" t="s">
        <v>7013</v>
      </c>
      <c r="N4167" s="4" t="s">
        <v>7040</v>
      </c>
      <c r="O4167" s="4" t="s">
        <v>63</v>
      </c>
      <c r="P4167" s="4" t="s">
        <v>64</v>
      </c>
    </row>
    <row r="4168">
      <c r="A4168" s="4" t="s">
        <v>7013</v>
      </c>
      <c r="B4168" s="4" t="s">
        <v>7014</v>
      </c>
      <c r="C4168" s="4">
        <v>117.0</v>
      </c>
      <c r="D4168" s="5" t="str">
        <f t="shared" ref="D4168:D4169" si="475">HYPERLINK("https://www.linkedin.com/ad-library/detail/1457448944","Open Ad")</f>
        <v>Open Ad</v>
      </c>
      <c r="E4168" s="4" t="s">
        <v>78</v>
      </c>
      <c r="F4168" s="4" t="s">
        <v>6765</v>
      </c>
      <c r="G4168" s="4" t="s">
        <v>7032</v>
      </c>
      <c r="H4168" s="4" t="s">
        <v>49</v>
      </c>
      <c r="I4168" s="4" t="s">
        <v>7016</v>
      </c>
      <c r="J4168" s="4" t="s">
        <v>78</v>
      </c>
      <c r="K4168" s="7" t="str">
        <f t="shared" ref="K4168:K4169" si="476">HYPERLINK("https://media.licdn.com/dms/image/v2/D4E10AQHSAAAf506Y2g/image-shrink_1280/B4EZ7PBpgcJYAc-/0/1781589776758/B1-C1B1-C2jpg?e=2147483647&amp;v=beta&amp;t=kV0bdf50OmBqVi4j6BFJ1WNqYLzEWf-hvx95hn9cfIU","View Creative")</f>
        <v>View Creative</v>
      </c>
      <c r="L4168" s="4" t="s">
        <v>60</v>
      </c>
      <c r="M4168" s="4" t="s">
        <v>7013</v>
      </c>
      <c r="N4168" s="4" t="s">
        <v>7046</v>
      </c>
      <c r="O4168" s="4" t="s">
        <v>63</v>
      </c>
      <c r="P4168" s="4" t="s">
        <v>64</v>
      </c>
    </row>
    <row r="4169">
      <c r="A4169" s="4" t="s">
        <v>7013</v>
      </c>
      <c r="B4169" s="4" t="s">
        <v>7014</v>
      </c>
      <c r="C4169" s="4">
        <v>118.0</v>
      </c>
      <c r="D4169" s="5" t="str">
        <f t="shared" si="475"/>
        <v>Open Ad</v>
      </c>
      <c r="E4169" s="4" t="s">
        <v>78</v>
      </c>
      <c r="F4169" s="4" t="s">
        <v>6765</v>
      </c>
      <c r="G4169" s="4" t="s">
        <v>7032</v>
      </c>
      <c r="H4169" s="4" t="s">
        <v>49</v>
      </c>
      <c r="I4169" s="4" t="s">
        <v>7016</v>
      </c>
      <c r="J4169" s="4" t="s">
        <v>78</v>
      </c>
      <c r="K4169" s="7" t="str">
        <f t="shared" si="476"/>
        <v>View Creative</v>
      </c>
      <c r="L4169" s="4" t="s">
        <v>60</v>
      </c>
      <c r="M4169" s="4" t="s">
        <v>7013</v>
      </c>
      <c r="N4169" s="4" t="s">
        <v>7046</v>
      </c>
      <c r="O4169" s="4" t="s">
        <v>63</v>
      </c>
      <c r="P4169" s="4" t="s">
        <v>64</v>
      </c>
    </row>
    <row r="4170">
      <c r="A4170" s="4" t="s">
        <v>7013</v>
      </c>
      <c r="B4170" s="4" t="s">
        <v>7014</v>
      </c>
      <c r="C4170" s="4">
        <v>119.0</v>
      </c>
      <c r="D4170" s="5" t="str">
        <f t="shared" ref="D4170:D4171" si="477">HYPERLINK("https://www.linkedin.com/ad-library/detail/1457518964","Open Ad")</f>
        <v>Open Ad</v>
      </c>
      <c r="E4170" s="4" t="s">
        <v>78</v>
      </c>
      <c r="F4170" s="4" t="s">
        <v>6765</v>
      </c>
      <c r="G4170" s="4" t="s">
        <v>7044</v>
      </c>
      <c r="H4170" s="4" t="s">
        <v>49</v>
      </c>
      <c r="I4170" s="4" t="s">
        <v>7016</v>
      </c>
      <c r="J4170" s="4" t="s">
        <v>78</v>
      </c>
      <c r="K4170" s="7" t="str">
        <f t="shared" ref="K4170:K4171" si="478">HYPERLINK("https://media.licdn.com/dms/image/v2/D4E10AQGrpDCaK6FnSw/image-shrink_1280/B4EZ7PA8SFKwAc-/0/1781589591488/A2-C1jpg?e=2147483647&amp;v=beta&amp;t=CD7sAzsJi4BrhyeJe2LdRZ2uzTXkLNtfFX3hvNtbosQ","View Creative")</f>
        <v>View Creative</v>
      </c>
      <c r="L4170" s="4" t="s">
        <v>60</v>
      </c>
      <c r="M4170" s="4" t="s">
        <v>7013</v>
      </c>
      <c r="N4170" s="4" t="s">
        <v>7049</v>
      </c>
      <c r="O4170" s="4" t="s">
        <v>63</v>
      </c>
      <c r="P4170" s="4" t="s">
        <v>64</v>
      </c>
    </row>
    <row r="4171">
      <c r="A4171" s="4" t="s">
        <v>7013</v>
      </c>
      <c r="B4171" s="4" t="s">
        <v>7014</v>
      </c>
      <c r="C4171" s="4">
        <v>120.0</v>
      </c>
      <c r="D4171" s="5" t="str">
        <f t="shared" si="477"/>
        <v>Open Ad</v>
      </c>
      <c r="E4171" s="4" t="s">
        <v>78</v>
      </c>
      <c r="F4171" s="4" t="s">
        <v>6765</v>
      </c>
      <c r="G4171" s="4" t="s">
        <v>7044</v>
      </c>
      <c r="H4171" s="4" t="s">
        <v>49</v>
      </c>
      <c r="I4171" s="4" t="s">
        <v>7016</v>
      </c>
      <c r="J4171" s="4" t="s">
        <v>78</v>
      </c>
      <c r="K4171" s="7" t="str">
        <f t="shared" si="478"/>
        <v>View Creative</v>
      </c>
      <c r="L4171" s="4" t="s">
        <v>60</v>
      </c>
      <c r="M4171" s="4" t="s">
        <v>7013</v>
      </c>
      <c r="N4171" s="4" t="s">
        <v>7049</v>
      </c>
      <c r="O4171" s="4" t="s">
        <v>63</v>
      </c>
      <c r="P4171" s="4" t="s">
        <v>64</v>
      </c>
    </row>
    <row r="4172">
      <c r="A4172" s="4" t="s">
        <v>7013</v>
      </c>
      <c r="B4172" s="4" t="s">
        <v>7014</v>
      </c>
      <c r="C4172" s="4">
        <v>121.0</v>
      </c>
      <c r="D4172" s="5" t="str">
        <f t="shared" ref="D4172:D4173" si="479">HYPERLINK("https://www.linkedin.com/ad-library/detail/1457559504","Open Ad")</f>
        <v>Open Ad</v>
      </c>
      <c r="E4172" s="4" t="s">
        <v>78</v>
      </c>
      <c r="F4172" s="4" t="s">
        <v>6765</v>
      </c>
      <c r="G4172" s="4" t="s">
        <v>7037</v>
      </c>
      <c r="H4172" s="4" t="s">
        <v>49</v>
      </c>
      <c r="I4172" s="4" t="s">
        <v>7016</v>
      </c>
      <c r="J4172" s="4" t="s">
        <v>78</v>
      </c>
      <c r="K4172" s="7" t="str">
        <f t="shared" ref="K4172:K4173" si="480">HYPERLINK("https://media.licdn.com/dms/image/v2/D4E10AQE4pC45aYPR7g/image-shrink_1280/B4EZ7PBDR1HkAg-/0/1781589620129/A2-C3jpg?e=2147483647&amp;v=beta&amp;t=irAG_z469IUA5tn6BMvjaobhZGaB4yooO_oS-HBc0w4","View Creative")</f>
        <v>View Creative</v>
      </c>
      <c r="L4172" s="4" t="s">
        <v>60</v>
      </c>
      <c r="M4172" s="4" t="s">
        <v>7013</v>
      </c>
      <c r="N4172" s="4" t="s">
        <v>7049</v>
      </c>
      <c r="O4172" s="4" t="s">
        <v>63</v>
      </c>
      <c r="P4172" s="4" t="s">
        <v>64</v>
      </c>
    </row>
    <row r="4173">
      <c r="A4173" s="4" t="s">
        <v>7013</v>
      </c>
      <c r="B4173" s="4" t="s">
        <v>7014</v>
      </c>
      <c r="C4173" s="4">
        <v>122.0</v>
      </c>
      <c r="D4173" s="5" t="str">
        <f t="shared" si="479"/>
        <v>Open Ad</v>
      </c>
      <c r="E4173" s="4" t="s">
        <v>78</v>
      </c>
      <c r="F4173" s="4" t="s">
        <v>6765</v>
      </c>
      <c r="G4173" s="4" t="s">
        <v>7037</v>
      </c>
      <c r="H4173" s="4" t="s">
        <v>49</v>
      </c>
      <c r="I4173" s="4" t="s">
        <v>7016</v>
      </c>
      <c r="J4173" s="4" t="s">
        <v>78</v>
      </c>
      <c r="K4173" s="7" t="str">
        <f t="shared" si="480"/>
        <v>View Creative</v>
      </c>
      <c r="L4173" s="4" t="s">
        <v>60</v>
      </c>
      <c r="M4173" s="4" t="s">
        <v>7013</v>
      </c>
      <c r="N4173" s="4" t="s">
        <v>7049</v>
      </c>
      <c r="O4173" s="4" t="s">
        <v>63</v>
      </c>
      <c r="P4173" s="4" t="s">
        <v>64</v>
      </c>
    </row>
    <row r="4174">
      <c r="A4174" s="4" t="s">
        <v>7013</v>
      </c>
      <c r="B4174" s="4" t="s">
        <v>7014</v>
      </c>
      <c r="C4174" s="4">
        <v>123.0</v>
      </c>
      <c r="D4174" s="5" t="str">
        <f t="shared" ref="D4174:D4175" si="481">HYPERLINK("https://www.linkedin.com/ad-library/detail/1457706644","Open Ad")</f>
        <v>Open Ad</v>
      </c>
      <c r="E4174" s="4" t="s">
        <v>78</v>
      </c>
      <c r="F4174" s="4" t="s">
        <v>6765</v>
      </c>
      <c r="G4174" s="4" t="s">
        <v>7018</v>
      </c>
      <c r="H4174" s="4" t="s">
        <v>49</v>
      </c>
      <c r="I4174" s="4" t="s">
        <v>7016</v>
      </c>
      <c r="J4174" s="4" t="s">
        <v>78</v>
      </c>
      <c r="K4174" s="7" t="str">
        <f t="shared" ref="K4174:K4175" si="482">HYPERLINK("https://media.licdn.com/dms/image/v2/D4E10AQFAWEb03BKmkQ/image-shrink_1280/B4EZ7PBRrnJYAc-/0/1781589679153/A2-C51jpg?e=2147483647&amp;v=beta&amp;t=29yYRCvE0Xy_c8MdBNhs9SEpNJJYeiwz0ANimtFoYmo","View Creative")</f>
        <v>View Creative</v>
      </c>
      <c r="L4174" s="4" t="s">
        <v>60</v>
      </c>
      <c r="M4174" s="4" t="s">
        <v>7013</v>
      </c>
      <c r="N4174" s="4" t="s">
        <v>7049</v>
      </c>
      <c r="O4174" s="4" t="s">
        <v>63</v>
      </c>
      <c r="P4174" s="4" t="s">
        <v>64</v>
      </c>
    </row>
    <row r="4175">
      <c r="A4175" s="4" t="s">
        <v>7013</v>
      </c>
      <c r="B4175" s="4" t="s">
        <v>7014</v>
      </c>
      <c r="C4175" s="4">
        <v>124.0</v>
      </c>
      <c r="D4175" s="5" t="str">
        <f t="shared" si="481"/>
        <v>Open Ad</v>
      </c>
      <c r="E4175" s="4" t="s">
        <v>78</v>
      </c>
      <c r="F4175" s="4" t="s">
        <v>6765</v>
      </c>
      <c r="G4175" s="4" t="s">
        <v>7018</v>
      </c>
      <c r="H4175" s="4" t="s">
        <v>49</v>
      </c>
      <c r="I4175" s="4" t="s">
        <v>7016</v>
      </c>
      <c r="J4175" s="4" t="s">
        <v>78</v>
      </c>
      <c r="K4175" s="7" t="str">
        <f t="shared" si="482"/>
        <v>View Creative</v>
      </c>
      <c r="L4175" s="4" t="s">
        <v>60</v>
      </c>
      <c r="M4175" s="4" t="s">
        <v>7013</v>
      </c>
      <c r="N4175" s="4" t="s">
        <v>7049</v>
      </c>
      <c r="O4175" s="4" t="s">
        <v>63</v>
      </c>
      <c r="P4175" s="4" t="s">
        <v>64</v>
      </c>
    </row>
    <row r="4176">
      <c r="A4176" s="4" t="s">
        <v>7013</v>
      </c>
      <c r="B4176" s="4" t="s">
        <v>7014</v>
      </c>
      <c r="C4176" s="4">
        <v>125.0</v>
      </c>
      <c r="D4176" s="5" t="str">
        <f t="shared" ref="D4176:D4177" si="483">HYPERLINK("https://www.linkedin.com/ad-library/detail/1457559534","Open Ad")</f>
        <v>Open Ad</v>
      </c>
      <c r="E4176" s="4" t="s">
        <v>78</v>
      </c>
      <c r="F4176" s="4" t="s">
        <v>6765</v>
      </c>
      <c r="G4176" s="4" t="s">
        <v>7035</v>
      </c>
      <c r="H4176" s="4" t="s">
        <v>49</v>
      </c>
      <c r="I4176" s="4" t="s">
        <v>7016</v>
      </c>
      <c r="J4176" s="4" t="s">
        <v>78</v>
      </c>
      <c r="K4176" s="7" t="str">
        <f t="shared" ref="K4176:K4177" si="484">HYPERLINK("https://media.licdn.com/dms/image/v2/D4E10AQEzBiIWRJhvlg/image-shrink_1280/B4EZ7PBmmsIcAg-/0/1781589764812/B1-C1B1-C2jpg?e=2147483647&amp;v=beta&amp;t=dJLRC4MZ_Khzio0RkH-Q67LXt6hP0DW9MkpDWtFRX7s","View Creative")</f>
        <v>View Creative</v>
      </c>
      <c r="L4176" s="4" t="s">
        <v>60</v>
      </c>
      <c r="M4176" s="4" t="s">
        <v>7013</v>
      </c>
      <c r="N4176" s="4" t="s">
        <v>7046</v>
      </c>
      <c r="O4176" s="4" t="s">
        <v>63</v>
      </c>
      <c r="P4176" s="4" t="s">
        <v>64</v>
      </c>
    </row>
    <row r="4177">
      <c r="A4177" s="4" t="s">
        <v>7013</v>
      </c>
      <c r="B4177" s="4" t="s">
        <v>7014</v>
      </c>
      <c r="C4177" s="4">
        <v>126.0</v>
      </c>
      <c r="D4177" s="5" t="str">
        <f t="shared" si="483"/>
        <v>Open Ad</v>
      </c>
      <c r="E4177" s="4" t="s">
        <v>78</v>
      </c>
      <c r="F4177" s="4" t="s">
        <v>6765</v>
      </c>
      <c r="G4177" s="4" t="s">
        <v>7035</v>
      </c>
      <c r="H4177" s="4" t="s">
        <v>49</v>
      </c>
      <c r="I4177" s="4" t="s">
        <v>7016</v>
      </c>
      <c r="J4177" s="4" t="s">
        <v>78</v>
      </c>
      <c r="K4177" s="7" t="str">
        <f t="shared" si="484"/>
        <v>View Creative</v>
      </c>
      <c r="L4177" s="4" t="s">
        <v>60</v>
      </c>
      <c r="M4177" s="4" t="s">
        <v>7013</v>
      </c>
      <c r="N4177" s="4" t="s">
        <v>7046</v>
      </c>
      <c r="O4177" s="4" t="s">
        <v>63</v>
      </c>
      <c r="P4177" s="4" t="s">
        <v>64</v>
      </c>
    </row>
    <row r="4178">
      <c r="A4178" s="4" t="s">
        <v>7013</v>
      </c>
      <c r="B4178" s="4" t="s">
        <v>7014</v>
      </c>
      <c r="C4178" s="4">
        <v>127.0</v>
      </c>
      <c r="D4178" s="5" t="str">
        <f t="shared" ref="D4178:D4179" si="485">HYPERLINK("https://www.linkedin.com/ad-library/detail/1457578964","Open Ad")</f>
        <v>Open Ad</v>
      </c>
      <c r="E4178" s="4" t="s">
        <v>78</v>
      </c>
      <c r="F4178" s="4" t="s">
        <v>6765</v>
      </c>
      <c r="G4178" s="4" t="s">
        <v>7043</v>
      </c>
      <c r="H4178" s="4" t="s">
        <v>49</v>
      </c>
      <c r="I4178" s="4" t="s">
        <v>7016</v>
      </c>
      <c r="J4178" s="4" t="s">
        <v>78</v>
      </c>
      <c r="K4178" s="7" t="str">
        <f t="shared" ref="K4178:K4179" si="486">HYPERLINK("https://media.licdn.com/dms/image/v2/D4E10AQH5erc-NuEEKQ/image-shrink_1280/B4EZ7PA_r0JMAc-/0/1781589605441/A2-C2jpg?e=2147483647&amp;v=beta&amp;t=sPrbyOYJTOjJb56F-cYbGQFpzyWZ2jHq64xjz8NHl8A","View Creative")</f>
        <v>View Creative</v>
      </c>
      <c r="L4178" s="4" t="s">
        <v>60</v>
      </c>
      <c r="M4178" s="4" t="s">
        <v>7013</v>
      </c>
      <c r="N4178" s="4" t="s">
        <v>7046</v>
      </c>
      <c r="O4178" s="4" t="s">
        <v>63</v>
      </c>
      <c r="P4178" s="4" t="s">
        <v>64</v>
      </c>
    </row>
    <row r="4179">
      <c r="A4179" s="4" t="s">
        <v>7013</v>
      </c>
      <c r="B4179" s="4" t="s">
        <v>7014</v>
      </c>
      <c r="C4179" s="4">
        <v>128.0</v>
      </c>
      <c r="D4179" s="5" t="str">
        <f t="shared" si="485"/>
        <v>Open Ad</v>
      </c>
      <c r="E4179" s="4" t="s">
        <v>78</v>
      </c>
      <c r="F4179" s="4" t="s">
        <v>6765</v>
      </c>
      <c r="G4179" s="4" t="s">
        <v>7043</v>
      </c>
      <c r="H4179" s="4" t="s">
        <v>49</v>
      </c>
      <c r="I4179" s="4" t="s">
        <v>7016</v>
      </c>
      <c r="J4179" s="4" t="s">
        <v>78</v>
      </c>
      <c r="K4179" s="7" t="str">
        <f t="shared" si="486"/>
        <v>View Creative</v>
      </c>
      <c r="L4179" s="4" t="s">
        <v>60</v>
      </c>
      <c r="M4179" s="4" t="s">
        <v>7013</v>
      </c>
      <c r="N4179" s="4" t="s">
        <v>7046</v>
      </c>
      <c r="O4179" s="4" t="s">
        <v>63</v>
      </c>
      <c r="P4179" s="4" t="s">
        <v>64</v>
      </c>
    </row>
    <row r="4180">
      <c r="A4180" s="4" t="s">
        <v>7013</v>
      </c>
      <c r="B4180" s="4" t="s">
        <v>7014</v>
      </c>
      <c r="C4180" s="4">
        <v>129.0</v>
      </c>
      <c r="D4180" s="5" t="str">
        <f t="shared" ref="D4180:D4181" si="487">HYPERLINK("https://www.linkedin.com/ad-library/detail/1458763334","Open Ad")</f>
        <v>Open Ad</v>
      </c>
      <c r="E4180" s="4" t="s">
        <v>78</v>
      </c>
      <c r="F4180" s="4" t="s">
        <v>6765</v>
      </c>
      <c r="G4180" s="4" t="s">
        <v>7025</v>
      </c>
      <c r="H4180" s="4" t="s">
        <v>49</v>
      </c>
      <c r="I4180" s="4" t="s">
        <v>7016</v>
      </c>
      <c r="J4180" s="4" t="s">
        <v>78</v>
      </c>
      <c r="K4180" s="7" t="str">
        <f t="shared" ref="K4180:K4181" si="488">HYPERLINK("https://media.licdn.com/dms/image/v2/D4E10AQEsenA2dN72-Q/image-shrink_1280/B4EZ7PAqDDHwAc-/0/1781589516809/A1-C1jpg?e=2147483647&amp;v=beta&amp;t=OLJIKQzNXYF585Cu545nuOPmx2JH_ffgToA-fniP23U","View Creative")</f>
        <v>View Creative</v>
      </c>
      <c r="L4180" s="4" t="s">
        <v>60</v>
      </c>
      <c r="M4180" s="4" t="s">
        <v>7013</v>
      </c>
      <c r="N4180" s="4" t="s">
        <v>7040</v>
      </c>
      <c r="O4180" s="4" t="s">
        <v>63</v>
      </c>
      <c r="P4180" s="4" t="s">
        <v>64</v>
      </c>
    </row>
    <row r="4181">
      <c r="A4181" s="4" t="s">
        <v>7013</v>
      </c>
      <c r="B4181" s="4" t="s">
        <v>7014</v>
      </c>
      <c r="C4181" s="4">
        <v>130.0</v>
      </c>
      <c r="D4181" s="5" t="str">
        <f t="shared" si="487"/>
        <v>Open Ad</v>
      </c>
      <c r="E4181" s="4" t="s">
        <v>78</v>
      </c>
      <c r="F4181" s="4" t="s">
        <v>6765</v>
      </c>
      <c r="G4181" s="4" t="s">
        <v>7025</v>
      </c>
      <c r="H4181" s="4" t="s">
        <v>49</v>
      </c>
      <c r="I4181" s="4" t="s">
        <v>7016</v>
      </c>
      <c r="J4181" s="4" t="s">
        <v>78</v>
      </c>
      <c r="K4181" s="7" t="str">
        <f t="shared" si="488"/>
        <v>View Creative</v>
      </c>
      <c r="L4181" s="4" t="s">
        <v>60</v>
      </c>
      <c r="M4181" s="4" t="s">
        <v>7013</v>
      </c>
      <c r="N4181" s="4" t="s">
        <v>7040</v>
      </c>
      <c r="O4181" s="4" t="s">
        <v>63</v>
      </c>
      <c r="P4181" s="4" t="s">
        <v>64</v>
      </c>
    </row>
    <row r="4182">
      <c r="A4182" s="4" t="s">
        <v>7013</v>
      </c>
      <c r="B4182" s="4" t="s">
        <v>7014</v>
      </c>
      <c r="C4182" s="4">
        <v>131.0</v>
      </c>
      <c r="D4182" s="5" t="str">
        <f t="shared" ref="D4182:D4183" si="489">HYPERLINK("https://www.linkedin.com/ad-library/detail/1458653934","Open Ad")</f>
        <v>Open Ad</v>
      </c>
      <c r="E4182" s="4" t="s">
        <v>78</v>
      </c>
      <c r="F4182" s="4" t="s">
        <v>6765</v>
      </c>
      <c r="G4182" s="4" t="s">
        <v>7018</v>
      </c>
      <c r="H4182" s="4" t="s">
        <v>49</v>
      </c>
      <c r="I4182" s="4" t="s">
        <v>7016</v>
      </c>
      <c r="J4182" s="4" t="s">
        <v>78</v>
      </c>
      <c r="K4182" s="7" t="str">
        <f t="shared" ref="K4182:K4183" si="490">HYPERLINK("https://media.licdn.com/dms/image/v2/D4E10AQFAWEb03BKmkQ/image-shrink_1280/B4EZ7PBRrnJYAc-/0/1781589679153/A2-C51jpg?e=2147483647&amp;v=beta&amp;t=29yYRCvE0Xy_c8MdBNhs9SEpNJJYeiwz0ANimtFoYmo","View Creative")</f>
        <v>View Creative</v>
      </c>
      <c r="L4182" s="4" t="s">
        <v>60</v>
      </c>
      <c r="M4182" s="4" t="s">
        <v>7013</v>
      </c>
      <c r="N4182" s="4" t="s">
        <v>7040</v>
      </c>
      <c r="O4182" s="4" t="s">
        <v>63</v>
      </c>
      <c r="P4182" s="4" t="s">
        <v>64</v>
      </c>
    </row>
    <row r="4183">
      <c r="A4183" s="4" t="s">
        <v>7013</v>
      </c>
      <c r="B4183" s="4" t="s">
        <v>7014</v>
      </c>
      <c r="C4183" s="4">
        <v>132.0</v>
      </c>
      <c r="D4183" s="5" t="str">
        <f t="shared" si="489"/>
        <v>Open Ad</v>
      </c>
      <c r="E4183" s="4" t="s">
        <v>78</v>
      </c>
      <c r="F4183" s="4" t="s">
        <v>6765</v>
      </c>
      <c r="G4183" s="4" t="s">
        <v>7018</v>
      </c>
      <c r="H4183" s="4" t="s">
        <v>49</v>
      </c>
      <c r="I4183" s="4" t="s">
        <v>7016</v>
      </c>
      <c r="J4183" s="4" t="s">
        <v>78</v>
      </c>
      <c r="K4183" s="7" t="str">
        <f t="shared" si="490"/>
        <v>View Creative</v>
      </c>
      <c r="L4183" s="4" t="s">
        <v>60</v>
      </c>
      <c r="M4183" s="4" t="s">
        <v>7013</v>
      </c>
      <c r="N4183" s="4" t="s">
        <v>7040</v>
      </c>
      <c r="O4183" s="4" t="s">
        <v>63</v>
      </c>
      <c r="P4183" s="4" t="s">
        <v>64</v>
      </c>
    </row>
    <row r="4184">
      <c r="A4184" s="4" t="s">
        <v>7013</v>
      </c>
      <c r="B4184" s="4" t="s">
        <v>7014</v>
      </c>
      <c r="C4184" s="4">
        <v>133.0</v>
      </c>
      <c r="D4184" s="5" t="str">
        <f t="shared" ref="D4184:D4185" si="491">HYPERLINK("https://www.linkedin.com/ad-library/detail/1457419614","Open Ad")</f>
        <v>Open Ad</v>
      </c>
      <c r="E4184" s="4" t="s">
        <v>78</v>
      </c>
      <c r="F4184" s="4" t="s">
        <v>6765</v>
      </c>
      <c r="G4184" s="4" t="s">
        <v>7031</v>
      </c>
      <c r="H4184" s="4" t="s">
        <v>49</v>
      </c>
      <c r="I4184" s="4" t="s">
        <v>7016</v>
      </c>
      <c r="J4184" s="4" t="s">
        <v>78</v>
      </c>
      <c r="K4184" s="7" t="str">
        <f t="shared" ref="K4184:K4185" si="492">HYPERLINK("https://media.licdn.com/dms/image/v2/D4E10AQExh4rmJC5IEA/image-shrink_1280/B4EZ7PBG8LJYAc-/0/1781589635154/A2-C4jpg?e=2147483647&amp;v=beta&amp;t=zuMWFlvEIhGikYjrPhKmomgSrR5Nx39hHN-pslXHZ_Q","View Creative")</f>
        <v>View Creative</v>
      </c>
      <c r="L4184" s="4" t="s">
        <v>60</v>
      </c>
      <c r="M4184" s="4" t="s">
        <v>7013</v>
      </c>
      <c r="N4184" s="4" t="s">
        <v>7049</v>
      </c>
      <c r="O4184" s="4" t="s">
        <v>63</v>
      </c>
      <c r="P4184" s="4" t="s">
        <v>64</v>
      </c>
    </row>
    <row r="4185">
      <c r="A4185" s="4" t="s">
        <v>7013</v>
      </c>
      <c r="B4185" s="4" t="s">
        <v>7014</v>
      </c>
      <c r="C4185" s="4">
        <v>134.0</v>
      </c>
      <c r="D4185" s="5" t="str">
        <f t="shared" si="491"/>
        <v>Open Ad</v>
      </c>
      <c r="E4185" s="4" t="s">
        <v>78</v>
      </c>
      <c r="F4185" s="4" t="s">
        <v>6765</v>
      </c>
      <c r="G4185" s="4" t="s">
        <v>7031</v>
      </c>
      <c r="H4185" s="4" t="s">
        <v>49</v>
      </c>
      <c r="I4185" s="4" t="s">
        <v>7016</v>
      </c>
      <c r="J4185" s="4" t="s">
        <v>78</v>
      </c>
      <c r="K4185" s="7" t="str">
        <f t="shared" si="492"/>
        <v>View Creative</v>
      </c>
      <c r="L4185" s="4" t="s">
        <v>60</v>
      </c>
      <c r="M4185" s="4" t="s">
        <v>7013</v>
      </c>
      <c r="N4185" s="4" t="s">
        <v>7049</v>
      </c>
      <c r="O4185" s="4" t="s">
        <v>63</v>
      </c>
      <c r="P4185" s="4" t="s">
        <v>64</v>
      </c>
    </row>
    <row r="4186">
      <c r="A4186" s="4" t="s">
        <v>7013</v>
      </c>
      <c r="B4186" s="4" t="s">
        <v>7014</v>
      </c>
      <c r="C4186" s="4">
        <v>135.0</v>
      </c>
      <c r="D4186" s="5" t="str">
        <f t="shared" ref="D4186:D4187" si="493">HYPERLINK("https://www.linkedin.com/ad-library/detail/1458653924","Open Ad")</f>
        <v>Open Ad</v>
      </c>
      <c r="E4186" s="4" t="s">
        <v>78</v>
      </c>
      <c r="F4186" s="4" t="s">
        <v>6765</v>
      </c>
      <c r="G4186" s="4" t="s">
        <v>7044</v>
      </c>
      <c r="H4186" s="4" t="s">
        <v>49</v>
      </c>
      <c r="I4186" s="4" t="s">
        <v>7016</v>
      </c>
      <c r="J4186" s="4" t="s">
        <v>78</v>
      </c>
      <c r="K4186" s="7" t="str">
        <f t="shared" ref="K4186:K4187" si="494">HYPERLINK("https://media.licdn.com/dms/image/v2/D4E10AQGrpDCaK6FnSw/image-shrink_1280/B4EZ7PA8SFKwAc-/0/1781589591488/A2-C1jpg?e=2147483647&amp;v=beta&amp;t=CD7sAzsJi4BrhyeJe2LdRZ2uzTXkLNtfFX3hvNtbosQ","View Creative")</f>
        <v>View Creative</v>
      </c>
      <c r="L4186" s="4" t="s">
        <v>60</v>
      </c>
      <c r="M4186" s="4" t="s">
        <v>7013</v>
      </c>
      <c r="N4186" s="4" t="s">
        <v>7040</v>
      </c>
      <c r="O4186" s="4" t="s">
        <v>63</v>
      </c>
      <c r="P4186" s="4" t="s">
        <v>64</v>
      </c>
    </row>
    <row r="4187">
      <c r="A4187" s="4" t="s">
        <v>7013</v>
      </c>
      <c r="B4187" s="4" t="s">
        <v>7014</v>
      </c>
      <c r="C4187" s="4">
        <v>136.0</v>
      </c>
      <c r="D4187" s="5" t="str">
        <f t="shared" si="493"/>
        <v>Open Ad</v>
      </c>
      <c r="E4187" s="4" t="s">
        <v>78</v>
      </c>
      <c r="F4187" s="4" t="s">
        <v>6765</v>
      </c>
      <c r="G4187" s="4" t="s">
        <v>7044</v>
      </c>
      <c r="H4187" s="4" t="s">
        <v>49</v>
      </c>
      <c r="I4187" s="4" t="s">
        <v>7016</v>
      </c>
      <c r="J4187" s="4" t="s">
        <v>78</v>
      </c>
      <c r="K4187" s="7" t="str">
        <f t="shared" si="494"/>
        <v>View Creative</v>
      </c>
      <c r="L4187" s="4" t="s">
        <v>60</v>
      </c>
      <c r="M4187" s="4" t="s">
        <v>7013</v>
      </c>
      <c r="N4187" s="4" t="s">
        <v>7040</v>
      </c>
      <c r="O4187" s="4" t="s">
        <v>63</v>
      </c>
      <c r="P4187" s="4" t="s">
        <v>64</v>
      </c>
    </row>
    <row r="4188">
      <c r="A4188" s="4" t="s">
        <v>7013</v>
      </c>
      <c r="B4188" s="4" t="s">
        <v>7014</v>
      </c>
      <c r="C4188" s="4">
        <v>137.0</v>
      </c>
      <c r="D4188" s="5" t="str">
        <f t="shared" ref="D4188:D4189" si="495">HYPERLINK("https://www.linkedin.com/ad-library/detail/1458653904","Open Ad")</f>
        <v>Open Ad</v>
      </c>
      <c r="E4188" s="4" t="s">
        <v>78</v>
      </c>
      <c r="F4188" s="4" t="s">
        <v>6765</v>
      </c>
      <c r="G4188" s="4" t="s">
        <v>7023</v>
      </c>
      <c r="H4188" s="4" t="s">
        <v>49</v>
      </c>
      <c r="I4188" s="4" t="s">
        <v>7016</v>
      </c>
      <c r="J4188" s="4" t="s">
        <v>78</v>
      </c>
      <c r="K4188" s="7" t="str">
        <f t="shared" ref="K4188:K4189" si="496">HYPERLINK("https://media.licdn.com/dms/image/v2/D4E10AQF2ktfInfNdRA/image-shrink_1280/B4EZ7PAwycKkAc-/0/1781589544471/A1-C3jpg?e=2147483647&amp;v=beta&amp;t=4ZB7lsD7pClowz17nBscZmQ9yX3zLhyBGjzU36FpmnA","View Creative")</f>
        <v>View Creative</v>
      </c>
      <c r="L4188" s="4" t="s">
        <v>60</v>
      </c>
      <c r="M4188" s="4" t="s">
        <v>7013</v>
      </c>
      <c r="N4188" s="4" t="s">
        <v>7040</v>
      </c>
      <c r="O4188" s="4" t="s">
        <v>63</v>
      </c>
      <c r="P4188" s="4" t="s">
        <v>64</v>
      </c>
    </row>
    <row r="4189">
      <c r="A4189" s="4" t="s">
        <v>7013</v>
      </c>
      <c r="B4189" s="4" t="s">
        <v>7014</v>
      </c>
      <c r="C4189" s="4">
        <v>138.0</v>
      </c>
      <c r="D4189" s="5" t="str">
        <f t="shared" si="495"/>
        <v>Open Ad</v>
      </c>
      <c r="E4189" s="4" t="s">
        <v>78</v>
      </c>
      <c r="F4189" s="4" t="s">
        <v>6765</v>
      </c>
      <c r="G4189" s="4" t="s">
        <v>7023</v>
      </c>
      <c r="H4189" s="4" t="s">
        <v>49</v>
      </c>
      <c r="I4189" s="4" t="s">
        <v>7016</v>
      </c>
      <c r="J4189" s="4" t="s">
        <v>78</v>
      </c>
      <c r="K4189" s="7" t="str">
        <f t="shared" si="496"/>
        <v>View Creative</v>
      </c>
      <c r="L4189" s="4" t="s">
        <v>60</v>
      </c>
      <c r="M4189" s="4" t="s">
        <v>7013</v>
      </c>
      <c r="N4189" s="4" t="s">
        <v>7040</v>
      </c>
      <c r="O4189" s="4" t="s">
        <v>63</v>
      </c>
      <c r="P4189" s="4" t="s">
        <v>64</v>
      </c>
    </row>
    <row r="4190">
      <c r="A4190" s="4" t="s">
        <v>7013</v>
      </c>
      <c r="B4190" s="4" t="s">
        <v>7014</v>
      </c>
      <c r="C4190" s="4">
        <v>139.0</v>
      </c>
      <c r="D4190" s="5" t="str">
        <f t="shared" ref="D4190:D4191" si="497">HYPERLINK("https://www.linkedin.com/ad-library/detail/1458733834","Open Ad")</f>
        <v>Open Ad</v>
      </c>
      <c r="E4190" s="4" t="s">
        <v>78</v>
      </c>
      <c r="F4190" s="4" t="s">
        <v>6765</v>
      </c>
      <c r="G4190" s="4" t="s">
        <v>7037</v>
      </c>
      <c r="H4190" s="4" t="s">
        <v>49</v>
      </c>
      <c r="I4190" s="4" t="s">
        <v>7016</v>
      </c>
      <c r="J4190" s="4" t="s">
        <v>78</v>
      </c>
      <c r="K4190" s="7" t="str">
        <f t="shared" ref="K4190:K4191" si="498">HYPERLINK("https://media.licdn.com/dms/image/v2/D4E10AQE4pC45aYPR7g/image-shrink_1280/B4EZ7PBDR1HkAg-/0/1781589620129/A2-C3jpg?e=2147483647&amp;v=beta&amp;t=irAG_z469IUA5tn6BMvjaobhZGaB4yooO_oS-HBc0w4","View Creative")</f>
        <v>View Creative</v>
      </c>
      <c r="L4190" s="4" t="s">
        <v>60</v>
      </c>
      <c r="M4190" s="4" t="s">
        <v>7013</v>
      </c>
      <c r="N4190" s="4" t="s">
        <v>7040</v>
      </c>
      <c r="O4190" s="4" t="s">
        <v>63</v>
      </c>
      <c r="P4190" s="4" t="s">
        <v>64</v>
      </c>
    </row>
    <row r="4191">
      <c r="A4191" s="4" t="s">
        <v>7013</v>
      </c>
      <c r="B4191" s="4" t="s">
        <v>7014</v>
      </c>
      <c r="C4191" s="4">
        <v>140.0</v>
      </c>
      <c r="D4191" s="5" t="str">
        <f t="shared" si="497"/>
        <v>Open Ad</v>
      </c>
      <c r="E4191" s="4" t="s">
        <v>78</v>
      </c>
      <c r="F4191" s="4" t="s">
        <v>6765</v>
      </c>
      <c r="G4191" s="4" t="s">
        <v>7037</v>
      </c>
      <c r="H4191" s="4" t="s">
        <v>49</v>
      </c>
      <c r="I4191" s="4" t="s">
        <v>7016</v>
      </c>
      <c r="J4191" s="4" t="s">
        <v>78</v>
      </c>
      <c r="K4191" s="7" t="str">
        <f t="shared" si="498"/>
        <v>View Creative</v>
      </c>
      <c r="L4191" s="4" t="s">
        <v>60</v>
      </c>
      <c r="M4191" s="4" t="s">
        <v>7013</v>
      </c>
      <c r="N4191" s="4" t="s">
        <v>7040</v>
      </c>
      <c r="O4191" s="4" t="s">
        <v>63</v>
      </c>
      <c r="P4191" s="4" t="s">
        <v>64</v>
      </c>
    </row>
    <row r="4192">
      <c r="A4192" s="4" t="s">
        <v>7013</v>
      </c>
      <c r="B4192" s="4" t="s">
        <v>7014</v>
      </c>
      <c r="C4192" s="4">
        <v>141.0</v>
      </c>
      <c r="D4192" s="5" t="str">
        <f t="shared" ref="D4192:D4193" si="499">HYPERLINK("https://www.linkedin.com/ad-library/detail/1457458544","Open Ad")</f>
        <v>Open Ad</v>
      </c>
      <c r="E4192" s="4" t="s">
        <v>78</v>
      </c>
      <c r="F4192" s="4" t="s">
        <v>6765</v>
      </c>
      <c r="G4192" s="8" t="s">
        <v>7033</v>
      </c>
      <c r="H4192" s="4" t="s">
        <v>49</v>
      </c>
      <c r="I4192" s="4" t="s">
        <v>7016</v>
      </c>
      <c r="J4192" s="4" t="s">
        <v>78</v>
      </c>
      <c r="K4192" s="7" t="str">
        <f t="shared" ref="K4192:K4193" si="500">HYPERLINK("https://media.licdn.com/dms/image/v2/D4E10AQEtxr4fqT8NfQ/image-shrink_1280/B4EZ7PB3YvHMAc-/0/1781589833590/A3-C2jpg?e=2147483647&amp;v=beta&amp;t=AjlKWqgFYZfgDAV3dSPU-C_p1yWfgHI_ZLz-ENvzT4s","View Creative")</f>
        <v>View Creative</v>
      </c>
      <c r="L4192" s="4" t="s">
        <v>60</v>
      </c>
      <c r="M4192" s="4" t="s">
        <v>7013</v>
      </c>
      <c r="N4192" s="4" t="s">
        <v>7050</v>
      </c>
      <c r="O4192" s="4" t="s">
        <v>63</v>
      </c>
      <c r="P4192" s="4" t="s">
        <v>64</v>
      </c>
    </row>
    <row r="4193">
      <c r="A4193" s="4" t="s">
        <v>7013</v>
      </c>
      <c r="B4193" s="4" t="s">
        <v>7014</v>
      </c>
      <c r="C4193" s="4">
        <v>142.0</v>
      </c>
      <c r="D4193" s="5" t="str">
        <f t="shared" si="499"/>
        <v>Open Ad</v>
      </c>
      <c r="E4193" s="4" t="s">
        <v>78</v>
      </c>
      <c r="F4193" s="4" t="s">
        <v>6765</v>
      </c>
      <c r="G4193" s="8" t="s">
        <v>7033</v>
      </c>
      <c r="H4193" s="4" t="s">
        <v>49</v>
      </c>
      <c r="I4193" s="4" t="s">
        <v>7016</v>
      </c>
      <c r="J4193" s="4" t="s">
        <v>78</v>
      </c>
      <c r="K4193" s="7" t="str">
        <f t="shared" si="500"/>
        <v>View Creative</v>
      </c>
      <c r="L4193" s="4" t="s">
        <v>60</v>
      </c>
      <c r="M4193" s="4" t="s">
        <v>7013</v>
      </c>
      <c r="N4193" s="4" t="s">
        <v>7050</v>
      </c>
      <c r="O4193" s="4" t="s">
        <v>63</v>
      </c>
      <c r="P4193" s="4" t="s">
        <v>64</v>
      </c>
    </row>
    <row r="4194">
      <c r="A4194" s="4" t="s">
        <v>7013</v>
      </c>
      <c r="B4194" s="4" t="s">
        <v>7014</v>
      </c>
      <c r="C4194" s="4">
        <v>143.0</v>
      </c>
      <c r="D4194" s="5" t="str">
        <f t="shared" ref="D4194:D4195" si="501">HYPERLINK("https://www.linkedin.com/ad-library/detail/1457509074","Open Ad")</f>
        <v>Open Ad</v>
      </c>
      <c r="E4194" s="4" t="s">
        <v>78</v>
      </c>
      <c r="F4194" s="4" t="s">
        <v>6765</v>
      </c>
      <c r="G4194" s="4" t="s">
        <v>7023</v>
      </c>
      <c r="H4194" s="4" t="s">
        <v>49</v>
      </c>
      <c r="I4194" s="4" t="s">
        <v>7016</v>
      </c>
      <c r="J4194" s="4" t="s">
        <v>78</v>
      </c>
      <c r="K4194" s="7" t="str">
        <f t="shared" ref="K4194:K4195" si="502">HYPERLINK("https://media.licdn.com/dms/image/v2/D4E10AQF2ktfInfNdRA/image-shrink_1280/B4EZ7PAwycKkAc-/0/1781589544471/A1-C3jpg?e=2147483647&amp;v=beta&amp;t=4ZB7lsD7pClowz17nBscZmQ9yX3zLhyBGjzU36FpmnA","View Creative")</f>
        <v>View Creative</v>
      </c>
      <c r="L4194" s="4" t="s">
        <v>60</v>
      </c>
      <c r="M4194" s="4" t="s">
        <v>7013</v>
      </c>
      <c r="N4194" s="4" t="s">
        <v>7046</v>
      </c>
      <c r="O4194" s="4" t="s">
        <v>63</v>
      </c>
      <c r="P4194" s="4" t="s">
        <v>64</v>
      </c>
    </row>
    <row r="4195">
      <c r="A4195" s="4" t="s">
        <v>7013</v>
      </c>
      <c r="B4195" s="4" t="s">
        <v>7014</v>
      </c>
      <c r="C4195" s="4">
        <v>144.0</v>
      </c>
      <c r="D4195" s="5" t="str">
        <f t="shared" si="501"/>
        <v>Open Ad</v>
      </c>
      <c r="E4195" s="4" t="s">
        <v>78</v>
      </c>
      <c r="F4195" s="4" t="s">
        <v>6765</v>
      </c>
      <c r="G4195" s="4" t="s">
        <v>7023</v>
      </c>
      <c r="H4195" s="4" t="s">
        <v>49</v>
      </c>
      <c r="I4195" s="4" t="s">
        <v>7016</v>
      </c>
      <c r="J4195" s="4" t="s">
        <v>78</v>
      </c>
      <c r="K4195" s="7" t="str">
        <f t="shared" si="502"/>
        <v>View Creative</v>
      </c>
      <c r="L4195" s="4" t="s">
        <v>60</v>
      </c>
      <c r="M4195" s="4" t="s">
        <v>7013</v>
      </c>
      <c r="N4195" s="4" t="s">
        <v>7046</v>
      </c>
      <c r="O4195" s="4" t="s">
        <v>63</v>
      </c>
      <c r="P4195" s="4" t="s">
        <v>64</v>
      </c>
    </row>
    <row r="4196">
      <c r="A4196" s="4" t="s">
        <v>7013</v>
      </c>
      <c r="B4196" s="4" t="s">
        <v>7014</v>
      </c>
      <c r="C4196" s="4">
        <v>145.0</v>
      </c>
      <c r="D4196" s="5" t="str">
        <f t="shared" ref="D4196:D4197" si="503">HYPERLINK("https://www.linkedin.com/ad-library/detail/1457419644","Open Ad")</f>
        <v>Open Ad</v>
      </c>
      <c r="E4196" s="4" t="s">
        <v>78</v>
      </c>
      <c r="F4196" s="4" t="s">
        <v>6765</v>
      </c>
      <c r="G4196" s="4" t="s">
        <v>7041</v>
      </c>
      <c r="H4196" s="4" t="s">
        <v>49</v>
      </c>
      <c r="I4196" s="4" t="s">
        <v>7016</v>
      </c>
      <c r="J4196" s="4" t="s">
        <v>78</v>
      </c>
      <c r="K4196" s="7" t="str">
        <f t="shared" ref="K4196:K4197" si="504">HYPERLINK("https://media.licdn.com/dms/image/v2/D4E10AQHMra8bcCHO0A/image-shrink_1280/B4EZ7PB9xfJgAc-/0/1781589859722/A3-C4jpg?e=2147483647&amp;v=beta&amp;t=nCAppK4YstfRrJE6gsQvbsQ_Vn64cbuwRRghD0DqzSQ","View Creative")</f>
        <v>View Creative</v>
      </c>
      <c r="L4196" s="4" t="s">
        <v>60</v>
      </c>
      <c r="M4196" s="4" t="s">
        <v>7013</v>
      </c>
      <c r="N4196" s="4" t="s">
        <v>7049</v>
      </c>
      <c r="O4196" s="4" t="s">
        <v>63</v>
      </c>
      <c r="P4196" s="4" t="s">
        <v>64</v>
      </c>
    </row>
    <row r="4197">
      <c r="A4197" s="4" t="s">
        <v>7013</v>
      </c>
      <c r="B4197" s="4" t="s">
        <v>7014</v>
      </c>
      <c r="C4197" s="4">
        <v>146.0</v>
      </c>
      <c r="D4197" s="5" t="str">
        <f t="shared" si="503"/>
        <v>Open Ad</v>
      </c>
      <c r="E4197" s="4" t="s">
        <v>78</v>
      </c>
      <c r="F4197" s="4" t="s">
        <v>6765</v>
      </c>
      <c r="G4197" s="4" t="s">
        <v>7041</v>
      </c>
      <c r="H4197" s="4" t="s">
        <v>49</v>
      </c>
      <c r="I4197" s="4" t="s">
        <v>7016</v>
      </c>
      <c r="J4197" s="4" t="s">
        <v>78</v>
      </c>
      <c r="K4197" s="7" t="str">
        <f t="shared" si="504"/>
        <v>View Creative</v>
      </c>
      <c r="L4197" s="4" t="s">
        <v>60</v>
      </c>
      <c r="M4197" s="4" t="s">
        <v>7013</v>
      </c>
      <c r="N4197" s="4" t="s">
        <v>7049</v>
      </c>
      <c r="O4197" s="4" t="s">
        <v>63</v>
      </c>
      <c r="P4197" s="4" t="s">
        <v>64</v>
      </c>
    </row>
    <row r="4198">
      <c r="A4198" s="4" t="s">
        <v>7013</v>
      </c>
      <c r="B4198" s="4" t="s">
        <v>7014</v>
      </c>
      <c r="C4198" s="4">
        <v>147.0</v>
      </c>
      <c r="D4198" s="5" t="str">
        <f t="shared" ref="D4198:D4199" si="505">HYPERLINK("https://www.linkedin.com/ad-library/detail/1304480744","Open Ad")</f>
        <v>Open Ad</v>
      </c>
      <c r="E4198" s="4" t="s">
        <v>78</v>
      </c>
      <c r="F4198" s="4" t="s">
        <v>6765</v>
      </c>
      <c r="G4198" s="4" t="s">
        <v>7051</v>
      </c>
      <c r="H4198" s="4" t="s">
        <v>49</v>
      </c>
      <c r="I4198" s="4" t="s">
        <v>7016</v>
      </c>
      <c r="J4198" s="4" t="s">
        <v>78</v>
      </c>
      <c r="K4198" s="7" t="str">
        <f t="shared" ref="K4198:K4199" si="506">HYPERLINK("https://media.licdn.com/dms/image/v2/D4E10AQFaB0_BgVCVgg/image-shrink_1280/B4EZ4jRoiLGYAc-/0/1778708285885/ICP1_AdSetB_Lightjpg?e=2147483647&amp;v=beta&amp;t=zwdjCOeHo1DaveDtjS6srhNEN-1p8X9khzHo4lm_e4s","View Creative")</f>
        <v>View Creative</v>
      </c>
      <c r="L4198" s="4" t="s">
        <v>60</v>
      </c>
      <c r="M4198" s="4" t="s">
        <v>7013</v>
      </c>
      <c r="N4198" s="4" t="s">
        <v>7052</v>
      </c>
      <c r="O4198" s="4" t="s">
        <v>63</v>
      </c>
      <c r="P4198" s="4" t="s">
        <v>64</v>
      </c>
    </row>
    <row r="4199">
      <c r="A4199" s="4" t="s">
        <v>7013</v>
      </c>
      <c r="B4199" s="4" t="s">
        <v>7014</v>
      </c>
      <c r="C4199" s="4">
        <v>148.0</v>
      </c>
      <c r="D4199" s="5" t="str">
        <f t="shared" si="505"/>
        <v>Open Ad</v>
      </c>
      <c r="E4199" s="4" t="s">
        <v>78</v>
      </c>
      <c r="F4199" s="4" t="s">
        <v>6765</v>
      </c>
      <c r="G4199" s="4" t="s">
        <v>7051</v>
      </c>
      <c r="H4199" s="4" t="s">
        <v>49</v>
      </c>
      <c r="I4199" s="4" t="s">
        <v>7016</v>
      </c>
      <c r="J4199" s="4" t="s">
        <v>78</v>
      </c>
      <c r="K4199" s="7" t="str">
        <f t="shared" si="506"/>
        <v>View Creative</v>
      </c>
      <c r="L4199" s="4" t="s">
        <v>60</v>
      </c>
      <c r="M4199" s="4" t="s">
        <v>7013</v>
      </c>
      <c r="N4199" s="4" t="s">
        <v>7052</v>
      </c>
      <c r="O4199" s="4" t="s">
        <v>63</v>
      </c>
      <c r="P4199" s="4" t="s">
        <v>64</v>
      </c>
    </row>
    <row r="4200">
      <c r="A4200" s="4" t="s">
        <v>7013</v>
      </c>
      <c r="B4200" s="4" t="s">
        <v>7014</v>
      </c>
      <c r="C4200" s="4">
        <v>149.0</v>
      </c>
      <c r="D4200" s="5" t="str">
        <f t="shared" ref="D4200:D4201" si="507">HYPERLINK("https://www.linkedin.com/ad-library/detail/1294293084","Open Ad")</f>
        <v>Open Ad</v>
      </c>
      <c r="E4200" s="4" t="s">
        <v>78</v>
      </c>
      <c r="F4200" s="4" t="s">
        <v>6765</v>
      </c>
      <c r="G4200" s="4" t="s">
        <v>7053</v>
      </c>
      <c r="H4200" s="4" t="s">
        <v>49</v>
      </c>
      <c r="I4200" s="4" t="s">
        <v>7016</v>
      </c>
      <c r="J4200" s="4" t="s">
        <v>78</v>
      </c>
      <c r="K4200" s="7" t="str">
        <f t="shared" ref="K4200:K4201" si="508">HYPERLINK("https://media.licdn.com/dms/image/v2/D4E10AQHKYlK6J-77jg/image-shrink_1280/B4EZ4g1dr1HcAc-/0/1778667347056/ICP1_AdSetB_Lightjpg?e=2147483647&amp;v=beta&amp;t=NEyKJ8uwbqc1QBE7fYM8RB9xj9_-xmlis5h05iaibNw","View Creative")</f>
        <v>View Creative</v>
      </c>
      <c r="L4200" s="4" t="s">
        <v>60</v>
      </c>
      <c r="M4200" s="4" t="s">
        <v>7013</v>
      </c>
      <c r="N4200" s="4" t="s">
        <v>7054</v>
      </c>
      <c r="O4200" s="4" t="s">
        <v>63</v>
      </c>
      <c r="P4200" s="4" t="s">
        <v>64</v>
      </c>
    </row>
    <row r="4201">
      <c r="A4201" s="4" t="s">
        <v>7013</v>
      </c>
      <c r="B4201" s="4" t="s">
        <v>7014</v>
      </c>
      <c r="C4201" s="4">
        <v>150.0</v>
      </c>
      <c r="D4201" s="5" t="str">
        <f t="shared" si="507"/>
        <v>Open Ad</v>
      </c>
      <c r="E4201" s="4" t="s">
        <v>78</v>
      </c>
      <c r="F4201" s="4" t="s">
        <v>6765</v>
      </c>
      <c r="G4201" s="4" t="s">
        <v>7053</v>
      </c>
      <c r="H4201" s="4" t="s">
        <v>49</v>
      </c>
      <c r="I4201" s="4" t="s">
        <v>7016</v>
      </c>
      <c r="J4201" s="4" t="s">
        <v>78</v>
      </c>
      <c r="K4201" s="7" t="str">
        <f t="shared" si="508"/>
        <v>View Creative</v>
      </c>
      <c r="L4201" s="4" t="s">
        <v>60</v>
      </c>
      <c r="M4201" s="4" t="s">
        <v>7013</v>
      </c>
      <c r="N4201" s="4" t="s">
        <v>7054</v>
      </c>
      <c r="O4201" s="4" t="s">
        <v>63</v>
      </c>
      <c r="P4201" s="4" t="s">
        <v>64</v>
      </c>
    </row>
    <row r="4202">
      <c r="A4202" s="4" t="s">
        <v>7013</v>
      </c>
      <c r="B4202" s="4" t="s">
        <v>7014</v>
      </c>
      <c r="C4202" s="4">
        <v>151.0</v>
      </c>
      <c r="D4202" s="5" t="str">
        <f t="shared" ref="D4202:D4203" si="509">HYPERLINK("https://www.linkedin.com/ad-library/detail/1295293244","Open Ad")</f>
        <v>Open Ad</v>
      </c>
      <c r="E4202" s="4" t="s">
        <v>78</v>
      </c>
      <c r="F4202" s="4" t="s">
        <v>6765</v>
      </c>
      <c r="G4202" s="4" t="s">
        <v>7055</v>
      </c>
      <c r="H4202" s="4" t="s">
        <v>49</v>
      </c>
      <c r="I4202" s="4" t="s">
        <v>7016</v>
      </c>
      <c r="J4202" s="4" t="s">
        <v>78</v>
      </c>
      <c r="K4202" s="7" t="str">
        <f t="shared" ref="K4202:K4203" si="510">HYPERLINK("https://media.licdn.com/dms/image/v2/D4E10AQG43wfMm1PRag/image-shrink_1280/B4EZ4gx_D8J4Ac-/0/1778666435167/ICP3_AdSetC_Lightjpg?e=2147483647&amp;v=beta&amp;t=ENJsR-mmxAIw0-L7588ziH1tXVY8GJ5daC4rLljvtFU","View Creative")</f>
        <v>View Creative</v>
      </c>
      <c r="L4202" s="4" t="s">
        <v>60</v>
      </c>
      <c r="M4202" s="4" t="s">
        <v>7013</v>
      </c>
      <c r="N4202" s="4"/>
      <c r="O4202" s="4" t="s">
        <v>63</v>
      </c>
      <c r="P4202" s="4" t="s">
        <v>64</v>
      </c>
    </row>
    <row r="4203">
      <c r="A4203" s="4" t="s">
        <v>7013</v>
      </c>
      <c r="B4203" s="4" t="s">
        <v>7014</v>
      </c>
      <c r="C4203" s="4">
        <v>152.0</v>
      </c>
      <c r="D4203" s="5" t="str">
        <f t="shared" si="509"/>
        <v>Open Ad</v>
      </c>
      <c r="E4203" s="4" t="s">
        <v>78</v>
      </c>
      <c r="F4203" s="4" t="s">
        <v>6765</v>
      </c>
      <c r="G4203" s="4" t="s">
        <v>7055</v>
      </c>
      <c r="H4203" s="4" t="s">
        <v>49</v>
      </c>
      <c r="I4203" s="4" t="s">
        <v>7016</v>
      </c>
      <c r="J4203" s="4" t="s">
        <v>78</v>
      </c>
      <c r="K4203" s="7" t="str">
        <f t="shared" si="510"/>
        <v>View Creative</v>
      </c>
      <c r="L4203" s="4" t="s">
        <v>60</v>
      </c>
      <c r="M4203" s="4" t="s">
        <v>7013</v>
      </c>
      <c r="N4203" s="4"/>
      <c r="O4203" s="4" t="s">
        <v>63</v>
      </c>
      <c r="P4203" s="4" t="s">
        <v>64</v>
      </c>
    </row>
    <row r="4204">
      <c r="A4204" s="4" t="s">
        <v>7013</v>
      </c>
      <c r="B4204" s="4" t="s">
        <v>7014</v>
      </c>
      <c r="C4204" s="4">
        <v>153.0</v>
      </c>
      <c r="D4204" s="5" t="str">
        <f t="shared" ref="D4204:D4205" si="511">HYPERLINK("https://www.linkedin.com/ad-library/detail/1295693464","Open Ad")</f>
        <v>Open Ad</v>
      </c>
      <c r="E4204" s="4" t="s">
        <v>78</v>
      </c>
      <c r="F4204" s="4" t="s">
        <v>6765</v>
      </c>
      <c r="G4204" s="4" t="s">
        <v>7053</v>
      </c>
      <c r="H4204" s="4" t="s">
        <v>49</v>
      </c>
      <c r="I4204" s="4" t="s">
        <v>7016</v>
      </c>
      <c r="J4204" s="4" t="s">
        <v>78</v>
      </c>
      <c r="K4204" s="7" t="str">
        <f t="shared" ref="K4204:K4205" si="512">HYPERLINK("https://media.licdn.com/dms/image/v2/D4E10AQHKYlK6J-77jg/image-shrink_1280/B4EZ4g1dr1HcAc-/0/1778667347056/ICP1_AdSetB_Lightjpg?e=2147483647&amp;v=beta&amp;t=NEyKJ8uwbqc1QBE7fYM8RB9xj9_-xmlis5h05iaibNw","View Creative")</f>
        <v>View Creative</v>
      </c>
      <c r="L4204" s="4" t="s">
        <v>60</v>
      </c>
      <c r="M4204" s="4" t="s">
        <v>7013</v>
      </c>
      <c r="N4204" s="4"/>
      <c r="O4204" s="4" t="s">
        <v>63</v>
      </c>
      <c r="P4204" s="4" t="s">
        <v>64</v>
      </c>
    </row>
    <row r="4205">
      <c r="A4205" s="4" t="s">
        <v>7013</v>
      </c>
      <c r="B4205" s="4" t="s">
        <v>7014</v>
      </c>
      <c r="C4205" s="4">
        <v>154.0</v>
      </c>
      <c r="D4205" s="5" t="str">
        <f t="shared" si="511"/>
        <v>Open Ad</v>
      </c>
      <c r="E4205" s="4" t="s">
        <v>78</v>
      </c>
      <c r="F4205" s="4" t="s">
        <v>6765</v>
      </c>
      <c r="G4205" s="4" t="s">
        <v>7053</v>
      </c>
      <c r="H4205" s="4" t="s">
        <v>49</v>
      </c>
      <c r="I4205" s="4" t="s">
        <v>7016</v>
      </c>
      <c r="J4205" s="4" t="s">
        <v>78</v>
      </c>
      <c r="K4205" s="7" t="str">
        <f t="shared" si="512"/>
        <v>View Creative</v>
      </c>
      <c r="L4205" s="4" t="s">
        <v>60</v>
      </c>
      <c r="M4205" s="4" t="s">
        <v>7013</v>
      </c>
      <c r="N4205" s="4"/>
      <c r="O4205" s="4" t="s">
        <v>63</v>
      </c>
      <c r="P4205" s="4" t="s">
        <v>64</v>
      </c>
    </row>
    <row r="4206">
      <c r="A4206" s="4" t="s">
        <v>7013</v>
      </c>
      <c r="B4206" s="4" t="s">
        <v>7014</v>
      </c>
      <c r="C4206" s="4">
        <v>155.0</v>
      </c>
      <c r="D4206" s="5" t="str">
        <f t="shared" ref="D4206:D4207" si="513">HYPERLINK("https://www.linkedin.com/ad-library/detail/1295593164","Open Ad")</f>
        <v>Open Ad</v>
      </c>
      <c r="E4206" s="4" t="s">
        <v>78</v>
      </c>
      <c r="F4206" s="4" t="s">
        <v>6765</v>
      </c>
      <c r="G4206" s="4" t="s">
        <v>7056</v>
      </c>
      <c r="H4206" s="4" t="s">
        <v>49</v>
      </c>
      <c r="I4206" s="4" t="s">
        <v>7016</v>
      </c>
      <c r="J4206" s="4" t="s">
        <v>78</v>
      </c>
      <c r="K4206" s="7" t="str">
        <f t="shared" ref="K4206:K4207" si="514">HYPERLINK("https://media.licdn.com/dms/image/v2/D4E10AQExnssFHT2gXw/image-shrink_1280/B4EZ4g0B.cIcAc-/0/1778666971401/ICP2_AdSetB_Lightjpg?e=2147483647&amp;v=beta&amp;t=8MFQWCH_KTuEAs4MpfH4kFaEM5JtgUvpzQUZVlD8pBk","View Creative")</f>
        <v>View Creative</v>
      </c>
      <c r="L4206" s="4" t="s">
        <v>60</v>
      </c>
      <c r="M4206" s="4" t="s">
        <v>7013</v>
      </c>
      <c r="N4206" s="4" t="s">
        <v>7054</v>
      </c>
      <c r="O4206" s="4" t="s">
        <v>63</v>
      </c>
      <c r="P4206" s="4" t="s">
        <v>64</v>
      </c>
    </row>
    <row r="4207">
      <c r="A4207" s="4" t="s">
        <v>7013</v>
      </c>
      <c r="B4207" s="4" t="s">
        <v>7014</v>
      </c>
      <c r="C4207" s="4">
        <v>156.0</v>
      </c>
      <c r="D4207" s="5" t="str">
        <f t="shared" si="513"/>
        <v>Open Ad</v>
      </c>
      <c r="E4207" s="4" t="s">
        <v>78</v>
      </c>
      <c r="F4207" s="4" t="s">
        <v>6765</v>
      </c>
      <c r="G4207" s="4" t="s">
        <v>7056</v>
      </c>
      <c r="H4207" s="4" t="s">
        <v>49</v>
      </c>
      <c r="I4207" s="4" t="s">
        <v>7016</v>
      </c>
      <c r="J4207" s="4" t="s">
        <v>78</v>
      </c>
      <c r="K4207" s="7" t="str">
        <f t="shared" si="514"/>
        <v>View Creative</v>
      </c>
      <c r="L4207" s="4" t="s">
        <v>60</v>
      </c>
      <c r="M4207" s="4" t="s">
        <v>7013</v>
      </c>
      <c r="N4207" s="4" t="s">
        <v>7054</v>
      </c>
      <c r="O4207" s="4" t="s">
        <v>63</v>
      </c>
      <c r="P4207" s="4" t="s">
        <v>64</v>
      </c>
    </row>
    <row r="4208">
      <c r="A4208" s="4" t="s">
        <v>7013</v>
      </c>
      <c r="B4208" s="4" t="s">
        <v>7014</v>
      </c>
      <c r="C4208" s="4">
        <v>157.0</v>
      </c>
      <c r="D4208" s="5" t="str">
        <f t="shared" ref="D4208:D4209" si="515">HYPERLINK("https://www.linkedin.com/ad-library/detail/1295202774","Open Ad")</f>
        <v>Open Ad</v>
      </c>
      <c r="E4208" s="4" t="s">
        <v>78</v>
      </c>
      <c r="F4208" s="4" t="s">
        <v>6765</v>
      </c>
      <c r="G4208" s="4" t="s">
        <v>7053</v>
      </c>
      <c r="H4208" s="4" t="s">
        <v>49</v>
      </c>
      <c r="I4208" s="4" t="s">
        <v>7016</v>
      </c>
      <c r="J4208" s="4" t="s">
        <v>78</v>
      </c>
      <c r="K4208" s="7" t="str">
        <f t="shared" ref="K4208:K4209" si="516">HYPERLINK("https://media.licdn.com/dms/image/v2/D4E10AQHKYlK6J-77jg/image-shrink_1280/B4EZ4g1dr1HcAc-/0/1778667347056/ICP1_AdSetB_Lightjpg?e=2147483647&amp;v=beta&amp;t=NEyKJ8uwbqc1QBE7fYM8RB9xj9_-xmlis5h05iaibNw","View Creative")</f>
        <v>View Creative</v>
      </c>
      <c r="L4208" s="4" t="s">
        <v>60</v>
      </c>
      <c r="M4208" s="4" t="s">
        <v>7013</v>
      </c>
      <c r="N4208" s="4" t="s">
        <v>7057</v>
      </c>
      <c r="O4208" s="4" t="s">
        <v>63</v>
      </c>
      <c r="P4208" s="4" t="s">
        <v>64</v>
      </c>
    </row>
    <row r="4209">
      <c r="A4209" s="4" t="s">
        <v>7013</v>
      </c>
      <c r="B4209" s="4" t="s">
        <v>7014</v>
      </c>
      <c r="C4209" s="4">
        <v>158.0</v>
      </c>
      <c r="D4209" s="5" t="str">
        <f t="shared" si="515"/>
        <v>Open Ad</v>
      </c>
      <c r="E4209" s="4" t="s">
        <v>78</v>
      </c>
      <c r="F4209" s="4" t="s">
        <v>6765</v>
      </c>
      <c r="G4209" s="4" t="s">
        <v>7053</v>
      </c>
      <c r="H4209" s="4" t="s">
        <v>49</v>
      </c>
      <c r="I4209" s="4" t="s">
        <v>7016</v>
      </c>
      <c r="J4209" s="4" t="s">
        <v>78</v>
      </c>
      <c r="K4209" s="7" t="str">
        <f t="shared" si="516"/>
        <v>View Creative</v>
      </c>
      <c r="L4209" s="4" t="s">
        <v>60</v>
      </c>
      <c r="M4209" s="4" t="s">
        <v>7013</v>
      </c>
      <c r="N4209" s="4" t="s">
        <v>7057</v>
      </c>
      <c r="O4209" s="4" t="s">
        <v>63</v>
      </c>
      <c r="P4209" s="4" t="s">
        <v>64</v>
      </c>
    </row>
    <row r="4210">
      <c r="A4210" s="4" t="s">
        <v>7013</v>
      </c>
      <c r="B4210" s="4" t="s">
        <v>7014</v>
      </c>
      <c r="C4210" s="4">
        <v>159.0</v>
      </c>
      <c r="D4210" s="5" t="str">
        <f t="shared" ref="D4210:D4211" si="517">HYPERLINK("https://www.linkedin.com/ad-library/detail/1295002904","Open Ad")</f>
        <v>Open Ad</v>
      </c>
      <c r="E4210" s="4" t="s">
        <v>78</v>
      </c>
      <c r="F4210" s="4" t="s">
        <v>6765</v>
      </c>
      <c r="G4210" s="4" t="s">
        <v>7056</v>
      </c>
      <c r="H4210" s="4" t="s">
        <v>49</v>
      </c>
      <c r="I4210" s="4" t="s">
        <v>7016</v>
      </c>
      <c r="J4210" s="4" t="s">
        <v>78</v>
      </c>
      <c r="K4210" s="7" t="str">
        <f t="shared" ref="K4210:K4211" si="518">HYPERLINK("https://media.licdn.com/dms/image/v2/D4E10AQExnssFHT2gXw/image-shrink_1280/B4EZ4g0B.cIcAc-/0/1778666971401/ICP2_AdSetB_Lightjpg?e=2147483647&amp;v=beta&amp;t=8MFQWCH_KTuEAs4MpfH4kFaEM5JtgUvpzQUZVlD8pBk","View Creative")</f>
        <v>View Creative</v>
      </c>
      <c r="L4210" s="4" t="s">
        <v>60</v>
      </c>
      <c r="M4210" s="4" t="s">
        <v>7013</v>
      </c>
      <c r="N4210" s="4" t="s">
        <v>7057</v>
      </c>
      <c r="O4210" s="4" t="s">
        <v>63</v>
      </c>
      <c r="P4210" s="4" t="s">
        <v>64</v>
      </c>
    </row>
    <row r="4211">
      <c r="A4211" s="4" t="s">
        <v>7013</v>
      </c>
      <c r="B4211" s="4" t="s">
        <v>7014</v>
      </c>
      <c r="C4211" s="4">
        <v>160.0</v>
      </c>
      <c r="D4211" s="5" t="str">
        <f t="shared" si="517"/>
        <v>Open Ad</v>
      </c>
      <c r="E4211" s="4" t="s">
        <v>78</v>
      </c>
      <c r="F4211" s="4" t="s">
        <v>6765</v>
      </c>
      <c r="G4211" s="4" t="s">
        <v>7056</v>
      </c>
      <c r="H4211" s="4" t="s">
        <v>49</v>
      </c>
      <c r="I4211" s="4" t="s">
        <v>7016</v>
      </c>
      <c r="J4211" s="4" t="s">
        <v>78</v>
      </c>
      <c r="K4211" s="7" t="str">
        <f t="shared" si="518"/>
        <v>View Creative</v>
      </c>
      <c r="L4211" s="4" t="s">
        <v>60</v>
      </c>
      <c r="M4211" s="4" t="s">
        <v>7013</v>
      </c>
      <c r="N4211" s="4" t="s">
        <v>7057</v>
      </c>
      <c r="O4211" s="4" t="s">
        <v>63</v>
      </c>
      <c r="P4211" s="4" t="s">
        <v>64</v>
      </c>
    </row>
    <row r="4212">
      <c r="A4212" s="4" t="s">
        <v>7013</v>
      </c>
      <c r="B4212" s="4" t="s">
        <v>7014</v>
      </c>
      <c r="C4212" s="4">
        <v>161.0</v>
      </c>
      <c r="D4212" s="5" t="str">
        <f t="shared" ref="D4212:D4213" si="519">HYPERLINK("https://www.linkedin.com/ad-library/detail/1295703044","Open Ad")</f>
        <v>Open Ad</v>
      </c>
      <c r="E4212" s="4" t="s">
        <v>78</v>
      </c>
      <c r="F4212" s="4" t="s">
        <v>6765</v>
      </c>
      <c r="G4212" s="4" t="s">
        <v>7051</v>
      </c>
      <c r="H4212" s="4" t="s">
        <v>49</v>
      </c>
      <c r="I4212" s="4" t="s">
        <v>7016</v>
      </c>
      <c r="J4212" s="4" t="s">
        <v>78</v>
      </c>
      <c r="K4212" s="7" t="str">
        <f t="shared" ref="K4212:K4213" si="520">HYPERLINK("https://media.licdn.com/dms/image/v2/D4E10AQFaB0_BgVCVgg/image-shrink_1280/B4EZ4jRoiLGYAc-/0/1778708285885/ICP1_AdSetB_Lightjpg?e=2147483647&amp;v=beta&amp;t=zwdjCOeHo1DaveDtjS6srhNEN-1p8X9khzHo4lm_e4s","View Creative")</f>
        <v>View Creative</v>
      </c>
      <c r="L4212" s="4" t="s">
        <v>60</v>
      </c>
      <c r="M4212" s="4" t="s">
        <v>7013</v>
      </c>
      <c r="N4212" s="4" t="s">
        <v>7058</v>
      </c>
      <c r="O4212" s="4" t="s">
        <v>63</v>
      </c>
      <c r="P4212" s="4" t="s">
        <v>64</v>
      </c>
    </row>
    <row r="4213">
      <c r="A4213" s="4" t="s">
        <v>7013</v>
      </c>
      <c r="B4213" s="4" t="s">
        <v>7014</v>
      </c>
      <c r="C4213" s="4">
        <v>162.0</v>
      </c>
      <c r="D4213" s="5" t="str">
        <f t="shared" si="519"/>
        <v>Open Ad</v>
      </c>
      <c r="E4213" s="4" t="s">
        <v>78</v>
      </c>
      <c r="F4213" s="4" t="s">
        <v>6765</v>
      </c>
      <c r="G4213" s="4" t="s">
        <v>7051</v>
      </c>
      <c r="H4213" s="4" t="s">
        <v>49</v>
      </c>
      <c r="I4213" s="4" t="s">
        <v>7016</v>
      </c>
      <c r="J4213" s="4" t="s">
        <v>78</v>
      </c>
      <c r="K4213" s="7" t="str">
        <f t="shared" si="520"/>
        <v>View Creative</v>
      </c>
      <c r="L4213" s="4" t="s">
        <v>60</v>
      </c>
      <c r="M4213" s="4" t="s">
        <v>7013</v>
      </c>
      <c r="N4213" s="4" t="s">
        <v>7058</v>
      </c>
      <c r="O4213" s="4" t="s">
        <v>63</v>
      </c>
      <c r="P4213" s="4" t="s">
        <v>64</v>
      </c>
    </row>
    <row r="4214">
      <c r="A4214" s="4" t="s">
        <v>7013</v>
      </c>
      <c r="B4214" s="4" t="s">
        <v>7014</v>
      </c>
      <c r="C4214" s="4">
        <v>163.0</v>
      </c>
      <c r="D4214" s="5" t="str">
        <f t="shared" ref="D4214:D4215" si="521">HYPERLINK("https://www.linkedin.com/ad-library/detail/1294092944","Open Ad")</f>
        <v>Open Ad</v>
      </c>
      <c r="E4214" s="4" t="s">
        <v>78</v>
      </c>
      <c r="F4214" s="4" t="s">
        <v>6765</v>
      </c>
      <c r="G4214" s="4" t="s">
        <v>7053</v>
      </c>
      <c r="H4214" s="4" t="s">
        <v>49</v>
      </c>
      <c r="I4214" s="4" t="s">
        <v>7016</v>
      </c>
      <c r="J4214" s="4" t="s">
        <v>78</v>
      </c>
      <c r="K4214" s="7" t="str">
        <f t="shared" ref="K4214:K4215" si="522">HYPERLINK("https://media.licdn.com/dms/image/v2/D4E10AQHKYlK6J-77jg/image-shrink_1280/B4EZ4g1dr1HcAc-/0/1778667347056/ICP1_AdSetB_Lightjpg?e=2147483647&amp;v=beta&amp;t=NEyKJ8uwbqc1QBE7fYM8RB9xj9_-xmlis5h05iaibNw","View Creative")</f>
        <v>View Creative</v>
      </c>
      <c r="L4214" s="4" t="s">
        <v>60</v>
      </c>
      <c r="M4214" s="4" t="s">
        <v>7013</v>
      </c>
      <c r="N4214" s="4" t="s">
        <v>7054</v>
      </c>
      <c r="O4214" s="4" t="s">
        <v>63</v>
      </c>
      <c r="P4214" s="4" t="s">
        <v>64</v>
      </c>
    </row>
    <row r="4215">
      <c r="A4215" s="4" t="s">
        <v>7013</v>
      </c>
      <c r="B4215" s="4" t="s">
        <v>7014</v>
      </c>
      <c r="C4215" s="4">
        <v>164.0</v>
      </c>
      <c r="D4215" s="5" t="str">
        <f t="shared" si="521"/>
        <v>Open Ad</v>
      </c>
      <c r="E4215" s="4" t="s">
        <v>78</v>
      </c>
      <c r="F4215" s="4" t="s">
        <v>6765</v>
      </c>
      <c r="G4215" s="4" t="s">
        <v>7053</v>
      </c>
      <c r="H4215" s="4" t="s">
        <v>49</v>
      </c>
      <c r="I4215" s="4" t="s">
        <v>7016</v>
      </c>
      <c r="J4215" s="4" t="s">
        <v>78</v>
      </c>
      <c r="K4215" s="7" t="str">
        <f t="shared" si="522"/>
        <v>View Creative</v>
      </c>
      <c r="L4215" s="4" t="s">
        <v>60</v>
      </c>
      <c r="M4215" s="4" t="s">
        <v>7013</v>
      </c>
      <c r="N4215" s="4" t="s">
        <v>7054</v>
      </c>
      <c r="O4215" s="4" t="s">
        <v>63</v>
      </c>
      <c r="P4215" s="4" t="s">
        <v>64</v>
      </c>
    </row>
    <row r="4216">
      <c r="A4216" s="4" t="s">
        <v>7013</v>
      </c>
      <c r="B4216" s="4" t="s">
        <v>7014</v>
      </c>
      <c r="C4216" s="4">
        <v>165.0</v>
      </c>
      <c r="D4216" s="5" t="str">
        <f t="shared" ref="D4216:D4217" si="523">HYPERLINK("https://www.linkedin.com/ad-library/detail/1296293074","Open Ad")</f>
        <v>Open Ad</v>
      </c>
      <c r="E4216" s="4" t="s">
        <v>78</v>
      </c>
      <c r="F4216" s="4" t="s">
        <v>6765</v>
      </c>
      <c r="G4216" s="4" t="s">
        <v>7056</v>
      </c>
      <c r="H4216" s="4" t="s">
        <v>49</v>
      </c>
      <c r="I4216" s="4" t="s">
        <v>7016</v>
      </c>
      <c r="J4216" s="4" t="s">
        <v>78</v>
      </c>
      <c r="K4216" s="7" t="str">
        <f t="shared" ref="K4216:K4217" si="524">HYPERLINK("https://media.licdn.com/dms/image/v2/D4E10AQExnssFHT2gXw/image-shrink_1280/B4EZ4g0B.cIcAc-/0/1778666971401/ICP2_AdSetB_Lightjpg?e=2147483647&amp;v=beta&amp;t=8MFQWCH_KTuEAs4MpfH4kFaEM5JtgUvpzQUZVlD8pBk","View Creative")</f>
        <v>View Creative</v>
      </c>
      <c r="L4216" s="4" t="s">
        <v>60</v>
      </c>
      <c r="M4216" s="4" t="s">
        <v>7013</v>
      </c>
      <c r="N4216" s="4" t="s">
        <v>7054</v>
      </c>
      <c r="O4216" s="4" t="s">
        <v>63</v>
      </c>
      <c r="P4216" s="4" t="s">
        <v>64</v>
      </c>
    </row>
    <row r="4217">
      <c r="A4217" s="4" t="s">
        <v>7013</v>
      </c>
      <c r="B4217" s="4" t="s">
        <v>7014</v>
      </c>
      <c r="C4217" s="4">
        <v>166.0</v>
      </c>
      <c r="D4217" s="5" t="str">
        <f t="shared" si="523"/>
        <v>Open Ad</v>
      </c>
      <c r="E4217" s="4" t="s">
        <v>78</v>
      </c>
      <c r="F4217" s="4" t="s">
        <v>6765</v>
      </c>
      <c r="G4217" s="4" t="s">
        <v>7056</v>
      </c>
      <c r="H4217" s="4" t="s">
        <v>49</v>
      </c>
      <c r="I4217" s="4" t="s">
        <v>7016</v>
      </c>
      <c r="J4217" s="4" t="s">
        <v>78</v>
      </c>
      <c r="K4217" s="7" t="str">
        <f t="shared" si="524"/>
        <v>View Creative</v>
      </c>
      <c r="L4217" s="4" t="s">
        <v>60</v>
      </c>
      <c r="M4217" s="4" t="s">
        <v>7013</v>
      </c>
      <c r="N4217" s="4" t="s">
        <v>7054</v>
      </c>
      <c r="O4217" s="4" t="s">
        <v>63</v>
      </c>
      <c r="P4217" s="4" t="s">
        <v>64</v>
      </c>
    </row>
    <row r="4218">
      <c r="A4218" s="4" t="s">
        <v>7013</v>
      </c>
      <c r="B4218" s="4" t="s">
        <v>7014</v>
      </c>
      <c r="C4218" s="4">
        <v>167.0</v>
      </c>
      <c r="D4218" s="5" t="str">
        <f t="shared" ref="D4218:D4219" si="525">HYPERLINK("https://www.linkedin.com/ad-library/detail/1295103944","Open Ad")</f>
        <v>Open Ad</v>
      </c>
      <c r="E4218" s="4" t="s">
        <v>78</v>
      </c>
      <c r="F4218" s="4" t="s">
        <v>6765</v>
      </c>
      <c r="G4218" s="4" t="s">
        <v>7059</v>
      </c>
      <c r="H4218" s="4" t="s">
        <v>49</v>
      </c>
      <c r="I4218" s="4" t="s">
        <v>7016</v>
      </c>
      <c r="J4218" s="4" t="s">
        <v>78</v>
      </c>
      <c r="K4218" s="7" t="str">
        <f t="shared" ref="K4218:K4221" si="526">HYPERLINK("https://media.licdn.com/dms/image/v2/D4E10AQEfdfeLHtAn4w/image-shrink_1280/B4EZ4jQsSeJ4Ac-/0/1778708039127/ICP2_AdSetA_Lightjpg?e=2147483647&amp;v=beta&amp;t=hFalY3yWK8E5_kiUoAj0uN0WZ3d_xQbVnUSvAyp1gsQ","View Creative")</f>
        <v>View Creative</v>
      </c>
      <c r="L4218" s="4" t="s">
        <v>60</v>
      </c>
      <c r="M4218" s="4" t="s">
        <v>7013</v>
      </c>
      <c r="N4218" s="4" t="s">
        <v>7057</v>
      </c>
      <c r="O4218" s="4" t="s">
        <v>63</v>
      </c>
      <c r="P4218" s="4" t="s">
        <v>64</v>
      </c>
    </row>
    <row r="4219">
      <c r="A4219" s="4" t="s">
        <v>7013</v>
      </c>
      <c r="B4219" s="4" t="s">
        <v>7014</v>
      </c>
      <c r="C4219" s="4">
        <v>168.0</v>
      </c>
      <c r="D4219" s="5" t="str">
        <f t="shared" si="525"/>
        <v>Open Ad</v>
      </c>
      <c r="E4219" s="4" t="s">
        <v>78</v>
      </c>
      <c r="F4219" s="4" t="s">
        <v>6765</v>
      </c>
      <c r="G4219" s="4" t="s">
        <v>7059</v>
      </c>
      <c r="H4219" s="4" t="s">
        <v>49</v>
      </c>
      <c r="I4219" s="4" t="s">
        <v>7016</v>
      </c>
      <c r="J4219" s="4" t="s">
        <v>78</v>
      </c>
      <c r="K4219" s="7" t="str">
        <f t="shared" si="526"/>
        <v>View Creative</v>
      </c>
      <c r="L4219" s="4" t="s">
        <v>60</v>
      </c>
      <c r="M4219" s="4" t="s">
        <v>7013</v>
      </c>
      <c r="N4219" s="4" t="s">
        <v>7057</v>
      </c>
      <c r="O4219" s="4" t="s">
        <v>63</v>
      </c>
      <c r="P4219" s="4" t="s">
        <v>64</v>
      </c>
    </row>
    <row r="4220">
      <c r="A4220" s="4" t="s">
        <v>7013</v>
      </c>
      <c r="B4220" s="4" t="s">
        <v>7014</v>
      </c>
      <c r="C4220" s="4">
        <v>169.0</v>
      </c>
      <c r="D4220" s="5" t="str">
        <f t="shared" ref="D4220:D4221" si="527">HYPERLINK("https://www.linkedin.com/ad-library/detail/1294303804","Open Ad")</f>
        <v>Open Ad</v>
      </c>
      <c r="E4220" s="4" t="s">
        <v>78</v>
      </c>
      <c r="F4220" s="4" t="s">
        <v>6765</v>
      </c>
      <c r="G4220" s="4" t="s">
        <v>7059</v>
      </c>
      <c r="H4220" s="4" t="s">
        <v>49</v>
      </c>
      <c r="I4220" s="4" t="s">
        <v>7016</v>
      </c>
      <c r="J4220" s="4" t="s">
        <v>78</v>
      </c>
      <c r="K4220" s="7" t="str">
        <f t="shared" si="526"/>
        <v>View Creative</v>
      </c>
      <c r="L4220" s="4" t="s">
        <v>60</v>
      </c>
      <c r="M4220" s="4" t="s">
        <v>7013</v>
      </c>
      <c r="N4220" s="4"/>
      <c r="O4220" s="4" t="s">
        <v>63</v>
      </c>
      <c r="P4220" s="4" t="s">
        <v>64</v>
      </c>
    </row>
    <row r="4221">
      <c r="A4221" s="4" t="s">
        <v>7013</v>
      </c>
      <c r="B4221" s="4" t="s">
        <v>7014</v>
      </c>
      <c r="C4221" s="4">
        <v>170.0</v>
      </c>
      <c r="D4221" s="5" t="str">
        <f t="shared" si="527"/>
        <v>Open Ad</v>
      </c>
      <c r="E4221" s="4" t="s">
        <v>78</v>
      </c>
      <c r="F4221" s="4" t="s">
        <v>6765</v>
      </c>
      <c r="G4221" s="4" t="s">
        <v>7059</v>
      </c>
      <c r="H4221" s="4" t="s">
        <v>49</v>
      </c>
      <c r="I4221" s="4" t="s">
        <v>7016</v>
      </c>
      <c r="J4221" s="4" t="s">
        <v>78</v>
      </c>
      <c r="K4221" s="7" t="str">
        <f t="shared" si="526"/>
        <v>View Creative</v>
      </c>
      <c r="L4221" s="4" t="s">
        <v>60</v>
      </c>
      <c r="M4221" s="4" t="s">
        <v>7013</v>
      </c>
      <c r="N4221" s="4"/>
      <c r="O4221" s="4" t="s">
        <v>63</v>
      </c>
      <c r="P4221" s="4" t="s">
        <v>64</v>
      </c>
    </row>
    <row r="4222">
      <c r="A4222" s="4" t="s">
        <v>7013</v>
      </c>
      <c r="B4222" s="4" t="s">
        <v>7014</v>
      </c>
      <c r="C4222" s="4">
        <v>171.0</v>
      </c>
      <c r="D4222" s="5" t="str">
        <f t="shared" ref="D4222:D4223" si="528">HYPERLINK("https://www.linkedin.com/ad-library/detail/1294103014","Open Ad")</f>
        <v>Open Ad</v>
      </c>
      <c r="E4222" s="4" t="s">
        <v>78</v>
      </c>
      <c r="F4222" s="4" t="s">
        <v>6765</v>
      </c>
      <c r="G4222" s="4" t="s">
        <v>7053</v>
      </c>
      <c r="H4222" s="4" t="s">
        <v>49</v>
      </c>
      <c r="I4222" s="4" t="s">
        <v>7016</v>
      </c>
      <c r="J4222" s="4" t="s">
        <v>78</v>
      </c>
      <c r="K4222" s="7" t="str">
        <f t="shared" ref="K4222:K4223" si="529">HYPERLINK("https://media.licdn.com/dms/image/v2/D4E10AQHKYlK6J-77jg/image-shrink_1280/B4EZ4g1dr1HcAc-/0/1778667347056/ICP1_AdSetB_Lightjpg?e=2147483647&amp;v=beta&amp;t=NEyKJ8uwbqc1QBE7fYM8RB9xj9_-xmlis5h05iaibNw","View Creative")</f>
        <v>View Creative</v>
      </c>
      <c r="L4222" s="4" t="s">
        <v>60</v>
      </c>
      <c r="M4222" s="4" t="s">
        <v>7013</v>
      </c>
      <c r="N4222" s="4"/>
      <c r="O4222" s="4" t="s">
        <v>63</v>
      </c>
      <c r="P4222" s="4" t="s">
        <v>64</v>
      </c>
    </row>
    <row r="4223">
      <c r="A4223" s="4" t="s">
        <v>7013</v>
      </c>
      <c r="B4223" s="4" t="s">
        <v>7014</v>
      </c>
      <c r="C4223" s="4">
        <v>172.0</v>
      </c>
      <c r="D4223" s="5" t="str">
        <f t="shared" si="528"/>
        <v>Open Ad</v>
      </c>
      <c r="E4223" s="4" t="s">
        <v>78</v>
      </c>
      <c r="F4223" s="4" t="s">
        <v>6765</v>
      </c>
      <c r="G4223" s="4" t="s">
        <v>7053</v>
      </c>
      <c r="H4223" s="4" t="s">
        <v>49</v>
      </c>
      <c r="I4223" s="4" t="s">
        <v>7016</v>
      </c>
      <c r="J4223" s="4" t="s">
        <v>78</v>
      </c>
      <c r="K4223" s="7" t="str">
        <f t="shared" si="529"/>
        <v>View Creative</v>
      </c>
      <c r="L4223" s="4" t="s">
        <v>60</v>
      </c>
      <c r="M4223" s="4" t="s">
        <v>7013</v>
      </c>
      <c r="N4223" s="4"/>
      <c r="O4223" s="4" t="s">
        <v>63</v>
      </c>
      <c r="P4223" s="4" t="s">
        <v>64</v>
      </c>
    </row>
    <row r="4224">
      <c r="A4224" s="4" t="s">
        <v>7013</v>
      </c>
      <c r="B4224" s="4" t="s">
        <v>7014</v>
      </c>
      <c r="C4224" s="4">
        <v>173.0</v>
      </c>
      <c r="D4224" s="5" t="str">
        <f t="shared" ref="D4224:D4225" si="530">HYPERLINK("https://www.linkedin.com/ad-library/detail/1296402834","Open Ad")</f>
        <v>Open Ad</v>
      </c>
      <c r="E4224" s="4" t="s">
        <v>78</v>
      </c>
      <c r="F4224" s="4" t="s">
        <v>6765</v>
      </c>
      <c r="G4224" s="4" t="s">
        <v>7055</v>
      </c>
      <c r="H4224" s="4" t="s">
        <v>49</v>
      </c>
      <c r="I4224" s="4" t="s">
        <v>7016</v>
      </c>
      <c r="J4224" s="4" t="s">
        <v>78</v>
      </c>
      <c r="K4224" s="7" t="str">
        <f t="shared" ref="K4224:K4225" si="531">HYPERLINK("https://media.licdn.com/dms/image/v2/D4E10AQG43wfMm1PRag/image-shrink_1280/B4EZ4gx_D8J4Ac-/0/1778666435167/ICP3_AdSetC_Lightjpg?e=2147483647&amp;v=beta&amp;t=ENJsR-mmxAIw0-L7588ziH1tXVY8GJ5daC4rLljvtFU","View Creative")</f>
        <v>View Creative</v>
      </c>
      <c r="L4224" s="4" t="s">
        <v>60</v>
      </c>
      <c r="M4224" s="4" t="s">
        <v>7013</v>
      </c>
      <c r="N4224" s="4" t="s">
        <v>7060</v>
      </c>
      <c r="O4224" s="4" t="s">
        <v>63</v>
      </c>
      <c r="P4224" s="4" t="s">
        <v>64</v>
      </c>
    </row>
    <row r="4225">
      <c r="A4225" s="4" t="s">
        <v>7013</v>
      </c>
      <c r="B4225" s="4" t="s">
        <v>7014</v>
      </c>
      <c r="C4225" s="4">
        <v>174.0</v>
      </c>
      <c r="D4225" s="5" t="str">
        <f t="shared" si="530"/>
        <v>Open Ad</v>
      </c>
      <c r="E4225" s="4" t="s">
        <v>78</v>
      </c>
      <c r="F4225" s="4" t="s">
        <v>6765</v>
      </c>
      <c r="G4225" s="4" t="s">
        <v>7055</v>
      </c>
      <c r="H4225" s="4" t="s">
        <v>49</v>
      </c>
      <c r="I4225" s="4" t="s">
        <v>7016</v>
      </c>
      <c r="J4225" s="4" t="s">
        <v>78</v>
      </c>
      <c r="K4225" s="7" t="str">
        <f t="shared" si="531"/>
        <v>View Creative</v>
      </c>
      <c r="L4225" s="4" t="s">
        <v>60</v>
      </c>
      <c r="M4225" s="4" t="s">
        <v>7013</v>
      </c>
      <c r="N4225" s="4" t="s">
        <v>7060</v>
      </c>
      <c r="O4225" s="4" t="s">
        <v>63</v>
      </c>
      <c r="P4225" s="4" t="s">
        <v>64</v>
      </c>
    </row>
    <row r="4226">
      <c r="A4226" s="4" t="s">
        <v>7013</v>
      </c>
      <c r="B4226" s="4" t="s">
        <v>7014</v>
      </c>
      <c r="C4226" s="4">
        <v>175.0</v>
      </c>
      <c r="D4226" s="5" t="str">
        <f t="shared" ref="D4226:D4227" si="532">HYPERLINK("https://www.linkedin.com/ad-library/detail/1296303284","Open Ad")</f>
        <v>Open Ad</v>
      </c>
      <c r="E4226" s="4" t="s">
        <v>78</v>
      </c>
      <c r="F4226" s="4" t="s">
        <v>6765</v>
      </c>
      <c r="G4226" s="4" t="s">
        <v>7056</v>
      </c>
      <c r="H4226" s="4" t="s">
        <v>49</v>
      </c>
      <c r="I4226" s="4" t="s">
        <v>7016</v>
      </c>
      <c r="J4226" s="4" t="s">
        <v>78</v>
      </c>
      <c r="K4226" s="7" t="str">
        <f t="shared" ref="K4226:K4227" si="533">HYPERLINK("https://media.licdn.com/dms/image/v2/D4E10AQExnssFHT2gXw/image-shrink_1280/B4EZ4g0B.cIcAc-/0/1778666971401/ICP2_AdSetB_Lightjpg?e=2147483647&amp;v=beta&amp;t=8MFQWCH_KTuEAs4MpfH4kFaEM5JtgUvpzQUZVlD8pBk","View Creative")</f>
        <v>View Creative</v>
      </c>
      <c r="L4226" s="4" t="s">
        <v>60</v>
      </c>
      <c r="M4226" s="4" t="s">
        <v>7013</v>
      </c>
      <c r="N4226" s="4"/>
      <c r="O4226" s="4" t="s">
        <v>63</v>
      </c>
      <c r="P4226" s="4" t="s">
        <v>64</v>
      </c>
    </row>
    <row r="4227">
      <c r="A4227" s="4" t="s">
        <v>7013</v>
      </c>
      <c r="B4227" s="4" t="s">
        <v>7014</v>
      </c>
      <c r="C4227" s="4">
        <v>176.0</v>
      </c>
      <c r="D4227" s="5" t="str">
        <f t="shared" si="532"/>
        <v>Open Ad</v>
      </c>
      <c r="E4227" s="4" t="s">
        <v>78</v>
      </c>
      <c r="F4227" s="4" t="s">
        <v>6765</v>
      </c>
      <c r="G4227" s="4" t="s">
        <v>7056</v>
      </c>
      <c r="H4227" s="4" t="s">
        <v>49</v>
      </c>
      <c r="I4227" s="4" t="s">
        <v>7016</v>
      </c>
      <c r="J4227" s="4" t="s">
        <v>78</v>
      </c>
      <c r="K4227" s="7" t="str">
        <f t="shared" si="533"/>
        <v>View Creative</v>
      </c>
      <c r="L4227" s="4" t="s">
        <v>60</v>
      </c>
      <c r="M4227" s="4" t="s">
        <v>7013</v>
      </c>
      <c r="N4227" s="4"/>
      <c r="O4227" s="4" t="s">
        <v>63</v>
      </c>
      <c r="P4227" s="4" t="s">
        <v>64</v>
      </c>
    </row>
    <row r="4228">
      <c r="A4228" s="4" t="s">
        <v>7013</v>
      </c>
      <c r="B4228" s="4" t="s">
        <v>7014</v>
      </c>
      <c r="C4228" s="4">
        <v>177.0</v>
      </c>
      <c r="D4228" s="5" t="str">
        <f t="shared" ref="D4228:D4229" si="534">HYPERLINK("https://www.linkedin.com/ad-library/detail/1294103004","Open Ad")</f>
        <v>Open Ad</v>
      </c>
      <c r="E4228" s="4" t="s">
        <v>78</v>
      </c>
      <c r="F4228" s="4" t="s">
        <v>6765</v>
      </c>
      <c r="G4228" s="4" t="s">
        <v>7055</v>
      </c>
      <c r="H4228" s="4" t="s">
        <v>49</v>
      </c>
      <c r="I4228" s="4" t="s">
        <v>7016</v>
      </c>
      <c r="J4228" s="4" t="s">
        <v>78</v>
      </c>
      <c r="K4228" s="7" t="str">
        <f t="shared" ref="K4228:K4229" si="535">HYPERLINK("https://media.licdn.com/dms/image/v2/D4E10AQG43wfMm1PRag/image-shrink_1280/B4EZ4gx_D8J4Ac-/0/1778666435167/ICP3_AdSetC_Lightjpg?e=2147483647&amp;v=beta&amp;t=ENJsR-mmxAIw0-L7588ziH1tXVY8GJ5daC4rLljvtFU","View Creative")</f>
        <v>View Creative</v>
      </c>
      <c r="L4228" s="4" t="s">
        <v>60</v>
      </c>
      <c r="M4228" s="4" t="s">
        <v>7013</v>
      </c>
      <c r="N4228" s="4"/>
      <c r="O4228" s="4" t="s">
        <v>63</v>
      </c>
      <c r="P4228" s="4" t="s">
        <v>64</v>
      </c>
    </row>
    <row r="4229">
      <c r="A4229" s="4" t="s">
        <v>7013</v>
      </c>
      <c r="B4229" s="4" t="s">
        <v>7014</v>
      </c>
      <c r="C4229" s="4">
        <v>178.0</v>
      </c>
      <c r="D4229" s="5" t="str">
        <f t="shared" si="534"/>
        <v>Open Ad</v>
      </c>
      <c r="E4229" s="4" t="s">
        <v>78</v>
      </c>
      <c r="F4229" s="4" t="s">
        <v>6765</v>
      </c>
      <c r="G4229" s="4" t="s">
        <v>7055</v>
      </c>
      <c r="H4229" s="4" t="s">
        <v>49</v>
      </c>
      <c r="I4229" s="4" t="s">
        <v>7016</v>
      </c>
      <c r="J4229" s="4" t="s">
        <v>78</v>
      </c>
      <c r="K4229" s="7" t="str">
        <f t="shared" si="535"/>
        <v>View Creative</v>
      </c>
      <c r="L4229" s="4" t="s">
        <v>60</v>
      </c>
      <c r="M4229" s="4" t="s">
        <v>7013</v>
      </c>
      <c r="N4229" s="4"/>
      <c r="O4229" s="4" t="s">
        <v>63</v>
      </c>
      <c r="P4229" s="4" t="s">
        <v>64</v>
      </c>
    </row>
    <row r="4230">
      <c r="A4230" s="4" t="s">
        <v>7013</v>
      </c>
      <c r="B4230" s="4" t="s">
        <v>7014</v>
      </c>
      <c r="C4230" s="4">
        <v>179.0</v>
      </c>
      <c r="D4230" s="5" t="str">
        <f t="shared" ref="D4230:D4231" si="536">HYPERLINK("https://www.linkedin.com/ad-library/detail/1294401514","Open Ad")</f>
        <v>Open Ad</v>
      </c>
      <c r="E4230" s="4" t="s">
        <v>78</v>
      </c>
      <c r="F4230" s="4" t="s">
        <v>6765</v>
      </c>
      <c r="G4230" s="4" t="s">
        <v>7056</v>
      </c>
      <c r="H4230" s="4" t="s">
        <v>49</v>
      </c>
      <c r="I4230" s="4" t="s">
        <v>7016</v>
      </c>
      <c r="J4230" s="4" t="s">
        <v>78</v>
      </c>
      <c r="K4230" s="7" t="str">
        <f t="shared" ref="K4230:K4231" si="537">HYPERLINK("https://media.licdn.com/dms/image/v2/D4E10AQExnssFHT2gXw/image-shrink_1280/B4EZ4g0B.cIcAc-/0/1778666971401/ICP2_AdSetB_Lightjpg?e=2147483647&amp;v=beta&amp;t=8MFQWCH_KTuEAs4MpfH4kFaEM5JtgUvpzQUZVlD8pBk","View Creative")</f>
        <v>View Creative</v>
      </c>
      <c r="L4230" s="4" t="s">
        <v>60</v>
      </c>
      <c r="M4230" s="4" t="s">
        <v>7013</v>
      </c>
      <c r="N4230" s="4" t="s">
        <v>7061</v>
      </c>
      <c r="O4230" s="4" t="s">
        <v>63</v>
      </c>
      <c r="P4230" s="4" t="s">
        <v>64</v>
      </c>
    </row>
    <row r="4231">
      <c r="A4231" s="4" t="s">
        <v>7013</v>
      </c>
      <c r="B4231" s="4" t="s">
        <v>7014</v>
      </c>
      <c r="C4231" s="4">
        <v>180.0</v>
      </c>
      <c r="D4231" s="5" t="str">
        <f t="shared" si="536"/>
        <v>Open Ad</v>
      </c>
      <c r="E4231" s="4" t="s">
        <v>78</v>
      </c>
      <c r="F4231" s="4" t="s">
        <v>6765</v>
      </c>
      <c r="G4231" s="4" t="s">
        <v>7056</v>
      </c>
      <c r="H4231" s="4" t="s">
        <v>49</v>
      </c>
      <c r="I4231" s="4" t="s">
        <v>7016</v>
      </c>
      <c r="J4231" s="4" t="s">
        <v>78</v>
      </c>
      <c r="K4231" s="7" t="str">
        <f t="shared" si="537"/>
        <v>View Creative</v>
      </c>
      <c r="L4231" s="4" t="s">
        <v>60</v>
      </c>
      <c r="M4231" s="4" t="s">
        <v>7013</v>
      </c>
      <c r="N4231" s="4" t="s">
        <v>7061</v>
      </c>
      <c r="O4231" s="4" t="s">
        <v>63</v>
      </c>
      <c r="P4231" s="4" t="s">
        <v>64</v>
      </c>
    </row>
    <row r="4232">
      <c r="A4232" s="4" t="s">
        <v>7013</v>
      </c>
      <c r="B4232" s="4" t="s">
        <v>7014</v>
      </c>
      <c r="C4232" s="4">
        <v>181.0</v>
      </c>
      <c r="D4232" s="5" t="str">
        <f t="shared" ref="D4232:D4233" si="538">HYPERLINK("https://www.linkedin.com/ad-library/detail/1294502014","Open Ad")</f>
        <v>Open Ad</v>
      </c>
      <c r="E4232" s="4" t="s">
        <v>78</v>
      </c>
      <c r="F4232" s="4" t="s">
        <v>6765</v>
      </c>
      <c r="G4232" s="4" t="s">
        <v>7051</v>
      </c>
      <c r="H4232" s="4" t="s">
        <v>49</v>
      </c>
      <c r="I4232" s="4" t="s">
        <v>7016</v>
      </c>
      <c r="J4232" s="4" t="s">
        <v>78</v>
      </c>
      <c r="K4232" s="7" t="str">
        <f t="shared" ref="K4232:K4233" si="539">HYPERLINK("https://media.licdn.com/dms/image/v2/D4E10AQFaB0_BgVCVgg/image-shrink_1280/B4EZ4jRoiLGYAc-/0/1778708285885/ICP1_AdSetB_Lightjpg?e=2147483647&amp;v=beta&amp;t=zwdjCOeHo1DaveDtjS6srhNEN-1p8X9khzHo4lm_e4s","View Creative")</f>
        <v>View Creative</v>
      </c>
      <c r="L4232" s="4" t="s">
        <v>60</v>
      </c>
      <c r="M4232" s="4" t="s">
        <v>7013</v>
      </c>
      <c r="N4232" s="4" t="s">
        <v>7062</v>
      </c>
      <c r="O4232" s="4" t="s">
        <v>63</v>
      </c>
      <c r="P4232" s="4" t="s">
        <v>64</v>
      </c>
    </row>
    <row r="4233">
      <c r="A4233" s="4" t="s">
        <v>7013</v>
      </c>
      <c r="B4233" s="4" t="s">
        <v>7014</v>
      </c>
      <c r="C4233" s="4">
        <v>182.0</v>
      </c>
      <c r="D4233" s="5" t="str">
        <f t="shared" si="538"/>
        <v>Open Ad</v>
      </c>
      <c r="E4233" s="4" t="s">
        <v>78</v>
      </c>
      <c r="F4233" s="4" t="s">
        <v>6765</v>
      </c>
      <c r="G4233" s="4" t="s">
        <v>7051</v>
      </c>
      <c r="H4233" s="4" t="s">
        <v>49</v>
      </c>
      <c r="I4233" s="4" t="s">
        <v>7016</v>
      </c>
      <c r="J4233" s="4" t="s">
        <v>78</v>
      </c>
      <c r="K4233" s="7" t="str">
        <f t="shared" si="539"/>
        <v>View Creative</v>
      </c>
      <c r="L4233" s="4" t="s">
        <v>60</v>
      </c>
      <c r="M4233" s="4" t="s">
        <v>7013</v>
      </c>
      <c r="N4233" s="4" t="s">
        <v>7062</v>
      </c>
      <c r="O4233" s="4" t="s">
        <v>63</v>
      </c>
      <c r="P4233" s="4" t="s">
        <v>64</v>
      </c>
    </row>
    <row r="4234">
      <c r="A4234" s="4" t="s">
        <v>7013</v>
      </c>
      <c r="B4234" s="4" t="s">
        <v>7014</v>
      </c>
      <c r="C4234" s="4">
        <v>183.0</v>
      </c>
      <c r="D4234" s="5" t="str">
        <f t="shared" ref="D4234:D4235" si="540">HYPERLINK("https://www.linkedin.com/ad-library/detail/1296101684","Open Ad")</f>
        <v>Open Ad</v>
      </c>
      <c r="E4234" s="4" t="s">
        <v>78</v>
      </c>
      <c r="F4234" s="4" t="s">
        <v>6765</v>
      </c>
      <c r="G4234" s="4" t="s">
        <v>7053</v>
      </c>
      <c r="H4234" s="4" t="s">
        <v>49</v>
      </c>
      <c r="I4234" s="4" t="s">
        <v>7016</v>
      </c>
      <c r="J4234" s="4" t="s">
        <v>78</v>
      </c>
      <c r="K4234" s="7" t="str">
        <f t="shared" ref="K4234:K4235" si="541">HYPERLINK("https://media.licdn.com/dms/image/v2/D4E10AQHKYlK6J-77jg/image-shrink_1280/B4EZ4g1dr1HcAc-/0/1778667347056/ICP1_AdSetB_Lightjpg?e=2147483647&amp;v=beta&amp;t=NEyKJ8uwbqc1QBE7fYM8RB9xj9_-xmlis5h05iaibNw","View Creative")</f>
        <v>View Creative</v>
      </c>
      <c r="L4234" s="4" t="s">
        <v>60</v>
      </c>
      <c r="M4234" s="4" t="s">
        <v>7013</v>
      </c>
      <c r="N4234" s="4" t="s">
        <v>7060</v>
      </c>
      <c r="O4234" s="4" t="s">
        <v>63</v>
      </c>
      <c r="P4234" s="4" t="s">
        <v>64</v>
      </c>
    </row>
    <row r="4235">
      <c r="A4235" s="4" t="s">
        <v>7013</v>
      </c>
      <c r="B4235" s="4" t="s">
        <v>7014</v>
      </c>
      <c r="C4235" s="4">
        <v>184.0</v>
      </c>
      <c r="D4235" s="5" t="str">
        <f t="shared" si="540"/>
        <v>Open Ad</v>
      </c>
      <c r="E4235" s="4" t="s">
        <v>78</v>
      </c>
      <c r="F4235" s="4" t="s">
        <v>6765</v>
      </c>
      <c r="G4235" s="4" t="s">
        <v>7053</v>
      </c>
      <c r="H4235" s="4" t="s">
        <v>49</v>
      </c>
      <c r="I4235" s="4" t="s">
        <v>7016</v>
      </c>
      <c r="J4235" s="4" t="s">
        <v>78</v>
      </c>
      <c r="K4235" s="7" t="str">
        <f t="shared" si="541"/>
        <v>View Creative</v>
      </c>
      <c r="L4235" s="4" t="s">
        <v>60</v>
      </c>
      <c r="M4235" s="4" t="s">
        <v>7013</v>
      </c>
      <c r="N4235" s="4" t="s">
        <v>7060</v>
      </c>
      <c r="O4235" s="4" t="s">
        <v>63</v>
      </c>
      <c r="P4235" s="4" t="s">
        <v>64</v>
      </c>
    </row>
    <row r="4236">
      <c r="A4236" s="4" t="s">
        <v>7013</v>
      </c>
      <c r="B4236" s="4" t="s">
        <v>7014</v>
      </c>
      <c r="C4236" s="4">
        <v>185.0</v>
      </c>
      <c r="D4236" s="5" t="str">
        <f t="shared" ref="D4236:D4237" si="542">HYPERLINK("https://www.linkedin.com/ad-library/detail/1294302944","Open Ad")</f>
        <v>Open Ad</v>
      </c>
      <c r="E4236" s="4" t="s">
        <v>78</v>
      </c>
      <c r="F4236" s="4" t="s">
        <v>6765</v>
      </c>
      <c r="G4236" s="4" t="s">
        <v>7059</v>
      </c>
      <c r="H4236" s="4" t="s">
        <v>49</v>
      </c>
      <c r="I4236" s="4" t="s">
        <v>7016</v>
      </c>
      <c r="J4236" s="4" t="s">
        <v>78</v>
      </c>
      <c r="K4236" s="7" t="str">
        <f t="shared" ref="K4236:K4237" si="543">HYPERLINK("https://media.licdn.com/dms/image/v2/D4E10AQEfdfeLHtAn4w/image-shrink_1280/B4EZ4jQsSeJ4Ac-/0/1778708039127/ICP2_AdSetA_Lightjpg?e=2147483647&amp;v=beta&amp;t=hFalY3yWK8E5_kiUoAj0uN0WZ3d_xQbVnUSvAyp1gsQ","View Creative")</f>
        <v>View Creative</v>
      </c>
      <c r="L4236" s="4" t="s">
        <v>60</v>
      </c>
      <c r="M4236" s="4" t="s">
        <v>7013</v>
      </c>
      <c r="N4236" s="4" t="s">
        <v>7061</v>
      </c>
      <c r="O4236" s="4" t="s">
        <v>63</v>
      </c>
      <c r="P4236" s="4" t="s">
        <v>64</v>
      </c>
    </row>
    <row r="4237">
      <c r="A4237" s="4" t="s">
        <v>7013</v>
      </c>
      <c r="B4237" s="4" t="s">
        <v>7014</v>
      </c>
      <c r="C4237" s="4">
        <v>186.0</v>
      </c>
      <c r="D4237" s="5" t="str">
        <f t="shared" si="542"/>
        <v>Open Ad</v>
      </c>
      <c r="E4237" s="4" t="s">
        <v>78</v>
      </c>
      <c r="F4237" s="4" t="s">
        <v>6765</v>
      </c>
      <c r="G4237" s="4" t="s">
        <v>7059</v>
      </c>
      <c r="H4237" s="4" t="s">
        <v>49</v>
      </c>
      <c r="I4237" s="4" t="s">
        <v>7016</v>
      </c>
      <c r="J4237" s="4" t="s">
        <v>78</v>
      </c>
      <c r="K4237" s="7" t="str">
        <f t="shared" si="543"/>
        <v>View Creative</v>
      </c>
      <c r="L4237" s="4" t="s">
        <v>60</v>
      </c>
      <c r="M4237" s="4" t="s">
        <v>7013</v>
      </c>
      <c r="N4237" s="4" t="s">
        <v>7061</v>
      </c>
      <c r="O4237" s="4" t="s">
        <v>63</v>
      </c>
      <c r="P4237" s="4" t="s">
        <v>64</v>
      </c>
    </row>
    <row r="4238">
      <c r="A4238" s="4" t="s">
        <v>7013</v>
      </c>
      <c r="B4238" s="4" t="s">
        <v>7014</v>
      </c>
      <c r="C4238" s="4">
        <v>187.0</v>
      </c>
      <c r="D4238" s="5" t="str">
        <f t="shared" ref="D4238:D4239" si="544">HYPERLINK("https://www.linkedin.com/ad-library/detail/1296591554","Open Ad")</f>
        <v>Open Ad</v>
      </c>
      <c r="E4238" s="4" t="s">
        <v>78</v>
      </c>
      <c r="F4238" s="4" t="s">
        <v>6765</v>
      </c>
      <c r="G4238" s="4" t="s">
        <v>7051</v>
      </c>
      <c r="H4238" s="4" t="s">
        <v>49</v>
      </c>
      <c r="I4238" s="4" t="s">
        <v>7016</v>
      </c>
      <c r="J4238" s="4" t="s">
        <v>78</v>
      </c>
      <c r="K4238" s="7" t="str">
        <f t="shared" ref="K4238:K4239" si="545">HYPERLINK("https://media.licdn.com/dms/image/v2/D4E10AQFaB0_BgVCVgg/image-shrink_1280/B4EZ4jRoiLGYAc-/0/1778708285885/ICP1_AdSetB_Lightjpg?e=2147483647&amp;v=beta&amp;t=zwdjCOeHo1DaveDtjS6srhNEN-1p8X9khzHo4lm_e4s","View Creative")</f>
        <v>View Creative</v>
      </c>
      <c r="L4238" s="4" t="s">
        <v>60</v>
      </c>
      <c r="M4238" s="4" t="s">
        <v>7013</v>
      </c>
      <c r="N4238" s="4"/>
      <c r="O4238" s="4" t="s">
        <v>63</v>
      </c>
      <c r="P4238" s="4" t="s">
        <v>64</v>
      </c>
    </row>
    <row r="4239">
      <c r="A4239" s="4" t="s">
        <v>7013</v>
      </c>
      <c r="B4239" s="4" t="s">
        <v>7014</v>
      </c>
      <c r="C4239" s="4">
        <v>188.0</v>
      </c>
      <c r="D4239" s="5" t="str">
        <f t="shared" si="544"/>
        <v>Open Ad</v>
      </c>
      <c r="E4239" s="4" t="s">
        <v>78</v>
      </c>
      <c r="F4239" s="4" t="s">
        <v>6765</v>
      </c>
      <c r="G4239" s="4" t="s">
        <v>7051</v>
      </c>
      <c r="H4239" s="4" t="s">
        <v>49</v>
      </c>
      <c r="I4239" s="4" t="s">
        <v>7016</v>
      </c>
      <c r="J4239" s="4" t="s">
        <v>78</v>
      </c>
      <c r="K4239" s="7" t="str">
        <f t="shared" si="545"/>
        <v>View Creative</v>
      </c>
      <c r="L4239" s="4" t="s">
        <v>60</v>
      </c>
      <c r="M4239" s="4" t="s">
        <v>7013</v>
      </c>
      <c r="N4239" s="4"/>
      <c r="O4239" s="4" t="s">
        <v>63</v>
      </c>
      <c r="P4239" s="4" t="s">
        <v>64</v>
      </c>
    </row>
    <row r="4240">
      <c r="A4240" s="4" t="s">
        <v>7013</v>
      </c>
      <c r="B4240" s="4" t="s">
        <v>7014</v>
      </c>
      <c r="C4240" s="4">
        <v>189.0</v>
      </c>
      <c r="D4240" s="5" t="str">
        <f t="shared" ref="D4240:D4241" si="546">HYPERLINK("https://www.linkedin.com/ad-library/detail/1295603334","Open Ad")</f>
        <v>Open Ad</v>
      </c>
      <c r="E4240" s="4" t="s">
        <v>78</v>
      </c>
      <c r="F4240" s="4" t="s">
        <v>6765</v>
      </c>
      <c r="G4240" s="4" t="s">
        <v>7055</v>
      </c>
      <c r="H4240" s="4" t="s">
        <v>49</v>
      </c>
      <c r="I4240" s="4" t="s">
        <v>7016</v>
      </c>
      <c r="J4240" s="4" t="s">
        <v>78</v>
      </c>
      <c r="K4240" s="7" t="str">
        <f t="shared" ref="K4240:K4245" si="547">HYPERLINK("https://media.licdn.com/dms/image/v2/D4E10AQG43wfMm1PRag/image-shrink_1280/B4EZ4gx_D8J4Ac-/0/1778666435167/ICP3_AdSetC_Lightjpg?e=2147483647&amp;v=beta&amp;t=ENJsR-mmxAIw0-L7588ziH1tXVY8GJ5daC4rLljvtFU","View Creative")</f>
        <v>View Creative</v>
      </c>
      <c r="L4240" s="4" t="s">
        <v>60</v>
      </c>
      <c r="M4240" s="4" t="s">
        <v>7013</v>
      </c>
      <c r="N4240" s="4" t="s">
        <v>7057</v>
      </c>
      <c r="O4240" s="4" t="s">
        <v>63</v>
      </c>
      <c r="P4240" s="4" t="s">
        <v>64</v>
      </c>
    </row>
    <row r="4241">
      <c r="A4241" s="4" t="s">
        <v>7013</v>
      </c>
      <c r="B4241" s="4" t="s">
        <v>7014</v>
      </c>
      <c r="C4241" s="4">
        <v>190.0</v>
      </c>
      <c r="D4241" s="5" t="str">
        <f t="shared" si="546"/>
        <v>Open Ad</v>
      </c>
      <c r="E4241" s="4" t="s">
        <v>78</v>
      </c>
      <c r="F4241" s="4" t="s">
        <v>6765</v>
      </c>
      <c r="G4241" s="4" t="s">
        <v>7055</v>
      </c>
      <c r="H4241" s="4" t="s">
        <v>49</v>
      </c>
      <c r="I4241" s="4" t="s">
        <v>7016</v>
      </c>
      <c r="J4241" s="4" t="s">
        <v>78</v>
      </c>
      <c r="K4241" s="7" t="str">
        <f t="shared" si="547"/>
        <v>View Creative</v>
      </c>
      <c r="L4241" s="4" t="s">
        <v>60</v>
      </c>
      <c r="M4241" s="4" t="s">
        <v>7013</v>
      </c>
      <c r="N4241" s="4" t="s">
        <v>7057</v>
      </c>
      <c r="O4241" s="4" t="s">
        <v>63</v>
      </c>
      <c r="P4241" s="4" t="s">
        <v>64</v>
      </c>
    </row>
    <row r="4242">
      <c r="A4242" s="4" t="s">
        <v>7013</v>
      </c>
      <c r="B4242" s="4" t="s">
        <v>7014</v>
      </c>
      <c r="C4242" s="4">
        <v>191.0</v>
      </c>
      <c r="D4242" s="5" t="str">
        <f t="shared" ref="D4242:D4243" si="548">HYPERLINK("https://www.linkedin.com/ad-library/detail/1295793104","Open Ad")</f>
        <v>Open Ad</v>
      </c>
      <c r="E4242" s="4" t="s">
        <v>78</v>
      </c>
      <c r="F4242" s="4" t="s">
        <v>6765</v>
      </c>
      <c r="G4242" s="4" t="s">
        <v>7055</v>
      </c>
      <c r="H4242" s="4" t="s">
        <v>49</v>
      </c>
      <c r="I4242" s="4" t="s">
        <v>7016</v>
      </c>
      <c r="J4242" s="4" t="s">
        <v>78</v>
      </c>
      <c r="K4242" s="7" t="str">
        <f t="shared" si="547"/>
        <v>View Creative</v>
      </c>
      <c r="L4242" s="4" t="s">
        <v>60</v>
      </c>
      <c r="M4242" s="4" t="s">
        <v>7013</v>
      </c>
      <c r="N4242" s="4" t="s">
        <v>7054</v>
      </c>
      <c r="O4242" s="4" t="s">
        <v>63</v>
      </c>
      <c r="P4242" s="4" t="s">
        <v>64</v>
      </c>
    </row>
    <row r="4243">
      <c r="A4243" s="4" t="s">
        <v>7013</v>
      </c>
      <c r="B4243" s="4" t="s">
        <v>7014</v>
      </c>
      <c r="C4243" s="4">
        <v>192.0</v>
      </c>
      <c r="D4243" s="5" t="str">
        <f t="shared" si="548"/>
        <v>Open Ad</v>
      </c>
      <c r="E4243" s="4" t="s">
        <v>78</v>
      </c>
      <c r="F4243" s="4" t="s">
        <v>6765</v>
      </c>
      <c r="G4243" s="4" t="s">
        <v>7055</v>
      </c>
      <c r="H4243" s="4" t="s">
        <v>49</v>
      </c>
      <c r="I4243" s="4" t="s">
        <v>7016</v>
      </c>
      <c r="J4243" s="4" t="s">
        <v>78</v>
      </c>
      <c r="K4243" s="7" t="str">
        <f t="shared" si="547"/>
        <v>View Creative</v>
      </c>
      <c r="L4243" s="4" t="s">
        <v>60</v>
      </c>
      <c r="M4243" s="4" t="s">
        <v>7013</v>
      </c>
      <c r="N4243" s="4" t="s">
        <v>7054</v>
      </c>
      <c r="O4243" s="4" t="s">
        <v>63</v>
      </c>
      <c r="P4243" s="4" t="s">
        <v>64</v>
      </c>
    </row>
    <row r="4244">
      <c r="A4244" s="4" t="s">
        <v>7013</v>
      </c>
      <c r="B4244" s="4" t="s">
        <v>7014</v>
      </c>
      <c r="C4244" s="4">
        <v>193.0</v>
      </c>
      <c r="D4244" s="5" t="str">
        <f t="shared" ref="D4244:D4245" si="549">HYPERLINK("https://www.linkedin.com/ad-library/detail/1296292894","Open Ad")</f>
        <v>Open Ad</v>
      </c>
      <c r="E4244" s="4" t="s">
        <v>78</v>
      </c>
      <c r="F4244" s="4" t="s">
        <v>6765</v>
      </c>
      <c r="G4244" s="4" t="s">
        <v>7055</v>
      </c>
      <c r="H4244" s="4" t="s">
        <v>49</v>
      </c>
      <c r="I4244" s="4" t="s">
        <v>7016</v>
      </c>
      <c r="J4244" s="4" t="s">
        <v>78</v>
      </c>
      <c r="K4244" s="7" t="str">
        <f t="shared" si="547"/>
        <v>View Creative</v>
      </c>
      <c r="L4244" s="4" t="s">
        <v>60</v>
      </c>
      <c r="M4244" s="4" t="s">
        <v>7013</v>
      </c>
      <c r="N4244" s="4" t="s">
        <v>7054</v>
      </c>
      <c r="O4244" s="4" t="s">
        <v>63</v>
      </c>
      <c r="P4244" s="4" t="s">
        <v>64</v>
      </c>
    </row>
    <row r="4245">
      <c r="A4245" s="4" t="s">
        <v>7013</v>
      </c>
      <c r="B4245" s="4" t="s">
        <v>7014</v>
      </c>
      <c r="C4245" s="4">
        <v>194.0</v>
      </c>
      <c r="D4245" s="5" t="str">
        <f t="shared" si="549"/>
        <v>Open Ad</v>
      </c>
      <c r="E4245" s="4" t="s">
        <v>78</v>
      </c>
      <c r="F4245" s="4" t="s">
        <v>6765</v>
      </c>
      <c r="G4245" s="4" t="s">
        <v>7055</v>
      </c>
      <c r="H4245" s="4" t="s">
        <v>49</v>
      </c>
      <c r="I4245" s="4" t="s">
        <v>7016</v>
      </c>
      <c r="J4245" s="4" t="s">
        <v>78</v>
      </c>
      <c r="K4245" s="7" t="str">
        <f t="shared" si="547"/>
        <v>View Creative</v>
      </c>
      <c r="L4245" s="4" t="s">
        <v>60</v>
      </c>
      <c r="M4245" s="4" t="s">
        <v>7013</v>
      </c>
      <c r="N4245" s="4" t="s">
        <v>7054</v>
      </c>
      <c r="O4245" s="4" t="s">
        <v>63</v>
      </c>
      <c r="P4245" s="4" t="s">
        <v>64</v>
      </c>
    </row>
    <row r="4246">
      <c r="A4246" s="4" t="s">
        <v>7013</v>
      </c>
      <c r="B4246" s="4" t="s">
        <v>7014</v>
      </c>
      <c r="C4246" s="4">
        <v>195.0</v>
      </c>
      <c r="D4246" s="5" t="str">
        <f t="shared" ref="D4246:D4247" si="550">HYPERLINK("https://www.linkedin.com/ad-library/detail/1279898374","Open Ad")</f>
        <v>Open Ad</v>
      </c>
      <c r="E4246" s="4" t="s">
        <v>78</v>
      </c>
      <c r="F4246" s="4" t="s">
        <v>6765</v>
      </c>
      <c r="G4246" s="4" t="s">
        <v>7063</v>
      </c>
      <c r="H4246" s="4" t="s">
        <v>49</v>
      </c>
      <c r="I4246" s="4" t="s">
        <v>7016</v>
      </c>
      <c r="J4246" s="4" t="s">
        <v>78</v>
      </c>
      <c r="K4246" s="7" t="str">
        <f t="shared" ref="K4246:K4247" si="551">HYPERLINK("https://media.licdn.com/dms/image/v2/D4E10AQHT1ADMSdDOXw/image-shrink_1280/B4EZ2xDMpMHMAc-/0/1776791898999/ICP1_AdSet2_Lightjpg?e=2147483647&amp;v=beta&amp;t=2ApWrFxyU3-yDayf_--T9kTsWZUYnuHu9TY_RgnAKl0","View Creative")</f>
        <v>View Creative</v>
      </c>
      <c r="L4246" s="4" t="s">
        <v>60</v>
      </c>
      <c r="M4246" s="4" t="s">
        <v>7013</v>
      </c>
      <c r="N4246" s="4" t="s">
        <v>7064</v>
      </c>
      <c r="O4246" s="4" t="s">
        <v>63</v>
      </c>
      <c r="P4246" s="4" t="s">
        <v>64</v>
      </c>
    </row>
    <row r="4247">
      <c r="A4247" s="4" t="s">
        <v>7013</v>
      </c>
      <c r="B4247" s="4" t="s">
        <v>7014</v>
      </c>
      <c r="C4247" s="4">
        <v>196.0</v>
      </c>
      <c r="D4247" s="5" t="str">
        <f t="shared" si="550"/>
        <v>Open Ad</v>
      </c>
      <c r="E4247" s="4" t="s">
        <v>78</v>
      </c>
      <c r="F4247" s="4" t="s">
        <v>6765</v>
      </c>
      <c r="G4247" s="4" t="s">
        <v>7063</v>
      </c>
      <c r="H4247" s="4" t="s">
        <v>49</v>
      </c>
      <c r="I4247" s="4" t="s">
        <v>7016</v>
      </c>
      <c r="J4247" s="4" t="s">
        <v>78</v>
      </c>
      <c r="K4247" s="7" t="str">
        <f t="shared" si="551"/>
        <v>View Creative</v>
      </c>
      <c r="L4247" s="4" t="s">
        <v>60</v>
      </c>
      <c r="M4247" s="4" t="s">
        <v>7013</v>
      </c>
      <c r="N4247" s="4" t="s">
        <v>7064</v>
      </c>
      <c r="O4247" s="4" t="s">
        <v>63</v>
      </c>
      <c r="P4247" s="4" t="s">
        <v>64</v>
      </c>
    </row>
    <row r="4248">
      <c r="A4248" s="4" t="s">
        <v>7013</v>
      </c>
      <c r="B4248" s="4" t="s">
        <v>7014</v>
      </c>
      <c r="C4248" s="4">
        <v>197.0</v>
      </c>
      <c r="D4248" s="5" t="str">
        <f t="shared" ref="D4248:D4249" si="552">HYPERLINK("https://www.linkedin.com/ad-library/detail/1278797544","Open Ad")</f>
        <v>Open Ad</v>
      </c>
      <c r="E4248" s="4" t="s">
        <v>78</v>
      </c>
      <c r="F4248" s="4" t="s">
        <v>6765</v>
      </c>
      <c r="G4248" s="4" t="s">
        <v>7065</v>
      </c>
      <c r="H4248" s="4" t="s">
        <v>49</v>
      </c>
      <c r="I4248" s="4" t="s">
        <v>7016</v>
      </c>
      <c r="J4248" s="4" t="s">
        <v>78</v>
      </c>
      <c r="K4248" s="7" t="str">
        <f t="shared" ref="K4248:K4251" si="553">HYPERLINK("https://media.licdn.com/dms/image/v2/D4E10AQG6x1g52dhTJA/image-shrink_1280/B4EZ2xE_XiJUAc-/0/1776792368870/ICP2_AdSet2_Lightpng?e=2147483647&amp;v=beta&amp;t=3YbaEu_ZMHeAT9-WVFaoocAVMqxxIvQAD1IXrpjtm9g","View Creative")</f>
        <v>View Creative</v>
      </c>
      <c r="L4248" s="4" t="s">
        <v>60</v>
      </c>
      <c r="M4248" s="4" t="s">
        <v>7013</v>
      </c>
      <c r="N4248" s="4" t="s">
        <v>7066</v>
      </c>
      <c r="O4248" s="4" t="s">
        <v>63</v>
      </c>
      <c r="P4248" s="4" t="s">
        <v>64</v>
      </c>
    </row>
    <row r="4249">
      <c r="A4249" s="4" t="s">
        <v>7013</v>
      </c>
      <c r="B4249" s="4" t="s">
        <v>7014</v>
      </c>
      <c r="C4249" s="4">
        <v>198.0</v>
      </c>
      <c r="D4249" s="5" t="str">
        <f t="shared" si="552"/>
        <v>Open Ad</v>
      </c>
      <c r="E4249" s="4" t="s">
        <v>78</v>
      </c>
      <c r="F4249" s="4" t="s">
        <v>6765</v>
      </c>
      <c r="G4249" s="4" t="s">
        <v>7065</v>
      </c>
      <c r="H4249" s="4" t="s">
        <v>49</v>
      </c>
      <c r="I4249" s="4" t="s">
        <v>7016</v>
      </c>
      <c r="J4249" s="4" t="s">
        <v>78</v>
      </c>
      <c r="K4249" s="7" t="str">
        <f t="shared" si="553"/>
        <v>View Creative</v>
      </c>
      <c r="L4249" s="4" t="s">
        <v>60</v>
      </c>
      <c r="M4249" s="4" t="s">
        <v>7013</v>
      </c>
      <c r="N4249" s="4" t="s">
        <v>7066</v>
      </c>
      <c r="O4249" s="4" t="s">
        <v>63</v>
      </c>
      <c r="P4249" s="4" t="s">
        <v>64</v>
      </c>
    </row>
    <row r="4250">
      <c r="A4250" s="4" t="s">
        <v>7013</v>
      </c>
      <c r="B4250" s="4" t="s">
        <v>7014</v>
      </c>
      <c r="C4250" s="4">
        <v>199.0</v>
      </c>
      <c r="D4250" s="5" t="str">
        <f t="shared" ref="D4250:D4251" si="554">HYPERLINK("https://www.linkedin.com/ad-library/detail/1279497704","Open Ad")</f>
        <v>Open Ad</v>
      </c>
      <c r="E4250" s="4" t="s">
        <v>78</v>
      </c>
      <c r="F4250" s="4" t="s">
        <v>6765</v>
      </c>
      <c r="G4250" s="4" t="s">
        <v>7065</v>
      </c>
      <c r="H4250" s="4" t="s">
        <v>49</v>
      </c>
      <c r="I4250" s="4" t="s">
        <v>7016</v>
      </c>
      <c r="J4250" s="4" t="s">
        <v>78</v>
      </c>
      <c r="K4250" s="7" t="str">
        <f t="shared" si="553"/>
        <v>View Creative</v>
      </c>
      <c r="L4250" s="4" t="s">
        <v>60</v>
      </c>
      <c r="M4250" s="4" t="s">
        <v>7013</v>
      </c>
      <c r="N4250" s="4" t="s">
        <v>7067</v>
      </c>
      <c r="O4250" s="4" t="s">
        <v>63</v>
      </c>
      <c r="P4250" s="4" t="s">
        <v>64</v>
      </c>
    </row>
    <row r="4251">
      <c r="A4251" s="4" t="s">
        <v>7013</v>
      </c>
      <c r="B4251" s="4" t="s">
        <v>7014</v>
      </c>
      <c r="C4251" s="4">
        <v>200.0</v>
      </c>
      <c r="D4251" s="5" t="str">
        <f t="shared" si="554"/>
        <v>Open Ad</v>
      </c>
      <c r="E4251" s="4" t="s">
        <v>78</v>
      </c>
      <c r="F4251" s="4" t="s">
        <v>6765</v>
      </c>
      <c r="G4251" s="4" t="s">
        <v>7065</v>
      </c>
      <c r="H4251" s="4" t="s">
        <v>49</v>
      </c>
      <c r="I4251" s="4" t="s">
        <v>7016</v>
      </c>
      <c r="J4251" s="4" t="s">
        <v>78</v>
      </c>
      <c r="K4251" s="7" t="str">
        <f t="shared" si="553"/>
        <v>View Creative</v>
      </c>
      <c r="L4251" s="4" t="s">
        <v>60</v>
      </c>
      <c r="M4251" s="4" t="s">
        <v>7013</v>
      </c>
      <c r="N4251" s="4" t="s">
        <v>7067</v>
      </c>
      <c r="O4251" s="4" t="s">
        <v>63</v>
      </c>
      <c r="P4251" s="4" t="s">
        <v>64</v>
      </c>
    </row>
    <row r="4252">
      <c r="A4252" s="4" t="s">
        <v>7013</v>
      </c>
      <c r="B4252" s="4" t="s">
        <v>7014</v>
      </c>
      <c r="C4252" s="4">
        <v>201.0</v>
      </c>
      <c r="D4252" s="5" t="str">
        <f t="shared" ref="D4252:D4253" si="555">HYPERLINK("https://www.linkedin.com/ad-library/detail/1280097694","Open Ad")</f>
        <v>Open Ad</v>
      </c>
      <c r="E4252" s="4" t="s">
        <v>78</v>
      </c>
      <c r="F4252" s="4" t="s">
        <v>6765</v>
      </c>
      <c r="G4252" s="4" t="s">
        <v>7068</v>
      </c>
      <c r="H4252" s="4" t="s">
        <v>49</v>
      </c>
      <c r="I4252" s="4" t="s">
        <v>7016</v>
      </c>
      <c r="J4252" s="4" t="s">
        <v>78</v>
      </c>
      <c r="K4252" s="7" t="str">
        <f t="shared" ref="K4252:K4253" si="556">HYPERLINK("https://media.licdn.com/dms/image/v2/D4E10AQGvns9xKRHoLg/image-shrink_1280/B4EZ2xHRYxJcAc-/0/1776792967092/ICP3_AdSet2_Darkpng?e=2147483647&amp;v=beta&amp;t=BTkLhjR9pUeIhWPAfBtxEd8hWLk4S79f59nRj2r0dTc","View Creative")</f>
        <v>View Creative</v>
      </c>
      <c r="L4252" s="4" t="s">
        <v>60</v>
      </c>
      <c r="M4252" s="4" t="s">
        <v>7013</v>
      </c>
      <c r="N4252" s="4" t="s">
        <v>7067</v>
      </c>
      <c r="O4252" s="4" t="s">
        <v>63</v>
      </c>
      <c r="P4252" s="4" t="s">
        <v>64</v>
      </c>
    </row>
    <row r="4253">
      <c r="A4253" s="4" t="s">
        <v>7013</v>
      </c>
      <c r="B4253" s="4" t="s">
        <v>7014</v>
      </c>
      <c r="C4253" s="4">
        <v>202.0</v>
      </c>
      <c r="D4253" s="5" t="str">
        <f t="shared" si="555"/>
        <v>Open Ad</v>
      </c>
      <c r="E4253" s="4" t="s">
        <v>78</v>
      </c>
      <c r="F4253" s="4" t="s">
        <v>6765</v>
      </c>
      <c r="G4253" s="4" t="s">
        <v>7068</v>
      </c>
      <c r="H4253" s="4" t="s">
        <v>49</v>
      </c>
      <c r="I4253" s="4" t="s">
        <v>7016</v>
      </c>
      <c r="J4253" s="4" t="s">
        <v>78</v>
      </c>
      <c r="K4253" s="7" t="str">
        <f t="shared" si="556"/>
        <v>View Creative</v>
      </c>
      <c r="L4253" s="4" t="s">
        <v>60</v>
      </c>
      <c r="M4253" s="4" t="s">
        <v>7013</v>
      </c>
      <c r="N4253" s="4" t="s">
        <v>7067</v>
      </c>
      <c r="O4253" s="4" t="s">
        <v>63</v>
      </c>
      <c r="P4253" s="4" t="s">
        <v>64</v>
      </c>
    </row>
    <row r="4254">
      <c r="A4254" s="4" t="s">
        <v>7013</v>
      </c>
      <c r="B4254" s="4" t="s">
        <v>7014</v>
      </c>
      <c r="C4254" s="4">
        <v>203.0</v>
      </c>
      <c r="D4254" s="5" t="str">
        <f t="shared" ref="D4254:D4255" si="557">HYPERLINK("https://www.linkedin.com/ad-library/detail/1278797604","Open Ad")</f>
        <v>Open Ad</v>
      </c>
      <c r="E4254" s="4" t="s">
        <v>78</v>
      </c>
      <c r="F4254" s="4" t="s">
        <v>6765</v>
      </c>
      <c r="G4254" s="4" t="s">
        <v>7068</v>
      </c>
      <c r="H4254" s="4" t="s">
        <v>49</v>
      </c>
      <c r="I4254" s="4" t="s">
        <v>7016</v>
      </c>
      <c r="J4254" s="4" t="s">
        <v>78</v>
      </c>
      <c r="K4254" s="7" t="str">
        <f t="shared" ref="K4254:K4255" si="558">HYPERLINK("https://media.licdn.com/dms/image/v2/D4E10AQGGcgR4sHu0qQ/image-shrink_1280/B4EZ2xHDCBJ4Ac-/0/1776792908249/ICP3_AdSet2_Lightjpg?e=2147483647&amp;v=beta&amp;t=gL97tpqLwFikDEv9pISN9xLFP8FoS141mSzHUMWWQB8","View Creative")</f>
        <v>View Creative</v>
      </c>
      <c r="L4254" s="4" t="s">
        <v>60</v>
      </c>
      <c r="M4254" s="4" t="s">
        <v>7013</v>
      </c>
      <c r="N4254" s="4" t="s">
        <v>7067</v>
      </c>
      <c r="O4254" s="4" t="s">
        <v>63</v>
      </c>
      <c r="P4254" s="4" t="s">
        <v>64</v>
      </c>
    </row>
    <row r="4255">
      <c r="A4255" s="4" t="s">
        <v>7013</v>
      </c>
      <c r="B4255" s="4" t="s">
        <v>7014</v>
      </c>
      <c r="C4255" s="4">
        <v>204.0</v>
      </c>
      <c r="D4255" s="5" t="str">
        <f t="shared" si="557"/>
        <v>Open Ad</v>
      </c>
      <c r="E4255" s="4" t="s">
        <v>78</v>
      </c>
      <c r="F4255" s="4" t="s">
        <v>6765</v>
      </c>
      <c r="G4255" s="4" t="s">
        <v>7068</v>
      </c>
      <c r="H4255" s="4" t="s">
        <v>49</v>
      </c>
      <c r="I4255" s="4" t="s">
        <v>7016</v>
      </c>
      <c r="J4255" s="4" t="s">
        <v>78</v>
      </c>
      <c r="K4255" s="7" t="str">
        <f t="shared" si="558"/>
        <v>View Creative</v>
      </c>
      <c r="L4255" s="4" t="s">
        <v>60</v>
      </c>
      <c r="M4255" s="4" t="s">
        <v>7013</v>
      </c>
      <c r="N4255" s="4" t="s">
        <v>7067</v>
      </c>
      <c r="O4255" s="4" t="s">
        <v>63</v>
      </c>
      <c r="P4255" s="4" t="s">
        <v>64</v>
      </c>
    </row>
    <row r="4256">
      <c r="A4256" s="4" t="s">
        <v>7013</v>
      </c>
      <c r="B4256" s="4" t="s">
        <v>7014</v>
      </c>
      <c r="C4256" s="4">
        <v>205.0</v>
      </c>
      <c r="D4256" s="5" t="str">
        <f t="shared" ref="D4256:D4257" si="559">HYPERLINK("https://www.linkedin.com/ad-library/detail/1280391794","Open Ad")</f>
        <v>Open Ad</v>
      </c>
      <c r="E4256" s="4" t="s">
        <v>78</v>
      </c>
      <c r="F4256" s="4" t="s">
        <v>6765</v>
      </c>
      <c r="G4256" s="4" t="s">
        <v>7068</v>
      </c>
      <c r="H4256" s="4" t="s">
        <v>49</v>
      </c>
      <c r="I4256" s="4" t="s">
        <v>7016</v>
      </c>
      <c r="J4256" s="4" t="s">
        <v>78</v>
      </c>
      <c r="K4256" s="7" t="str">
        <f t="shared" ref="K4256:K4257" si="560">HYPERLINK("https://media.licdn.com/dms/image/v2/D4E10AQGvns9xKRHoLg/image-shrink_1280/B4EZ2xHRYxJcAc-/0/1776792967092/ICP3_AdSet2_Darkpng?e=2147483647&amp;v=beta&amp;t=BTkLhjR9pUeIhWPAfBtxEd8hWLk4S79f59nRj2r0dTc","View Creative")</f>
        <v>View Creative</v>
      </c>
      <c r="L4256" s="4" t="s">
        <v>60</v>
      </c>
      <c r="M4256" s="4" t="s">
        <v>7013</v>
      </c>
      <c r="N4256" s="4"/>
      <c r="O4256" s="4" t="s">
        <v>63</v>
      </c>
      <c r="P4256" s="4" t="s">
        <v>64</v>
      </c>
    </row>
    <row r="4257">
      <c r="A4257" s="4" t="s">
        <v>7013</v>
      </c>
      <c r="B4257" s="4" t="s">
        <v>7014</v>
      </c>
      <c r="C4257" s="4">
        <v>206.0</v>
      </c>
      <c r="D4257" s="5" t="str">
        <f t="shared" si="559"/>
        <v>Open Ad</v>
      </c>
      <c r="E4257" s="4" t="s">
        <v>78</v>
      </c>
      <c r="F4257" s="4" t="s">
        <v>6765</v>
      </c>
      <c r="G4257" s="4" t="s">
        <v>7068</v>
      </c>
      <c r="H4257" s="4" t="s">
        <v>49</v>
      </c>
      <c r="I4257" s="4" t="s">
        <v>7016</v>
      </c>
      <c r="J4257" s="4" t="s">
        <v>78</v>
      </c>
      <c r="K4257" s="7" t="str">
        <f t="shared" si="560"/>
        <v>View Creative</v>
      </c>
      <c r="L4257" s="4" t="s">
        <v>60</v>
      </c>
      <c r="M4257" s="4" t="s">
        <v>7013</v>
      </c>
      <c r="N4257" s="4"/>
      <c r="O4257" s="4" t="s">
        <v>63</v>
      </c>
      <c r="P4257" s="4" t="s">
        <v>64</v>
      </c>
    </row>
    <row r="4258">
      <c r="A4258" s="4" t="s">
        <v>7013</v>
      </c>
      <c r="B4258" s="4" t="s">
        <v>7014</v>
      </c>
      <c r="C4258" s="4">
        <v>207.0</v>
      </c>
      <c r="D4258" s="5" t="str">
        <f t="shared" ref="D4258:D4259" si="561">HYPERLINK("https://www.linkedin.com/ad-library/detail/1279898514","Open Ad")</f>
        <v>Open Ad</v>
      </c>
      <c r="E4258" s="4" t="s">
        <v>78</v>
      </c>
      <c r="F4258" s="4" t="s">
        <v>6765</v>
      </c>
      <c r="G4258" s="4" t="s">
        <v>7069</v>
      </c>
      <c r="H4258" s="4" t="s">
        <v>49</v>
      </c>
      <c r="I4258" s="4" t="s">
        <v>7016</v>
      </c>
      <c r="J4258" s="4" t="s">
        <v>78</v>
      </c>
      <c r="K4258" s="7" t="str">
        <f t="shared" ref="K4258:K4259" si="562">HYPERLINK("https://media.licdn.com/dms/image/v2/D4E10AQHboPdOJQaedw/image-shrink_1280/B4EZ2xCtEuIAAg-/0/1776791769678/ICP1_AdSet1_Lightjpg?e=2147483647&amp;v=beta&amp;t=Um24nNHJ_d8P5ydJlnq4NmW4aG0BNSV6kS9R5RQTlUQ","View Creative")</f>
        <v>View Creative</v>
      </c>
      <c r="L4258" s="4" t="s">
        <v>60</v>
      </c>
      <c r="M4258" s="4" t="s">
        <v>7013</v>
      </c>
      <c r="N4258" s="4" t="s">
        <v>7066</v>
      </c>
      <c r="O4258" s="4" t="s">
        <v>63</v>
      </c>
      <c r="P4258" s="4" t="s">
        <v>64</v>
      </c>
    </row>
    <row r="4259">
      <c r="A4259" s="4" t="s">
        <v>7013</v>
      </c>
      <c r="B4259" s="4" t="s">
        <v>7014</v>
      </c>
      <c r="C4259" s="4">
        <v>208.0</v>
      </c>
      <c r="D4259" s="5" t="str">
        <f t="shared" si="561"/>
        <v>Open Ad</v>
      </c>
      <c r="E4259" s="4" t="s">
        <v>78</v>
      </c>
      <c r="F4259" s="4" t="s">
        <v>6765</v>
      </c>
      <c r="G4259" s="4" t="s">
        <v>7069</v>
      </c>
      <c r="H4259" s="4" t="s">
        <v>49</v>
      </c>
      <c r="I4259" s="4" t="s">
        <v>7016</v>
      </c>
      <c r="J4259" s="4" t="s">
        <v>78</v>
      </c>
      <c r="K4259" s="7" t="str">
        <f t="shared" si="562"/>
        <v>View Creative</v>
      </c>
      <c r="L4259" s="4" t="s">
        <v>60</v>
      </c>
      <c r="M4259" s="4" t="s">
        <v>7013</v>
      </c>
      <c r="N4259" s="4" t="s">
        <v>7066</v>
      </c>
      <c r="O4259" s="4" t="s">
        <v>63</v>
      </c>
      <c r="P4259" s="4" t="s">
        <v>64</v>
      </c>
    </row>
    <row r="4260">
      <c r="A4260" s="4" t="s">
        <v>7013</v>
      </c>
      <c r="B4260" s="4" t="s">
        <v>7014</v>
      </c>
      <c r="C4260" s="4">
        <v>209.0</v>
      </c>
      <c r="D4260" s="5" t="str">
        <f t="shared" ref="D4260:D4261" si="563">HYPERLINK("https://www.linkedin.com/ad-library/detail/1277997694","Open Ad")</f>
        <v>Open Ad</v>
      </c>
      <c r="E4260" s="4" t="s">
        <v>78</v>
      </c>
      <c r="F4260" s="4" t="s">
        <v>6765</v>
      </c>
      <c r="G4260" s="4" t="s">
        <v>7070</v>
      </c>
      <c r="H4260" s="4" t="s">
        <v>49</v>
      </c>
      <c r="I4260" s="4" t="s">
        <v>7016</v>
      </c>
      <c r="J4260" s="4" t="s">
        <v>78</v>
      </c>
      <c r="K4260" s="7" t="str">
        <f t="shared" ref="K4260:K4261" si="564">HYPERLINK("https://media.licdn.com/dms/image/v2/D4E10AQEZJT46jQDuzQ/image-shrink_1280/B4EZ2xEtVCIgAc-/0/1776792295031/ICP2_AdSet1_Lightpng?e=2147483647&amp;v=beta&amp;t=5MmLet_0MZAeaikIi7_p7PZPECAp9iUlChV2wjatJCA","View Creative")</f>
        <v>View Creative</v>
      </c>
      <c r="L4260" s="4" t="s">
        <v>60</v>
      </c>
      <c r="M4260" s="4" t="s">
        <v>7013</v>
      </c>
      <c r="N4260" s="4" t="s">
        <v>7067</v>
      </c>
      <c r="O4260" s="4" t="s">
        <v>63</v>
      </c>
      <c r="P4260" s="4" t="s">
        <v>64</v>
      </c>
    </row>
    <row r="4261">
      <c r="A4261" s="4" t="s">
        <v>7013</v>
      </c>
      <c r="B4261" s="4" t="s">
        <v>7014</v>
      </c>
      <c r="C4261" s="4">
        <v>210.0</v>
      </c>
      <c r="D4261" s="5" t="str">
        <f t="shared" si="563"/>
        <v>Open Ad</v>
      </c>
      <c r="E4261" s="4" t="s">
        <v>78</v>
      </c>
      <c r="F4261" s="4" t="s">
        <v>6765</v>
      </c>
      <c r="G4261" s="4" t="s">
        <v>7070</v>
      </c>
      <c r="H4261" s="4" t="s">
        <v>49</v>
      </c>
      <c r="I4261" s="4" t="s">
        <v>7016</v>
      </c>
      <c r="J4261" s="4" t="s">
        <v>78</v>
      </c>
      <c r="K4261" s="7" t="str">
        <f t="shared" si="564"/>
        <v>View Creative</v>
      </c>
      <c r="L4261" s="4" t="s">
        <v>60</v>
      </c>
      <c r="M4261" s="4" t="s">
        <v>7013</v>
      </c>
      <c r="N4261" s="4" t="s">
        <v>7067</v>
      </c>
      <c r="O4261" s="4" t="s">
        <v>63</v>
      </c>
      <c r="P4261" s="4" t="s">
        <v>64</v>
      </c>
    </row>
    <row r="4262">
      <c r="A4262" s="4" t="s">
        <v>7013</v>
      </c>
      <c r="B4262" s="4" t="s">
        <v>7014</v>
      </c>
      <c r="C4262" s="4">
        <v>211.0</v>
      </c>
      <c r="D4262" s="5" t="str">
        <f t="shared" ref="D4262:D4263" si="565">HYPERLINK("https://www.linkedin.com/ad-library/detail/1279097884","Open Ad")</f>
        <v>Open Ad</v>
      </c>
      <c r="E4262" s="4" t="s">
        <v>78</v>
      </c>
      <c r="F4262" s="4" t="s">
        <v>6765</v>
      </c>
      <c r="G4262" s="4" t="s">
        <v>7071</v>
      </c>
      <c r="H4262" s="4" t="s">
        <v>49</v>
      </c>
      <c r="I4262" s="4" t="s">
        <v>7016</v>
      </c>
      <c r="J4262" s="4" t="s">
        <v>78</v>
      </c>
      <c r="K4262" s="7" t="str">
        <f t="shared" ref="K4262:K4263" si="566">HYPERLINK("https://media.licdn.com/dms/image/v2/D4E10AQGCxq_0yPjurA/image-shrink_1280/B4EZ2xG2_JJ8Ac-/0/1776792858907/ICP3_AdSet1_Lightjpg?e=2147483647&amp;v=beta&amp;t=xk6v_Q4Vji4zb7qVkUJHyuST-PgBXdjzk3K6sqcWoHw","View Creative")</f>
        <v>View Creative</v>
      </c>
      <c r="L4262" s="4" t="s">
        <v>60</v>
      </c>
      <c r="M4262" s="4" t="s">
        <v>7013</v>
      </c>
      <c r="N4262" s="4" t="s">
        <v>7067</v>
      </c>
      <c r="O4262" s="4" t="s">
        <v>63</v>
      </c>
      <c r="P4262" s="4" t="s">
        <v>64</v>
      </c>
    </row>
    <row r="4263">
      <c r="A4263" s="4" t="s">
        <v>7013</v>
      </c>
      <c r="B4263" s="4" t="s">
        <v>7014</v>
      </c>
      <c r="C4263" s="4">
        <v>212.0</v>
      </c>
      <c r="D4263" s="5" t="str">
        <f t="shared" si="565"/>
        <v>Open Ad</v>
      </c>
      <c r="E4263" s="4" t="s">
        <v>78</v>
      </c>
      <c r="F4263" s="4" t="s">
        <v>6765</v>
      </c>
      <c r="G4263" s="4" t="s">
        <v>7071</v>
      </c>
      <c r="H4263" s="4" t="s">
        <v>49</v>
      </c>
      <c r="I4263" s="4" t="s">
        <v>7016</v>
      </c>
      <c r="J4263" s="4" t="s">
        <v>78</v>
      </c>
      <c r="K4263" s="7" t="str">
        <f t="shared" si="566"/>
        <v>View Creative</v>
      </c>
      <c r="L4263" s="4" t="s">
        <v>60</v>
      </c>
      <c r="M4263" s="4" t="s">
        <v>7013</v>
      </c>
      <c r="N4263" s="4" t="s">
        <v>7067</v>
      </c>
      <c r="O4263" s="4" t="s">
        <v>63</v>
      </c>
      <c r="P4263" s="4" t="s">
        <v>64</v>
      </c>
    </row>
    <row r="4264">
      <c r="A4264" s="4" t="s">
        <v>7013</v>
      </c>
      <c r="B4264" s="4" t="s">
        <v>7014</v>
      </c>
      <c r="C4264" s="4">
        <v>213.0</v>
      </c>
      <c r="D4264" s="5" t="str">
        <f t="shared" ref="D4264:D4265" si="567">HYPERLINK("https://www.linkedin.com/ad-library/detail/1280097634","Open Ad")</f>
        <v>Open Ad</v>
      </c>
      <c r="E4264" s="4" t="s">
        <v>78</v>
      </c>
      <c r="F4264" s="4" t="s">
        <v>6765</v>
      </c>
      <c r="G4264" s="4" t="s">
        <v>7068</v>
      </c>
      <c r="H4264" s="4" t="s">
        <v>49</v>
      </c>
      <c r="I4264" s="4" t="s">
        <v>7016</v>
      </c>
      <c r="J4264" s="4" t="s">
        <v>78</v>
      </c>
      <c r="K4264" s="7" t="str">
        <f t="shared" ref="K4264:K4265" si="568">HYPERLINK("https://media.licdn.com/dms/image/v2/D4E10AQGGcgR4sHu0qQ/image-shrink_1280/B4EZ2xHDCBJ4Ac-/0/1776792908249/ICP3_AdSet2_Lightjpg?e=2147483647&amp;v=beta&amp;t=gL97tpqLwFikDEv9pISN9xLFP8FoS141mSzHUMWWQB8","View Creative")</f>
        <v>View Creative</v>
      </c>
      <c r="L4264" s="4" t="s">
        <v>60</v>
      </c>
      <c r="M4264" s="4" t="s">
        <v>7013</v>
      </c>
      <c r="N4264" s="4" t="s">
        <v>7072</v>
      </c>
      <c r="O4264" s="4" t="s">
        <v>63</v>
      </c>
      <c r="P4264" s="4" t="s">
        <v>64</v>
      </c>
    </row>
    <row r="4265">
      <c r="A4265" s="4" t="s">
        <v>7013</v>
      </c>
      <c r="B4265" s="4" t="s">
        <v>7014</v>
      </c>
      <c r="C4265" s="4">
        <v>214.0</v>
      </c>
      <c r="D4265" s="5" t="str">
        <f t="shared" si="567"/>
        <v>Open Ad</v>
      </c>
      <c r="E4265" s="4" t="s">
        <v>78</v>
      </c>
      <c r="F4265" s="4" t="s">
        <v>6765</v>
      </c>
      <c r="G4265" s="4" t="s">
        <v>7068</v>
      </c>
      <c r="H4265" s="4" t="s">
        <v>49</v>
      </c>
      <c r="I4265" s="4" t="s">
        <v>7016</v>
      </c>
      <c r="J4265" s="4" t="s">
        <v>78</v>
      </c>
      <c r="K4265" s="7" t="str">
        <f t="shared" si="568"/>
        <v>View Creative</v>
      </c>
      <c r="L4265" s="4" t="s">
        <v>60</v>
      </c>
      <c r="M4265" s="4" t="s">
        <v>7013</v>
      </c>
      <c r="N4265" s="4" t="s">
        <v>7072</v>
      </c>
      <c r="O4265" s="4" t="s">
        <v>63</v>
      </c>
      <c r="P4265" s="4" t="s">
        <v>64</v>
      </c>
    </row>
    <row r="4266">
      <c r="A4266" s="4" t="s">
        <v>7013</v>
      </c>
      <c r="B4266" s="4" t="s">
        <v>7014</v>
      </c>
      <c r="C4266" s="4">
        <v>215.0</v>
      </c>
      <c r="D4266" s="5" t="str">
        <f t="shared" ref="D4266:D4267" si="569">HYPERLINK("https://www.linkedin.com/ad-library/detail/1280391854","Open Ad")</f>
        <v>Open Ad</v>
      </c>
      <c r="E4266" s="4" t="s">
        <v>78</v>
      </c>
      <c r="F4266" s="4" t="s">
        <v>6765</v>
      </c>
      <c r="G4266" s="4" t="s">
        <v>7071</v>
      </c>
      <c r="H4266" s="4" t="s">
        <v>49</v>
      </c>
      <c r="I4266" s="4" t="s">
        <v>7016</v>
      </c>
      <c r="J4266" s="4" t="s">
        <v>78</v>
      </c>
      <c r="K4266" s="7" t="str">
        <f t="shared" ref="K4266:K4267" si="570">HYPERLINK("https://media.licdn.com/dms/image/v2/D4E10AQEPdiTT_xCBWg/image-shrink_1280/B4EZ2xGpi5GkAg-/0/1776792803775/ICP3_AdSet1_Darkpng?e=2147483647&amp;v=beta&amp;t=AqsGH2mjjyT1lgndJnjkLjx90v3LNaufPQVuq_2nLTE","View Creative")</f>
        <v>View Creative</v>
      </c>
      <c r="L4266" s="4" t="s">
        <v>60</v>
      </c>
      <c r="M4266" s="4" t="s">
        <v>7013</v>
      </c>
      <c r="N4266" s="4" t="s">
        <v>7067</v>
      </c>
      <c r="O4266" s="4" t="s">
        <v>63</v>
      </c>
      <c r="P4266" s="4" t="s">
        <v>64</v>
      </c>
    </row>
    <row r="4267">
      <c r="A4267" s="4" t="s">
        <v>7013</v>
      </c>
      <c r="B4267" s="4" t="s">
        <v>7014</v>
      </c>
      <c r="C4267" s="4">
        <v>216.0</v>
      </c>
      <c r="D4267" s="5" t="str">
        <f t="shared" si="569"/>
        <v>Open Ad</v>
      </c>
      <c r="E4267" s="4" t="s">
        <v>78</v>
      </c>
      <c r="F4267" s="4" t="s">
        <v>6765</v>
      </c>
      <c r="G4267" s="4" t="s">
        <v>7071</v>
      </c>
      <c r="H4267" s="4" t="s">
        <v>49</v>
      </c>
      <c r="I4267" s="4" t="s">
        <v>7016</v>
      </c>
      <c r="J4267" s="4" t="s">
        <v>78</v>
      </c>
      <c r="K4267" s="7" t="str">
        <f t="shared" si="570"/>
        <v>View Creative</v>
      </c>
      <c r="L4267" s="4" t="s">
        <v>60</v>
      </c>
      <c r="M4267" s="4" t="s">
        <v>7013</v>
      </c>
      <c r="N4267" s="4" t="s">
        <v>7067</v>
      </c>
      <c r="O4267" s="4" t="s">
        <v>63</v>
      </c>
      <c r="P4267" s="4" t="s">
        <v>64</v>
      </c>
    </row>
    <row r="4268">
      <c r="A4268" s="4" t="s">
        <v>7013</v>
      </c>
      <c r="B4268" s="4" t="s">
        <v>7014</v>
      </c>
      <c r="C4268" s="4">
        <v>217.0</v>
      </c>
      <c r="D4268" s="5" t="str">
        <f t="shared" ref="D4268:D4269" si="571">HYPERLINK("https://www.linkedin.com/ad-library/detail/1280097644","Open Ad")</f>
        <v>Open Ad</v>
      </c>
      <c r="E4268" s="4" t="s">
        <v>78</v>
      </c>
      <c r="F4268" s="4" t="s">
        <v>6765</v>
      </c>
      <c r="G4268" s="4" t="s">
        <v>7070</v>
      </c>
      <c r="H4268" s="4" t="s">
        <v>49</v>
      </c>
      <c r="I4268" s="4" t="s">
        <v>7016</v>
      </c>
      <c r="J4268" s="4" t="s">
        <v>78</v>
      </c>
      <c r="K4268" s="7" t="str">
        <f t="shared" ref="K4268:K4269" si="572">HYPERLINK("https://media.licdn.com/dms/image/v2/D4E10AQEZJT46jQDuzQ/image-shrink_1280/B4EZ2xEtVCIgAc-/0/1776792295031/ICP2_AdSet1_Lightpng?e=2147483647&amp;v=beta&amp;t=5MmLet_0MZAeaikIi7_p7PZPECAp9iUlChV2wjatJCA","View Creative")</f>
        <v>View Creative</v>
      </c>
      <c r="L4268" s="4" t="s">
        <v>60</v>
      </c>
      <c r="M4268" s="4" t="s">
        <v>7013</v>
      </c>
      <c r="N4268" s="4" t="s">
        <v>7066</v>
      </c>
      <c r="O4268" s="4" t="s">
        <v>63</v>
      </c>
      <c r="P4268" s="4" t="s">
        <v>64</v>
      </c>
    </row>
    <row r="4269">
      <c r="A4269" s="4" t="s">
        <v>7013</v>
      </c>
      <c r="B4269" s="4" t="s">
        <v>7014</v>
      </c>
      <c r="C4269" s="4">
        <v>218.0</v>
      </c>
      <c r="D4269" s="5" t="str">
        <f t="shared" si="571"/>
        <v>Open Ad</v>
      </c>
      <c r="E4269" s="4" t="s">
        <v>78</v>
      </c>
      <c r="F4269" s="4" t="s">
        <v>6765</v>
      </c>
      <c r="G4269" s="4" t="s">
        <v>7070</v>
      </c>
      <c r="H4269" s="4" t="s">
        <v>49</v>
      </c>
      <c r="I4269" s="4" t="s">
        <v>7016</v>
      </c>
      <c r="J4269" s="4" t="s">
        <v>78</v>
      </c>
      <c r="K4269" s="7" t="str">
        <f t="shared" si="572"/>
        <v>View Creative</v>
      </c>
      <c r="L4269" s="4" t="s">
        <v>60</v>
      </c>
      <c r="M4269" s="4" t="s">
        <v>7013</v>
      </c>
      <c r="N4269" s="4" t="s">
        <v>7066</v>
      </c>
      <c r="O4269" s="4" t="s">
        <v>63</v>
      </c>
      <c r="P4269" s="4" t="s">
        <v>64</v>
      </c>
    </row>
    <row r="4270">
      <c r="A4270" s="4" t="s">
        <v>7013</v>
      </c>
      <c r="B4270" s="4" t="s">
        <v>7014</v>
      </c>
      <c r="C4270" s="4">
        <v>219.0</v>
      </c>
      <c r="D4270" s="5" t="str">
        <f t="shared" ref="D4270:D4271" si="573">HYPERLINK("https://www.linkedin.com/ad-library/detail/1278097904","Open Ad")</f>
        <v>Open Ad</v>
      </c>
      <c r="E4270" s="4" t="s">
        <v>78</v>
      </c>
      <c r="F4270" s="4" t="s">
        <v>6765</v>
      </c>
      <c r="G4270" s="4" t="s">
        <v>7070</v>
      </c>
      <c r="H4270" s="4" t="s">
        <v>49</v>
      </c>
      <c r="I4270" s="4" t="s">
        <v>7016</v>
      </c>
      <c r="J4270" s="4" t="s">
        <v>78</v>
      </c>
      <c r="K4270" s="7" t="str">
        <f t="shared" ref="K4270:K4273" si="574">HYPERLINK("https://media.licdn.com/dms/image/v2/D4E10AQGrb2_Jinm9RA/image-shrink_1280/B4EZ2xEO5GGYAc-/0/1776792170337/ICP2_AdSet1_Darkpng?e=2147483647&amp;v=beta&amp;t=eHDy2xVVYQt3HjbKbJeCO7Iro9N0eP-xFN7lEXHYM-k","View Creative")</f>
        <v>View Creative</v>
      </c>
      <c r="L4270" s="4" t="s">
        <v>60</v>
      </c>
      <c r="M4270" s="4" t="s">
        <v>7013</v>
      </c>
      <c r="N4270" s="4" t="s">
        <v>7067</v>
      </c>
      <c r="O4270" s="4" t="s">
        <v>63</v>
      </c>
      <c r="P4270" s="4" t="s">
        <v>64</v>
      </c>
    </row>
    <row r="4271">
      <c r="A4271" s="4" t="s">
        <v>7013</v>
      </c>
      <c r="B4271" s="4" t="s">
        <v>7014</v>
      </c>
      <c r="C4271" s="4">
        <v>220.0</v>
      </c>
      <c r="D4271" s="5" t="str">
        <f t="shared" si="573"/>
        <v>Open Ad</v>
      </c>
      <c r="E4271" s="4" t="s">
        <v>78</v>
      </c>
      <c r="F4271" s="4" t="s">
        <v>6765</v>
      </c>
      <c r="G4271" s="4" t="s">
        <v>7070</v>
      </c>
      <c r="H4271" s="4" t="s">
        <v>49</v>
      </c>
      <c r="I4271" s="4" t="s">
        <v>7016</v>
      </c>
      <c r="J4271" s="4" t="s">
        <v>78</v>
      </c>
      <c r="K4271" s="7" t="str">
        <f t="shared" si="574"/>
        <v>View Creative</v>
      </c>
      <c r="L4271" s="4" t="s">
        <v>60</v>
      </c>
      <c r="M4271" s="4" t="s">
        <v>7013</v>
      </c>
      <c r="N4271" s="4" t="s">
        <v>7067</v>
      </c>
      <c r="O4271" s="4" t="s">
        <v>63</v>
      </c>
      <c r="P4271" s="4" t="s">
        <v>64</v>
      </c>
    </row>
    <row r="4272">
      <c r="A4272" s="4" t="s">
        <v>7013</v>
      </c>
      <c r="B4272" s="4" t="s">
        <v>7014</v>
      </c>
      <c r="C4272" s="4">
        <v>221.0</v>
      </c>
      <c r="D4272" s="5" t="str">
        <f t="shared" ref="D4272:D4273" si="575">HYPERLINK("https://www.linkedin.com/ad-library/detail/1280391834","Open Ad")</f>
        <v>Open Ad</v>
      </c>
      <c r="E4272" s="4" t="s">
        <v>78</v>
      </c>
      <c r="F4272" s="4" t="s">
        <v>6765</v>
      </c>
      <c r="G4272" s="4" t="s">
        <v>7070</v>
      </c>
      <c r="H4272" s="4" t="s">
        <v>49</v>
      </c>
      <c r="I4272" s="4" t="s">
        <v>7016</v>
      </c>
      <c r="J4272" s="4" t="s">
        <v>78</v>
      </c>
      <c r="K4272" s="7" t="str">
        <f t="shared" si="574"/>
        <v>View Creative</v>
      </c>
      <c r="L4272" s="4" t="s">
        <v>60</v>
      </c>
      <c r="M4272" s="4" t="s">
        <v>7013</v>
      </c>
      <c r="N4272" s="4" t="s">
        <v>7067</v>
      </c>
      <c r="O4272" s="4" t="s">
        <v>63</v>
      </c>
      <c r="P4272" s="4" t="s">
        <v>64</v>
      </c>
    </row>
    <row r="4273">
      <c r="A4273" s="4" t="s">
        <v>7013</v>
      </c>
      <c r="B4273" s="4" t="s">
        <v>7014</v>
      </c>
      <c r="C4273" s="4">
        <v>222.0</v>
      </c>
      <c r="D4273" s="5" t="str">
        <f t="shared" si="575"/>
        <v>Open Ad</v>
      </c>
      <c r="E4273" s="4" t="s">
        <v>78</v>
      </c>
      <c r="F4273" s="4" t="s">
        <v>6765</v>
      </c>
      <c r="G4273" s="4" t="s">
        <v>7070</v>
      </c>
      <c r="H4273" s="4" t="s">
        <v>49</v>
      </c>
      <c r="I4273" s="4" t="s">
        <v>7016</v>
      </c>
      <c r="J4273" s="4" t="s">
        <v>78</v>
      </c>
      <c r="K4273" s="7" t="str">
        <f t="shared" si="574"/>
        <v>View Creative</v>
      </c>
      <c r="L4273" s="4" t="s">
        <v>60</v>
      </c>
      <c r="M4273" s="4" t="s">
        <v>7013</v>
      </c>
      <c r="N4273" s="4" t="s">
        <v>7067</v>
      </c>
      <c r="O4273" s="4" t="s">
        <v>63</v>
      </c>
      <c r="P4273" s="4" t="s">
        <v>64</v>
      </c>
    </row>
    <row r="4274">
      <c r="A4274" s="4" t="s">
        <v>7013</v>
      </c>
      <c r="B4274" s="4" t="s">
        <v>7014</v>
      </c>
      <c r="C4274" s="4">
        <v>223.0</v>
      </c>
      <c r="D4274" s="5" t="str">
        <f t="shared" ref="D4274:D4275" si="576">HYPERLINK("https://www.linkedin.com/ad-library/detail/1280490044","Open Ad")</f>
        <v>Open Ad</v>
      </c>
      <c r="E4274" s="4" t="s">
        <v>78</v>
      </c>
      <c r="F4274" s="4" t="s">
        <v>6765</v>
      </c>
      <c r="G4274" s="4" t="s">
        <v>7068</v>
      </c>
      <c r="H4274" s="4" t="s">
        <v>49</v>
      </c>
      <c r="I4274" s="4" t="s">
        <v>7016</v>
      </c>
      <c r="J4274" s="4" t="s">
        <v>78</v>
      </c>
      <c r="K4274" s="7" t="str">
        <f t="shared" ref="K4274:K4275" si="577">HYPERLINK("https://media.licdn.com/dms/image/v2/D4E10AQGvns9xKRHoLg/image-shrink_1280/B4EZ2xHRYxJcAc-/0/1776792967092/ICP3_AdSet2_Darkpng?e=2147483647&amp;v=beta&amp;t=BTkLhjR9pUeIhWPAfBtxEd8hWLk4S79f59nRj2r0dTc","View Creative")</f>
        <v>View Creative</v>
      </c>
      <c r="L4274" s="4" t="s">
        <v>60</v>
      </c>
      <c r="M4274" s="4" t="s">
        <v>7013</v>
      </c>
      <c r="N4274" s="4" t="s">
        <v>7067</v>
      </c>
      <c r="O4274" s="4" t="s">
        <v>63</v>
      </c>
      <c r="P4274" s="4" t="s">
        <v>64</v>
      </c>
    </row>
    <row r="4275">
      <c r="A4275" s="4" t="s">
        <v>7013</v>
      </c>
      <c r="B4275" s="4" t="s">
        <v>7014</v>
      </c>
      <c r="C4275" s="4">
        <v>224.0</v>
      </c>
      <c r="D4275" s="5" t="str">
        <f t="shared" si="576"/>
        <v>Open Ad</v>
      </c>
      <c r="E4275" s="4" t="s">
        <v>78</v>
      </c>
      <c r="F4275" s="4" t="s">
        <v>6765</v>
      </c>
      <c r="G4275" s="4" t="s">
        <v>7068</v>
      </c>
      <c r="H4275" s="4" t="s">
        <v>49</v>
      </c>
      <c r="I4275" s="4" t="s">
        <v>7016</v>
      </c>
      <c r="J4275" s="4" t="s">
        <v>78</v>
      </c>
      <c r="K4275" s="7" t="str">
        <f t="shared" si="577"/>
        <v>View Creative</v>
      </c>
      <c r="L4275" s="4" t="s">
        <v>60</v>
      </c>
      <c r="M4275" s="4" t="s">
        <v>7013</v>
      </c>
      <c r="N4275" s="4" t="s">
        <v>7067</v>
      </c>
      <c r="O4275" s="4" t="s">
        <v>63</v>
      </c>
      <c r="P4275" s="4" t="s">
        <v>64</v>
      </c>
    </row>
    <row r="4276">
      <c r="A4276" s="4" t="s">
        <v>7013</v>
      </c>
      <c r="B4276" s="4" t="s">
        <v>7014</v>
      </c>
      <c r="C4276" s="4">
        <v>225.0</v>
      </c>
      <c r="D4276" s="5" t="str">
        <f t="shared" ref="D4276:D4277" si="578">HYPERLINK("https://www.linkedin.com/ad-library/detail/1279997424","Open Ad")</f>
        <v>Open Ad</v>
      </c>
      <c r="E4276" s="4" t="s">
        <v>78</v>
      </c>
      <c r="F4276" s="4" t="s">
        <v>6765</v>
      </c>
      <c r="G4276" s="4" t="s">
        <v>7069</v>
      </c>
      <c r="H4276" s="4" t="s">
        <v>49</v>
      </c>
      <c r="I4276" s="4" t="s">
        <v>7016</v>
      </c>
      <c r="J4276" s="4" t="s">
        <v>78</v>
      </c>
      <c r="K4276" s="7" t="str">
        <f t="shared" ref="K4276:K4277" si="579">HYPERLINK("https://media.licdn.com/dms/image/v2/D4E10AQEho1DoF5E3Hg/image-shrink_1280/B4EZ2xB82gIMAc-/0/1776791572176/ICP1_AdSet1_Darkpng?e=2147483647&amp;v=beta&amp;t=6YSA6x7kFUGlSCUAUccXUPh1fO880BucZLhFSQJzH6k","View Creative")</f>
        <v>View Creative</v>
      </c>
      <c r="L4276" s="4" t="s">
        <v>60</v>
      </c>
      <c r="M4276" s="4" t="s">
        <v>7013</v>
      </c>
      <c r="N4276" s="4" t="s">
        <v>7064</v>
      </c>
      <c r="O4276" s="4" t="s">
        <v>63</v>
      </c>
      <c r="P4276" s="4" t="s">
        <v>64</v>
      </c>
    </row>
    <row r="4277">
      <c r="A4277" s="4" t="s">
        <v>7013</v>
      </c>
      <c r="B4277" s="4" t="s">
        <v>7014</v>
      </c>
      <c r="C4277" s="4">
        <v>226.0</v>
      </c>
      <c r="D4277" s="5" t="str">
        <f t="shared" si="578"/>
        <v>Open Ad</v>
      </c>
      <c r="E4277" s="4" t="s">
        <v>78</v>
      </c>
      <c r="F4277" s="4" t="s">
        <v>6765</v>
      </c>
      <c r="G4277" s="4" t="s">
        <v>7069</v>
      </c>
      <c r="H4277" s="4" t="s">
        <v>49</v>
      </c>
      <c r="I4277" s="4" t="s">
        <v>7016</v>
      </c>
      <c r="J4277" s="4" t="s">
        <v>78</v>
      </c>
      <c r="K4277" s="7" t="str">
        <f t="shared" si="579"/>
        <v>View Creative</v>
      </c>
      <c r="L4277" s="4" t="s">
        <v>60</v>
      </c>
      <c r="M4277" s="4" t="s">
        <v>7013</v>
      </c>
      <c r="N4277" s="4" t="s">
        <v>7064</v>
      </c>
      <c r="O4277" s="4" t="s">
        <v>63</v>
      </c>
      <c r="P4277" s="4" t="s">
        <v>64</v>
      </c>
    </row>
    <row r="4278">
      <c r="A4278" s="4" t="s">
        <v>7013</v>
      </c>
      <c r="B4278" s="4" t="s">
        <v>7014</v>
      </c>
      <c r="C4278" s="4">
        <v>227.0</v>
      </c>
      <c r="D4278" s="5" t="str">
        <f t="shared" ref="D4278:D4279" si="580">HYPERLINK("https://www.linkedin.com/ad-library/detail/1278397284","Open Ad")</f>
        <v>Open Ad</v>
      </c>
      <c r="E4278" s="4" t="s">
        <v>78</v>
      </c>
      <c r="F4278" s="4" t="s">
        <v>6765</v>
      </c>
      <c r="G4278" s="4" t="s">
        <v>7063</v>
      </c>
      <c r="H4278" s="4" t="s">
        <v>49</v>
      </c>
      <c r="I4278" s="4" t="s">
        <v>7016</v>
      </c>
      <c r="J4278" s="4" t="s">
        <v>78</v>
      </c>
      <c r="K4278" s="7" t="str">
        <f t="shared" ref="K4278:K4279" si="581">HYPERLINK("https://media.licdn.com/dms/image/v2/D4E10AQGv7Tj0C5xS0g/image-shrink_1280/B4EZ2xC3.wHMAg-/0/1776791814323/ICP1_AdSet2_Darkpng?e=2147483647&amp;v=beta&amp;t=0h8d2MCwx78B5nj2YGdwGTvZge_vsKmTIuS0iPcUw28","View Creative")</f>
        <v>View Creative</v>
      </c>
      <c r="L4278" s="4" t="s">
        <v>60</v>
      </c>
      <c r="M4278" s="4" t="s">
        <v>7013</v>
      </c>
      <c r="N4278" s="4" t="s">
        <v>7066</v>
      </c>
      <c r="O4278" s="4" t="s">
        <v>63</v>
      </c>
      <c r="P4278" s="4" t="s">
        <v>64</v>
      </c>
    </row>
    <row r="4279">
      <c r="A4279" s="4" t="s">
        <v>7013</v>
      </c>
      <c r="B4279" s="4" t="s">
        <v>7014</v>
      </c>
      <c r="C4279" s="4">
        <v>228.0</v>
      </c>
      <c r="D4279" s="5" t="str">
        <f t="shared" si="580"/>
        <v>Open Ad</v>
      </c>
      <c r="E4279" s="4" t="s">
        <v>78</v>
      </c>
      <c r="F4279" s="4" t="s">
        <v>6765</v>
      </c>
      <c r="G4279" s="4" t="s">
        <v>7063</v>
      </c>
      <c r="H4279" s="4" t="s">
        <v>49</v>
      </c>
      <c r="I4279" s="4" t="s">
        <v>7016</v>
      </c>
      <c r="J4279" s="4" t="s">
        <v>78</v>
      </c>
      <c r="K4279" s="7" t="str">
        <f t="shared" si="581"/>
        <v>View Creative</v>
      </c>
      <c r="L4279" s="4" t="s">
        <v>60</v>
      </c>
      <c r="M4279" s="4" t="s">
        <v>7013</v>
      </c>
      <c r="N4279" s="4" t="s">
        <v>7066</v>
      </c>
      <c r="O4279" s="4" t="s">
        <v>63</v>
      </c>
      <c r="P4279" s="4" t="s">
        <v>64</v>
      </c>
    </row>
    <row r="4280">
      <c r="A4280" s="4" t="s">
        <v>7013</v>
      </c>
      <c r="B4280" s="4" t="s">
        <v>7014</v>
      </c>
      <c r="C4280" s="4">
        <v>229.0</v>
      </c>
      <c r="D4280" s="5" t="str">
        <f t="shared" ref="D4280:D4281" si="582">HYPERLINK("https://www.linkedin.com/ad-library/detail/1280194974","Open Ad")</f>
        <v>Open Ad</v>
      </c>
      <c r="E4280" s="4" t="s">
        <v>78</v>
      </c>
      <c r="F4280" s="4" t="s">
        <v>6765</v>
      </c>
      <c r="G4280" s="4" t="s">
        <v>7065</v>
      </c>
      <c r="H4280" s="4" t="s">
        <v>49</v>
      </c>
      <c r="I4280" s="4" t="s">
        <v>7016</v>
      </c>
      <c r="J4280" s="4" t="s">
        <v>78</v>
      </c>
      <c r="K4280" s="7" t="str">
        <f t="shared" ref="K4280:K4281" si="583">HYPERLINK("https://media.licdn.com/dms/image/v2/D4E10AQF3LoKOSTv-4g/image-shrink_1280/B4EZ2xFPCmJMAg-/0/1776792433165/ICP2_AdSet2_Darkpng?e=2147483647&amp;v=beta&amp;t=KNVM9DOV--hkIa99KE8Yjy8KGUgBQ1AeHSdqfqsgwBg","View Creative")</f>
        <v>View Creative</v>
      </c>
      <c r="L4280" s="4" t="s">
        <v>60</v>
      </c>
      <c r="M4280" s="4" t="s">
        <v>7013</v>
      </c>
      <c r="N4280" s="4" t="s">
        <v>7066</v>
      </c>
      <c r="O4280" s="4" t="s">
        <v>63</v>
      </c>
      <c r="P4280" s="4" t="s">
        <v>64</v>
      </c>
    </row>
    <row r="4281">
      <c r="A4281" s="4" t="s">
        <v>7013</v>
      </c>
      <c r="B4281" s="4" t="s">
        <v>7014</v>
      </c>
      <c r="C4281" s="4">
        <v>230.0</v>
      </c>
      <c r="D4281" s="5" t="str">
        <f t="shared" si="582"/>
        <v>Open Ad</v>
      </c>
      <c r="E4281" s="4" t="s">
        <v>78</v>
      </c>
      <c r="F4281" s="4" t="s">
        <v>6765</v>
      </c>
      <c r="G4281" s="4" t="s">
        <v>7065</v>
      </c>
      <c r="H4281" s="4" t="s">
        <v>49</v>
      </c>
      <c r="I4281" s="4" t="s">
        <v>7016</v>
      </c>
      <c r="J4281" s="4" t="s">
        <v>78</v>
      </c>
      <c r="K4281" s="7" t="str">
        <f t="shared" si="583"/>
        <v>View Creative</v>
      </c>
      <c r="L4281" s="4" t="s">
        <v>60</v>
      </c>
      <c r="M4281" s="4" t="s">
        <v>7013</v>
      </c>
      <c r="N4281" s="4" t="s">
        <v>7066</v>
      </c>
      <c r="O4281" s="4" t="s">
        <v>63</v>
      </c>
      <c r="P4281" s="4" t="s">
        <v>64</v>
      </c>
    </row>
    <row r="4282">
      <c r="A4282" s="4" t="s">
        <v>7013</v>
      </c>
      <c r="B4282" s="4" t="s">
        <v>7014</v>
      </c>
      <c r="C4282" s="4">
        <v>231.0</v>
      </c>
      <c r="D4282" s="5" t="str">
        <f t="shared" ref="D4282:D4283" si="584">HYPERLINK("https://www.linkedin.com/ad-library/detail/1279697424","Open Ad")</f>
        <v>Open Ad</v>
      </c>
      <c r="E4282" s="4" t="s">
        <v>78</v>
      </c>
      <c r="F4282" s="4" t="s">
        <v>6765</v>
      </c>
      <c r="G4282" s="4" t="s">
        <v>7063</v>
      </c>
      <c r="H4282" s="4" t="s">
        <v>49</v>
      </c>
      <c r="I4282" s="4" t="s">
        <v>7016</v>
      </c>
      <c r="J4282" s="4" t="s">
        <v>78</v>
      </c>
      <c r="K4282" s="7" t="str">
        <f t="shared" ref="K4282:K4283" si="585">HYPERLINK("https://media.licdn.com/dms/image/v2/D4E10AQGv7Tj0C5xS0g/image-shrink_1280/B4EZ2xC3.wHMAg-/0/1776791814323/ICP1_AdSet2_Darkpng?e=2147483647&amp;v=beta&amp;t=0h8d2MCwx78B5nj2YGdwGTvZge_vsKmTIuS0iPcUw28","View Creative")</f>
        <v>View Creative</v>
      </c>
      <c r="L4282" s="4" t="s">
        <v>60</v>
      </c>
      <c r="M4282" s="4" t="s">
        <v>7013</v>
      </c>
      <c r="N4282" s="4" t="s">
        <v>7066</v>
      </c>
      <c r="O4282" s="4" t="s">
        <v>63</v>
      </c>
      <c r="P4282" s="4" t="s">
        <v>64</v>
      </c>
    </row>
    <row r="4283">
      <c r="A4283" s="4" t="s">
        <v>7013</v>
      </c>
      <c r="B4283" s="4" t="s">
        <v>7014</v>
      </c>
      <c r="C4283" s="4">
        <v>232.0</v>
      </c>
      <c r="D4283" s="5" t="str">
        <f t="shared" si="584"/>
        <v>Open Ad</v>
      </c>
      <c r="E4283" s="4" t="s">
        <v>78</v>
      </c>
      <c r="F4283" s="4" t="s">
        <v>6765</v>
      </c>
      <c r="G4283" s="4" t="s">
        <v>7063</v>
      </c>
      <c r="H4283" s="4" t="s">
        <v>49</v>
      </c>
      <c r="I4283" s="4" t="s">
        <v>7016</v>
      </c>
      <c r="J4283" s="4" t="s">
        <v>78</v>
      </c>
      <c r="K4283" s="7" t="str">
        <f t="shared" si="585"/>
        <v>View Creative</v>
      </c>
      <c r="L4283" s="4" t="s">
        <v>60</v>
      </c>
      <c r="M4283" s="4" t="s">
        <v>7013</v>
      </c>
      <c r="N4283" s="4" t="s">
        <v>7066</v>
      </c>
      <c r="O4283" s="4" t="s">
        <v>63</v>
      </c>
      <c r="P4283" s="4" t="s">
        <v>64</v>
      </c>
    </row>
    <row r="4284">
      <c r="A4284" s="4" t="s">
        <v>7013</v>
      </c>
      <c r="B4284" s="4" t="s">
        <v>7014</v>
      </c>
      <c r="C4284" s="4">
        <v>233.0</v>
      </c>
      <c r="D4284" s="5" t="str">
        <f t="shared" ref="D4284:D4285" si="586">HYPERLINK("https://www.linkedin.com/ad-library/detail/1279297534","Open Ad")</f>
        <v>Open Ad</v>
      </c>
      <c r="E4284" s="4" t="s">
        <v>78</v>
      </c>
      <c r="F4284" s="4" t="s">
        <v>6765</v>
      </c>
      <c r="G4284" s="4" t="s">
        <v>7065</v>
      </c>
      <c r="H4284" s="4" t="s">
        <v>49</v>
      </c>
      <c r="I4284" s="4" t="s">
        <v>7016</v>
      </c>
      <c r="J4284" s="4" t="s">
        <v>78</v>
      </c>
      <c r="K4284" s="7" t="str">
        <f t="shared" ref="K4284:K4285" si="587">HYPERLINK("https://media.licdn.com/dms/image/v2/D4E10AQF3LoKOSTv-4g/image-shrink_1280/B4EZ2xFPCmJMAg-/0/1776792433165/ICP2_AdSet2_Darkpng?e=2147483647&amp;v=beta&amp;t=KNVM9DOV--hkIa99KE8Yjy8KGUgBQ1AeHSdqfqsgwBg","View Creative")</f>
        <v>View Creative</v>
      </c>
      <c r="L4284" s="4" t="s">
        <v>60</v>
      </c>
      <c r="M4284" s="4" t="s">
        <v>7013</v>
      </c>
      <c r="N4284" s="4" t="s">
        <v>7067</v>
      </c>
      <c r="O4284" s="4" t="s">
        <v>63</v>
      </c>
      <c r="P4284" s="4" t="s">
        <v>64</v>
      </c>
    </row>
    <row r="4285">
      <c r="A4285" s="4" t="s">
        <v>7013</v>
      </c>
      <c r="B4285" s="4" t="s">
        <v>7014</v>
      </c>
      <c r="C4285" s="4">
        <v>234.0</v>
      </c>
      <c r="D4285" s="5" t="str">
        <f t="shared" si="586"/>
        <v>Open Ad</v>
      </c>
      <c r="E4285" s="4" t="s">
        <v>78</v>
      </c>
      <c r="F4285" s="4" t="s">
        <v>6765</v>
      </c>
      <c r="G4285" s="4" t="s">
        <v>7065</v>
      </c>
      <c r="H4285" s="4" t="s">
        <v>49</v>
      </c>
      <c r="I4285" s="4" t="s">
        <v>7016</v>
      </c>
      <c r="J4285" s="4" t="s">
        <v>78</v>
      </c>
      <c r="K4285" s="7" t="str">
        <f t="shared" si="587"/>
        <v>View Creative</v>
      </c>
      <c r="L4285" s="4" t="s">
        <v>60</v>
      </c>
      <c r="M4285" s="4" t="s">
        <v>7013</v>
      </c>
      <c r="N4285" s="4" t="s">
        <v>7067</v>
      </c>
      <c r="O4285" s="4" t="s">
        <v>63</v>
      </c>
      <c r="P4285" s="4" t="s">
        <v>64</v>
      </c>
    </row>
    <row r="4286">
      <c r="A4286" s="4" t="s">
        <v>7013</v>
      </c>
      <c r="B4286" s="4" t="s">
        <v>7014</v>
      </c>
      <c r="C4286" s="4">
        <v>235.0</v>
      </c>
      <c r="D4286" s="5" t="str">
        <f t="shared" ref="D4286:D4287" si="588">HYPERLINK("https://www.linkedin.com/ad-library/detail/1279997384","Open Ad")</f>
        <v>Open Ad</v>
      </c>
      <c r="E4286" s="4" t="s">
        <v>78</v>
      </c>
      <c r="F4286" s="4" t="s">
        <v>6765</v>
      </c>
      <c r="G4286" s="4" t="s">
        <v>7071</v>
      </c>
      <c r="H4286" s="4" t="s">
        <v>49</v>
      </c>
      <c r="I4286" s="4" t="s">
        <v>7016</v>
      </c>
      <c r="J4286" s="4" t="s">
        <v>78</v>
      </c>
      <c r="K4286" s="7" t="str">
        <f t="shared" ref="K4286:K4287" si="589">HYPERLINK("https://media.licdn.com/dms/image/v2/D4E10AQEPdiTT_xCBWg/image-shrink_1280/B4EZ2xGpi5GkAg-/0/1776792803775/ICP3_AdSet1_Darkpng?e=2147483647&amp;v=beta&amp;t=AqsGH2mjjyT1lgndJnjkLjx90v3LNaufPQVuq_2nLTE","View Creative")</f>
        <v>View Creative</v>
      </c>
      <c r="L4286" s="4" t="s">
        <v>60</v>
      </c>
      <c r="M4286" s="4" t="s">
        <v>7013</v>
      </c>
      <c r="N4286" s="4" t="s">
        <v>7067</v>
      </c>
      <c r="O4286" s="4" t="s">
        <v>63</v>
      </c>
      <c r="P4286" s="4" t="s">
        <v>64</v>
      </c>
    </row>
    <row r="4287">
      <c r="A4287" s="4" t="s">
        <v>7013</v>
      </c>
      <c r="B4287" s="4" t="s">
        <v>7014</v>
      </c>
      <c r="C4287" s="4">
        <v>236.0</v>
      </c>
      <c r="D4287" s="5" t="str">
        <f t="shared" si="588"/>
        <v>Open Ad</v>
      </c>
      <c r="E4287" s="4" t="s">
        <v>78</v>
      </c>
      <c r="F4287" s="4" t="s">
        <v>6765</v>
      </c>
      <c r="G4287" s="4" t="s">
        <v>7071</v>
      </c>
      <c r="H4287" s="4" t="s">
        <v>49</v>
      </c>
      <c r="I4287" s="4" t="s">
        <v>7016</v>
      </c>
      <c r="J4287" s="4" t="s">
        <v>78</v>
      </c>
      <c r="K4287" s="7" t="str">
        <f t="shared" si="589"/>
        <v>View Creative</v>
      </c>
      <c r="L4287" s="4" t="s">
        <v>60</v>
      </c>
      <c r="M4287" s="4" t="s">
        <v>7013</v>
      </c>
      <c r="N4287" s="4" t="s">
        <v>7067</v>
      </c>
      <c r="O4287" s="4" t="s">
        <v>63</v>
      </c>
      <c r="P4287" s="4" t="s">
        <v>64</v>
      </c>
    </row>
    <row r="4288">
      <c r="A4288" s="4" t="s">
        <v>7013</v>
      </c>
      <c r="B4288" s="4" t="s">
        <v>7014</v>
      </c>
      <c r="C4288" s="4">
        <v>237.0</v>
      </c>
      <c r="D4288" s="5" t="str">
        <f t="shared" ref="D4288:D4289" si="590">HYPERLINK("https://www.linkedin.com/ad-library/detail/1280880044","Open Ad")</f>
        <v>Open Ad</v>
      </c>
      <c r="E4288" s="4" t="s">
        <v>78</v>
      </c>
      <c r="F4288" s="4" t="s">
        <v>6765</v>
      </c>
      <c r="G4288" s="4" t="s">
        <v>7069</v>
      </c>
      <c r="H4288" s="4" t="s">
        <v>49</v>
      </c>
      <c r="I4288" s="4" t="s">
        <v>7016</v>
      </c>
      <c r="J4288" s="4" t="s">
        <v>78</v>
      </c>
      <c r="K4288" s="7" t="str">
        <f t="shared" ref="K4288:K4289" si="591">HYPERLINK("https://media.licdn.com/dms/image/v2/D4E10AQHboPdOJQaedw/image-shrink_1280/B4EZ2xCtEuIAAg-/0/1776791769678/ICP1_AdSet1_Lightjpg?e=2147483647&amp;v=beta&amp;t=Um24nNHJ_d8P5ydJlnq4NmW4aG0BNSV6kS9R5RQTlUQ","View Creative")</f>
        <v>View Creative</v>
      </c>
      <c r="L4288" s="4" t="s">
        <v>60</v>
      </c>
      <c r="M4288" s="4" t="s">
        <v>7013</v>
      </c>
      <c r="N4288" s="4" t="s">
        <v>7066</v>
      </c>
      <c r="O4288" s="4" t="s">
        <v>63</v>
      </c>
      <c r="P4288" s="4" t="s">
        <v>64</v>
      </c>
    </row>
    <row r="4289">
      <c r="A4289" s="4" t="s">
        <v>7013</v>
      </c>
      <c r="B4289" s="4" t="s">
        <v>7014</v>
      </c>
      <c r="C4289" s="4">
        <v>238.0</v>
      </c>
      <c r="D4289" s="5" t="str">
        <f t="shared" si="590"/>
        <v>Open Ad</v>
      </c>
      <c r="E4289" s="4" t="s">
        <v>78</v>
      </c>
      <c r="F4289" s="4" t="s">
        <v>6765</v>
      </c>
      <c r="G4289" s="4" t="s">
        <v>7069</v>
      </c>
      <c r="H4289" s="4" t="s">
        <v>49</v>
      </c>
      <c r="I4289" s="4" t="s">
        <v>7016</v>
      </c>
      <c r="J4289" s="4" t="s">
        <v>78</v>
      </c>
      <c r="K4289" s="7" t="str">
        <f t="shared" si="591"/>
        <v>View Creative</v>
      </c>
      <c r="L4289" s="4" t="s">
        <v>60</v>
      </c>
      <c r="M4289" s="4" t="s">
        <v>7013</v>
      </c>
      <c r="N4289" s="4" t="s">
        <v>7066</v>
      </c>
      <c r="O4289" s="4" t="s">
        <v>63</v>
      </c>
      <c r="P4289" s="4" t="s">
        <v>64</v>
      </c>
    </row>
    <row r="4290">
      <c r="A4290" s="4" t="s">
        <v>7013</v>
      </c>
      <c r="B4290" s="4" t="s">
        <v>7014</v>
      </c>
      <c r="C4290" s="4">
        <v>239.0</v>
      </c>
      <c r="D4290" s="5" t="str">
        <f t="shared" ref="D4290:D4291" si="592">HYPERLINK("https://www.linkedin.com/ad-library/detail/1278397144","Open Ad")</f>
        <v>Open Ad</v>
      </c>
      <c r="E4290" s="4" t="s">
        <v>78</v>
      </c>
      <c r="F4290" s="4" t="s">
        <v>6765</v>
      </c>
      <c r="G4290" s="4" t="s">
        <v>7071</v>
      </c>
      <c r="H4290" s="4" t="s">
        <v>49</v>
      </c>
      <c r="I4290" s="4" t="s">
        <v>7016</v>
      </c>
      <c r="J4290" s="4" t="s">
        <v>78</v>
      </c>
      <c r="K4290" s="7" t="str">
        <f t="shared" ref="K4290:K4291" si="593">HYPERLINK("https://media.licdn.com/dms/image/v2/D4E10AQGCxq_0yPjurA/image-shrink_1280/B4EZ2xG2_JJ8Ac-/0/1776792858907/ICP3_AdSet1_Lightjpg?e=2147483647&amp;v=beta&amp;t=xk6v_Q4Vji4zb7qVkUJHyuST-PgBXdjzk3K6sqcWoHw","View Creative")</f>
        <v>View Creative</v>
      </c>
      <c r="L4290" s="4" t="s">
        <v>60</v>
      </c>
      <c r="M4290" s="4" t="s">
        <v>7013</v>
      </c>
      <c r="N4290" s="4" t="s">
        <v>7067</v>
      </c>
      <c r="O4290" s="4" t="s">
        <v>63</v>
      </c>
      <c r="P4290" s="4" t="s">
        <v>64</v>
      </c>
    </row>
    <row r="4291">
      <c r="A4291" s="4" t="s">
        <v>7013</v>
      </c>
      <c r="B4291" s="4" t="s">
        <v>7014</v>
      </c>
      <c r="C4291" s="4">
        <v>240.0</v>
      </c>
      <c r="D4291" s="5" t="str">
        <f t="shared" si="592"/>
        <v>Open Ad</v>
      </c>
      <c r="E4291" s="4" t="s">
        <v>78</v>
      </c>
      <c r="F4291" s="4" t="s">
        <v>6765</v>
      </c>
      <c r="G4291" s="4" t="s">
        <v>7071</v>
      </c>
      <c r="H4291" s="4" t="s">
        <v>49</v>
      </c>
      <c r="I4291" s="4" t="s">
        <v>7016</v>
      </c>
      <c r="J4291" s="4" t="s">
        <v>78</v>
      </c>
      <c r="K4291" s="7" t="str">
        <f t="shared" si="593"/>
        <v>View Creative</v>
      </c>
      <c r="L4291" s="4" t="s">
        <v>60</v>
      </c>
      <c r="M4291" s="4" t="s">
        <v>7013</v>
      </c>
      <c r="N4291" s="4" t="s">
        <v>7067</v>
      </c>
      <c r="O4291" s="4" t="s">
        <v>63</v>
      </c>
      <c r="P4291" s="4" t="s">
        <v>64</v>
      </c>
    </row>
    <row r="4292">
      <c r="A4292" s="4" t="s">
        <v>7013</v>
      </c>
      <c r="B4292" s="4" t="s">
        <v>7014</v>
      </c>
      <c r="C4292" s="4">
        <v>241.0</v>
      </c>
      <c r="D4292" s="5" t="str">
        <f t="shared" ref="D4292:D4293" si="594">HYPERLINK("https://www.linkedin.com/ad-library/detail/1279398084","Open Ad")</f>
        <v>Open Ad</v>
      </c>
      <c r="E4292" s="4" t="s">
        <v>78</v>
      </c>
      <c r="F4292" s="4" t="s">
        <v>6765</v>
      </c>
      <c r="G4292" s="4" t="s">
        <v>7063</v>
      </c>
      <c r="H4292" s="4" t="s">
        <v>49</v>
      </c>
      <c r="I4292" s="4" t="s">
        <v>7016</v>
      </c>
      <c r="J4292" s="4" t="s">
        <v>78</v>
      </c>
      <c r="K4292" s="7" t="str">
        <f t="shared" ref="K4292:K4293" si="595">HYPERLINK("https://media.licdn.com/dms/image/v2/D4E10AQHT1ADMSdDOXw/image-shrink_1280/B4EZ2xDMpMHMAc-/0/1776791898999/ICP1_AdSet2_Lightjpg?e=2147483647&amp;v=beta&amp;t=2ApWrFxyU3-yDayf_--T9kTsWZUYnuHu9TY_RgnAKl0","View Creative")</f>
        <v>View Creative</v>
      </c>
      <c r="L4292" s="4" t="s">
        <v>60</v>
      </c>
      <c r="M4292" s="4" t="s">
        <v>7013</v>
      </c>
      <c r="N4292" s="4" t="s">
        <v>7066</v>
      </c>
      <c r="O4292" s="4" t="s">
        <v>63</v>
      </c>
      <c r="P4292" s="4" t="s">
        <v>64</v>
      </c>
    </row>
    <row r="4293">
      <c r="A4293" s="4" t="s">
        <v>7013</v>
      </c>
      <c r="B4293" s="4" t="s">
        <v>7014</v>
      </c>
      <c r="C4293" s="4">
        <v>242.0</v>
      </c>
      <c r="D4293" s="5" t="str">
        <f t="shared" si="594"/>
        <v>Open Ad</v>
      </c>
      <c r="E4293" s="4" t="s">
        <v>78</v>
      </c>
      <c r="F4293" s="4" t="s">
        <v>6765</v>
      </c>
      <c r="G4293" s="4" t="s">
        <v>7063</v>
      </c>
      <c r="H4293" s="4" t="s">
        <v>49</v>
      </c>
      <c r="I4293" s="4" t="s">
        <v>7016</v>
      </c>
      <c r="J4293" s="4" t="s">
        <v>78</v>
      </c>
      <c r="K4293" s="7" t="str">
        <f t="shared" si="595"/>
        <v>View Creative</v>
      </c>
      <c r="L4293" s="4" t="s">
        <v>60</v>
      </c>
      <c r="M4293" s="4" t="s">
        <v>7013</v>
      </c>
      <c r="N4293" s="4" t="s">
        <v>7066</v>
      </c>
      <c r="O4293" s="4" t="s">
        <v>63</v>
      </c>
      <c r="P4293" s="4" t="s">
        <v>64</v>
      </c>
    </row>
    <row r="4294">
      <c r="A4294" s="4" t="s">
        <v>7013</v>
      </c>
      <c r="B4294" s="4" t="s">
        <v>7014</v>
      </c>
      <c r="C4294" s="4">
        <v>243.0</v>
      </c>
      <c r="D4294" s="5" t="str">
        <f t="shared" ref="D4294:D4295" si="596">HYPERLINK("https://www.linkedin.com/ad-library/detail/1280097574","Open Ad")</f>
        <v>Open Ad</v>
      </c>
      <c r="E4294" s="4" t="s">
        <v>78</v>
      </c>
      <c r="F4294" s="4" t="s">
        <v>6765</v>
      </c>
      <c r="G4294" s="4" t="s">
        <v>7071</v>
      </c>
      <c r="H4294" s="4" t="s">
        <v>49</v>
      </c>
      <c r="I4294" s="4" t="s">
        <v>7016</v>
      </c>
      <c r="J4294" s="4" t="s">
        <v>78</v>
      </c>
      <c r="K4294" s="7" t="str">
        <f t="shared" ref="K4294:K4295" si="597">HYPERLINK("https://media.licdn.com/dms/image/v2/D4E10AQGCxq_0yPjurA/image-shrink_1280/B4EZ2xG2_JJ8Ac-/0/1776792858907/ICP3_AdSet1_Lightjpg?e=2147483647&amp;v=beta&amp;t=xk6v_Q4Vji4zb7qVkUJHyuST-PgBXdjzk3K6sqcWoHw","View Creative")</f>
        <v>View Creative</v>
      </c>
      <c r="L4294" s="4" t="s">
        <v>60</v>
      </c>
      <c r="M4294" s="4" t="s">
        <v>7013</v>
      </c>
      <c r="N4294" s="4"/>
      <c r="O4294" s="4" t="s">
        <v>63</v>
      </c>
      <c r="P4294" s="4" t="s">
        <v>64</v>
      </c>
    </row>
    <row r="4295">
      <c r="A4295" s="4" t="s">
        <v>7013</v>
      </c>
      <c r="B4295" s="4" t="s">
        <v>7014</v>
      </c>
      <c r="C4295" s="4">
        <v>244.0</v>
      </c>
      <c r="D4295" s="5" t="str">
        <f t="shared" si="596"/>
        <v>Open Ad</v>
      </c>
      <c r="E4295" s="4" t="s">
        <v>78</v>
      </c>
      <c r="F4295" s="4" t="s">
        <v>6765</v>
      </c>
      <c r="G4295" s="4" t="s">
        <v>7071</v>
      </c>
      <c r="H4295" s="4" t="s">
        <v>49</v>
      </c>
      <c r="I4295" s="4" t="s">
        <v>7016</v>
      </c>
      <c r="J4295" s="4" t="s">
        <v>78</v>
      </c>
      <c r="K4295" s="7" t="str">
        <f t="shared" si="597"/>
        <v>View Creative</v>
      </c>
      <c r="L4295" s="4" t="s">
        <v>60</v>
      </c>
      <c r="M4295" s="4" t="s">
        <v>7013</v>
      </c>
      <c r="N4295" s="4"/>
      <c r="O4295" s="4" t="s">
        <v>63</v>
      </c>
      <c r="P4295" s="4" t="s">
        <v>64</v>
      </c>
    </row>
    <row r="4296">
      <c r="A4296" s="4" t="s">
        <v>7013</v>
      </c>
      <c r="B4296" s="4" t="s">
        <v>7014</v>
      </c>
      <c r="C4296" s="4">
        <v>245.0</v>
      </c>
      <c r="D4296" s="5" t="str">
        <f t="shared" ref="D4296:D4297" si="598">HYPERLINK("https://www.linkedin.com/ad-library/detail/1279898074","Open Ad")</f>
        <v>Open Ad</v>
      </c>
      <c r="E4296" s="4" t="s">
        <v>78</v>
      </c>
      <c r="F4296" s="4" t="s">
        <v>6765</v>
      </c>
      <c r="G4296" s="4" t="s">
        <v>7069</v>
      </c>
      <c r="H4296" s="4" t="s">
        <v>49</v>
      </c>
      <c r="I4296" s="4" t="s">
        <v>7016</v>
      </c>
      <c r="J4296" s="4" t="s">
        <v>78</v>
      </c>
      <c r="K4296" s="7" t="str">
        <f t="shared" ref="K4296:K4297" si="599">HYPERLINK("https://media.licdn.com/dms/image/v2/D4E10AQHboPdOJQaedw/image-shrink_1280/B4EZ2xCtEuIAAg-/0/1776791769678/ICP1_AdSet1_Lightjpg?e=2147483647&amp;v=beta&amp;t=Um24nNHJ_d8P5ydJlnq4NmW4aG0BNSV6kS9R5RQTlUQ","View Creative")</f>
        <v>View Creative</v>
      </c>
      <c r="L4296" s="4" t="s">
        <v>60</v>
      </c>
      <c r="M4296" s="4" t="s">
        <v>7013</v>
      </c>
      <c r="N4296" s="4"/>
      <c r="O4296" s="4" t="s">
        <v>63</v>
      </c>
      <c r="P4296" s="4" t="s">
        <v>64</v>
      </c>
    </row>
    <row r="4297">
      <c r="A4297" s="4" t="s">
        <v>7013</v>
      </c>
      <c r="B4297" s="4" t="s">
        <v>7014</v>
      </c>
      <c r="C4297" s="4">
        <v>246.0</v>
      </c>
      <c r="D4297" s="5" t="str">
        <f t="shared" si="598"/>
        <v>Open Ad</v>
      </c>
      <c r="E4297" s="4" t="s">
        <v>78</v>
      </c>
      <c r="F4297" s="4" t="s">
        <v>6765</v>
      </c>
      <c r="G4297" s="4" t="s">
        <v>7069</v>
      </c>
      <c r="H4297" s="4" t="s">
        <v>49</v>
      </c>
      <c r="I4297" s="4" t="s">
        <v>7016</v>
      </c>
      <c r="J4297" s="4" t="s">
        <v>78</v>
      </c>
      <c r="K4297" s="7" t="str">
        <f t="shared" si="599"/>
        <v>View Creative</v>
      </c>
      <c r="L4297" s="4" t="s">
        <v>60</v>
      </c>
      <c r="M4297" s="4" t="s">
        <v>7013</v>
      </c>
      <c r="N4297" s="4"/>
      <c r="O4297" s="4" t="s">
        <v>63</v>
      </c>
      <c r="P4297" s="4" t="s">
        <v>64</v>
      </c>
    </row>
    <row r="4298">
      <c r="A4298" s="4" t="s">
        <v>7013</v>
      </c>
      <c r="B4298" s="4" t="s">
        <v>7014</v>
      </c>
      <c r="C4298" s="4">
        <v>247.0</v>
      </c>
      <c r="D4298" s="5" t="str">
        <f t="shared" ref="D4298:D4299" si="600">HYPERLINK("https://www.linkedin.com/ad-library/detail/1231999664","Open Ad")</f>
        <v>Open Ad</v>
      </c>
      <c r="E4298" s="4" t="s">
        <v>121</v>
      </c>
      <c r="F4298" s="4" t="s">
        <v>6765</v>
      </c>
      <c r="G4298" s="4" t="s">
        <v>7073</v>
      </c>
      <c r="H4298" s="4" t="s">
        <v>49</v>
      </c>
      <c r="I4298" s="4" t="s">
        <v>7016</v>
      </c>
      <c r="J4298" s="4" t="s">
        <v>121</v>
      </c>
      <c r="K4298" s="7" t="str">
        <f t="shared" ref="K4298:K4299" si="601">HYPERLINK("https://dms.licdn.com/playlist/vid/v2/D4E10AQH0Ca-Sn4XhMQ/mp4-640p-30fp-crf28/B4EZzi4kxTHsCI-/0/1773333010516/Actions_Video?e=2147483647&amp;v=beta&amp;t=FDXuSzT-Qrxa4MI1pXFkbgIPU53h8h_D7F4AVbO10gY","View Creative")</f>
        <v>View Creative</v>
      </c>
      <c r="L4298" s="4" t="s">
        <v>60</v>
      </c>
      <c r="M4298" s="4" t="s">
        <v>7013</v>
      </c>
      <c r="N4298" s="4"/>
      <c r="O4298" s="4" t="s">
        <v>63</v>
      </c>
      <c r="P4298" s="4" t="s">
        <v>64</v>
      </c>
    </row>
    <row r="4299">
      <c r="A4299" s="4" t="s">
        <v>7013</v>
      </c>
      <c r="B4299" s="4" t="s">
        <v>7014</v>
      </c>
      <c r="C4299" s="4">
        <v>248.0</v>
      </c>
      <c r="D4299" s="5" t="str">
        <f t="shared" si="600"/>
        <v>Open Ad</v>
      </c>
      <c r="E4299" s="4" t="s">
        <v>121</v>
      </c>
      <c r="F4299" s="4" t="s">
        <v>6765</v>
      </c>
      <c r="G4299" s="4" t="s">
        <v>7073</v>
      </c>
      <c r="H4299" s="4" t="s">
        <v>49</v>
      </c>
      <c r="I4299" s="4" t="s">
        <v>7016</v>
      </c>
      <c r="J4299" s="4" t="s">
        <v>121</v>
      </c>
      <c r="K4299" s="7" t="str">
        <f t="shared" si="601"/>
        <v>View Creative</v>
      </c>
      <c r="L4299" s="4" t="s">
        <v>60</v>
      </c>
      <c r="M4299" s="4" t="s">
        <v>7013</v>
      </c>
      <c r="N4299" s="4"/>
      <c r="O4299" s="4" t="s">
        <v>63</v>
      </c>
      <c r="P4299" s="4" t="s">
        <v>64</v>
      </c>
    </row>
    <row r="4300">
      <c r="A4300" s="4" t="s">
        <v>7013</v>
      </c>
      <c r="B4300" s="4" t="s">
        <v>7014</v>
      </c>
      <c r="C4300" s="4">
        <v>249.0</v>
      </c>
      <c r="D4300" s="5" t="str">
        <f t="shared" ref="D4300:D4301" si="602">HYPERLINK("https://www.linkedin.com/ad-library/detail/1151485614","Open Ad")</f>
        <v>Open Ad</v>
      </c>
      <c r="E4300" s="4" t="s">
        <v>78</v>
      </c>
      <c r="F4300" s="4" t="s">
        <v>6765</v>
      </c>
      <c r="G4300" s="4" t="s">
        <v>7074</v>
      </c>
      <c r="H4300" s="4" t="s">
        <v>49</v>
      </c>
      <c r="I4300" s="4" t="s">
        <v>7016</v>
      </c>
      <c r="J4300" s="4" t="s">
        <v>78</v>
      </c>
      <c r="K4300" s="7" t="str">
        <f t="shared" ref="K4300:K4301" si="603">HYPERLINK("https://media.licdn.com/dms/image/v2/D4E10AQGtKok9G8Co_w/image-shrink_1280/B4EZybCoR6GYAc-/0/1772127684186/Directory1GetExpertHelpforAISearchpng?e=2147483647&amp;v=beta&amp;t=yrXbbpw2S9-81UaSPTZiQy5YHeY24f0r4iwEMY9FO9E","View Creative")</f>
        <v>View Creative</v>
      </c>
      <c r="L4300" s="4" t="s">
        <v>60</v>
      </c>
      <c r="M4300" s="4" t="s">
        <v>7013</v>
      </c>
      <c r="N4300" s="4" t="s">
        <v>7075</v>
      </c>
      <c r="O4300" s="4" t="s">
        <v>63</v>
      </c>
      <c r="P4300" s="4" t="s">
        <v>64</v>
      </c>
    </row>
    <row r="4301">
      <c r="A4301" s="4" t="s">
        <v>7013</v>
      </c>
      <c r="B4301" s="4" t="s">
        <v>7014</v>
      </c>
      <c r="C4301" s="4">
        <v>250.0</v>
      </c>
      <c r="D4301" s="5" t="str">
        <f t="shared" si="602"/>
        <v>Open Ad</v>
      </c>
      <c r="E4301" s="4" t="s">
        <v>78</v>
      </c>
      <c r="F4301" s="4" t="s">
        <v>6765</v>
      </c>
      <c r="G4301" s="4" t="s">
        <v>7074</v>
      </c>
      <c r="H4301" s="4" t="s">
        <v>49</v>
      </c>
      <c r="I4301" s="4" t="s">
        <v>7016</v>
      </c>
      <c r="J4301" s="4" t="s">
        <v>78</v>
      </c>
      <c r="K4301" s="7" t="str">
        <f t="shared" si="603"/>
        <v>View Creative</v>
      </c>
      <c r="L4301" s="4" t="s">
        <v>60</v>
      </c>
      <c r="M4301" s="4" t="s">
        <v>7013</v>
      </c>
      <c r="N4301" s="4" t="s">
        <v>7075</v>
      </c>
      <c r="O4301" s="4" t="s">
        <v>63</v>
      </c>
      <c r="P4301" s="4" t="s">
        <v>64</v>
      </c>
    </row>
    <row r="4302">
      <c r="A4302" s="4" t="s">
        <v>7013</v>
      </c>
      <c r="B4302" s="4" t="s">
        <v>7014</v>
      </c>
      <c r="C4302" s="4">
        <v>251.0</v>
      </c>
      <c r="D4302" s="5" t="str">
        <f t="shared" ref="D4302:D4303" si="604">HYPERLINK("https://www.linkedin.com/ad-library/detail/1232195164","Open Ad")</f>
        <v>Open Ad</v>
      </c>
      <c r="E4302" s="4" t="s">
        <v>121</v>
      </c>
      <c r="F4302" s="4" t="s">
        <v>6765</v>
      </c>
      <c r="G4302" s="4" t="s">
        <v>7073</v>
      </c>
      <c r="H4302" s="4" t="s">
        <v>49</v>
      </c>
      <c r="I4302" s="4" t="s">
        <v>7016</v>
      </c>
      <c r="J4302" s="4" t="s">
        <v>121</v>
      </c>
      <c r="K4302" s="7" t="str">
        <f t="shared" ref="K4302:K4307" si="605">HYPERLINK("https://dms.licdn.com/playlist/vid/v2/D4E10AQH0Ca-Sn4XhMQ/mp4-640p-30fp-crf28/B4EZzi4kxTHsCI-/0/1773333010516/Actions_Video?e=2147483647&amp;v=beta&amp;t=FDXuSzT-Qrxa4MI1pXFkbgIPU53h8h_D7F4AVbO10gY","View Creative")</f>
        <v>View Creative</v>
      </c>
      <c r="L4302" s="4" t="s">
        <v>60</v>
      </c>
      <c r="M4302" s="4" t="s">
        <v>7013</v>
      </c>
      <c r="N4302" s="4" t="s">
        <v>7076</v>
      </c>
      <c r="O4302" s="4" t="s">
        <v>63</v>
      </c>
      <c r="P4302" s="4" t="s">
        <v>64</v>
      </c>
    </row>
    <row r="4303">
      <c r="A4303" s="4" t="s">
        <v>7013</v>
      </c>
      <c r="B4303" s="4" t="s">
        <v>7014</v>
      </c>
      <c r="C4303" s="4">
        <v>252.0</v>
      </c>
      <c r="D4303" s="5" t="str">
        <f t="shared" si="604"/>
        <v>Open Ad</v>
      </c>
      <c r="E4303" s="4" t="s">
        <v>121</v>
      </c>
      <c r="F4303" s="4" t="s">
        <v>6765</v>
      </c>
      <c r="G4303" s="4" t="s">
        <v>7073</v>
      </c>
      <c r="H4303" s="4" t="s">
        <v>49</v>
      </c>
      <c r="I4303" s="4" t="s">
        <v>7016</v>
      </c>
      <c r="J4303" s="4" t="s">
        <v>121</v>
      </c>
      <c r="K4303" s="7" t="str">
        <f t="shared" si="605"/>
        <v>View Creative</v>
      </c>
      <c r="L4303" s="4" t="s">
        <v>60</v>
      </c>
      <c r="M4303" s="4" t="s">
        <v>7013</v>
      </c>
      <c r="N4303" s="4" t="s">
        <v>7076</v>
      </c>
      <c r="O4303" s="4" t="s">
        <v>63</v>
      </c>
      <c r="P4303" s="4" t="s">
        <v>64</v>
      </c>
    </row>
    <row r="4304">
      <c r="A4304" s="4" t="s">
        <v>7013</v>
      </c>
      <c r="B4304" s="4" t="s">
        <v>7014</v>
      </c>
      <c r="C4304" s="4">
        <v>253.0</v>
      </c>
      <c r="D4304" s="5" t="str">
        <f t="shared" ref="D4304:D4305" si="606">HYPERLINK("https://www.linkedin.com/ad-library/detail/1232194814","Open Ad")</f>
        <v>Open Ad</v>
      </c>
      <c r="E4304" s="4" t="s">
        <v>121</v>
      </c>
      <c r="F4304" s="4" t="s">
        <v>6765</v>
      </c>
      <c r="G4304" s="4" t="s">
        <v>7073</v>
      </c>
      <c r="H4304" s="4" t="s">
        <v>49</v>
      </c>
      <c r="I4304" s="4" t="s">
        <v>7016</v>
      </c>
      <c r="J4304" s="4" t="s">
        <v>121</v>
      </c>
      <c r="K4304" s="7" t="str">
        <f t="shared" si="605"/>
        <v>View Creative</v>
      </c>
      <c r="L4304" s="4" t="s">
        <v>60</v>
      </c>
      <c r="M4304" s="4" t="s">
        <v>7013</v>
      </c>
      <c r="N4304" s="4" t="s">
        <v>7076</v>
      </c>
      <c r="O4304" s="4" t="s">
        <v>63</v>
      </c>
      <c r="P4304" s="4" t="s">
        <v>64</v>
      </c>
    </row>
    <row r="4305">
      <c r="A4305" s="4" t="s">
        <v>7013</v>
      </c>
      <c r="B4305" s="4" t="s">
        <v>7014</v>
      </c>
      <c r="C4305" s="4">
        <v>254.0</v>
      </c>
      <c r="D4305" s="5" t="str">
        <f t="shared" si="606"/>
        <v>Open Ad</v>
      </c>
      <c r="E4305" s="4" t="s">
        <v>121</v>
      </c>
      <c r="F4305" s="4" t="s">
        <v>6765</v>
      </c>
      <c r="G4305" s="4" t="s">
        <v>7073</v>
      </c>
      <c r="H4305" s="4" t="s">
        <v>49</v>
      </c>
      <c r="I4305" s="4" t="s">
        <v>7016</v>
      </c>
      <c r="J4305" s="4" t="s">
        <v>121</v>
      </c>
      <c r="K4305" s="7" t="str">
        <f t="shared" si="605"/>
        <v>View Creative</v>
      </c>
      <c r="L4305" s="4" t="s">
        <v>60</v>
      </c>
      <c r="M4305" s="4" t="s">
        <v>7013</v>
      </c>
      <c r="N4305" s="4" t="s">
        <v>7076</v>
      </c>
      <c r="O4305" s="4" t="s">
        <v>63</v>
      </c>
      <c r="P4305" s="4" t="s">
        <v>64</v>
      </c>
    </row>
    <row r="4306">
      <c r="A4306" s="4" t="s">
        <v>7013</v>
      </c>
      <c r="B4306" s="4" t="s">
        <v>7014</v>
      </c>
      <c r="C4306" s="4">
        <v>255.0</v>
      </c>
      <c r="D4306" s="5" t="str">
        <f t="shared" ref="D4306:D4307" si="607">HYPERLINK("https://www.linkedin.com/ad-library/detail/1231209484","Open Ad")</f>
        <v>Open Ad</v>
      </c>
      <c r="E4306" s="4" t="s">
        <v>121</v>
      </c>
      <c r="F4306" s="4" t="s">
        <v>6765</v>
      </c>
      <c r="G4306" s="4" t="s">
        <v>7073</v>
      </c>
      <c r="H4306" s="4" t="s">
        <v>49</v>
      </c>
      <c r="I4306" s="4" t="s">
        <v>7016</v>
      </c>
      <c r="J4306" s="4" t="s">
        <v>121</v>
      </c>
      <c r="K4306" s="7" t="str">
        <f t="shared" si="605"/>
        <v>View Creative</v>
      </c>
      <c r="L4306" s="4" t="s">
        <v>60</v>
      </c>
      <c r="M4306" s="4" t="s">
        <v>7013</v>
      </c>
      <c r="N4306" s="4" t="s">
        <v>7076</v>
      </c>
      <c r="O4306" s="4" t="s">
        <v>63</v>
      </c>
      <c r="P4306" s="4" t="s">
        <v>64</v>
      </c>
    </row>
    <row r="4307">
      <c r="A4307" s="4" t="s">
        <v>7013</v>
      </c>
      <c r="B4307" s="4" t="s">
        <v>7014</v>
      </c>
      <c r="C4307" s="4">
        <v>256.0</v>
      </c>
      <c r="D4307" s="5" t="str">
        <f t="shared" si="607"/>
        <v>Open Ad</v>
      </c>
      <c r="E4307" s="4" t="s">
        <v>121</v>
      </c>
      <c r="F4307" s="4" t="s">
        <v>6765</v>
      </c>
      <c r="G4307" s="4" t="s">
        <v>7073</v>
      </c>
      <c r="H4307" s="4" t="s">
        <v>49</v>
      </c>
      <c r="I4307" s="4" t="s">
        <v>7016</v>
      </c>
      <c r="J4307" s="4" t="s">
        <v>121</v>
      </c>
      <c r="K4307" s="7" t="str">
        <f t="shared" si="605"/>
        <v>View Creative</v>
      </c>
      <c r="L4307" s="4" t="s">
        <v>60</v>
      </c>
      <c r="M4307" s="4" t="s">
        <v>7013</v>
      </c>
      <c r="N4307" s="4" t="s">
        <v>7076</v>
      </c>
      <c r="O4307" s="4" t="s">
        <v>63</v>
      </c>
      <c r="P4307" s="4" t="s">
        <v>64</v>
      </c>
    </row>
    <row r="4308">
      <c r="A4308" s="4" t="s">
        <v>7013</v>
      </c>
      <c r="B4308" s="4" t="s">
        <v>7014</v>
      </c>
      <c r="C4308" s="4">
        <v>257.0</v>
      </c>
      <c r="D4308" s="5" t="str">
        <f t="shared" ref="D4308:D4309" si="608">HYPERLINK("https://www.linkedin.com/ad-library/detail/1152585854","Open Ad")</f>
        <v>Open Ad</v>
      </c>
      <c r="E4308" s="4" t="s">
        <v>78</v>
      </c>
      <c r="F4308" s="4" t="s">
        <v>6765</v>
      </c>
      <c r="G4308" s="4" t="s">
        <v>7077</v>
      </c>
      <c r="H4308" s="4" t="s">
        <v>49</v>
      </c>
      <c r="I4308" s="4" t="s">
        <v>7016</v>
      </c>
      <c r="J4308" s="4" t="s">
        <v>78</v>
      </c>
      <c r="K4308" s="7" t="str">
        <f t="shared" ref="K4308:K4309" si="609">HYPERLINK("https://media.licdn.com/dms/image/v2/D4E10AQHXCJsPgcZ4_w/image-shrink_1280/B4EZybCon0JgAg-/0/1772127685657/Directory3GetExpertHelpforAISearchpng?e=2147483647&amp;v=beta&amp;t=HfUSY3XU6uwbZY8wgAX7_lRR7s287cOzcCtZklwj4H0","View Creative")</f>
        <v>View Creative</v>
      </c>
      <c r="L4308" s="4" t="s">
        <v>60</v>
      </c>
      <c r="M4308" s="4" t="s">
        <v>7013</v>
      </c>
      <c r="N4308" s="4" t="s">
        <v>7075</v>
      </c>
      <c r="O4308" s="4" t="s">
        <v>63</v>
      </c>
      <c r="P4308" s="4" t="s">
        <v>64</v>
      </c>
    </row>
    <row r="4309">
      <c r="A4309" s="4" t="s">
        <v>7013</v>
      </c>
      <c r="B4309" s="4" t="s">
        <v>7014</v>
      </c>
      <c r="C4309" s="4">
        <v>258.0</v>
      </c>
      <c r="D4309" s="5" t="str">
        <f t="shared" si="608"/>
        <v>Open Ad</v>
      </c>
      <c r="E4309" s="4" t="s">
        <v>78</v>
      </c>
      <c r="F4309" s="4" t="s">
        <v>6765</v>
      </c>
      <c r="G4309" s="4" t="s">
        <v>7077</v>
      </c>
      <c r="H4309" s="4" t="s">
        <v>49</v>
      </c>
      <c r="I4309" s="4" t="s">
        <v>7016</v>
      </c>
      <c r="J4309" s="4" t="s">
        <v>78</v>
      </c>
      <c r="K4309" s="7" t="str">
        <f t="shared" si="609"/>
        <v>View Creative</v>
      </c>
      <c r="L4309" s="4" t="s">
        <v>60</v>
      </c>
      <c r="M4309" s="4" t="s">
        <v>7013</v>
      </c>
      <c r="N4309" s="4" t="s">
        <v>7075</v>
      </c>
      <c r="O4309" s="4" t="s">
        <v>63</v>
      </c>
      <c r="P4309" s="4" t="s">
        <v>64</v>
      </c>
    </row>
    <row r="4310">
      <c r="A4310" s="4" t="s">
        <v>7013</v>
      </c>
      <c r="B4310" s="4" t="s">
        <v>7014</v>
      </c>
      <c r="C4310" s="4">
        <v>259.0</v>
      </c>
      <c r="D4310" s="5" t="str">
        <f t="shared" ref="D4310:D4311" si="610">HYPERLINK("https://www.linkedin.com/ad-library/detail/1230518794","Open Ad")</f>
        <v>Open Ad</v>
      </c>
      <c r="E4310" s="4" t="s">
        <v>121</v>
      </c>
      <c r="F4310" s="4" t="s">
        <v>6765</v>
      </c>
      <c r="G4310" s="4" t="s">
        <v>7073</v>
      </c>
      <c r="H4310" s="4" t="s">
        <v>49</v>
      </c>
      <c r="I4310" s="4" t="s">
        <v>7016</v>
      </c>
      <c r="J4310" s="4" t="s">
        <v>121</v>
      </c>
      <c r="K4310" s="7" t="str">
        <f t="shared" ref="K4310:K4313" si="611">HYPERLINK("https://dms.licdn.com/playlist/vid/v2/D4E10AQH0Ca-Sn4XhMQ/mp4-640p-30fp-crf28/B4EZzi4kxTHsCI-/0/1773333010516/Actions_Video?e=2147483647&amp;v=beta&amp;t=FDXuSzT-Qrxa4MI1pXFkbgIPU53h8h_D7F4AVbO10gY","View Creative")</f>
        <v>View Creative</v>
      </c>
      <c r="L4310" s="4" t="s">
        <v>60</v>
      </c>
      <c r="M4310" s="4" t="s">
        <v>7013</v>
      </c>
      <c r="N4310" s="4" t="s">
        <v>7076</v>
      </c>
      <c r="O4310" s="4" t="s">
        <v>63</v>
      </c>
      <c r="P4310" s="4" t="s">
        <v>64</v>
      </c>
    </row>
    <row r="4311">
      <c r="A4311" s="4" t="s">
        <v>7013</v>
      </c>
      <c r="B4311" s="4" t="s">
        <v>7014</v>
      </c>
      <c r="C4311" s="4">
        <v>260.0</v>
      </c>
      <c r="D4311" s="5" t="str">
        <f t="shared" si="610"/>
        <v>Open Ad</v>
      </c>
      <c r="E4311" s="4" t="s">
        <v>121</v>
      </c>
      <c r="F4311" s="4" t="s">
        <v>6765</v>
      </c>
      <c r="G4311" s="4" t="s">
        <v>7073</v>
      </c>
      <c r="H4311" s="4" t="s">
        <v>49</v>
      </c>
      <c r="I4311" s="4" t="s">
        <v>7016</v>
      </c>
      <c r="J4311" s="4" t="s">
        <v>121</v>
      </c>
      <c r="K4311" s="7" t="str">
        <f t="shared" si="611"/>
        <v>View Creative</v>
      </c>
      <c r="L4311" s="4" t="s">
        <v>60</v>
      </c>
      <c r="M4311" s="4" t="s">
        <v>7013</v>
      </c>
      <c r="N4311" s="4" t="s">
        <v>7076</v>
      </c>
      <c r="O4311" s="4" t="s">
        <v>63</v>
      </c>
      <c r="P4311" s="4" t="s">
        <v>64</v>
      </c>
    </row>
    <row r="4312">
      <c r="A4312" s="4" t="s">
        <v>7013</v>
      </c>
      <c r="B4312" s="4" t="s">
        <v>7014</v>
      </c>
      <c r="C4312" s="4">
        <v>261.0</v>
      </c>
      <c r="D4312" s="5" t="str">
        <f t="shared" ref="D4312:D4313" si="612">HYPERLINK("https://www.linkedin.com/ad-library/detail/1230816044","Open Ad")</f>
        <v>Open Ad</v>
      </c>
      <c r="E4312" s="4" t="s">
        <v>121</v>
      </c>
      <c r="F4312" s="4" t="s">
        <v>6765</v>
      </c>
      <c r="G4312" s="4" t="s">
        <v>7073</v>
      </c>
      <c r="H4312" s="4" t="s">
        <v>49</v>
      </c>
      <c r="I4312" s="4" t="s">
        <v>7016</v>
      </c>
      <c r="J4312" s="4" t="s">
        <v>121</v>
      </c>
      <c r="K4312" s="7" t="str">
        <f t="shared" si="611"/>
        <v>View Creative</v>
      </c>
      <c r="L4312" s="4" t="s">
        <v>60</v>
      </c>
      <c r="M4312" s="4" t="s">
        <v>7013</v>
      </c>
      <c r="N4312" s="4"/>
      <c r="O4312" s="4" t="s">
        <v>63</v>
      </c>
      <c r="P4312" s="4" t="s">
        <v>64</v>
      </c>
    </row>
    <row r="4313">
      <c r="A4313" s="4" t="s">
        <v>7013</v>
      </c>
      <c r="B4313" s="4" t="s">
        <v>7014</v>
      </c>
      <c r="C4313" s="4">
        <v>262.0</v>
      </c>
      <c r="D4313" s="5" t="str">
        <f t="shared" si="612"/>
        <v>Open Ad</v>
      </c>
      <c r="E4313" s="4" t="s">
        <v>121</v>
      </c>
      <c r="F4313" s="4" t="s">
        <v>6765</v>
      </c>
      <c r="G4313" s="4" t="s">
        <v>7073</v>
      </c>
      <c r="H4313" s="4" t="s">
        <v>49</v>
      </c>
      <c r="I4313" s="4" t="s">
        <v>7016</v>
      </c>
      <c r="J4313" s="4" t="s">
        <v>121</v>
      </c>
      <c r="K4313" s="7" t="str">
        <f t="shared" si="611"/>
        <v>View Creative</v>
      </c>
      <c r="L4313" s="4" t="s">
        <v>60</v>
      </c>
      <c r="M4313" s="4" t="s">
        <v>7013</v>
      </c>
      <c r="N4313" s="4"/>
      <c r="O4313" s="4" t="s">
        <v>63</v>
      </c>
      <c r="P4313" s="4" t="s">
        <v>64</v>
      </c>
    </row>
    <row r="4314">
      <c r="A4314" s="4" t="s">
        <v>7013</v>
      </c>
      <c r="B4314" s="4" t="s">
        <v>7014</v>
      </c>
      <c r="C4314" s="4">
        <v>263.0</v>
      </c>
      <c r="D4314" s="5" t="str">
        <f t="shared" ref="D4314:D4315" si="613">HYPERLINK("https://www.linkedin.com/ad-library/detail/1153085314","Open Ad")</f>
        <v>Open Ad</v>
      </c>
      <c r="E4314" s="4" t="s">
        <v>78</v>
      </c>
      <c r="F4314" s="4" t="s">
        <v>6765</v>
      </c>
      <c r="G4314" s="4" t="s">
        <v>7078</v>
      </c>
      <c r="H4314" s="4" t="s">
        <v>49</v>
      </c>
      <c r="I4314" s="4" t="s">
        <v>7016</v>
      </c>
      <c r="J4314" s="4" t="s">
        <v>78</v>
      </c>
      <c r="K4314" s="7" t="str">
        <f t="shared" ref="K4314:K4315" si="614">HYPERLINK("https://media.licdn.com/dms/image/v2/D4E10AQENGNql_Hfi3w/image-shrink_1280/B4EZybChuMHkAc-/0/1772127657303/Directory2GetExpertHelpforAISearchpng?e=2147483647&amp;v=beta&amp;t=N05A1GpFf-MaOO-coxz8xvXUeDa3TTrq2hacW3d7_j4","View Creative")</f>
        <v>View Creative</v>
      </c>
      <c r="L4314" s="4" t="s">
        <v>60</v>
      </c>
      <c r="M4314" s="4" t="s">
        <v>7013</v>
      </c>
      <c r="N4314" s="4" t="s">
        <v>7079</v>
      </c>
      <c r="O4314" s="4" t="s">
        <v>63</v>
      </c>
      <c r="P4314" s="4" t="s">
        <v>64</v>
      </c>
    </row>
    <row r="4315">
      <c r="A4315" s="4" t="s">
        <v>7013</v>
      </c>
      <c r="B4315" s="4" t="s">
        <v>7014</v>
      </c>
      <c r="C4315" s="4">
        <v>264.0</v>
      </c>
      <c r="D4315" s="5" t="str">
        <f t="shared" si="613"/>
        <v>Open Ad</v>
      </c>
      <c r="E4315" s="4" t="s">
        <v>78</v>
      </c>
      <c r="F4315" s="4" t="s">
        <v>6765</v>
      </c>
      <c r="G4315" s="4" t="s">
        <v>7078</v>
      </c>
      <c r="H4315" s="4" t="s">
        <v>49</v>
      </c>
      <c r="I4315" s="4" t="s">
        <v>7016</v>
      </c>
      <c r="J4315" s="4" t="s">
        <v>78</v>
      </c>
      <c r="K4315" s="7" t="str">
        <f t="shared" si="614"/>
        <v>View Creative</v>
      </c>
      <c r="L4315" s="4" t="s">
        <v>60</v>
      </c>
      <c r="M4315" s="4" t="s">
        <v>7013</v>
      </c>
      <c r="N4315" s="4" t="s">
        <v>7079</v>
      </c>
      <c r="O4315" s="4" t="s">
        <v>63</v>
      </c>
      <c r="P4315" s="4" t="s">
        <v>64</v>
      </c>
    </row>
    <row r="4316">
      <c r="A4316" s="4" t="s">
        <v>7013</v>
      </c>
      <c r="B4316" s="4" t="s">
        <v>7014</v>
      </c>
      <c r="C4316" s="4">
        <v>265.0</v>
      </c>
      <c r="D4316" s="5" t="str">
        <f t="shared" ref="D4316:D4317" si="615">HYPERLINK("https://www.linkedin.com/ad-library/detail/1279597904","Open Ad")</f>
        <v>Open Ad</v>
      </c>
      <c r="E4316" s="4" t="s">
        <v>78</v>
      </c>
      <c r="F4316" s="4" t="s">
        <v>6765</v>
      </c>
      <c r="G4316" s="4" t="s">
        <v>7068</v>
      </c>
      <c r="H4316" s="4" t="s">
        <v>49</v>
      </c>
      <c r="I4316" s="4" t="s">
        <v>7016</v>
      </c>
      <c r="J4316" s="4" t="s">
        <v>78</v>
      </c>
      <c r="K4316" s="7" t="str">
        <f t="shared" ref="K4316:K4317" si="616">HYPERLINK("https://media.licdn.com/dms/image/v2/D4E10AQGGcgR4sHu0qQ/image-shrink_1280/B4EZ2xHDCBJ4Ac-/0/1776792908249/ICP3_AdSet2_Lightjpg?e=2147483647&amp;v=beta&amp;t=gL97tpqLwFikDEv9pISN9xLFP8FoS141mSzHUMWWQB8","View Creative")</f>
        <v>View Creative</v>
      </c>
      <c r="L4316" s="4" t="s">
        <v>60</v>
      </c>
      <c r="M4316" s="4" t="s">
        <v>7013</v>
      </c>
      <c r="N4316" s="4"/>
      <c r="O4316" s="4" t="s">
        <v>63</v>
      </c>
      <c r="P4316" s="4" t="s">
        <v>64</v>
      </c>
    </row>
    <row r="4317">
      <c r="A4317" s="4" t="s">
        <v>7013</v>
      </c>
      <c r="B4317" s="4" t="s">
        <v>7014</v>
      </c>
      <c r="C4317" s="4">
        <v>266.0</v>
      </c>
      <c r="D4317" s="5" t="str">
        <f t="shared" si="615"/>
        <v>Open Ad</v>
      </c>
      <c r="E4317" s="4" t="s">
        <v>78</v>
      </c>
      <c r="F4317" s="4" t="s">
        <v>6765</v>
      </c>
      <c r="G4317" s="4" t="s">
        <v>7068</v>
      </c>
      <c r="H4317" s="4" t="s">
        <v>49</v>
      </c>
      <c r="I4317" s="4" t="s">
        <v>7016</v>
      </c>
      <c r="J4317" s="4" t="s">
        <v>78</v>
      </c>
      <c r="K4317" s="7" t="str">
        <f t="shared" si="616"/>
        <v>View Creative</v>
      </c>
      <c r="L4317" s="4" t="s">
        <v>60</v>
      </c>
      <c r="M4317" s="4" t="s">
        <v>7013</v>
      </c>
      <c r="N4317" s="4"/>
      <c r="O4317" s="4" t="s">
        <v>63</v>
      </c>
      <c r="P4317" s="4" t="s">
        <v>64</v>
      </c>
    </row>
    <row r="4318">
      <c r="A4318" s="4" t="s">
        <v>7013</v>
      </c>
      <c r="B4318" s="4" t="s">
        <v>7014</v>
      </c>
      <c r="C4318" s="4">
        <v>267.0</v>
      </c>
      <c r="D4318" s="5" t="str">
        <f t="shared" ref="D4318:D4319" si="617">HYPERLINK("https://www.linkedin.com/ad-library/detail/1279097684","Open Ad")</f>
        <v>Open Ad</v>
      </c>
      <c r="E4318" s="4" t="s">
        <v>78</v>
      </c>
      <c r="F4318" s="4" t="s">
        <v>6765</v>
      </c>
      <c r="G4318" s="4" t="s">
        <v>7063</v>
      </c>
      <c r="H4318" s="4" t="s">
        <v>49</v>
      </c>
      <c r="I4318" s="4" t="s">
        <v>7016</v>
      </c>
      <c r="J4318" s="4" t="s">
        <v>78</v>
      </c>
      <c r="K4318" s="7" t="str">
        <f t="shared" ref="K4318:K4319" si="618">HYPERLINK("https://media.licdn.com/dms/image/v2/D4E10AQHT1ADMSdDOXw/image-shrink_1280/B4EZ2xDMpMHMAc-/0/1776791898999/ICP1_AdSet2_Lightjpg?e=2147483647&amp;v=beta&amp;t=2ApWrFxyU3-yDayf_--T9kTsWZUYnuHu9TY_RgnAKl0","View Creative")</f>
        <v>View Creative</v>
      </c>
      <c r="L4318" s="4" t="s">
        <v>60</v>
      </c>
      <c r="M4318" s="4" t="s">
        <v>7013</v>
      </c>
      <c r="N4318" s="4"/>
      <c r="O4318" s="4" t="s">
        <v>63</v>
      </c>
      <c r="P4318" s="4" t="s">
        <v>64</v>
      </c>
    </row>
    <row r="4319">
      <c r="A4319" s="4" t="s">
        <v>7013</v>
      </c>
      <c r="B4319" s="4" t="s">
        <v>7014</v>
      </c>
      <c r="C4319" s="4">
        <v>268.0</v>
      </c>
      <c r="D4319" s="5" t="str">
        <f t="shared" si="617"/>
        <v>Open Ad</v>
      </c>
      <c r="E4319" s="4" t="s">
        <v>78</v>
      </c>
      <c r="F4319" s="4" t="s">
        <v>6765</v>
      </c>
      <c r="G4319" s="4" t="s">
        <v>7063</v>
      </c>
      <c r="H4319" s="4" t="s">
        <v>49</v>
      </c>
      <c r="I4319" s="4" t="s">
        <v>7016</v>
      </c>
      <c r="J4319" s="4" t="s">
        <v>78</v>
      </c>
      <c r="K4319" s="7" t="str">
        <f t="shared" si="618"/>
        <v>View Creative</v>
      </c>
      <c r="L4319" s="4" t="s">
        <v>60</v>
      </c>
      <c r="M4319" s="4" t="s">
        <v>7013</v>
      </c>
      <c r="N4319" s="4"/>
      <c r="O4319" s="4" t="s">
        <v>63</v>
      </c>
      <c r="P4319" s="4" t="s">
        <v>64</v>
      </c>
    </row>
    <row r="4320">
      <c r="A4320" s="4" t="s">
        <v>7013</v>
      </c>
      <c r="B4320" s="4" t="s">
        <v>7014</v>
      </c>
      <c r="C4320" s="4">
        <v>269.0</v>
      </c>
      <c r="D4320" s="5" t="str">
        <f t="shared" ref="D4320:D4321" si="619">HYPERLINK("https://www.linkedin.com/ad-library/detail/1230912374","Open Ad")</f>
        <v>Open Ad</v>
      </c>
      <c r="E4320" s="4" t="s">
        <v>121</v>
      </c>
      <c r="F4320" s="4" t="s">
        <v>6765</v>
      </c>
      <c r="G4320" s="4" t="s">
        <v>7073</v>
      </c>
      <c r="H4320" s="4" t="s">
        <v>49</v>
      </c>
      <c r="I4320" s="4" t="s">
        <v>7016</v>
      </c>
      <c r="J4320" s="4" t="s">
        <v>121</v>
      </c>
      <c r="K4320" s="7" t="str">
        <f t="shared" ref="K4320:K4321" si="620">HYPERLINK("https://dms.licdn.com/playlist/vid/v2/D4E10AQH0Ca-Sn4XhMQ/mp4-640p-30fp-crf28/B4EZzi4kxTHsCI-/0/1773333010516/Actions_Video?e=2147483647&amp;v=beta&amp;t=FDXuSzT-Qrxa4MI1pXFkbgIPU53h8h_D7F4AVbO10gY","View Creative")</f>
        <v>View Creative</v>
      </c>
      <c r="L4320" s="4" t="s">
        <v>60</v>
      </c>
      <c r="M4320" s="4" t="s">
        <v>7013</v>
      </c>
      <c r="N4320" s="4" t="s">
        <v>7076</v>
      </c>
      <c r="O4320" s="4" t="s">
        <v>63</v>
      </c>
      <c r="P4320" s="4" t="s">
        <v>64</v>
      </c>
    </row>
    <row r="4321">
      <c r="A4321" s="4" t="s">
        <v>7013</v>
      </c>
      <c r="B4321" s="4" t="s">
        <v>7014</v>
      </c>
      <c r="C4321" s="4">
        <v>270.0</v>
      </c>
      <c r="D4321" s="5" t="str">
        <f t="shared" si="619"/>
        <v>Open Ad</v>
      </c>
      <c r="E4321" s="4" t="s">
        <v>121</v>
      </c>
      <c r="F4321" s="4" t="s">
        <v>6765</v>
      </c>
      <c r="G4321" s="4" t="s">
        <v>7073</v>
      </c>
      <c r="H4321" s="4" t="s">
        <v>49</v>
      </c>
      <c r="I4321" s="4" t="s">
        <v>7016</v>
      </c>
      <c r="J4321" s="4" t="s">
        <v>121</v>
      </c>
      <c r="K4321" s="7" t="str">
        <f t="shared" si="620"/>
        <v>View Creative</v>
      </c>
      <c r="L4321" s="4" t="s">
        <v>60</v>
      </c>
      <c r="M4321" s="4" t="s">
        <v>7013</v>
      </c>
      <c r="N4321" s="4" t="s">
        <v>7076</v>
      </c>
      <c r="O4321" s="4" t="s">
        <v>63</v>
      </c>
      <c r="P4321" s="4" t="s">
        <v>64</v>
      </c>
    </row>
    <row r="4322">
      <c r="A4322" s="4" t="s">
        <v>7013</v>
      </c>
      <c r="B4322" s="4" t="s">
        <v>7014</v>
      </c>
      <c r="C4322" s="4">
        <v>271.0</v>
      </c>
      <c r="D4322" s="5" t="str">
        <f t="shared" ref="D4322:D4323" si="621">HYPERLINK("https://www.linkedin.com/ad-library/detail/1277897364","Open Ad")</f>
        <v>Open Ad</v>
      </c>
      <c r="E4322" s="4" t="s">
        <v>78</v>
      </c>
      <c r="F4322" s="4" t="s">
        <v>6765</v>
      </c>
      <c r="G4322" s="4" t="s">
        <v>7071</v>
      </c>
      <c r="H4322" s="4" t="s">
        <v>49</v>
      </c>
      <c r="I4322" s="4" t="s">
        <v>7016</v>
      </c>
      <c r="J4322" s="4" t="s">
        <v>78</v>
      </c>
      <c r="K4322" s="7" t="str">
        <f t="shared" ref="K4322:K4323" si="622">HYPERLINK("https://media.licdn.com/dms/image/v2/D4E10AQEPdiTT_xCBWg/image-shrink_1280/B4EZ2xGpi5GkAg-/0/1776792803775/ICP3_AdSet1_Darkpng?e=2147483647&amp;v=beta&amp;t=AqsGH2mjjyT1lgndJnjkLjx90v3LNaufPQVuq_2nLTE","View Creative")</f>
        <v>View Creative</v>
      </c>
      <c r="L4322" s="4" t="s">
        <v>60</v>
      </c>
      <c r="M4322" s="4" t="s">
        <v>7013</v>
      </c>
      <c r="N4322" s="4"/>
      <c r="O4322" s="4" t="s">
        <v>63</v>
      </c>
      <c r="P4322" s="4" t="s">
        <v>64</v>
      </c>
    </row>
    <row r="4323">
      <c r="A4323" s="4" t="s">
        <v>7013</v>
      </c>
      <c r="B4323" s="4" t="s">
        <v>7014</v>
      </c>
      <c r="C4323" s="4">
        <v>272.0</v>
      </c>
      <c r="D4323" s="5" t="str">
        <f t="shared" si="621"/>
        <v>Open Ad</v>
      </c>
      <c r="E4323" s="4" t="s">
        <v>78</v>
      </c>
      <c r="F4323" s="4" t="s">
        <v>6765</v>
      </c>
      <c r="G4323" s="4" t="s">
        <v>7071</v>
      </c>
      <c r="H4323" s="4" t="s">
        <v>49</v>
      </c>
      <c r="I4323" s="4" t="s">
        <v>7016</v>
      </c>
      <c r="J4323" s="4" t="s">
        <v>78</v>
      </c>
      <c r="K4323" s="7" t="str">
        <f t="shared" si="622"/>
        <v>View Creative</v>
      </c>
      <c r="L4323" s="4" t="s">
        <v>60</v>
      </c>
      <c r="M4323" s="4" t="s">
        <v>7013</v>
      </c>
      <c r="N4323" s="4"/>
      <c r="O4323" s="4" t="s">
        <v>63</v>
      </c>
      <c r="P4323" s="4" t="s">
        <v>64</v>
      </c>
    </row>
    <row r="4324">
      <c r="A4324" s="4" t="s">
        <v>7013</v>
      </c>
      <c r="B4324" s="4" t="s">
        <v>7014</v>
      </c>
      <c r="C4324" s="4">
        <v>273.0</v>
      </c>
      <c r="D4324" s="5" t="str">
        <f t="shared" ref="D4324:D4325" si="623">HYPERLINK("https://www.linkedin.com/ad-library/detail/1152085404","Open Ad")</f>
        <v>Open Ad</v>
      </c>
      <c r="E4324" s="4" t="s">
        <v>78</v>
      </c>
      <c r="F4324" s="4" t="s">
        <v>6765</v>
      </c>
      <c r="G4324" s="4" t="s">
        <v>7080</v>
      </c>
      <c r="H4324" s="4" t="s">
        <v>49</v>
      </c>
      <c r="I4324" s="4" t="s">
        <v>7016</v>
      </c>
      <c r="J4324" s="4" t="s">
        <v>78</v>
      </c>
      <c r="K4324" s="7" t="str">
        <f t="shared" ref="K4324:K4325" si="624">HYPERLINK("https://media.licdn.com/dms/image/v2/D4E10AQFh3wRxQvxaHQ/image-shrink_1280/B4EZybCootIEAc-/0/1772127685632/Directory3AIVisibilityAgencyDirectorypng?e=2147483647&amp;v=beta&amp;t=M1uiPNOy86K4MsoZ3jwd4aJvyNEBdZcCGNZCw8tfIyo","View Creative")</f>
        <v>View Creative</v>
      </c>
      <c r="L4324" s="4" t="s">
        <v>60</v>
      </c>
      <c r="M4324" s="4" t="s">
        <v>7013</v>
      </c>
      <c r="N4324" s="4" t="s">
        <v>7079</v>
      </c>
      <c r="O4324" s="4" t="s">
        <v>63</v>
      </c>
      <c r="P4324" s="4" t="s">
        <v>64</v>
      </c>
    </row>
    <row r="4325">
      <c r="A4325" s="4" t="s">
        <v>7013</v>
      </c>
      <c r="B4325" s="4" t="s">
        <v>7014</v>
      </c>
      <c r="C4325" s="4">
        <v>274.0</v>
      </c>
      <c r="D4325" s="5" t="str">
        <f t="shared" si="623"/>
        <v>Open Ad</v>
      </c>
      <c r="E4325" s="4" t="s">
        <v>78</v>
      </c>
      <c r="F4325" s="4" t="s">
        <v>6765</v>
      </c>
      <c r="G4325" s="4" t="s">
        <v>7080</v>
      </c>
      <c r="H4325" s="4" t="s">
        <v>49</v>
      </c>
      <c r="I4325" s="4" t="s">
        <v>7016</v>
      </c>
      <c r="J4325" s="4" t="s">
        <v>78</v>
      </c>
      <c r="K4325" s="7" t="str">
        <f t="shared" si="624"/>
        <v>View Creative</v>
      </c>
      <c r="L4325" s="4" t="s">
        <v>60</v>
      </c>
      <c r="M4325" s="4" t="s">
        <v>7013</v>
      </c>
      <c r="N4325" s="4" t="s">
        <v>7079</v>
      </c>
      <c r="O4325" s="4" t="s">
        <v>63</v>
      </c>
      <c r="P4325" s="4" t="s">
        <v>64</v>
      </c>
    </row>
    <row r="4326">
      <c r="A4326" s="4" t="s">
        <v>7013</v>
      </c>
      <c r="B4326" s="4" t="s">
        <v>7014</v>
      </c>
      <c r="C4326" s="4">
        <v>275.0</v>
      </c>
      <c r="D4326" s="5" t="str">
        <f t="shared" ref="D4326:D4327" si="625">HYPERLINK("https://www.linkedin.com/ad-library/detail/1276598474","Open Ad")</f>
        <v>Open Ad</v>
      </c>
      <c r="E4326" s="4" t="s">
        <v>121</v>
      </c>
      <c r="F4326" s="4" t="s">
        <v>6765</v>
      </c>
      <c r="G4326" s="4" t="s">
        <v>7081</v>
      </c>
      <c r="H4326" s="4" t="s">
        <v>49</v>
      </c>
      <c r="I4326" s="4" t="s">
        <v>7016</v>
      </c>
      <c r="J4326" s="4" t="s">
        <v>121</v>
      </c>
      <c r="K4326" s="7" t="str">
        <f t="shared" ref="K4326:K4327" si="626">HYPERLINK("https://dms.licdn.com/playlist/vid/v2/D4D05AQHt92-jdG4ThQ/mp4-720p-30fp-crf28/B4DZ2VNZh0HsCI-/0/1776324819218?e=2147483647&amp;v=beta&amp;t=1NcV9L3YcT72_s6jkDQYfJW9_6-lQcU5sfwo9jy_4JA","View Creative")</f>
        <v>View Creative</v>
      </c>
      <c r="L4326" s="4" t="s">
        <v>60</v>
      </c>
      <c r="M4326" s="4" t="s">
        <v>7013</v>
      </c>
      <c r="N4326" s="4" t="s">
        <v>7082</v>
      </c>
      <c r="O4326" s="4" t="s">
        <v>63</v>
      </c>
      <c r="P4326" s="4" t="s">
        <v>64</v>
      </c>
    </row>
    <row r="4327">
      <c r="A4327" s="4" t="s">
        <v>7013</v>
      </c>
      <c r="B4327" s="4" t="s">
        <v>7014</v>
      </c>
      <c r="C4327" s="4">
        <v>276.0</v>
      </c>
      <c r="D4327" s="5" t="str">
        <f t="shared" si="625"/>
        <v>Open Ad</v>
      </c>
      <c r="E4327" s="4" t="s">
        <v>121</v>
      </c>
      <c r="F4327" s="4" t="s">
        <v>6765</v>
      </c>
      <c r="G4327" s="4" t="s">
        <v>7081</v>
      </c>
      <c r="H4327" s="4" t="s">
        <v>49</v>
      </c>
      <c r="I4327" s="4" t="s">
        <v>7016</v>
      </c>
      <c r="J4327" s="4" t="s">
        <v>121</v>
      </c>
      <c r="K4327" s="7" t="str">
        <f t="shared" si="626"/>
        <v>View Creative</v>
      </c>
      <c r="L4327" s="4" t="s">
        <v>60</v>
      </c>
      <c r="M4327" s="4" t="s">
        <v>7013</v>
      </c>
      <c r="N4327" s="4" t="s">
        <v>7082</v>
      </c>
      <c r="O4327" s="4" t="s">
        <v>63</v>
      </c>
      <c r="P4327" s="4" t="s">
        <v>64</v>
      </c>
    </row>
    <row r="4328">
      <c r="A4328" s="4" t="s">
        <v>7013</v>
      </c>
      <c r="B4328" s="4" t="s">
        <v>7014</v>
      </c>
      <c r="C4328" s="4">
        <v>277.0</v>
      </c>
      <c r="D4328" s="5" t="str">
        <f t="shared" ref="D4328:D4329" si="627">HYPERLINK("https://www.linkedin.com/ad-library/detail/1279997294","Open Ad")</f>
        <v>Open Ad</v>
      </c>
      <c r="E4328" s="4" t="s">
        <v>78</v>
      </c>
      <c r="F4328" s="4" t="s">
        <v>6765</v>
      </c>
      <c r="G4328" s="4" t="s">
        <v>7070</v>
      </c>
      <c r="H4328" s="4" t="s">
        <v>49</v>
      </c>
      <c r="I4328" s="4" t="s">
        <v>7016</v>
      </c>
      <c r="J4328" s="4" t="s">
        <v>78</v>
      </c>
      <c r="K4328" s="7" t="str">
        <f t="shared" ref="K4328:K4329" si="628">HYPERLINK("https://media.licdn.com/dms/image/v2/D4E10AQEZJT46jQDuzQ/image-shrink_1280/B4EZ2xEtVCIgAc-/0/1776792295031/ICP2_AdSet1_Lightpng?e=2147483647&amp;v=beta&amp;t=5MmLet_0MZAeaikIi7_p7PZPECAp9iUlChV2wjatJCA","View Creative")</f>
        <v>View Creative</v>
      </c>
      <c r="L4328" s="4" t="s">
        <v>60</v>
      </c>
      <c r="M4328" s="4" t="s">
        <v>7013</v>
      </c>
      <c r="N4328" s="4"/>
      <c r="O4328" s="4" t="s">
        <v>63</v>
      </c>
      <c r="P4328" s="4" t="s">
        <v>64</v>
      </c>
    </row>
    <row r="4329">
      <c r="A4329" s="4" t="s">
        <v>7013</v>
      </c>
      <c r="B4329" s="4" t="s">
        <v>7014</v>
      </c>
      <c r="C4329" s="4">
        <v>278.0</v>
      </c>
      <c r="D4329" s="5" t="str">
        <f t="shared" si="627"/>
        <v>Open Ad</v>
      </c>
      <c r="E4329" s="4" t="s">
        <v>78</v>
      </c>
      <c r="F4329" s="4" t="s">
        <v>6765</v>
      </c>
      <c r="G4329" s="4" t="s">
        <v>7070</v>
      </c>
      <c r="H4329" s="4" t="s">
        <v>49</v>
      </c>
      <c r="I4329" s="4" t="s">
        <v>7016</v>
      </c>
      <c r="J4329" s="4" t="s">
        <v>78</v>
      </c>
      <c r="K4329" s="7" t="str">
        <f t="shared" si="628"/>
        <v>View Creative</v>
      </c>
      <c r="L4329" s="4" t="s">
        <v>60</v>
      </c>
      <c r="M4329" s="4" t="s">
        <v>7013</v>
      </c>
      <c r="N4329" s="4"/>
      <c r="O4329" s="4" t="s">
        <v>63</v>
      </c>
      <c r="P4329" s="4" t="s">
        <v>64</v>
      </c>
    </row>
    <row r="4330">
      <c r="A4330" s="4" t="s">
        <v>7013</v>
      </c>
      <c r="B4330" s="4" t="s">
        <v>7014</v>
      </c>
      <c r="C4330" s="4">
        <v>279.0</v>
      </c>
      <c r="D4330" s="5" t="str">
        <f t="shared" ref="D4330:D4331" si="629">HYPERLINK("https://www.linkedin.com/ad-library/detail/1277487744","Open Ad")</f>
        <v>Open Ad</v>
      </c>
      <c r="E4330" s="4" t="s">
        <v>78</v>
      </c>
      <c r="F4330" s="4" t="s">
        <v>6765</v>
      </c>
      <c r="G4330" s="4" t="s">
        <v>7083</v>
      </c>
      <c r="H4330" s="4" t="s">
        <v>49</v>
      </c>
      <c r="I4330" s="4" t="s">
        <v>7016</v>
      </c>
      <c r="J4330" s="4" t="s">
        <v>78</v>
      </c>
      <c r="K4330" s="7" t="str">
        <f t="shared" ref="K4330:K4331" si="630">HYPERLINK("https://media.licdn.com/dms/image/v2/D4D22AQF7WJnpsySlJQ/feedshare-shrink_1280/B4DZ2QXvZLHoAM-/0/1776243636694?e=2147483647&amp;v=beta&amp;t=GvagOC6T5qkATJPNHeecBq2km6l4-Z8KbEZF-Z3wJRs","View Creative")</f>
        <v>View Creative</v>
      </c>
      <c r="L4330" s="4" t="s">
        <v>60</v>
      </c>
      <c r="M4330" s="4" t="s">
        <v>7013</v>
      </c>
      <c r="N4330" s="4" t="s">
        <v>7084</v>
      </c>
      <c r="O4330" s="4" t="s">
        <v>63</v>
      </c>
      <c r="P4330" s="4" t="s">
        <v>64</v>
      </c>
    </row>
    <row r="4331">
      <c r="A4331" s="4" t="s">
        <v>7013</v>
      </c>
      <c r="B4331" s="4" t="s">
        <v>7014</v>
      </c>
      <c r="C4331" s="4">
        <v>280.0</v>
      </c>
      <c r="D4331" s="5" t="str">
        <f t="shared" si="629"/>
        <v>Open Ad</v>
      </c>
      <c r="E4331" s="4" t="s">
        <v>78</v>
      </c>
      <c r="F4331" s="4" t="s">
        <v>6765</v>
      </c>
      <c r="G4331" s="4" t="s">
        <v>7083</v>
      </c>
      <c r="H4331" s="4" t="s">
        <v>49</v>
      </c>
      <c r="I4331" s="4" t="s">
        <v>7016</v>
      </c>
      <c r="J4331" s="4" t="s">
        <v>78</v>
      </c>
      <c r="K4331" s="7" t="str">
        <f t="shared" si="630"/>
        <v>View Creative</v>
      </c>
      <c r="L4331" s="4" t="s">
        <v>60</v>
      </c>
      <c r="M4331" s="4" t="s">
        <v>7013</v>
      </c>
      <c r="N4331" s="4" t="s">
        <v>7084</v>
      </c>
      <c r="O4331" s="4" t="s">
        <v>63</v>
      </c>
      <c r="P4331" s="4" t="s">
        <v>64</v>
      </c>
    </row>
    <row r="4332">
      <c r="A4332" s="4" t="s">
        <v>7013</v>
      </c>
      <c r="B4332" s="4" t="s">
        <v>7014</v>
      </c>
      <c r="C4332" s="4">
        <v>281.0</v>
      </c>
      <c r="D4332" s="5" t="str">
        <f t="shared" ref="D4332:D4333" si="631">HYPERLINK("https://www.linkedin.com/ad-library/detail/1278597084","Open Ad")</f>
        <v>Open Ad</v>
      </c>
      <c r="E4332" s="4" t="s">
        <v>78</v>
      </c>
      <c r="F4332" s="4" t="s">
        <v>6765</v>
      </c>
      <c r="G4332" s="4" t="s">
        <v>7065</v>
      </c>
      <c r="H4332" s="4" t="s">
        <v>49</v>
      </c>
      <c r="I4332" s="4" t="s">
        <v>7016</v>
      </c>
      <c r="J4332" s="4" t="s">
        <v>78</v>
      </c>
      <c r="K4332" s="7" t="str">
        <f t="shared" ref="K4332:K4333" si="632">HYPERLINK("https://media.licdn.com/dms/image/v2/D4E10AQG6x1g52dhTJA/image-shrink_1280/B4EZ2xE_XiJUAc-/0/1776792368870/ICP2_AdSet2_Lightpng?e=2147483647&amp;v=beta&amp;t=3YbaEu_ZMHeAT9-WVFaoocAVMqxxIvQAD1IXrpjtm9g","View Creative")</f>
        <v>View Creative</v>
      </c>
      <c r="L4332" s="4" t="s">
        <v>60</v>
      </c>
      <c r="M4332" s="4" t="s">
        <v>7013</v>
      </c>
      <c r="N4332" s="4"/>
      <c r="O4332" s="4" t="s">
        <v>63</v>
      </c>
      <c r="P4332" s="4" t="s">
        <v>64</v>
      </c>
    </row>
    <row r="4333">
      <c r="A4333" s="4" t="s">
        <v>7013</v>
      </c>
      <c r="B4333" s="4" t="s">
        <v>7014</v>
      </c>
      <c r="C4333" s="4">
        <v>282.0</v>
      </c>
      <c r="D4333" s="5" t="str">
        <f t="shared" si="631"/>
        <v>Open Ad</v>
      </c>
      <c r="E4333" s="4" t="s">
        <v>78</v>
      </c>
      <c r="F4333" s="4" t="s">
        <v>6765</v>
      </c>
      <c r="G4333" s="4" t="s">
        <v>7065</v>
      </c>
      <c r="H4333" s="4" t="s">
        <v>49</v>
      </c>
      <c r="I4333" s="4" t="s">
        <v>7016</v>
      </c>
      <c r="J4333" s="4" t="s">
        <v>78</v>
      </c>
      <c r="K4333" s="7" t="str">
        <f t="shared" si="632"/>
        <v>View Creative</v>
      </c>
      <c r="L4333" s="4" t="s">
        <v>60</v>
      </c>
      <c r="M4333" s="4" t="s">
        <v>7013</v>
      </c>
      <c r="N4333" s="4"/>
      <c r="O4333" s="4" t="s">
        <v>63</v>
      </c>
      <c r="P4333" s="4" t="s">
        <v>64</v>
      </c>
    </row>
    <row r="4334">
      <c r="A4334" s="4" t="s">
        <v>7013</v>
      </c>
      <c r="B4334" s="4" t="s">
        <v>7014</v>
      </c>
      <c r="C4334" s="4">
        <v>283.0</v>
      </c>
      <c r="D4334" s="5" t="str">
        <f t="shared" ref="D4334:D4335" si="633">HYPERLINK("https://www.linkedin.com/ad-library/detail/1279898084","Open Ad")</f>
        <v>Open Ad</v>
      </c>
      <c r="E4334" s="4" t="s">
        <v>78</v>
      </c>
      <c r="F4334" s="4" t="s">
        <v>6765</v>
      </c>
      <c r="G4334" s="4" t="s">
        <v>7069</v>
      </c>
      <c r="H4334" s="4" t="s">
        <v>49</v>
      </c>
      <c r="I4334" s="4" t="s">
        <v>7016</v>
      </c>
      <c r="J4334" s="4" t="s">
        <v>78</v>
      </c>
      <c r="K4334" s="7" t="str">
        <f t="shared" ref="K4334:K4335" si="634">HYPERLINK("https://media.licdn.com/dms/image/v2/D4E10AQEho1DoF5E3Hg/image-shrink_1280/B4EZ2xB82gIMAc-/0/1776791572176/ICP1_AdSet1_Darkpng?e=2147483647&amp;v=beta&amp;t=6YSA6x7kFUGlSCUAUccXUPh1fO880BucZLhFSQJzH6k","View Creative")</f>
        <v>View Creative</v>
      </c>
      <c r="L4334" s="4" t="s">
        <v>60</v>
      </c>
      <c r="M4334" s="4" t="s">
        <v>7013</v>
      </c>
      <c r="N4334" s="4"/>
      <c r="O4334" s="4" t="s">
        <v>63</v>
      </c>
      <c r="P4334" s="4" t="s">
        <v>64</v>
      </c>
    </row>
    <row r="4335">
      <c r="A4335" s="4" t="s">
        <v>7013</v>
      </c>
      <c r="B4335" s="4" t="s">
        <v>7014</v>
      </c>
      <c r="C4335" s="4">
        <v>284.0</v>
      </c>
      <c r="D4335" s="5" t="str">
        <f t="shared" si="633"/>
        <v>Open Ad</v>
      </c>
      <c r="E4335" s="4" t="s">
        <v>78</v>
      </c>
      <c r="F4335" s="4" t="s">
        <v>6765</v>
      </c>
      <c r="G4335" s="4" t="s">
        <v>7069</v>
      </c>
      <c r="H4335" s="4" t="s">
        <v>49</v>
      </c>
      <c r="I4335" s="4" t="s">
        <v>7016</v>
      </c>
      <c r="J4335" s="4" t="s">
        <v>78</v>
      </c>
      <c r="K4335" s="7" t="str">
        <f t="shared" si="634"/>
        <v>View Creative</v>
      </c>
      <c r="L4335" s="4" t="s">
        <v>60</v>
      </c>
      <c r="M4335" s="4" t="s">
        <v>7013</v>
      </c>
      <c r="N4335" s="4"/>
      <c r="O4335" s="4" t="s">
        <v>63</v>
      </c>
      <c r="P4335" s="4" t="s">
        <v>64</v>
      </c>
    </row>
    <row r="4336">
      <c r="A4336" s="4" t="s">
        <v>7013</v>
      </c>
      <c r="B4336" s="4" t="s">
        <v>7014</v>
      </c>
      <c r="C4336" s="4">
        <v>285.0</v>
      </c>
      <c r="D4336" s="5" t="str">
        <f t="shared" ref="D4336:D4337" si="635">HYPERLINK("https://www.linkedin.com/ad-library/detail/1278597074","Open Ad")</f>
        <v>Open Ad</v>
      </c>
      <c r="E4336" s="4" t="s">
        <v>78</v>
      </c>
      <c r="F4336" s="4" t="s">
        <v>6765</v>
      </c>
      <c r="G4336" s="4" t="s">
        <v>7065</v>
      </c>
      <c r="H4336" s="4" t="s">
        <v>49</v>
      </c>
      <c r="I4336" s="4" t="s">
        <v>7016</v>
      </c>
      <c r="J4336" s="4" t="s">
        <v>78</v>
      </c>
      <c r="K4336" s="7" t="str">
        <f t="shared" ref="K4336:K4337" si="636">HYPERLINK("https://media.licdn.com/dms/image/v2/D4E10AQF3LoKOSTv-4g/image-shrink_1280/B4EZ2xFPCmJMAg-/0/1776792433165/ICP2_AdSet2_Darkpng?e=2147483647&amp;v=beta&amp;t=KNVM9DOV--hkIa99KE8Yjy8KGUgBQ1AeHSdqfqsgwBg","View Creative")</f>
        <v>View Creative</v>
      </c>
      <c r="L4336" s="4" t="s">
        <v>60</v>
      </c>
      <c r="M4336" s="4" t="s">
        <v>7013</v>
      </c>
      <c r="N4336" s="4"/>
      <c r="O4336" s="4" t="s">
        <v>63</v>
      </c>
      <c r="P4336" s="4" t="s">
        <v>64</v>
      </c>
    </row>
    <row r="4337">
      <c r="A4337" s="4" t="s">
        <v>7013</v>
      </c>
      <c r="B4337" s="4" t="s">
        <v>7014</v>
      </c>
      <c r="C4337" s="4">
        <v>286.0</v>
      </c>
      <c r="D4337" s="5" t="str">
        <f t="shared" si="635"/>
        <v>Open Ad</v>
      </c>
      <c r="E4337" s="4" t="s">
        <v>78</v>
      </c>
      <c r="F4337" s="4" t="s">
        <v>6765</v>
      </c>
      <c r="G4337" s="4" t="s">
        <v>7065</v>
      </c>
      <c r="H4337" s="4" t="s">
        <v>49</v>
      </c>
      <c r="I4337" s="4" t="s">
        <v>7016</v>
      </c>
      <c r="J4337" s="4" t="s">
        <v>78</v>
      </c>
      <c r="K4337" s="7" t="str">
        <f t="shared" si="636"/>
        <v>View Creative</v>
      </c>
      <c r="L4337" s="4" t="s">
        <v>60</v>
      </c>
      <c r="M4337" s="4" t="s">
        <v>7013</v>
      </c>
      <c r="N4337" s="4"/>
      <c r="O4337" s="4" t="s">
        <v>63</v>
      </c>
      <c r="P4337" s="4" t="s">
        <v>64</v>
      </c>
    </row>
    <row r="4338">
      <c r="A4338" s="4" t="s">
        <v>7013</v>
      </c>
      <c r="B4338" s="4" t="s">
        <v>7014</v>
      </c>
      <c r="C4338" s="4">
        <v>287.0</v>
      </c>
      <c r="D4338" s="5" t="str">
        <f t="shared" ref="D4338:D4339" si="637">HYPERLINK("https://www.linkedin.com/ad-library/detail/1279197584","Open Ad")</f>
        <v>Open Ad</v>
      </c>
      <c r="E4338" s="4" t="s">
        <v>78</v>
      </c>
      <c r="F4338" s="4" t="s">
        <v>6765</v>
      </c>
      <c r="G4338" s="4" t="s">
        <v>7070</v>
      </c>
      <c r="H4338" s="4" t="s">
        <v>49</v>
      </c>
      <c r="I4338" s="4" t="s">
        <v>7016</v>
      </c>
      <c r="J4338" s="4" t="s">
        <v>78</v>
      </c>
      <c r="K4338" s="7" t="str">
        <f t="shared" ref="K4338:K4339" si="638">HYPERLINK("https://media.licdn.com/dms/image/v2/D4E10AQGrb2_Jinm9RA/image-shrink_1280/B4EZ2xEO5GGYAc-/0/1776792170337/ICP2_AdSet1_Darkpng?e=2147483647&amp;v=beta&amp;t=eHDy2xVVYQt3HjbKbJeCO7Iro9N0eP-xFN7lEXHYM-k","View Creative")</f>
        <v>View Creative</v>
      </c>
      <c r="L4338" s="4" t="s">
        <v>60</v>
      </c>
      <c r="M4338" s="4" t="s">
        <v>7013</v>
      </c>
      <c r="N4338" s="4"/>
      <c r="O4338" s="4" t="s">
        <v>63</v>
      </c>
      <c r="P4338" s="4" t="s">
        <v>64</v>
      </c>
    </row>
    <row r="4339">
      <c r="A4339" s="4" t="s">
        <v>7013</v>
      </c>
      <c r="B4339" s="4" t="s">
        <v>7014</v>
      </c>
      <c r="C4339" s="4">
        <v>288.0</v>
      </c>
      <c r="D4339" s="5" t="str">
        <f t="shared" si="637"/>
        <v>Open Ad</v>
      </c>
      <c r="E4339" s="4" t="s">
        <v>78</v>
      </c>
      <c r="F4339" s="4" t="s">
        <v>6765</v>
      </c>
      <c r="G4339" s="4" t="s">
        <v>7070</v>
      </c>
      <c r="H4339" s="4" t="s">
        <v>49</v>
      </c>
      <c r="I4339" s="4" t="s">
        <v>7016</v>
      </c>
      <c r="J4339" s="4" t="s">
        <v>78</v>
      </c>
      <c r="K4339" s="7" t="str">
        <f t="shared" si="638"/>
        <v>View Creative</v>
      </c>
      <c r="L4339" s="4" t="s">
        <v>60</v>
      </c>
      <c r="M4339" s="4" t="s">
        <v>7013</v>
      </c>
      <c r="N4339" s="4"/>
      <c r="O4339" s="4" t="s">
        <v>63</v>
      </c>
      <c r="P4339" s="4" t="s">
        <v>64</v>
      </c>
    </row>
    <row r="4340">
      <c r="A4340" s="4" t="s">
        <v>7013</v>
      </c>
      <c r="B4340" s="4" t="s">
        <v>7014</v>
      </c>
      <c r="C4340" s="4">
        <v>289.0</v>
      </c>
      <c r="D4340" s="5" t="str">
        <f t="shared" ref="D4340:D4341" si="639">HYPERLINK("https://www.linkedin.com/ad-library/detail/1279898094","Open Ad")</f>
        <v>Open Ad</v>
      </c>
      <c r="E4340" s="4" t="s">
        <v>78</v>
      </c>
      <c r="F4340" s="4" t="s">
        <v>6765</v>
      </c>
      <c r="G4340" s="4" t="s">
        <v>7063</v>
      </c>
      <c r="H4340" s="4" t="s">
        <v>49</v>
      </c>
      <c r="I4340" s="4" t="s">
        <v>7016</v>
      </c>
      <c r="J4340" s="4" t="s">
        <v>78</v>
      </c>
      <c r="K4340" s="7" t="str">
        <f t="shared" ref="K4340:K4341" si="640">HYPERLINK("https://media.licdn.com/dms/image/v2/D4E10AQGv7Tj0C5xS0g/image-shrink_1280/B4EZ2xC3.wHMAg-/0/1776791814323/ICP1_AdSet2_Darkpng?e=2147483647&amp;v=beta&amp;t=0h8d2MCwx78B5nj2YGdwGTvZge_vsKmTIuS0iPcUw28","View Creative")</f>
        <v>View Creative</v>
      </c>
      <c r="L4340" s="4" t="s">
        <v>60</v>
      </c>
      <c r="M4340" s="4" t="s">
        <v>7013</v>
      </c>
      <c r="N4340" s="4"/>
      <c r="O4340" s="4" t="s">
        <v>63</v>
      </c>
      <c r="P4340" s="4" t="s">
        <v>64</v>
      </c>
    </row>
    <row r="4341">
      <c r="A4341" s="4" t="s">
        <v>7013</v>
      </c>
      <c r="B4341" s="4" t="s">
        <v>7014</v>
      </c>
      <c r="C4341" s="4">
        <v>290.0</v>
      </c>
      <c r="D4341" s="5" t="str">
        <f t="shared" si="639"/>
        <v>Open Ad</v>
      </c>
      <c r="E4341" s="4" t="s">
        <v>78</v>
      </c>
      <c r="F4341" s="4" t="s">
        <v>6765</v>
      </c>
      <c r="G4341" s="4" t="s">
        <v>7063</v>
      </c>
      <c r="H4341" s="4" t="s">
        <v>49</v>
      </c>
      <c r="I4341" s="4" t="s">
        <v>7016</v>
      </c>
      <c r="J4341" s="4" t="s">
        <v>78</v>
      </c>
      <c r="K4341" s="7" t="str">
        <f t="shared" si="640"/>
        <v>View Creative</v>
      </c>
      <c r="L4341" s="4" t="s">
        <v>60</v>
      </c>
      <c r="M4341" s="4" t="s">
        <v>7013</v>
      </c>
      <c r="N4341" s="4"/>
      <c r="O4341" s="4" t="s">
        <v>63</v>
      </c>
      <c r="P4341" s="4" t="s">
        <v>64</v>
      </c>
    </row>
    <row r="4342">
      <c r="A4342" s="4" t="s">
        <v>7013</v>
      </c>
      <c r="B4342" s="4" t="s">
        <v>7014</v>
      </c>
      <c r="C4342" s="4">
        <v>291.0</v>
      </c>
      <c r="D4342" s="5" t="str">
        <f t="shared" ref="D4342:D4343" si="641">HYPERLINK("https://www.linkedin.com/ad-library/detail/1150309834","Open Ad")</f>
        <v>Open Ad</v>
      </c>
      <c r="E4342" s="4" t="s">
        <v>78</v>
      </c>
      <c r="F4342" s="4" t="s">
        <v>6765</v>
      </c>
      <c r="G4342" s="4" t="s">
        <v>7085</v>
      </c>
      <c r="H4342" s="4" t="s">
        <v>49</v>
      </c>
      <c r="I4342" s="4" t="s">
        <v>7016</v>
      </c>
      <c r="J4342" s="4" t="s">
        <v>78</v>
      </c>
      <c r="K4342" s="7" t="str">
        <f t="shared" ref="K4342:K4343" si="642">HYPERLINK("https://media.licdn.com/dms/image/v2/D4E10AQHWBSAv8yIJ1Q/image-shrink_1280/B4EZybChrqIEAg-/0/1772127657140/Directory1AIVisibilityAgencyDirectorypng?e=2147483647&amp;v=beta&amp;t=GNhKLHJ19CMay96XBo6Nig-ruRSdoSKvl1ZlFYRysUM","View Creative")</f>
        <v>View Creative</v>
      </c>
      <c r="L4342" s="4" t="s">
        <v>60</v>
      </c>
      <c r="M4342" s="4" t="s">
        <v>7013</v>
      </c>
      <c r="N4342" s="4" t="s">
        <v>7086</v>
      </c>
      <c r="O4342" s="4" t="s">
        <v>63</v>
      </c>
      <c r="P4342" s="4" t="s">
        <v>64</v>
      </c>
    </row>
    <row r="4343">
      <c r="A4343" s="4" t="s">
        <v>7013</v>
      </c>
      <c r="B4343" s="4" t="s">
        <v>7014</v>
      </c>
      <c r="C4343" s="4">
        <v>292.0</v>
      </c>
      <c r="D4343" s="5" t="str">
        <f t="shared" si="641"/>
        <v>Open Ad</v>
      </c>
      <c r="E4343" s="4" t="s">
        <v>78</v>
      </c>
      <c r="F4343" s="4" t="s">
        <v>6765</v>
      </c>
      <c r="G4343" s="4" t="s">
        <v>7085</v>
      </c>
      <c r="H4343" s="4" t="s">
        <v>49</v>
      </c>
      <c r="I4343" s="4" t="s">
        <v>7016</v>
      </c>
      <c r="J4343" s="4" t="s">
        <v>78</v>
      </c>
      <c r="K4343" s="7" t="str">
        <f t="shared" si="642"/>
        <v>View Creative</v>
      </c>
      <c r="L4343" s="4" t="s">
        <v>60</v>
      </c>
      <c r="M4343" s="4" t="s">
        <v>7013</v>
      </c>
      <c r="N4343" s="4" t="s">
        <v>7086</v>
      </c>
      <c r="O4343" s="4" t="s">
        <v>63</v>
      </c>
      <c r="P4343" s="4" t="s">
        <v>64</v>
      </c>
    </row>
    <row r="4344">
      <c r="A4344" s="4" t="s">
        <v>7013</v>
      </c>
      <c r="B4344" s="4" t="s">
        <v>7014</v>
      </c>
      <c r="C4344" s="4">
        <v>293.0</v>
      </c>
      <c r="D4344" s="5" t="str">
        <f t="shared" ref="D4344:D4345" si="643">HYPERLINK("https://www.linkedin.com/ad-library/detail/1152184984","Open Ad")</f>
        <v>Open Ad</v>
      </c>
      <c r="E4344" s="4" t="s">
        <v>78</v>
      </c>
      <c r="F4344" s="4" t="s">
        <v>6765</v>
      </c>
      <c r="G4344" s="4" t="s">
        <v>7087</v>
      </c>
      <c r="H4344" s="4" t="s">
        <v>49</v>
      </c>
      <c r="I4344" s="4" t="s">
        <v>7016</v>
      </c>
      <c r="J4344" s="4" t="s">
        <v>78</v>
      </c>
      <c r="K4344" s="7" t="str">
        <f t="shared" ref="K4344:K4345" si="644">HYPERLINK("https://media.licdn.com/dms/image/v2/D4E10AQE2-Q-XQyh4jQ/image-shrink_1280/B4EZyMSYfcGkAc-/0/1771880155697/Revolut1YourAIvisibilitymetricsnowcomewithnextstepspng?e=2147483647&amp;v=beta&amp;t=LKmS_a81BSZ-NPd8l1zFFSH_lc6bELzX32H4-DFcGM0","View Creative")</f>
        <v>View Creative</v>
      </c>
      <c r="L4344" s="4" t="s">
        <v>60</v>
      </c>
      <c r="M4344" s="4" t="s">
        <v>7013</v>
      </c>
      <c r="N4344" s="4" t="s">
        <v>7088</v>
      </c>
      <c r="O4344" s="4" t="s">
        <v>63</v>
      </c>
      <c r="P4344" s="4" t="s">
        <v>64</v>
      </c>
    </row>
    <row r="4345">
      <c r="A4345" s="4" t="s">
        <v>7013</v>
      </c>
      <c r="B4345" s="4" t="s">
        <v>7014</v>
      </c>
      <c r="C4345" s="4">
        <v>294.0</v>
      </c>
      <c r="D4345" s="5" t="str">
        <f t="shared" si="643"/>
        <v>Open Ad</v>
      </c>
      <c r="E4345" s="4" t="s">
        <v>78</v>
      </c>
      <c r="F4345" s="4" t="s">
        <v>6765</v>
      </c>
      <c r="G4345" s="4" t="s">
        <v>7087</v>
      </c>
      <c r="H4345" s="4" t="s">
        <v>49</v>
      </c>
      <c r="I4345" s="4" t="s">
        <v>7016</v>
      </c>
      <c r="J4345" s="4" t="s">
        <v>78</v>
      </c>
      <c r="K4345" s="7" t="str">
        <f t="shared" si="644"/>
        <v>View Creative</v>
      </c>
      <c r="L4345" s="4" t="s">
        <v>60</v>
      </c>
      <c r="M4345" s="4" t="s">
        <v>7013</v>
      </c>
      <c r="N4345" s="4" t="s">
        <v>7088</v>
      </c>
      <c r="O4345" s="4" t="s">
        <v>63</v>
      </c>
      <c r="P4345" s="4" t="s">
        <v>64</v>
      </c>
    </row>
    <row r="4346">
      <c r="A4346" s="4" t="s">
        <v>7013</v>
      </c>
      <c r="B4346" s="4" t="s">
        <v>7014</v>
      </c>
      <c r="C4346" s="4">
        <v>295.0</v>
      </c>
      <c r="D4346" s="5" t="str">
        <f t="shared" ref="D4346:D4347" si="645">HYPERLINK("https://www.linkedin.com/ad-library/detail/1149510684","Open Ad")</f>
        <v>Open Ad</v>
      </c>
      <c r="E4346" s="4" t="s">
        <v>78</v>
      </c>
      <c r="F4346" s="4" t="s">
        <v>6765</v>
      </c>
      <c r="G4346" s="4" t="s">
        <v>7078</v>
      </c>
      <c r="H4346" s="4" t="s">
        <v>49</v>
      </c>
      <c r="I4346" s="4" t="s">
        <v>7016</v>
      </c>
      <c r="J4346" s="4" t="s">
        <v>78</v>
      </c>
      <c r="K4346" s="7" t="str">
        <f t="shared" ref="K4346:K4347" si="646">HYPERLINK("https://media.licdn.com/dms/image/v2/D4E10AQGxjTOn07fzcA/image-shrink_1280/B4EZybChtQKIAg-/0/1772127657278/Directory1FindTrustedAISearchExpertspng?e=2147483647&amp;v=beta&amp;t=aR8A0uldYLiXsowkszpzW6mgBZgZU3py0uDUqMekhdo","View Creative")</f>
        <v>View Creative</v>
      </c>
      <c r="L4346" s="4" t="s">
        <v>60</v>
      </c>
      <c r="M4346" s="4" t="s">
        <v>7013</v>
      </c>
      <c r="N4346" s="4" t="s">
        <v>7086</v>
      </c>
      <c r="O4346" s="4" t="s">
        <v>63</v>
      </c>
      <c r="P4346" s="4" t="s">
        <v>64</v>
      </c>
    </row>
    <row r="4347">
      <c r="A4347" s="4" t="s">
        <v>7013</v>
      </c>
      <c r="B4347" s="4" t="s">
        <v>7014</v>
      </c>
      <c r="C4347" s="4">
        <v>296.0</v>
      </c>
      <c r="D4347" s="5" t="str">
        <f t="shared" si="645"/>
        <v>Open Ad</v>
      </c>
      <c r="E4347" s="4" t="s">
        <v>78</v>
      </c>
      <c r="F4347" s="4" t="s">
        <v>6765</v>
      </c>
      <c r="G4347" s="4" t="s">
        <v>7078</v>
      </c>
      <c r="H4347" s="4" t="s">
        <v>49</v>
      </c>
      <c r="I4347" s="4" t="s">
        <v>7016</v>
      </c>
      <c r="J4347" s="4" t="s">
        <v>78</v>
      </c>
      <c r="K4347" s="7" t="str">
        <f t="shared" si="646"/>
        <v>View Creative</v>
      </c>
      <c r="L4347" s="4" t="s">
        <v>60</v>
      </c>
      <c r="M4347" s="4" t="s">
        <v>7013</v>
      </c>
      <c r="N4347" s="4" t="s">
        <v>7086</v>
      </c>
      <c r="O4347" s="4" t="s">
        <v>63</v>
      </c>
      <c r="P4347" s="4" t="s">
        <v>64</v>
      </c>
    </row>
    <row r="4348">
      <c r="A4348" s="4" t="s">
        <v>7013</v>
      </c>
      <c r="B4348" s="4" t="s">
        <v>7014</v>
      </c>
      <c r="C4348" s="4">
        <v>297.0</v>
      </c>
      <c r="D4348" s="5" t="str">
        <f t="shared" ref="D4348:D4349" si="647">HYPERLINK("https://www.linkedin.com/ad-library/detail/1151485604","Open Ad")</f>
        <v>Open Ad</v>
      </c>
      <c r="E4348" s="4" t="s">
        <v>78</v>
      </c>
      <c r="F4348" s="4" t="s">
        <v>6765</v>
      </c>
      <c r="G4348" s="4" t="s">
        <v>7089</v>
      </c>
      <c r="H4348" s="4" t="s">
        <v>49</v>
      </c>
      <c r="I4348" s="4" t="s">
        <v>7016</v>
      </c>
      <c r="J4348" s="4" t="s">
        <v>78</v>
      </c>
      <c r="K4348" s="7" t="str">
        <f t="shared" ref="K4348:K4349" si="648">HYPERLINK("https://media.licdn.com/dms/image/v2/D4E10AQHRCGOPh43vUQ/image-shrink_1280/B4EZybCoqaGsAc-/0/1772127686008/Directory3FindTrustedAISearchExpertspng?e=2147483647&amp;v=beta&amp;t=deb9Vu57y6uAoG3vF1CvnEoPwvQwnu2_BtLte3bXNSg","View Creative")</f>
        <v>View Creative</v>
      </c>
      <c r="L4348" s="4" t="s">
        <v>60</v>
      </c>
      <c r="M4348" s="4" t="s">
        <v>7013</v>
      </c>
      <c r="N4348" s="4" t="s">
        <v>7075</v>
      </c>
      <c r="O4348" s="4" t="s">
        <v>63</v>
      </c>
      <c r="P4348" s="4" t="s">
        <v>64</v>
      </c>
    </row>
    <row r="4349">
      <c r="A4349" s="4" t="s">
        <v>7013</v>
      </c>
      <c r="B4349" s="4" t="s">
        <v>7014</v>
      </c>
      <c r="C4349" s="4">
        <v>298.0</v>
      </c>
      <c r="D4349" s="5" t="str">
        <f t="shared" si="647"/>
        <v>Open Ad</v>
      </c>
      <c r="E4349" s="4" t="s">
        <v>78</v>
      </c>
      <c r="F4349" s="4" t="s">
        <v>6765</v>
      </c>
      <c r="G4349" s="4" t="s">
        <v>7089</v>
      </c>
      <c r="H4349" s="4" t="s">
        <v>49</v>
      </c>
      <c r="I4349" s="4" t="s">
        <v>7016</v>
      </c>
      <c r="J4349" s="4" t="s">
        <v>78</v>
      </c>
      <c r="K4349" s="7" t="str">
        <f t="shared" si="648"/>
        <v>View Creative</v>
      </c>
      <c r="L4349" s="4" t="s">
        <v>60</v>
      </c>
      <c r="M4349" s="4" t="s">
        <v>7013</v>
      </c>
      <c r="N4349" s="4" t="s">
        <v>7075</v>
      </c>
      <c r="O4349" s="4" t="s">
        <v>63</v>
      </c>
      <c r="P4349" s="4" t="s">
        <v>64</v>
      </c>
    </row>
    <row r="4350">
      <c r="A4350" s="4" t="s">
        <v>7013</v>
      </c>
      <c r="B4350" s="4" t="s">
        <v>7014</v>
      </c>
      <c r="C4350" s="4">
        <v>299.0</v>
      </c>
      <c r="D4350" s="5" t="str">
        <f t="shared" ref="D4350:D4351" si="649">HYPERLINK("https://www.linkedin.com/ad-library/detail/1148710014","Open Ad")</f>
        <v>Open Ad</v>
      </c>
      <c r="E4350" s="4" t="s">
        <v>78</v>
      </c>
      <c r="F4350" s="4" t="s">
        <v>6765</v>
      </c>
      <c r="G4350" s="4" t="s">
        <v>7078</v>
      </c>
      <c r="H4350" s="4" t="s">
        <v>49</v>
      </c>
      <c r="I4350" s="4" t="s">
        <v>7016</v>
      </c>
      <c r="J4350" s="4" t="s">
        <v>78</v>
      </c>
      <c r="K4350" s="7" t="str">
        <f t="shared" ref="K4350:K4351" si="650">HYPERLINK("https://media.licdn.com/dms/image/v2/D4E10AQGxjTOn07fzcA/image-shrink_1280/B4EZybChtQKIAg-/0/1772127657278/Directory1FindTrustedAISearchExpertspng?e=2147483647&amp;v=beta&amp;t=aR8A0uldYLiXsowkszpzW6mgBZgZU3py0uDUqMekhdo","View Creative")</f>
        <v>View Creative</v>
      </c>
      <c r="L4350" s="4" t="s">
        <v>60</v>
      </c>
      <c r="M4350" s="4" t="s">
        <v>7013</v>
      </c>
      <c r="N4350" s="4" t="s">
        <v>7086</v>
      </c>
      <c r="O4350" s="4" t="s">
        <v>63</v>
      </c>
      <c r="P4350" s="4" t="s">
        <v>64</v>
      </c>
    </row>
    <row r="4351">
      <c r="A4351" s="4" t="s">
        <v>7013</v>
      </c>
      <c r="B4351" s="4" t="s">
        <v>7014</v>
      </c>
      <c r="C4351" s="4">
        <v>300.0</v>
      </c>
      <c r="D4351" s="5" t="str">
        <f t="shared" si="649"/>
        <v>Open Ad</v>
      </c>
      <c r="E4351" s="4" t="s">
        <v>78</v>
      </c>
      <c r="F4351" s="4" t="s">
        <v>6765</v>
      </c>
      <c r="G4351" s="4" t="s">
        <v>7078</v>
      </c>
      <c r="H4351" s="4" t="s">
        <v>49</v>
      </c>
      <c r="I4351" s="4" t="s">
        <v>7016</v>
      </c>
      <c r="J4351" s="4" t="s">
        <v>78</v>
      </c>
      <c r="K4351" s="7" t="str">
        <f t="shared" si="650"/>
        <v>View Creative</v>
      </c>
      <c r="L4351" s="4" t="s">
        <v>60</v>
      </c>
      <c r="M4351" s="4" t="s">
        <v>7013</v>
      </c>
      <c r="N4351" s="4" t="s">
        <v>7086</v>
      </c>
      <c r="O4351" s="4" t="s">
        <v>63</v>
      </c>
      <c r="P4351" s="4" t="s">
        <v>64</v>
      </c>
    </row>
    <row r="4352">
      <c r="A4352" s="4" t="s">
        <v>7013</v>
      </c>
      <c r="B4352" s="4" t="s">
        <v>7014</v>
      </c>
      <c r="C4352" s="4">
        <v>301.0</v>
      </c>
      <c r="D4352" s="5" t="str">
        <f t="shared" ref="D4352:D4353" si="651">HYPERLINK("https://www.linkedin.com/ad-library/detail/1149510754","Open Ad")</f>
        <v>Open Ad</v>
      </c>
      <c r="E4352" s="4" t="s">
        <v>78</v>
      </c>
      <c r="F4352" s="4" t="s">
        <v>6765</v>
      </c>
      <c r="G4352" s="4" t="s">
        <v>7090</v>
      </c>
      <c r="H4352" s="4" t="s">
        <v>49</v>
      </c>
      <c r="I4352" s="4" t="s">
        <v>7016</v>
      </c>
      <c r="J4352" s="4" t="s">
        <v>78</v>
      </c>
      <c r="K4352" s="7" t="str">
        <f t="shared" ref="K4352:K4353" si="652">HYPERLINK("https://media.licdn.com/dms/image/v2/D4E10AQEujPuW92_whg/image-shrink_1280/B4EZybChqwHMAc-/0/1772127657019/Directory2AIVisibilityAgencyDirectorypng?e=2147483647&amp;v=beta&amp;t=Z6MAKWzMej5_jYQRlmJ4y7bDcR6D_e69xbTN9r9L-9o","View Creative")</f>
        <v>View Creative</v>
      </c>
      <c r="L4352" s="4" t="s">
        <v>60</v>
      </c>
      <c r="M4352" s="4" t="s">
        <v>7013</v>
      </c>
      <c r="N4352" s="4" t="s">
        <v>7086</v>
      </c>
      <c r="O4352" s="4" t="s">
        <v>63</v>
      </c>
      <c r="P4352" s="4" t="s">
        <v>64</v>
      </c>
    </row>
    <row r="4353">
      <c r="A4353" s="4" t="s">
        <v>7013</v>
      </c>
      <c r="B4353" s="4" t="s">
        <v>7014</v>
      </c>
      <c r="C4353" s="4">
        <v>302.0</v>
      </c>
      <c r="D4353" s="5" t="str">
        <f t="shared" si="651"/>
        <v>Open Ad</v>
      </c>
      <c r="E4353" s="4" t="s">
        <v>78</v>
      </c>
      <c r="F4353" s="4" t="s">
        <v>6765</v>
      </c>
      <c r="G4353" s="4" t="s">
        <v>7090</v>
      </c>
      <c r="H4353" s="4" t="s">
        <v>49</v>
      </c>
      <c r="I4353" s="4" t="s">
        <v>7016</v>
      </c>
      <c r="J4353" s="4" t="s">
        <v>78</v>
      </c>
      <c r="K4353" s="7" t="str">
        <f t="shared" si="652"/>
        <v>View Creative</v>
      </c>
      <c r="L4353" s="4" t="s">
        <v>60</v>
      </c>
      <c r="M4353" s="4" t="s">
        <v>7013</v>
      </c>
      <c r="N4353" s="4" t="s">
        <v>7086</v>
      </c>
      <c r="O4353" s="4" t="s">
        <v>63</v>
      </c>
      <c r="P4353" s="4" t="s">
        <v>64</v>
      </c>
    </row>
    <row r="4354">
      <c r="A4354" s="4" t="s">
        <v>7013</v>
      </c>
      <c r="B4354" s="4" t="s">
        <v>7014</v>
      </c>
      <c r="C4354" s="4">
        <v>303.0</v>
      </c>
      <c r="D4354" s="5" t="str">
        <f t="shared" ref="D4354:D4355" si="653">HYPERLINK("https://www.linkedin.com/ad-library/detail/1150985534","Open Ad")</f>
        <v>Open Ad</v>
      </c>
      <c r="E4354" s="4" t="s">
        <v>78</v>
      </c>
      <c r="F4354" s="4" t="s">
        <v>6765</v>
      </c>
      <c r="G4354" s="4" t="s">
        <v>7091</v>
      </c>
      <c r="H4354" s="4" t="s">
        <v>49</v>
      </c>
      <c r="I4354" s="4" t="s">
        <v>7016</v>
      </c>
      <c r="J4354" s="4" t="s">
        <v>78</v>
      </c>
      <c r="K4354" s="7" t="str">
        <f t="shared" ref="K4354:K4355" si="654">HYPERLINK("https://media.licdn.com/dms/image/v2/D4E10AQEmkDLD4X437g/image-shrink_1280/B4EZyMRzsbKcAc-/0/1771880004998/ActionTracker4MeetActionspng?e=2147483647&amp;v=beta&amp;t=kBgjNRWbWwLkMbleB2r9e5Py7gwb2WX7uk3InZ1YbS8","View Creative")</f>
        <v>View Creative</v>
      </c>
      <c r="L4354" s="4" t="s">
        <v>60</v>
      </c>
      <c r="M4354" s="4" t="s">
        <v>7013</v>
      </c>
      <c r="N4354" s="4" t="s">
        <v>7088</v>
      </c>
      <c r="O4354" s="4" t="s">
        <v>63</v>
      </c>
      <c r="P4354" s="4" t="s">
        <v>64</v>
      </c>
    </row>
    <row r="4355">
      <c r="A4355" s="4" t="s">
        <v>7013</v>
      </c>
      <c r="B4355" s="4" t="s">
        <v>7014</v>
      </c>
      <c r="C4355" s="4">
        <v>304.0</v>
      </c>
      <c r="D4355" s="5" t="str">
        <f t="shared" si="653"/>
        <v>Open Ad</v>
      </c>
      <c r="E4355" s="4" t="s">
        <v>78</v>
      </c>
      <c r="F4355" s="4" t="s">
        <v>6765</v>
      </c>
      <c r="G4355" s="4" t="s">
        <v>7091</v>
      </c>
      <c r="H4355" s="4" t="s">
        <v>49</v>
      </c>
      <c r="I4355" s="4" t="s">
        <v>7016</v>
      </c>
      <c r="J4355" s="4" t="s">
        <v>78</v>
      </c>
      <c r="K4355" s="7" t="str">
        <f t="shared" si="654"/>
        <v>View Creative</v>
      </c>
      <c r="L4355" s="4" t="s">
        <v>60</v>
      </c>
      <c r="M4355" s="4" t="s">
        <v>7013</v>
      </c>
      <c r="N4355" s="4" t="s">
        <v>7088</v>
      </c>
      <c r="O4355" s="4" t="s">
        <v>63</v>
      </c>
      <c r="P4355" s="4" t="s">
        <v>64</v>
      </c>
    </row>
    <row r="4356">
      <c r="A4356" s="4" t="s">
        <v>7013</v>
      </c>
      <c r="B4356" s="4" t="s">
        <v>7014</v>
      </c>
      <c r="C4356" s="4">
        <v>305.0</v>
      </c>
      <c r="D4356" s="5" t="str">
        <f t="shared" ref="D4356:D4357" si="655">HYPERLINK("https://www.linkedin.com/ad-library/detail/1148609554","Open Ad")</f>
        <v>Open Ad</v>
      </c>
      <c r="E4356" s="4" t="s">
        <v>78</v>
      </c>
      <c r="F4356" s="4" t="s">
        <v>6765</v>
      </c>
      <c r="G4356" s="4" t="s">
        <v>7078</v>
      </c>
      <c r="H4356" s="4" t="s">
        <v>49</v>
      </c>
      <c r="I4356" s="4" t="s">
        <v>7016</v>
      </c>
      <c r="J4356" s="4" t="s">
        <v>78</v>
      </c>
      <c r="K4356" s="7" t="str">
        <f t="shared" ref="K4356:K4357" si="656">HYPERLINK("https://media.licdn.com/dms/image/v2/D4E10AQENGNql_Hfi3w/image-shrink_1280/B4EZybChuMHkAc-/0/1772127657303/Directory2GetExpertHelpforAISearchpng?e=2147483647&amp;v=beta&amp;t=N05A1GpFf-MaOO-coxz8xvXUeDa3TTrq2hacW3d7_j4","View Creative")</f>
        <v>View Creative</v>
      </c>
      <c r="L4356" s="4" t="s">
        <v>60</v>
      </c>
      <c r="M4356" s="4" t="s">
        <v>7013</v>
      </c>
      <c r="N4356" s="4" t="s">
        <v>7086</v>
      </c>
      <c r="O4356" s="4" t="s">
        <v>63</v>
      </c>
      <c r="P4356" s="4" t="s">
        <v>64</v>
      </c>
    </row>
    <row r="4357">
      <c r="A4357" s="4" t="s">
        <v>7013</v>
      </c>
      <c r="B4357" s="4" t="s">
        <v>7014</v>
      </c>
      <c r="C4357" s="4">
        <v>306.0</v>
      </c>
      <c r="D4357" s="5" t="str">
        <f t="shared" si="655"/>
        <v>Open Ad</v>
      </c>
      <c r="E4357" s="4" t="s">
        <v>78</v>
      </c>
      <c r="F4357" s="4" t="s">
        <v>6765</v>
      </c>
      <c r="G4357" s="4" t="s">
        <v>7078</v>
      </c>
      <c r="H4357" s="4" t="s">
        <v>49</v>
      </c>
      <c r="I4357" s="4" t="s">
        <v>7016</v>
      </c>
      <c r="J4357" s="4" t="s">
        <v>78</v>
      </c>
      <c r="K4357" s="7" t="str">
        <f t="shared" si="656"/>
        <v>View Creative</v>
      </c>
      <c r="L4357" s="4" t="s">
        <v>60</v>
      </c>
      <c r="M4357" s="4" t="s">
        <v>7013</v>
      </c>
      <c r="N4357" s="4" t="s">
        <v>7086</v>
      </c>
      <c r="O4357" s="4" t="s">
        <v>63</v>
      </c>
      <c r="P4357" s="4" t="s">
        <v>64</v>
      </c>
    </row>
    <row r="4358">
      <c r="A4358" s="4" t="s">
        <v>7013</v>
      </c>
      <c r="B4358" s="4" t="s">
        <v>7014</v>
      </c>
      <c r="C4358" s="4">
        <v>307.0</v>
      </c>
      <c r="D4358" s="5" t="str">
        <f t="shared" ref="D4358:D4359" si="657">HYPERLINK("https://www.linkedin.com/ad-library/detail/1149810774","Open Ad")</f>
        <v>Open Ad</v>
      </c>
      <c r="E4358" s="4" t="s">
        <v>78</v>
      </c>
      <c r="F4358" s="4" t="s">
        <v>6765</v>
      </c>
      <c r="G4358" s="4" t="s">
        <v>7089</v>
      </c>
      <c r="H4358" s="4" t="s">
        <v>49</v>
      </c>
      <c r="I4358" s="4" t="s">
        <v>7016</v>
      </c>
      <c r="J4358" s="4" t="s">
        <v>78</v>
      </c>
      <c r="K4358" s="7" t="str">
        <f t="shared" ref="K4358:K4359" si="658">HYPERLINK("https://media.licdn.com/dms/image/v2/D4E10AQHRCGOPh43vUQ/image-shrink_1280/B4EZybCoqaGsAc-/0/1772127686008/Directory3FindTrustedAISearchExpertspng?e=2147483647&amp;v=beta&amp;t=deb9Vu57y6uAoG3vF1CvnEoPwvQwnu2_BtLte3bXNSg","View Creative")</f>
        <v>View Creative</v>
      </c>
      <c r="L4358" s="4" t="s">
        <v>60</v>
      </c>
      <c r="M4358" s="4" t="s">
        <v>7013</v>
      </c>
      <c r="N4358" s="4" t="s">
        <v>7092</v>
      </c>
      <c r="O4358" s="4" t="s">
        <v>63</v>
      </c>
      <c r="P4358" s="4" t="s">
        <v>64</v>
      </c>
    </row>
    <row r="4359">
      <c r="A4359" s="4" t="s">
        <v>7013</v>
      </c>
      <c r="B4359" s="4" t="s">
        <v>7014</v>
      </c>
      <c r="C4359" s="4">
        <v>308.0</v>
      </c>
      <c r="D4359" s="5" t="str">
        <f t="shared" si="657"/>
        <v>Open Ad</v>
      </c>
      <c r="E4359" s="4" t="s">
        <v>78</v>
      </c>
      <c r="F4359" s="4" t="s">
        <v>6765</v>
      </c>
      <c r="G4359" s="4" t="s">
        <v>7089</v>
      </c>
      <c r="H4359" s="4" t="s">
        <v>49</v>
      </c>
      <c r="I4359" s="4" t="s">
        <v>7016</v>
      </c>
      <c r="J4359" s="4" t="s">
        <v>78</v>
      </c>
      <c r="K4359" s="7" t="str">
        <f t="shared" si="658"/>
        <v>View Creative</v>
      </c>
      <c r="L4359" s="4" t="s">
        <v>60</v>
      </c>
      <c r="M4359" s="4" t="s">
        <v>7013</v>
      </c>
      <c r="N4359" s="4" t="s">
        <v>7092</v>
      </c>
      <c r="O4359" s="4" t="s">
        <v>63</v>
      </c>
      <c r="P4359" s="4" t="s">
        <v>64</v>
      </c>
    </row>
    <row r="4360">
      <c r="A4360" s="4" t="s">
        <v>7013</v>
      </c>
      <c r="B4360" s="4" t="s">
        <v>7014</v>
      </c>
      <c r="C4360" s="4">
        <v>309.0</v>
      </c>
      <c r="D4360" s="5" t="str">
        <f t="shared" ref="D4360:D4361" si="659">HYPERLINK("https://www.linkedin.com/ad-library/detail/1149810784","Open Ad")</f>
        <v>Open Ad</v>
      </c>
      <c r="E4360" s="4" t="s">
        <v>78</v>
      </c>
      <c r="F4360" s="4" t="s">
        <v>6765</v>
      </c>
      <c r="G4360" s="4" t="s">
        <v>7080</v>
      </c>
      <c r="H4360" s="4" t="s">
        <v>49</v>
      </c>
      <c r="I4360" s="4" t="s">
        <v>7016</v>
      </c>
      <c r="J4360" s="4" t="s">
        <v>78</v>
      </c>
      <c r="K4360" s="7" t="str">
        <f t="shared" ref="K4360:K4361" si="660">HYPERLINK("https://media.licdn.com/dms/image/v2/D4E10AQFh3wRxQvxaHQ/image-shrink_1280/B4EZybCootIEAc-/0/1772127685632/Directory3AIVisibilityAgencyDirectorypng?e=2147483647&amp;v=beta&amp;t=M1uiPNOy86K4MsoZ3jwd4aJvyNEBdZcCGNZCw8tfIyo","View Creative")</f>
        <v>View Creative</v>
      </c>
      <c r="L4360" s="4" t="s">
        <v>60</v>
      </c>
      <c r="M4360" s="4" t="s">
        <v>7013</v>
      </c>
      <c r="N4360" s="4" t="s">
        <v>7086</v>
      </c>
      <c r="O4360" s="4" t="s">
        <v>63</v>
      </c>
      <c r="P4360" s="4" t="s">
        <v>64</v>
      </c>
    </row>
    <row r="4361">
      <c r="A4361" s="4" t="s">
        <v>7013</v>
      </c>
      <c r="B4361" s="4" t="s">
        <v>7014</v>
      </c>
      <c r="C4361" s="4">
        <v>310.0</v>
      </c>
      <c r="D4361" s="5" t="str">
        <f t="shared" si="659"/>
        <v>Open Ad</v>
      </c>
      <c r="E4361" s="4" t="s">
        <v>78</v>
      </c>
      <c r="F4361" s="4" t="s">
        <v>6765</v>
      </c>
      <c r="G4361" s="4" t="s">
        <v>7080</v>
      </c>
      <c r="H4361" s="4" t="s">
        <v>49</v>
      </c>
      <c r="I4361" s="4" t="s">
        <v>7016</v>
      </c>
      <c r="J4361" s="4" t="s">
        <v>78</v>
      </c>
      <c r="K4361" s="7" t="str">
        <f t="shared" si="660"/>
        <v>View Creative</v>
      </c>
      <c r="L4361" s="4" t="s">
        <v>60</v>
      </c>
      <c r="M4361" s="4" t="s">
        <v>7013</v>
      </c>
      <c r="N4361" s="4" t="s">
        <v>7086</v>
      </c>
      <c r="O4361" s="4" t="s">
        <v>63</v>
      </c>
      <c r="P4361" s="4" t="s">
        <v>64</v>
      </c>
    </row>
    <row r="4362">
      <c r="A4362" s="4" t="s">
        <v>7013</v>
      </c>
      <c r="B4362" s="4" t="s">
        <v>7014</v>
      </c>
      <c r="C4362" s="4">
        <v>311.0</v>
      </c>
      <c r="D4362" s="5" t="str">
        <f t="shared" ref="D4362:D4363" si="661">HYPERLINK("https://www.linkedin.com/ad-library/detail/1152684964","Open Ad")</f>
        <v>Open Ad</v>
      </c>
      <c r="E4362" s="4" t="s">
        <v>78</v>
      </c>
      <c r="F4362" s="4" t="s">
        <v>6765</v>
      </c>
      <c r="G4362" s="4" t="s">
        <v>7093</v>
      </c>
      <c r="H4362" s="4" t="s">
        <v>49</v>
      </c>
      <c r="I4362" s="4" t="s">
        <v>7016</v>
      </c>
      <c r="J4362" s="4" t="s">
        <v>78</v>
      </c>
      <c r="K4362" s="7" t="str">
        <f t="shared" ref="K4362:K4363" si="662">HYPERLINK("https://media.licdn.com/dms/image/v2/D4E10AQHXd2CW_zULWg/image-shrink_1280/B4EZyMTHeUIMAc-/0/1771880348132/ActionTracker2YourAIvisibilitymetricsnowcomewithnextstepspng?e=2147483647&amp;v=beta&amp;t=NzDfAuilwUb2OeIQyBhjLRFVPNtcg2-ZxbDzGP7o3vs","View Creative")</f>
        <v>View Creative</v>
      </c>
      <c r="L4362" s="4" t="s">
        <v>60</v>
      </c>
      <c r="M4362" s="4" t="s">
        <v>7013</v>
      </c>
      <c r="N4362" s="4" t="s">
        <v>7088</v>
      </c>
      <c r="O4362" s="4" t="s">
        <v>63</v>
      </c>
      <c r="P4362" s="4" t="s">
        <v>64</v>
      </c>
    </row>
    <row r="4363">
      <c r="A4363" s="4" t="s">
        <v>7013</v>
      </c>
      <c r="B4363" s="4" t="s">
        <v>7014</v>
      </c>
      <c r="C4363" s="4">
        <v>312.0</v>
      </c>
      <c r="D4363" s="5" t="str">
        <f t="shared" si="661"/>
        <v>Open Ad</v>
      </c>
      <c r="E4363" s="4" t="s">
        <v>78</v>
      </c>
      <c r="F4363" s="4" t="s">
        <v>6765</v>
      </c>
      <c r="G4363" s="4" t="s">
        <v>7093</v>
      </c>
      <c r="H4363" s="4" t="s">
        <v>49</v>
      </c>
      <c r="I4363" s="4" t="s">
        <v>7016</v>
      </c>
      <c r="J4363" s="4" t="s">
        <v>78</v>
      </c>
      <c r="K4363" s="7" t="str">
        <f t="shared" si="662"/>
        <v>View Creative</v>
      </c>
      <c r="L4363" s="4" t="s">
        <v>60</v>
      </c>
      <c r="M4363" s="4" t="s">
        <v>7013</v>
      </c>
      <c r="N4363" s="4" t="s">
        <v>7088</v>
      </c>
      <c r="O4363" s="4" t="s">
        <v>63</v>
      </c>
      <c r="P4363" s="4" t="s">
        <v>64</v>
      </c>
    </row>
    <row r="4364">
      <c r="A4364" s="4" t="s">
        <v>7013</v>
      </c>
      <c r="B4364" s="4" t="s">
        <v>7014</v>
      </c>
      <c r="C4364" s="4">
        <v>313.0</v>
      </c>
      <c r="D4364" s="5" t="str">
        <f t="shared" ref="D4364:D4365" si="663">HYPERLINK("https://www.linkedin.com/ad-library/detail/1151984674","Open Ad")</f>
        <v>Open Ad</v>
      </c>
      <c r="E4364" s="4" t="s">
        <v>78</v>
      </c>
      <c r="F4364" s="4" t="s">
        <v>6765</v>
      </c>
      <c r="G4364" s="4" t="s">
        <v>7093</v>
      </c>
      <c r="H4364" s="4" t="s">
        <v>49</v>
      </c>
      <c r="I4364" s="4" t="s">
        <v>7016</v>
      </c>
      <c r="J4364" s="4" t="s">
        <v>78</v>
      </c>
      <c r="K4364" s="7" t="str">
        <f t="shared" ref="K4364:K4365" si="664">HYPERLINK("https://media.licdn.com/dms/image/v2/D4E10AQEv4ItHpKi5pw/image-shrink_1280/B4EZyMQ4yWJsAc-/0/1771879763685/Revolut2FromAIsearchanalyticstoclearnextstepspng?e=2147483647&amp;v=beta&amp;t=YAFKK7AlmHSQR1kB7FUxy0Mpp2F4zE3XX62bSVzcuTc","View Creative")</f>
        <v>View Creative</v>
      </c>
      <c r="L4364" s="4" t="s">
        <v>60</v>
      </c>
      <c r="M4364" s="4" t="s">
        <v>7013</v>
      </c>
      <c r="N4364" s="4" t="s">
        <v>7088</v>
      </c>
      <c r="O4364" s="4" t="s">
        <v>63</v>
      </c>
      <c r="P4364" s="4" t="s">
        <v>64</v>
      </c>
    </row>
    <row r="4365">
      <c r="A4365" s="4" t="s">
        <v>7013</v>
      </c>
      <c r="B4365" s="4" t="s">
        <v>7014</v>
      </c>
      <c r="C4365" s="4">
        <v>314.0</v>
      </c>
      <c r="D4365" s="5" t="str">
        <f t="shared" si="663"/>
        <v>Open Ad</v>
      </c>
      <c r="E4365" s="4" t="s">
        <v>78</v>
      </c>
      <c r="F4365" s="4" t="s">
        <v>6765</v>
      </c>
      <c r="G4365" s="4" t="s">
        <v>7093</v>
      </c>
      <c r="H4365" s="4" t="s">
        <v>49</v>
      </c>
      <c r="I4365" s="4" t="s">
        <v>7016</v>
      </c>
      <c r="J4365" s="4" t="s">
        <v>78</v>
      </c>
      <c r="K4365" s="7" t="str">
        <f t="shared" si="664"/>
        <v>View Creative</v>
      </c>
      <c r="L4365" s="4" t="s">
        <v>60</v>
      </c>
      <c r="M4365" s="4" t="s">
        <v>7013</v>
      </c>
      <c r="N4365" s="4" t="s">
        <v>7088</v>
      </c>
      <c r="O4365" s="4" t="s">
        <v>63</v>
      </c>
      <c r="P4365" s="4" t="s">
        <v>64</v>
      </c>
    </row>
    <row r="4366">
      <c r="A4366" s="4" t="s">
        <v>7013</v>
      </c>
      <c r="B4366" s="4" t="s">
        <v>7014</v>
      </c>
      <c r="C4366" s="4">
        <v>315.0</v>
      </c>
      <c r="D4366" s="5" t="str">
        <f t="shared" ref="D4366:D4367" si="665">HYPERLINK("https://www.linkedin.com/ad-library/detail/1149310244","Open Ad")</f>
        <v>Open Ad</v>
      </c>
      <c r="E4366" s="4" t="s">
        <v>78</v>
      </c>
      <c r="F4366" s="4" t="s">
        <v>6765</v>
      </c>
      <c r="G4366" s="4" t="s">
        <v>7085</v>
      </c>
      <c r="H4366" s="4" t="s">
        <v>49</v>
      </c>
      <c r="I4366" s="4" t="s">
        <v>7016</v>
      </c>
      <c r="J4366" s="4" t="s">
        <v>78</v>
      </c>
      <c r="K4366" s="7" t="str">
        <f t="shared" ref="K4366:K4367" si="666">HYPERLINK("https://media.licdn.com/dms/image/v2/D4E10AQHWBSAv8yIJ1Q/image-shrink_1280/B4EZybChrqIEAg-/0/1772127657140/Directory1AIVisibilityAgencyDirectorypng?e=2147483647&amp;v=beta&amp;t=GNhKLHJ19CMay96XBo6Nig-ruRSdoSKvl1ZlFYRysUM","View Creative")</f>
        <v>View Creative</v>
      </c>
      <c r="L4366" s="4" t="s">
        <v>60</v>
      </c>
      <c r="M4366" s="4" t="s">
        <v>7013</v>
      </c>
      <c r="N4366" s="4" t="s">
        <v>7086</v>
      </c>
      <c r="O4366" s="4" t="s">
        <v>63</v>
      </c>
      <c r="P4366" s="4" t="s">
        <v>64</v>
      </c>
    </row>
    <row r="4367">
      <c r="A4367" s="4" t="s">
        <v>7013</v>
      </c>
      <c r="B4367" s="4" t="s">
        <v>7014</v>
      </c>
      <c r="C4367" s="4">
        <v>316.0</v>
      </c>
      <c r="D4367" s="5" t="str">
        <f t="shared" si="665"/>
        <v>Open Ad</v>
      </c>
      <c r="E4367" s="4" t="s">
        <v>78</v>
      </c>
      <c r="F4367" s="4" t="s">
        <v>6765</v>
      </c>
      <c r="G4367" s="4" t="s">
        <v>7085</v>
      </c>
      <c r="H4367" s="4" t="s">
        <v>49</v>
      </c>
      <c r="I4367" s="4" t="s">
        <v>7016</v>
      </c>
      <c r="J4367" s="4" t="s">
        <v>78</v>
      </c>
      <c r="K4367" s="7" t="str">
        <f t="shared" si="666"/>
        <v>View Creative</v>
      </c>
      <c r="L4367" s="4" t="s">
        <v>60</v>
      </c>
      <c r="M4367" s="4" t="s">
        <v>7013</v>
      </c>
      <c r="N4367" s="4" t="s">
        <v>7086</v>
      </c>
      <c r="O4367" s="4" t="s">
        <v>63</v>
      </c>
      <c r="P4367" s="4" t="s">
        <v>64</v>
      </c>
    </row>
    <row r="4368">
      <c r="A4368" s="4" t="s">
        <v>7013</v>
      </c>
      <c r="B4368" s="4" t="s">
        <v>7014</v>
      </c>
      <c r="C4368" s="4">
        <v>317.0</v>
      </c>
      <c r="D4368" s="5" t="str">
        <f t="shared" ref="D4368:D4369" si="667">HYPERLINK("https://www.linkedin.com/ad-library/detail/1149610024","Open Ad")</f>
        <v>Open Ad</v>
      </c>
      <c r="E4368" s="4" t="s">
        <v>78</v>
      </c>
      <c r="F4368" s="4" t="s">
        <v>6765</v>
      </c>
      <c r="G4368" s="4" t="s">
        <v>7078</v>
      </c>
      <c r="H4368" s="4" t="s">
        <v>49</v>
      </c>
      <c r="I4368" s="4" t="s">
        <v>7016</v>
      </c>
      <c r="J4368" s="4" t="s">
        <v>78</v>
      </c>
      <c r="K4368" s="7" t="str">
        <f t="shared" ref="K4368:K4369" si="668">HYPERLINK("https://media.licdn.com/dms/image/v2/D4E10AQENGNql_Hfi3w/image-shrink_1280/B4EZybChuMHkAc-/0/1772127657303/Directory2GetExpertHelpforAISearchpng?e=2147483647&amp;v=beta&amp;t=N05A1GpFf-MaOO-coxz8xvXUeDa3TTrq2hacW3d7_j4","View Creative")</f>
        <v>View Creative</v>
      </c>
      <c r="L4368" s="4" t="s">
        <v>60</v>
      </c>
      <c r="M4368" s="4" t="s">
        <v>7013</v>
      </c>
      <c r="N4368" s="4" t="s">
        <v>7086</v>
      </c>
      <c r="O4368" s="4" t="s">
        <v>63</v>
      </c>
      <c r="P4368" s="4" t="s">
        <v>64</v>
      </c>
    </row>
    <row r="4369">
      <c r="A4369" s="4" t="s">
        <v>7013</v>
      </c>
      <c r="B4369" s="4" t="s">
        <v>7014</v>
      </c>
      <c r="C4369" s="4">
        <v>318.0</v>
      </c>
      <c r="D4369" s="5" t="str">
        <f t="shared" si="667"/>
        <v>Open Ad</v>
      </c>
      <c r="E4369" s="4" t="s">
        <v>78</v>
      </c>
      <c r="F4369" s="4" t="s">
        <v>6765</v>
      </c>
      <c r="G4369" s="4" t="s">
        <v>7078</v>
      </c>
      <c r="H4369" s="4" t="s">
        <v>49</v>
      </c>
      <c r="I4369" s="4" t="s">
        <v>7016</v>
      </c>
      <c r="J4369" s="4" t="s">
        <v>78</v>
      </c>
      <c r="K4369" s="7" t="str">
        <f t="shared" si="668"/>
        <v>View Creative</v>
      </c>
      <c r="L4369" s="4" t="s">
        <v>60</v>
      </c>
      <c r="M4369" s="4" t="s">
        <v>7013</v>
      </c>
      <c r="N4369" s="4" t="s">
        <v>7086</v>
      </c>
      <c r="O4369" s="4" t="s">
        <v>63</v>
      </c>
      <c r="P4369" s="4" t="s">
        <v>64</v>
      </c>
    </row>
    <row r="4370">
      <c r="A4370" s="4" t="s">
        <v>7013</v>
      </c>
      <c r="B4370" s="4" t="s">
        <v>7014</v>
      </c>
      <c r="C4370" s="4">
        <v>319.0</v>
      </c>
      <c r="D4370" s="5" t="str">
        <f t="shared" ref="D4370:D4371" si="669">HYPERLINK("https://www.linkedin.com/ad-library/detail/1152185144","Open Ad")</f>
        <v>Open Ad</v>
      </c>
      <c r="E4370" s="4" t="s">
        <v>78</v>
      </c>
      <c r="F4370" s="4" t="s">
        <v>6765</v>
      </c>
      <c r="G4370" s="4" t="s">
        <v>7078</v>
      </c>
      <c r="H4370" s="4" t="s">
        <v>49</v>
      </c>
      <c r="I4370" s="4" t="s">
        <v>7016</v>
      </c>
      <c r="J4370" s="4" t="s">
        <v>78</v>
      </c>
      <c r="K4370" s="7" t="str">
        <f t="shared" ref="K4370:K4371" si="670">HYPERLINK("https://media.licdn.com/dms/image/v2/D4E10AQGxjTOn07fzcA/image-shrink_1280/B4EZybChtQKIAg-/0/1772127657278/Directory1FindTrustedAISearchExpertspng?e=2147483647&amp;v=beta&amp;t=aR8A0uldYLiXsowkszpzW6mgBZgZU3py0uDUqMekhdo","View Creative")</f>
        <v>View Creative</v>
      </c>
      <c r="L4370" s="4" t="s">
        <v>60</v>
      </c>
      <c r="M4370" s="4" t="s">
        <v>7013</v>
      </c>
      <c r="N4370" s="4" t="s">
        <v>7079</v>
      </c>
      <c r="O4370" s="4" t="s">
        <v>63</v>
      </c>
      <c r="P4370" s="4" t="s">
        <v>64</v>
      </c>
    </row>
    <row r="4371">
      <c r="A4371" s="4" t="s">
        <v>7013</v>
      </c>
      <c r="B4371" s="4" t="s">
        <v>7014</v>
      </c>
      <c r="C4371" s="4">
        <v>320.0</v>
      </c>
      <c r="D4371" s="5" t="str">
        <f t="shared" si="669"/>
        <v>Open Ad</v>
      </c>
      <c r="E4371" s="4" t="s">
        <v>78</v>
      </c>
      <c r="F4371" s="4" t="s">
        <v>6765</v>
      </c>
      <c r="G4371" s="4" t="s">
        <v>7078</v>
      </c>
      <c r="H4371" s="4" t="s">
        <v>49</v>
      </c>
      <c r="I4371" s="4" t="s">
        <v>7016</v>
      </c>
      <c r="J4371" s="4" t="s">
        <v>78</v>
      </c>
      <c r="K4371" s="7" t="str">
        <f t="shared" si="670"/>
        <v>View Creative</v>
      </c>
      <c r="L4371" s="4" t="s">
        <v>60</v>
      </c>
      <c r="M4371" s="4" t="s">
        <v>7013</v>
      </c>
      <c r="N4371" s="4" t="s">
        <v>7079</v>
      </c>
      <c r="O4371" s="4" t="s">
        <v>63</v>
      </c>
      <c r="P4371" s="4" t="s">
        <v>64</v>
      </c>
    </row>
    <row r="4372">
      <c r="A4372" s="4" t="s">
        <v>7013</v>
      </c>
      <c r="B4372" s="4" t="s">
        <v>7014</v>
      </c>
      <c r="C4372" s="4">
        <v>321.0</v>
      </c>
      <c r="D4372" s="5" t="str">
        <f t="shared" ref="D4372:D4373" si="671">HYPERLINK("https://www.linkedin.com/ad-library/detail/1150885104","Open Ad")</f>
        <v>Open Ad</v>
      </c>
      <c r="E4372" s="4" t="s">
        <v>78</v>
      </c>
      <c r="F4372" s="4" t="s">
        <v>6765</v>
      </c>
      <c r="G4372" s="4" t="s">
        <v>7087</v>
      </c>
      <c r="H4372" s="4" t="s">
        <v>49</v>
      </c>
      <c r="I4372" s="4" t="s">
        <v>7016</v>
      </c>
      <c r="J4372" s="4" t="s">
        <v>78</v>
      </c>
      <c r="K4372" s="7" t="str">
        <f t="shared" ref="K4372:K4373" si="672">HYPERLINK("https://media.licdn.com/dms/image/v2/D4E10AQG_fR28v9KqCQ/image-shrink_1280/B4EZyMQzWuH0Ag-/0/1771879741823/ActionTracker1FromAIsearchanalyticstoclearnextstepspng?e=2147483647&amp;v=beta&amp;t=0vyT_z6hi-EJzcEE7BFeO1VVAl3pIj2aVVBCz9EPkk0","View Creative")</f>
        <v>View Creative</v>
      </c>
      <c r="L4372" s="4" t="s">
        <v>60</v>
      </c>
      <c r="M4372" s="4" t="s">
        <v>7013</v>
      </c>
      <c r="N4372" s="4" t="s">
        <v>7088</v>
      </c>
      <c r="O4372" s="4" t="s">
        <v>63</v>
      </c>
      <c r="P4372" s="4" t="s">
        <v>64</v>
      </c>
    </row>
    <row r="4373">
      <c r="A4373" s="4" t="s">
        <v>7013</v>
      </c>
      <c r="B4373" s="4" t="s">
        <v>7014</v>
      </c>
      <c r="C4373" s="4">
        <v>322.0</v>
      </c>
      <c r="D4373" s="5" t="str">
        <f t="shared" si="671"/>
        <v>Open Ad</v>
      </c>
      <c r="E4373" s="4" t="s">
        <v>78</v>
      </c>
      <c r="F4373" s="4" t="s">
        <v>6765</v>
      </c>
      <c r="G4373" s="4" t="s">
        <v>7087</v>
      </c>
      <c r="H4373" s="4" t="s">
        <v>49</v>
      </c>
      <c r="I4373" s="4" t="s">
        <v>7016</v>
      </c>
      <c r="J4373" s="4" t="s">
        <v>78</v>
      </c>
      <c r="K4373" s="7" t="str">
        <f t="shared" si="672"/>
        <v>View Creative</v>
      </c>
      <c r="L4373" s="4" t="s">
        <v>60</v>
      </c>
      <c r="M4373" s="4" t="s">
        <v>7013</v>
      </c>
      <c r="N4373" s="4" t="s">
        <v>7088</v>
      </c>
      <c r="O4373" s="4" t="s">
        <v>63</v>
      </c>
      <c r="P4373" s="4" t="s">
        <v>64</v>
      </c>
    </row>
    <row r="4374">
      <c r="A4374" s="4" t="s">
        <v>7013</v>
      </c>
      <c r="B4374" s="4" t="s">
        <v>7014</v>
      </c>
      <c r="C4374" s="4">
        <v>323.0</v>
      </c>
      <c r="D4374" s="5" t="str">
        <f t="shared" ref="D4374:D4375" si="673">HYPERLINK("https://www.linkedin.com/ad-library/detail/1148909194","Open Ad")</f>
        <v>Open Ad</v>
      </c>
      <c r="E4374" s="4" t="s">
        <v>78</v>
      </c>
      <c r="F4374" s="4" t="s">
        <v>6765</v>
      </c>
      <c r="G4374" s="4" t="s">
        <v>7077</v>
      </c>
      <c r="H4374" s="4" t="s">
        <v>49</v>
      </c>
      <c r="I4374" s="4" t="s">
        <v>7016</v>
      </c>
      <c r="J4374" s="4" t="s">
        <v>78</v>
      </c>
      <c r="K4374" s="7" t="str">
        <f t="shared" ref="K4374:K4377" si="674">HYPERLINK("https://media.licdn.com/dms/image/v2/D4E10AQHXCJsPgcZ4_w/image-shrink_1280/B4EZybCon0JgAg-/0/1772127685657/Directory3GetExpertHelpforAISearchpng?e=2147483647&amp;v=beta&amp;t=HfUSY3XU6uwbZY8wgAX7_lRR7s287cOzcCtZklwj4H0","View Creative")</f>
        <v>View Creative</v>
      </c>
      <c r="L4374" s="4" t="s">
        <v>60</v>
      </c>
      <c r="M4374" s="4" t="s">
        <v>7013</v>
      </c>
      <c r="N4374" s="4" t="s">
        <v>7086</v>
      </c>
      <c r="O4374" s="4" t="s">
        <v>63</v>
      </c>
      <c r="P4374" s="4" t="s">
        <v>64</v>
      </c>
    </row>
    <row r="4375">
      <c r="A4375" s="4" t="s">
        <v>7013</v>
      </c>
      <c r="B4375" s="4" t="s">
        <v>7014</v>
      </c>
      <c r="C4375" s="4">
        <v>324.0</v>
      </c>
      <c r="D4375" s="5" t="str">
        <f t="shared" si="673"/>
        <v>Open Ad</v>
      </c>
      <c r="E4375" s="4" t="s">
        <v>78</v>
      </c>
      <c r="F4375" s="4" t="s">
        <v>6765</v>
      </c>
      <c r="G4375" s="4" t="s">
        <v>7077</v>
      </c>
      <c r="H4375" s="4" t="s">
        <v>49</v>
      </c>
      <c r="I4375" s="4" t="s">
        <v>7016</v>
      </c>
      <c r="J4375" s="4" t="s">
        <v>78</v>
      </c>
      <c r="K4375" s="7" t="str">
        <f t="shared" si="674"/>
        <v>View Creative</v>
      </c>
      <c r="L4375" s="4" t="s">
        <v>60</v>
      </c>
      <c r="M4375" s="4" t="s">
        <v>7013</v>
      </c>
      <c r="N4375" s="4" t="s">
        <v>7086</v>
      </c>
      <c r="O4375" s="4" t="s">
        <v>63</v>
      </c>
      <c r="P4375" s="4" t="s">
        <v>64</v>
      </c>
    </row>
    <row r="4376">
      <c r="A4376" s="4" t="s">
        <v>7013</v>
      </c>
      <c r="B4376" s="4" t="s">
        <v>7014</v>
      </c>
      <c r="C4376" s="4">
        <v>325.0</v>
      </c>
      <c r="D4376" s="5" t="str">
        <f t="shared" ref="D4376:D4377" si="675">HYPERLINK("https://www.linkedin.com/ad-library/detail/1149110894","Open Ad")</f>
        <v>Open Ad</v>
      </c>
      <c r="E4376" s="4" t="s">
        <v>78</v>
      </c>
      <c r="F4376" s="4" t="s">
        <v>6765</v>
      </c>
      <c r="G4376" s="4" t="s">
        <v>7077</v>
      </c>
      <c r="H4376" s="4" t="s">
        <v>49</v>
      </c>
      <c r="I4376" s="4" t="s">
        <v>7016</v>
      </c>
      <c r="J4376" s="4" t="s">
        <v>78</v>
      </c>
      <c r="K4376" s="7" t="str">
        <f t="shared" si="674"/>
        <v>View Creative</v>
      </c>
      <c r="L4376" s="4" t="s">
        <v>60</v>
      </c>
      <c r="M4376" s="4" t="s">
        <v>7013</v>
      </c>
      <c r="N4376" s="4" t="s">
        <v>7086</v>
      </c>
      <c r="O4376" s="4" t="s">
        <v>63</v>
      </c>
      <c r="P4376" s="4" t="s">
        <v>64</v>
      </c>
    </row>
    <row r="4377">
      <c r="A4377" s="4" t="s">
        <v>7013</v>
      </c>
      <c r="B4377" s="4" t="s">
        <v>7014</v>
      </c>
      <c r="C4377" s="4">
        <v>326.0</v>
      </c>
      <c r="D4377" s="5" t="str">
        <f t="shared" si="675"/>
        <v>Open Ad</v>
      </c>
      <c r="E4377" s="4" t="s">
        <v>78</v>
      </c>
      <c r="F4377" s="4" t="s">
        <v>6765</v>
      </c>
      <c r="G4377" s="4" t="s">
        <v>7077</v>
      </c>
      <c r="H4377" s="4" t="s">
        <v>49</v>
      </c>
      <c r="I4377" s="4" t="s">
        <v>7016</v>
      </c>
      <c r="J4377" s="4" t="s">
        <v>78</v>
      </c>
      <c r="K4377" s="7" t="str">
        <f t="shared" si="674"/>
        <v>View Creative</v>
      </c>
      <c r="L4377" s="4" t="s">
        <v>60</v>
      </c>
      <c r="M4377" s="4" t="s">
        <v>7013</v>
      </c>
      <c r="N4377" s="4" t="s">
        <v>7086</v>
      </c>
      <c r="O4377" s="4" t="s">
        <v>63</v>
      </c>
      <c r="P4377" s="4" t="s">
        <v>64</v>
      </c>
    </row>
    <row r="4378">
      <c r="A4378" s="4" t="s">
        <v>7013</v>
      </c>
      <c r="B4378" s="4" t="s">
        <v>7014</v>
      </c>
      <c r="C4378" s="4">
        <v>327.0</v>
      </c>
      <c r="D4378" s="5" t="str">
        <f t="shared" ref="D4378:D4379" si="676">HYPERLINK("https://www.linkedin.com/ad-library/detail/1148909184","Open Ad")</f>
        <v>Open Ad</v>
      </c>
      <c r="E4378" s="4" t="s">
        <v>78</v>
      </c>
      <c r="F4378" s="4" t="s">
        <v>6765</v>
      </c>
      <c r="G4378" s="4" t="s">
        <v>7074</v>
      </c>
      <c r="H4378" s="4" t="s">
        <v>49</v>
      </c>
      <c r="I4378" s="4" t="s">
        <v>7016</v>
      </c>
      <c r="J4378" s="4" t="s">
        <v>78</v>
      </c>
      <c r="K4378" s="7" t="str">
        <f t="shared" ref="K4378:K4379" si="677">HYPERLINK("https://media.licdn.com/dms/image/v2/D4E10AQGtKok9G8Co_w/image-shrink_1280/B4EZybCoR6GYAc-/0/1772127684186/Directory1GetExpertHelpforAISearchpng?e=2147483647&amp;v=beta&amp;t=yrXbbpw2S9-81UaSPTZiQy5YHeY24f0r4iwEMY9FO9E","View Creative")</f>
        <v>View Creative</v>
      </c>
      <c r="L4378" s="4" t="s">
        <v>60</v>
      </c>
      <c r="M4378" s="4" t="s">
        <v>7013</v>
      </c>
      <c r="N4378" s="4" t="s">
        <v>7086</v>
      </c>
      <c r="O4378" s="4" t="s">
        <v>63</v>
      </c>
      <c r="P4378" s="4" t="s">
        <v>64</v>
      </c>
    </row>
    <row r="4379">
      <c r="A4379" s="4" t="s">
        <v>7013</v>
      </c>
      <c r="B4379" s="4" t="s">
        <v>7014</v>
      </c>
      <c r="C4379" s="4">
        <v>328.0</v>
      </c>
      <c r="D4379" s="5" t="str">
        <f t="shared" si="676"/>
        <v>Open Ad</v>
      </c>
      <c r="E4379" s="4" t="s">
        <v>78</v>
      </c>
      <c r="F4379" s="4" t="s">
        <v>6765</v>
      </c>
      <c r="G4379" s="4" t="s">
        <v>7074</v>
      </c>
      <c r="H4379" s="4" t="s">
        <v>49</v>
      </c>
      <c r="I4379" s="4" t="s">
        <v>7016</v>
      </c>
      <c r="J4379" s="4" t="s">
        <v>78</v>
      </c>
      <c r="K4379" s="7" t="str">
        <f t="shared" si="677"/>
        <v>View Creative</v>
      </c>
      <c r="L4379" s="4" t="s">
        <v>60</v>
      </c>
      <c r="M4379" s="4" t="s">
        <v>7013</v>
      </c>
      <c r="N4379" s="4" t="s">
        <v>7086</v>
      </c>
      <c r="O4379" s="4" t="s">
        <v>63</v>
      </c>
      <c r="P4379" s="4" t="s">
        <v>64</v>
      </c>
    </row>
    <row r="4380">
      <c r="A4380" s="4" t="s">
        <v>7013</v>
      </c>
      <c r="B4380" s="4" t="s">
        <v>7014</v>
      </c>
      <c r="C4380" s="4">
        <v>329.0</v>
      </c>
      <c r="D4380" s="5" t="str">
        <f t="shared" ref="D4380:D4381" si="678">HYPERLINK("https://www.linkedin.com/ad-library/detail/1151684914","Open Ad")</f>
        <v>Open Ad</v>
      </c>
      <c r="E4380" s="4" t="s">
        <v>78</v>
      </c>
      <c r="F4380" s="4" t="s">
        <v>6765</v>
      </c>
      <c r="G4380" s="4" t="s">
        <v>7085</v>
      </c>
      <c r="H4380" s="4" t="s">
        <v>49</v>
      </c>
      <c r="I4380" s="4" t="s">
        <v>7016</v>
      </c>
      <c r="J4380" s="4" t="s">
        <v>78</v>
      </c>
      <c r="K4380" s="7" t="str">
        <f t="shared" ref="K4380:K4381" si="679">HYPERLINK("https://media.licdn.com/dms/image/v2/D4E10AQHWBSAv8yIJ1Q/image-shrink_1280/B4EZybChrqIEAg-/0/1772127657140/Directory1AIVisibilityAgencyDirectorypng?e=2147483647&amp;v=beta&amp;t=GNhKLHJ19CMay96XBo6Nig-ruRSdoSKvl1ZlFYRysUM","View Creative")</f>
        <v>View Creative</v>
      </c>
      <c r="L4380" s="4" t="s">
        <v>60</v>
      </c>
      <c r="M4380" s="4" t="s">
        <v>7013</v>
      </c>
      <c r="N4380" s="4" t="s">
        <v>7079</v>
      </c>
      <c r="O4380" s="4" t="s">
        <v>63</v>
      </c>
      <c r="P4380" s="4" t="s">
        <v>64</v>
      </c>
    </row>
    <row r="4381">
      <c r="A4381" s="4" t="s">
        <v>7013</v>
      </c>
      <c r="B4381" s="4" t="s">
        <v>7014</v>
      </c>
      <c r="C4381" s="4">
        <v>330.0</v>
      </c>
      <c r="D4381" s="5" t="str">
        <f t="shared" si="678"/>
        <v>Open Ad</v>
      </c>
      <c r="E4381" s="4" t="s">
        <v>78</v>
      </c>
      <c r="F4381" s="4" t="s">
        <v>6765</v>
      </c>
      <c r="G4381" s="4" t="s">
        <v>7085</v>
      </c>
      <c r="H4381" s="4" t="s">
        <v>49</v>
      </c>
      <c r="I4381" s="4" t="s">
        <v>7016</v>
      </c>
      <c r="J4381" s="4" t="s">
        <v>78</v>
      </c>
      <c r="K4381" s="7" t="str">
        <f t="shared" si="679"/>
        <v>View Creative</v>
      </c>
      <c r="L4381" s="4" t="s">
        <v>60</v>
      </c>
      <c r="M4381" s="4" t="s">
        <v>7013</v>
      </c>
      <c r="N4381" s="4" t="s">
        <v>7079</v>
      </c>
      <c r="O4381" s="4" t="s">
        <v>63</v>
      </c>
      <c r="P4381" s="4" t="s">
        <v>64</v>
      </c>
    </row>
    <row r="4382">
      <c r="A4382" s="4" t="s">
        <v>7013</v>
      </c>
      <c r="B4382" s="4" t="s">
        <v>7014</v>
      </c>
      <c r="C4382" s="4">
        <v>331.0</v>
      </c>
      <c r="D4382" s="5" t="str">
        <f t="shared" ref="D4382:D4383" si="680">HYPERLINK("https://www.linkedin.com/ad-library/detail/1152685104","Open Ad")</f>
        <v>Open Ad</v>
      </c>
      <c r="E4382" s="4" t="s">
        <v>78</v>
      </c>
      <c r="F4382" s="4" t="s">
        <v>6765</v>
      </c>
      <c r="G4382" s="4" t="s">
        <v>7090</v>
      </c>
      <c r="H4382" s="4" t="s">
        <v>49</v>
      </c>
      <c r="I4382" s="4" t="s">
        <v>7016</v>
      </c>
      <c r="J4382" s="4" t="s">
        <v>78</v>
      </c>
      <c r="K4382" s="7" t="str">
        <f t="shared" ref="K4382:K4383" si="681">HYPERLINK("https://media.licdn.com/dms/image/v2/D4E10AQEujPuW92_whg/image-shrink_1280/B4EZybChqwHMAc-/0/1772127657019/Directory2AIVisibilityAgencyDirectorypng?e=2147483647&amp;v=beta&amp;t=Z6MAKWzMej5_jYQRlmJ4y7bDcR6D_e69xbTN9r9L-9o","View Creative")</f>
        <v>View Creative</v>
      </c>
      <c r="L4382" s="4" t="s">
        <v>60</v>
      </c>
      <c r="M4382" s="4" t="s">
        <v>7013</v>
      </c>
      <c r="N4382" s="4" t="s">
        <v>7075</v>
      </c>
      <c r="O4382" s="4" t="s">
        <v>63</v>
      </c>
      <c r="P4382" s="4" t="s">
        <v>64</v>
      </c>
    </row>
    <row r="4383">
      <c r="A4383" s="4" t="s">
        <v>7013</v>
      </c>
      <c r="B4383" s="4" t="s">
        <v>7014</v>
      </c>
      <c r="C4383" s="4">
        <v>332.0</v>
      </c>
      <c r="D4383" s="5" t="str">
        <f t="shared" si="680"/>
        <v>Open Ad</v>
      </c>
      <c r="E4383" s="4" t="s">
        <v>78</v>
      </c>
      <c r="F4383" s="4" t="s">
        <v>6765</v>
      </c>
      <c r="G4383" s="4" t="s">
        <v>7090</v>
      </c>
      <c r="H4383" s="4" t="s">
        <v>49</v>
      </c>
      <c r="I4383" s="4" t="s">
        <v>7016</v>
      </c>
      <c r="J4383" s="4" t="s">
        <v>78</v>
      </c>
      <c r="K4383" s="7" t="str">
        <f t="shared" si="681"/>
        <v>View Creative</v>
      </c>
      <c r="L4383" s="4" t="s">
        <v>60</v>
      </c>
      <c r="M4383" s="4" t="s">
        <v>7013</v>
      </c>
      <c r="N4383" s="4" t="s">
        <v>7075</v>
      </c>
      <c r="O4383" s="4" t="s">
        <v>63</v>
      </c>
      <c r="P4383" s="4" t="s">
        <v>64</v>
      </c>
    </row>
    <row r="4384">
      <c r="A4384" s="4" t="s">
        <v>7013</v>
      </c>
      <c r="B4384" s="4" t="s">
        <v>7014</v>
      </c>
      <c r="C4384" s="4">
        <v>333.0</v>
      </c>
      <c r="D4384" s="5" t="str">
        <f t="shared" ref="D4384:D4385" si="682">HYPERLINK("https://www.linkedin.com/ad-library/detail/1152085394","Open Ad")</f>
        <v>Open Ad</v>
      </c>
      <c r="E4384" s="4" t="s">
        <v>78</v>
      </c>
      <c r="F4384" s="4" t="s">
        <v>6765</v>
      </c>
      <c r="G4384" s="4" t="s">
        <v>7085</v>
      </c>
      <c r="H4384" s="4" t="s">
        <v>49</v>
      </c>
      <c r="I4384" s="4" t="s">
        <v>7016</v>
      </c>
      <c r="J4384" s="4" t="s">
        <v>78</v>
      </c>
      <c r="K4384" s="7" t="str">
        <f t="shared" ref="K4384:K4387" si="683">HYPERLINK("https://media.licdn.com/dms/image/v2/D4E10AQHWBSAv8yIJ1Q/image-shrink_1280/B4EZybChrqIEAg-/0/1772127657140/Directory1AIVisibilityAgencyDirectorypng?e=2147483647&amp;v=beta&amp;t=GNhKLHJ19CMay96XBo6Nig-ruRSdoSKvl1ZlFYRysUM","View Creative")</f>
        <v>View Creative</v>
      </c>
      <c r="L4384" s="4" t="s">
        <v>60</v>
      </c>
      <c r="M4384" s="4" t="s">
        <v>7013</v>
      </c>
      <c r="N4384" s="4" t="s">
        <v>7075</v>
      </c>
      <c r="O4384" s="4" t="s">
        <v>63</v>
      </c>
      <c r="P4384" s="4" t="s">
        <v>64</v>
      </c>
    </row>
    <row r="4385">
      <c r="A4385" s="4" t="s">
        <v>7013</v>
      </c>
      <c r="B4385" s="4" t="s">
        <v>7014</v>
      </c>
      <c r="C4385" s="4">
        <v>334.0</v>
      </c>
      <c r="D4385" s="5" t="str">
        <f t="shared" si="682"/>
        <v>Open Ad</v>
      </c>
      <c r="E4385" s="4" t="s">
        <v>78</v>
      </c>
      <c r="F4385" s="4" t="s">
        <v>6765</v>
      </c>
      <c r="G4385" s="4" t="s">
        <v>7085</v>
      </c>
      <c r="H4385" s="4" t="s">
        <v>49</v>
      </c>
      <c r="I4385" s="4" t="s">
        <v>7016</v>
      </c>
      <c r="J4385" s="4" t="s">
        <v>78</v>
      </c>
      <c r="K4385" s="7" t="str">
        <f t="shared" si="683"/>
        <v>View Creative</v>
      </c>
      <c r="L4385" s="4" t="s">
        <v>60</v>
      </c>
      <c r="M4385" s="4" t="s">
        <v>7013</v>
      </c>
      <c r="N4385" s="4" t="s">
        <v>7075</v>
      </c>
      <c r="O4385" s="4" t="s">
        <v>63</v>
      </c>
      <c r="P4385" s="4" t="s">
        <v>64</v>
      </c>
    </row>
    <row r="4386">
      <c r="A4386" s="4" t="s">
        <v>7013</v>
      </c>
      <c r="B4386" s="4" t="s">
        <v>7014</v>
      </c>
      <c r="C4386" s="4">
        <v>335.0</v>
      </c>
      <c r="D4386" s="5" t="str">
        <f t="shared" ref="D4386:D4387" si="684">HYPERLINK("https://www.linkedin.com/ad-library/detail/1150809854","Open Ad")</f>
        <v>Open Ad</v>
      </c>
      <c r="E4386" s="4" t="s">
        <v>78</v>
      </c>
      <c r="F4386" s="4" t="s">
        <v>6765</v>
      </c>
      <c r="G4386" s="4" t="s">
        <v>7085</v>
      </c>
      <c r="H4386" s="4" t="s">
        <v>49</v>
      </c>
      <c r="I4386" s="4" t="s">
        <v>7016</v>
      </c>
      <c r="J4386" s="4" t="s">
        <v>78</v>
      </c>
      <c r="K4386" s="7" t="str">
        <f t="shared" si="683"/>
        <v>View Creative</v>
      </c>
      <c r="L4386" s="4" t="s">
        <v>60</v>
      </c>
      <c r="M4386" s="4" t="s">
        <v>7013</v>
      </c>
      <c r="N4386" s="4" t="s">
        <v>7086</v>
      </c>
      <c r="O4386" s="4" t="s">
        <v>63</v>
      </c>
      <c r="P4386" s="4" t="s">
        <v>64</v>
      </c>
    </row>
    <row r="4387">
      <c r="A4387" s="4" t="s">
        <v>7013</v>
      </c>
      <c r="B4387" s="4" t="s">
        <v>7014</v>
      </c>
      <c r="C4387" s="4">
        <v>336.0</v>
      </c>
      <c r="D4387" s="5" t="str">
        <f t="shared" si="684"/>
        <v>Open Ad</v>
      </c>
      <c r="E4387" s="4" t="s">
        <v>78</v>
      </c>
      <c r="F4387" s="4" t="s">
        <v>6765</v>
      </c>
      <c r="G4387" s="4" t="s">
        <v>7085</v>
      </c>
      <c r="H4387" s="4" t="s">
        <v>49</v>
      </c>
      <c r="I4387" s="4" t="s">
        <v>7016</v>
      </c>
      <c r="J4387" s="4" t="s">
        <v>78</v>
      </c>
      <c r="K4387" s="7" t="str">
        <f t="shared" si="683"/>
        <v>View Creative</v>
      </c>
      <c r="L4387" s="4" t="s">
        <v>60</v>
      </c>
      <c r="M4387" s="4" t="s">
        <v>7013</v>
      </c>
      <c r="N4387" s="4" t="s">
        <v>7086</v>
      </c>
      <c r="O4387" s="4" t="s">
        <v>63</v>
      </c>
      <c r="P4387" s="4" t="s">
        <v>64</v>
      </c>
    </row>
    <row r="4388">
      <c r="A4388" s="4" t="s">
        <v>7013</v>
      </c>
      <c r="B4388" s="4" t="s">
        <v>7014</v>
      </c>
      <c r="C4388" s="4">
        <v>337.0</v>
      </c>
      <c r="D4388" s="5" t="str">
        <f t="shared" ref="D4388:D4389" si="685">HYPERLINK("https://www.linkedin.com/ad-library/detail/1150809844","Open Ad")</f>
        <v>Open Ad</v>
      </c>
      <c r="E4388" s="4" t="s">
        <v>78</v>
      </c>
      <c r="F4388" s="4" t="s">
        <v>6765</v>
      </c>
      <c r="G4388" s="4" t="s">
        <v>7074</v>
      </c>
      <c r="H4388" s="4" t="s">
        <v>49</v>
      </c>
      <c r="I4388" s="4" t="s">
        <v>7016</v>
      </c>
      <c r="J4388" s="4" t="s">
        <v>78</v>
      </c>
      <c r="K4388" s="7" t="str">
        <f t="shared" ref="K4388:K4389" si="686">HYPERLINK("https://media.licdn.com/dms/image/v2/D4E10AQGtKok9G8Co_w/image-shrink_1280/B4EZybCoR6GYAc-/0/1772127684186/Directory1GetExpertHelpforAISearchpng?e=2147483647&amp;v=beta&amp;t=yrXbbpw2S9-81UaSPTZiQy5YHeY24f0r4iwEMY9FO9E","View Creative")</f>
        <v>View Creative</v>
      </c>
      <c r="L4388" s="4" t="s">
        <v>60</v>
      </c>
      <c r="M4388" s="4" t="s">
        <v>7013</v>
      </c>
      <c r="N4388" s="4" t="s">
        <v>7086</v>
      </c>
      <c r="O4388" s="4" t="s">
        <v>63</v>
      </c>
      <c r="P4388" s="4" t="s">
        <v>64</v>
      </c>
    </row>
    <row r="4389">
      <c r="A4389" s="4" t="s">
        <v>7013</v>
      </c>
      <c r="B4389" s="4" t="s">
        <v>7014</v>
      </c>
      <c r="C4389" s="4">
        <v>338.0</v>
      </c>
      <c r="D4389" s="5" t="str">
        <f t="shared" si="685"/>
        <v>Open Ad</v>
      </c>
      <c r="E4389" s="4" t="s">
        <v>78</v>
      </c>
      <c r="F4389" s="4" t="s">
        <v>6765</v>
      </c>
      <c r="G4389" s="4" t="s">
        <v>7074</v>
      </c>
      <c r="H4389" s="4" t="s">
        <v>49</v>
      </c>
      <c r="I4389" s="4" t="s">
        <v>7016</v>
      </c>
      <c r="J4389" s="4" t="s">
        <v>78</v>
      </c>
      <c r="K4389" s="7" t="str">
        <f t="shared" si="686"/>
        <v>View Creative</v>
      </c>
      <c r="L4389" s="4" t="s">
        <v>60</v>
      </c>
      <c r="M4389" s="4" t="s">
        <v>7013</v>
      </c>
      <c r="N4389" s="4" t="s">
        <v>7086</v>
      </c>
      <c r="O4389" s="4" t="s">
        <v>63</v>
      </c>
      <c r="P4389" s="4" t="s">
        <v>64</v>
      </c>
    </row>
    <row r="4390">
      <c r="A4390" s="4" t="s">
        <v>7013</v>
      </c>
      <c r="B4390" s="4" t="s">
        <v>7014</v>
      </c>
      <c r="C4390" s="4">
        <v>339.0</v>
      </c>
      <c r="D4390" s="5" t="str">
        <f t="shared" ref="D4390:D4391" si="687">HYPERLINK("https://www.linkedin.com/ad-library/detail/1150409284","Open Ad")</f>
        <v>Open Ad</v>
      </c>
      <c r="E4390" s="4" t="s">
        <v>78</v>
      </c>
      <c r="F4390" s="4" t="s">
        <v>6765</v>
      </c>
      <c r="G4390" s="4" t="s">
        <v>7078</v>
      </c>
      <c r="H4390" s="4" t="s">
        <v>49</v>
      </c>
      <c r="I4390" s="4" t="s">
        <v>7016</v>
      </c>
      <c r="J4390" s="4" t="s">
        <v>78</v>
      </c>
      <c r="K4390" s="7" t="str">
        <f t="shared" ref="K4390:K4391" si="688">HYPERLINK("https://media.licdn.com/dms/image/v2/D4E10AQGxjTOn07fzcA/image-shrink_1280/B4EZybChtQKIAg-/0/1772127657278/Directory1FindTrustedAISearchExpertspng?e=2147483647&amp;v=beta&amp;t=aR8A0uldYLiXsowkszpzW6mgBZgZU3py0uDUqMekhdo","View Creative")</f>
        <v>View Creative</v>
      </c>
      <c r="L4390" s="4" t="s">
        <v>60</v>
      </c>
      <c r="M4390" s="4" t="s">
        <v>7013</v>
      </c>
      <c r="N4390" s="4" t="s">
        <v>7086</v>
      </c>
      <c r="O4390" s="4" t="s">
        <v>63</v>
      </c>
      <c r="P4390" s="4" t="s">
        <v>64</v>
      </c>
    </row>
    <row r="4391">
      <c r="A4391" s="4" t="s">
        <v>7013</v>
      </c>
      <c r="B4391" s="4" t="s">
        <v>7014</v>
      </c>
      <c r="C4391" s="4">
        <v>340.0</v>
      </c>
      <c r="D4391" s="5" t="str">
        <f t="shared" si="687"/>
        <v>Open Ad</v>
      </c>
      <c r="E4391" s="4" t="s">
        <v>78</v>
      </c>
      <c r="F4391" s="4" t="s">
        <v>6765</v>
      </c>
      <c r="G4391" s="4" t="s">
        <v>7078</v>
      </c>
      <c r="H4391" s="4" t="s">
        <v>49</v>
      </c>
      <c r="I4391" s="4" t="s">
        <v>7016</v>
      </c>
      <c r="J4391" s="4" t="s">
        <v>78</v>
      </c>
      <c r="K4391" s="7" t="str">
        <f t="shared" si="688"/>
        <v>View Creative</v>
      </c>
      <c r="L4391" s="4" t="s">
        <v>60</v>
      </c>
      <c r="M4391" s="4" t="s">
        <v>7013</v>
      </c>
      <c r="N4391" s="4" t="s">
        <v>7086</v>
      </c>
      <c r="O4391" s="4" t="s">
        <v>63</v>
      </c>
      <c r="P4391" s="4" t="s">
        <v>64</v>
      </c>
    </row>
    <row r="4392">
      <c r="A4392" s="4" t="s">
        <v>7013</v>
      </c>
      <c r="B4392" s="4" t="s">
        <v>7014</v>
      </c>
      <c r="C4392" s="4">
        <v>341.0</v>
      </c>
      <c r="D4392" s="5" t="str">
        <f t="shared" ref="D4392:D4393" si="689">HYPERLINK("https://www.linkedin.com/ad-library/detail/1150708294","Open Ad")</f>
        <v>Open Ad</v>
      </c>
      <c r="E4392" s="4" t="s">
        <v>78</v>
      </c>
      <c r="F4392" s="4" t="s">
        <v>6765</v>
      </c>
      <c r="G4392" s="4" t="s">
        <v>7090</v>
      </c>
      <c r="H4392" s="4" t="s">
        <v>49</v>
      </c>
      <c r="I4392" s="4" t="s">
        <v>7016</v>
      </c>
      <c r="J4392" s="4" t="s">
        <v>78</v>
      </c>
      <c r="K4392" s="7" t="str">
        <f t="shared" ref="K4392:K4393" si="690">HYPERLINK("https://media.licdn.com/dms/image/v2/D4E10AQEujPuW92_whg/image-shrink_1280/B4EZybChqwHMAc-/0/1772127657019/Directory2AIVisibilityAgencyDirectorypng?e=2147483647&amp;v=beta&amp;t=Z6MAKWzMej5_jYQRlmJ4y7bDcR6D_e69xbTN9r9L-9o","View Creative")</f>
        <v>View Creative</v>
      </c>
      <c r="L4392" s="4" t="s">
        <v>60</v>
      </c>
      <c r="M4392" s="4" t="s">
        <v>7013</v>
      </c>
      <c r="N4392" s="4" t="s">
        <v>7086</v>
      </c>
      <c r="O4392" s="4" t="s">
        <v>63</v>
      </c>
      <c r="P4392" s="4" t="s">
        <v>64</v>
      </c>
    </row>
    <row r="4393">
      <c r="A4393" s="4" t="s">
        <v>7013</v>
      </c>
      <c r="B4393" s="4" t="s">
        <v>7014</v>
      </c>
      <c r="C4393" s="4">
        <v>342.0</v>
      </c>
      <c r="D4393" s="5" t="str">
        <f t="shared" si="689"/>
        <v>Open Ad</v>
      </c>
      <c r="E4393" s="4" t="s">
        <v>78</v>
      </c>
      <c r="F4393" s="4" t="s">
        <v>6765</v>
      </c>
      <c r="G4393" s="4" t="s">
        <v>7090</v>
      </c>
      <c r="H4393" s="4" t="s">
        <v>49</v>
      </c>
      <c r="I4393" s="4" t="s">
        <v>7016</v>
      </c>
      <c r="J4393" s="4" t="s">
        <v>78</v>
      </c>
      <c r="K4393" s="7" t="str">
        <f t="shared" si="690"/>
        <v>View Creative</v>
      </c>
      <c r="L4393" s="4" t="s">
        <v>60</v>
      </c>
      <c r="M4393" s="4" t="s">
        <v>7013</v>
      </c>
      <c r="N4393" s="4" t="s">
        <v>7086</v>
      </c>
      <c r="O4393" s="4" t="s">
        <v>63</v>
      </c>
      <c r="P4393" s="4" t="s">
        <v>64</v>
      </c>
    </row>
    <row r="4394">
      <c r="A4394" s="4" t="s">
        <v>7013</v>
      </c>
      <c r="B4394" s="4" t="s">
        <v>7014</v>
      </c>
      <c r="C4394" s="4">
        <v>343.0</v>
      </c>
      <c r="D4394" s="5" t="str">
        <f t="shared" ref="D4394:D4395" si="691">HYPERLINK("https://www.linkedin.com/ad-library/detail/1149110714","Open Ad")</f>
        <v>Open Ad</v>
      </c>
      <c r="E4394" s="4" t="s">
        <v>78</v>
      </c>
      <c r="F4394" s="4" t="s">
        <v>6765</v>
      </c>
      <c r="G4394" s="4" t="s">
        <v>7078</v>
      </c>
      <c r="H4394" s="4" t="s">
        <v>49</v>
      </c>
      <c r="I4394" s="4" t="s">
        <v>7016</v>
      </c>
      <c r="J4394" s="4" t="s">
        <v>78</v>
      </c>
      <c r="K4394" s="7" t="str">
        <f t="shared" ref="K4394:K4395" si="692">HYPERLINK("https://media.licdn.com/dms/image/v2/D4E10AQENGNql_Hfi3w/image-shrink_1280/B4EZybChuMHkAc-/0/1772127657303/Directory2GetExpertHelpforAISearchpng?e=2147483647&amp;v=beta&amp;t=N05A1GpFf-MaOO-coxz8xvXUeDa3TTrq2hacW3d7_j4","View Creative")</f>
        <v>View Creative</v>
      </c>
      <c r="L4394" s="4" t="s">
        <v>60</v>
      </c>
      <c r="M4394" s="4" t="s">
        <v>7013</v>
      </c>
      <c r="N4394" s="4" t="s">
        <v>7086</v>
      </c>
      <c r="O4394" s="4" t="s">
        <v>63</v>
      </c>
      <c r="P4394" s="4" t="s">
        <v>64</v>
      </c>
    </row>
    <row r="4395">
      <c r="A4395" s="4" t="s">
        <v>7013</v>
      </c>
      <c r="B4395" s="4" t="s">
        <v>7014</v>
      </c>
      <c r="C4395" s="4">
        <v>344.0</v>
      </c>
      <c r="D4395" s="5" t="str">
        <f t="shared" si="691"/>
        <v>Open Ad</v>
      </c>
      <c r="E4395" s="4" t="s">
        <v>78</v>
      </c>
      <c r="F4395" s="4" t="s">
        <v>6765</v>
      </c>
      <c r="G4395" s="4" t="s">
        <v>7078</v>
      </c>
      <c r="H4395" s="4" t="s">
        <v>49</v>
      </c>
      <c r="I4395" s="4" t="s">
        <v>7016</v>
      </c>
      <c r="J4395" s="4" t="s">
        <v>78</v>
      </c>
      <c r="K4395" s="7" t="str">
        <f t="shared" si="692"/>
        <v>View Creative</v>
      </c>
      <c r="L4395" s="4" t="s">
        <v>60</v>
      </c>
      <c r="M4395" s="4" t="s">
        <v>7013</v>
      </c>
      <c r="N4395" s="4" t="s">
        <v>7086</v>
      </c>
      <c r="O4395" s="4" t="s">
        <v>63</v>
      </c>
      <c r="P4395" s="4" t="s">
        <v>64</v>
      </c>
    </row>
    <row r="4396">
      <c r="A4396" s="4" t="s">
        <v>7013</v>
      </c>
      <c r="B4396" s="4" t="s">
        <v>7014</v>
      </c>
      <c r="C4396" s="4">
        <v>345.0</v>
      </c>
      <c r="D4396" s="5" t="str">
        <f t="shared" ref="D4396:D4397" si="693">HYPERLINK("https://www.linkedin.com/ad-library/detail/1149110604","Open Ad")</f>
        <v>Open Ad</v>
      </c>
      <c r="E4396" s="4" t="s">
        <v>78</v>
      </c>
      <c r="F4396" s="4" t="s">
        <v>6765</v>
      </c>
      <c r="G4396" s="4" t="s">
        <v>7078</v>
      </c>
      <c r="H4396" s="4" t="s">
        <v>49</v>
      </c>
      <c r="I4396" s="4" t="s">
        <v>7016</v>
      </c>
      <c r="J4396" s="4" t="s">
        <v>78</v>
      </c>
      <c r="K4396" s="7" t="str">
        <f t="shared" ref="K4396:K4397" si="694">HYPERLINK("https://media.licdn.com/dms/image/v2/D4E10AQGxjTOn07fzcA/image-shrink_1280/B4EZybChtQKIAg-/0/1772127657278/Directory1FindTrustedAISearchExpertspng?e=2147483647&amp;v=beta&amp;t=aR8A0uldYLiXsowkszpzW6mgBZgZU3py0uDUqMekhdo","View Creative")</f>
        <v>View Creative</v>
      </c>
      <c r="L4396" s="4" t="s">
        <v>60</v>
      </c>
      <c r="M4396" s="4" t="s">
        <v>7013</v>
      </c>
      <c r="N4396" s="4" t="s">
        <v>7086</v>
      </c>
      <c r="O4396" s="4" t="s">
        <v>63</v>
      </c>
      <c r="P4396" s="4" t="s">
        <v>64</v>
      </c>
    </row>
    <row r="4397">
      <c r="A4397" s="4" t="s">
        <v>7013</v>
      </c>
      <c r="B4397" s="4" t="s">
        <v>7014</v>
      </c>
      <c r="C4397" s="4">
        <v>346.0</v>
      </c>
      <c r="D4397" s="5" t="str">
        <f t="shared" si="693"/>
        <v>Open Ad</v>
      </c>
      <c r="E4397" s="4" t="s">
        <v>78</v>
      </c>
      <c r="F4397" s="4" t="s">
        <v>6765</v>
      </c>
      <c r="G4397" s="4" t="s">
        <v>7078</v>
      </c>
      <c r="H4397" s="4" t="s">
        <v>49</v>
      </c>
      <c r="I4397" s="4" t="s">
        <v>7016</v>
      </c>
      <c r="J4397" s="4" t="s">
        <v>78</v>
      </c>
      <c r="K4397" s="7" t="str">
        <f t="shared" si="694"/>
        <v>View Creative</v>
      </c>
      <c r="L4397" s="4" t="s">
        <v>60</v>
      </c>
      <c r="M4397" s="4" t="s">
        <v>7013</v>
      </c>
      <c r="N4397" s="4" t="s">
        <v>7086</v>
      </c>
      <c r="O4397" s="4" t="s">
        <v>63</v>
      </c>
      <c r="P4397" s="4" t="s">
        <v>64</v>
      </c>
    </row>
    <row r="4398">
      <c r="A4398" s="4" t="s">
        <v>7013</v>
      </c>
      <c r="B4398" s="4" t="s">
        <v>7014</v>
      </c>
      <c r="C4398" s="4">
        <v>347.0</v>
      </c>
      <c r="D4398" s="5" t="str">
        <f t="shared" ref="D4398:D4399" si="695">HYPERLINK("https://www.linkedin.com/ad-library/detail/1149110634","Open Ad")</f>
        <v>Open Ad</v>
      </c>
      <c r="E4398" s="4" t="s">
        <v>78</v>
      </c>
      <c r="F4398" s="4" t="s">
        <v>6765</v>
      </c>
      <c r="G4398" s="4" t="s">
        <v>7085</v>
      </c>
      <c r="H4398" s="4" t="s">
        <v>49</v>
      </c>
      <c r="I4398" s="4" t="s">
        <v>7016</v>
      </c>
      <c r="J4398" s="4" t="s">
        <v>78</v>
      </c>
      <c r="K4398" s="7" t="str">
        <f t="shared" ref="K4398:K4399" si="696">HYPERLINK("https://media.licdn.com/dms/image/v2/D4E10AQHWBSAv8yIJ1Q/image-shrink_1280/B4EZybChrqIEAg-/0/1772127657140/Directory1AIVisibilityAgencyDirectorypng?e=2147483647&amp;v=beta&amp;t=GNhKLHJ19CMay96XBo6Nig-ruRSdoSKvl1ZlFYRysUM","View Creative")</f>
        <v>View Creative</v>
      </c>
      <c r="L4398" s="4" t="s">
        <v>60</v>
      </c>
      <c r="M4398" s="4" t="s">
        <v>7013</v>
      </c>
      <c r="N4398" s="4" t="s">
        <v>7086</v>
      </c>
      <c r="O4398" s="4" t="s">
        <v>63</v>
      </c>
      <c r="P4398" s="4" t="s">
        <v>64</v>
      </c>
    </row>
    <row r="4399">
      <c r="A4399" s="4" t="s">
        <v>7013</v>
      </c>
      <c r="B4399" s="4" t="s">
        <v>7014</v>
      </c>
      <c r="C4399" s="4">
        <v>348.0</v>
      </c>
      <c r="D4399" s="5" t="str">
        <f t="shared" si="695"/>
        <v>Open Ad</v>
      </c>
      <c r="E4399" s="4" t="s">
        <v>78</v>
      </c>
      <c r="F4399" s="4" t="s">
        <v>6765</v>
      </c>
      <c r="G4399" s="4" t="s">
        <v>7085</v>
      </c>
      <c r="H4399" s="4" t="s">
        <v>49</v>
      </c>
      <c r="I4399" s="4" t="s">
        <v>7016</v>
      </c>
      <c r="J4399" s="4" t="s">
        <v>78</v>
      </c>
      <c r="K4399" s="7" t="str">
        <f t="shared" si="696"/>
        <v>View Creative</v>
      </c>
      <c r="L4399" s="4" t="s">
        <v>60</v>
      </c>
      <c r="M4399" s="4" t="s">
        <v>7013</v>
      </c>
      <c r="N4399" s="4" t="s">
        <v>7086</v>
      </c>
      <c r="O4399" s="4" t="s">
        <v>63</v>
      </c>
      <c r="P4399" s="4" t="s">
        <v>64</v>
      </c>
    </row>
    <row r="4400">
      <c r="A4400" s="4" t="s">
        <v>7013</v>
      </c>
      <c r="B4400" s="4" t="s">
        <v>7014</v>
      </c>
      <c r="C4400" s="4">
        <v>349.0</v>
      </c>
      <c r="D4400" s="5" t="str">
        <f t="shared" ref="D4400:D4401" si="697">HYPERLINK("https://www.linkedin.com/ad-library/detail/1150708224","Open Ad")</f>
        <v>Open Ad</v>
      </c>
      <c r="E4400" s="4" t="s">
        <v>78</v>
      </c>
      <c r="F4400" s="4" t="s">
        <v>6765</v>
      </c>
      <c r="G4400" s="4" t="s">
        <v>7090</v>
      </c>
      <c r="H4400" s="4" t="s">
        <v>49</v>
      </c>
      <c r="I4400" s="4" t="s">
        <v>7016</v>
      </c>
      <c r="J4400" s="4" t="s">
        <v>78</v>
      </c>
      <c r="K4400" s="7" t="str">
        <f t="shared" ref="K4400:K4401" si="698">HYPERLINK("https://media.licdn.com/dms/image/v2/D4E10AQEujPuW92_whg/image-shrink_1280/B4EZybChqwHMAc-/0/1772127657019/Directory2AIVisibilityAgencyDirectorypng?e=2147483647&amp;v=beta&amp;t=Z6MAKWzMej5_jYQRlmJ4y7bDcR6D_e69xbTN9r9L-9o","View Creative")</f>
        <v>View Creative</v>
      </c>
      <c r="L4400" s="4" t="s">
        <v>60</v>
      </c>
      <c r="M4400" s="4" t="s">
        <v>7013</v>
      </c>
      <c r="N4400" s="4" t="s">
        <v>7086</v>
      </c>
      <c r="O4400" s="4" t="s">
        <v>63</v>
      </c>
      <c r="P4400" s="4" t="s">
        <v>64</v>
      </c>
    </row>
    <row r="4401">
      <c r="A4401" s="4" t="s">
        <v>7013</v>
      </c>
      <c r="B4401" s="4" t="s">
        <v>7014</v>
      </c>
      <c r="C4401" s="4">
        <v>350.0</v>
      </c>
      <c r="D4401" s="5" t="str">
        <f t="shared" si="697"/>
        <v>Open Ad</v>
      </c>
      <c r="E4401" s="4" t="s">
        <v>78</v>
      </c>
      <c r="F4401" s="4" t="s">
        <v>6765</v>
      </c>
      <c r="G4401" s="4" t="s">
        <v>7090</v>
      </c>
      <c r="H4401" s="4" t="s">
        <v>49</v>
      </c>
      <c r="I4401" s="4" t="s">
        <v>7016</v>
      </c>
      <c r="J4401" s="4" t="s">
        <v>78</v>
      </c>
      <c r="K4401" s="7" t="str">
        <f t="shared" si="698"/>
        <v>View Creative</v>
      </c>
      <c r="L4401" s="4" t="s">
        <v>60</v>
      </c>
      <c r="M4401" s="4" t="s">
        <v>7013</v>
      </c>
      <c r="N4401" s="4" t="s">
        <v>7086</v>
      </c>
      <c r="O4401" s="4" t="s">
        <v>63</v>
      </c>
      <c r="P4401" s="4" t="s">
        <v>64</v>
      </c>
    </row>
    <row r="4402">
      <c r="A4402" s="4" t="s">
        <v>7013</v>
      </c>
      <c r="B4402" s="4" t="s">
        <v>7014</v>
      </c>
      <c r="C4402" s="4">
        <v>351.0</v>
      </c>
      <c r="D4402" s="5" t="str">
        <f t="shared" ref="D4402:D4403" si="699">HYPERLINK("https://www.linkedin.com/ad-library/detail/1150409274","Open Ad")</f>
        <v>Open Ad</v>
      </c>
      <c r="E4402" s="4" t="s">
        <v>78</v>
      </c>
      <c r="F4402" s="4" t="s">
        <v>6765</v>
      </c>
      <c r="G4402" s="4" t="s">
        <v>7077</v>
      </c>
      <c r="H4402" s="4" t="s">
        <v>49</v>
      </c>
      <c r="I4402" s="4" t="s">
        <v>7016</v>
      </c>
      <c r="J4402" s="4" t="s">
        <v>78</v>
      </c>
      <c r="K4402" s="7" t="str">
        <f t="shared" ref="K4402:K4403" si="700">HYPERLINK("https://media.licdn.com/dms/image/v2/D4E10AQHXCJsPgcZ4_w/image-shrink_1280/B4EZybCon0JgAg-/0/1772127685657/Directory3GetExpertHelpforAISearchpng?e=2147483647&amp;v=beta&amp;t=HfUSY3XU6uwbZY8wgAX7_lRR7s287cOzcCtZklwj4H0","View Creative")</f>
        <v>View Creative</v>
      </c>
      <c r="L4402" s="4" t="s">
        <v>60</v>
      </c>
      <c r="M4402" s="4" t="s">
        <v>7013</v>
      </c>
      <c r="N4402" s="4" t="s">
        <v>7086</v>
      </c>
      <c r="O4402" s="4" t="s">
        <v>63</v>
      </c>
      <c r="P4402" s="4" t="s">
        <v>64</v>
      </c>
    </row>
    <row r="4403">
      <c r="A4403" s="4" t="s">
        <v>7013</v>
      </c>
      <c r="B4403" s="4" t="s">
        <v>7014</v>
      </c>
      <c r="C4403" s="4">
        <v>352.0</v>
      </c>
      <c r="D4403" s="5" t="str">
        <f t="shared" si="699"/>
        <v>Open Ad</v>
      </c>
      <c r="E4403" s="4" t="s">
        <v>78</v>
      </c>
      <c r="F4403" s="4" t="s">
        <v>6765</v>
      </c>
      <c r="G4403" s="4" t="s">
        <v>7077</v>
      </c>
      <c r="H4403" s="4" t="s">
        <v>49</v>
      </c>
      <c r="I4403" s="4" t="s">
        <v>7016</v>
      </c>
      <c r="J4403" s="4" t="s">
        <v>78</v>
      </c>
      <c r="K4403" s="7" t="str">
        <f t="shared" si="700"/>
        <v>View Creative</v>
      </c>
      <c r="L4403" s="4" t="s">
        <v>60</v>
      </c>
      <c r="M4403" s="4" t="s">
        <v>7013</v>
      </c>
      <c r="N4403" s="4" t="s">
        <v>7086</v>
      </c>
      <c r="O4403" s="4" t="s">
        <v>63</v>
      </c>
      <c r="P4403" s="4" t="s">
        <v>64</v>
      </c>
    </row>
    <row r="4404">
      <c r="A4404" s="4" t="s">
        <v>7013</v>
      </c>
      <c r="B4404" s="4" t="s">
        <v>7014</v>
      </c>
      <c r="C4404" s="4">
        <v>353.0</v>
      </c>
      <c r="D4404" s="5" t="str">
        <f t="shared" ref="D4404:D4405" si="701">HYPERLINK("https://www.linkedin.com/ad-library/detail/1148510554","Open Ad")</f>
        <v>Open Ad</v>
      </c>
      <c r="E4404" s="4" t="s">
        <v>78</v>
      </c>
      <c r="F4404" s="4" t="s">
        <v>6765</v>
      </c>
      <c r="G4404" s="4" t="s">
        <v>7090</v>
      </c>
      <c r="H4404" s="4" t="s">
        <v>49</v>
      </c>
      <c r="I4404" s="4" t="s">
        <v>7016</v>
      </c>
      <c r="J4404" s="4" t="s">
        <v>78</v>
      </c>
      <c r="K4404" s="7" t="str">
        <f t="shared" ref="K4404:K4405" si="702">HYPERLINK("https://media.licdn.com/dms/image/v2/D4E10AQEujPuW92_whg/image-shrink_1280/B4EZybChqwHMAc-/0/1772127657019/Directory2AIVisibilityAgencyDirectorypng?e=2147483647&amp;v=beta&amp;t=Z6MAKWzMej5_jYQRlmJ4y7bDcR6D_e69xbTN9r9L-9o","View Creative")</f>
        <v>View Creative</v>
      </c>
      <c r="L4404" s="4" t="s">
        <v>60</v>
      </c>
      <c r="M4404" s="4" t="s">
        <v>7013</v>
      </c>
      <c r="N4404" s="4" t="s">
        <v>7086</v>
      </c>
      <c r="O4404" s="4" t="s">
        <v>63</v>
      </c>
      <c r="P4404" s="4" t="s">
        <v>64</v>
      </c>
    </row>
    <row r="4405">
      <c r="A4405" s="4" t="s">
        <v>7013</v>
      </c>
      <c r="B4405" s="4" t="s">
        <v>7014</v>
      </c>
      <c r="C4405" s="4">
        <v>354.0</v>
      </c>
      <c r="D4405" s="5" t="str">
        <f t="shared" si="701"/>
        <v>Open Ad</v>
      </c>
      <c r="E4405" s="4" t="s">
        <v>78</v>
      </c>
      <c r="F4405" s="4" t="s">
        <v>6765</v>
      </c>
      <c r="G4405" s="4" t="s">
        <v>7090</v>
      </c>
      <c r="H4405" s="4" t="s">
        <v>49</v>
      </c>
      <c r="I4405" s="4" t="s">
        <v>7016</v>
      </c>
      <c r="J4405" s="4" t="s">
        <v>78</v>
      </c>
      <c r="K4405" s="7" t="str">
        <f t="shared" si="702"/>
        <v>View Creative</v>
      </c>
      <c r="L4405" s="4" t="s">
        <v>60</v>
      </c>
      <c r="M4405" s="4" t="s">
        <v>7013</v>
      </c>
      <c r="N4405" s="4" t="s">
        <v>7086</v>
      </c>
      <c r="O4405" s="4" t="s">
        <v>63</v>
      </c>
      <c r="P4405" s="4" t="s">
        <v>64</v>
      </c>
    </row>
    <row r="4406">
      <c r="A4406" s="4" t="s">
        <v>7013</v>
      </c>
      <c r="B4406" s="4" t="s">
        <v>7014</v>
      </c>
      <c r="C4406" s="4">
        <v>355.0</v>
      </c>
      <c r="D4406" s="5" t="str">
        <f t="shared" ref="D4406:D4407" si="703">HYPERLINK("https://www.linkedin.com/ad-library/detail/1148510474","Open Ad")</f>
        <v>Open Ad</v>
      </c>
      <c r="E4406" s="4" t="s">
        <v>78</v>
      </c>
      <c r="F4406" s="4" t="s">
        <v>6765</v>
      </c>
      <c r="G4406" s="4" t="s">
        <v>7078</v>
      </c>
      <c r="H4406" s="4" t="s">
        <v>49</v>
      </c>
      <c r="I4406" s="4" t="s">
        <v>7016</v>
      </c>
      <c r="J4406" s="4" t="s">
        <v>78</v>
      </c>
      <c r="K4406" s="7" t="str">
        <f t="shared" ref="K4406:K4407" si="704">HYPERLINK("https://media.licdn.com/dms/image/v2/D4E10AQGxjTOn07fzcA/image-shrink_1280/B4EZybChtQKIAg-/0/1772127657278/Directory1FindTrustedAISearchExpertspng?e=2147483647&amp;v=beta&amp;t=aR8A0uldYLiXsowkszpzW6mgBZgZU3py0uDUqMekhdo","View Creative")</f>
        <v>View Creative</v>
      </c>
      <c r="L4406" s="4" t="s">
        <v>60</v>
      </c>
      <c r="M4406" s="4" t="s">
        <v>7013</v>
      </c>
      <c r="N4406" s="4" t="s">
        <v>7086</v>
      </c>
      <c r="O4406" s="4" t="s">
        <v>63</v>
      </c>
      <c r="P4406" s="4" t="s">
        <v>64</v>
      </c>
    </row>
    <row r="4407">
      <c r="A4407" s="4" t="s">
        <v>7013</v>
      </c>
      <c r="B4407" s="4" t="s">
        <v>7014</v>
      </c>
      <c r="C4407" s="4">
        <v>356.0</v>
      </c>
      <c r="D4407" s="5" t="str">
        <f t="shared" si="703"/>
        <v>Open Ad</v>
      </c>
      <c r="E4407" s="4" t="s">
        <v>78</v>
      </c>
      <c r="F4407" s="4" t="s">
        <v>6765</v>
      </c>
      <c r="G4407" s="4" t="s">
        <v>7078</v>
      </c>
      <c r="H4407" s="4" t="s">
        <v>49</v>
      </c>
      <c r="I4407" s="4" t="s">
        <v>7016</v>
      </c>
      <c r="J4407" s="4" t="s">
        <v>78</v>
      </c>
      <c r="K4407" s="7" t="str">
        <f t="shared" si="704"/>
        <v>View Creative</v>
      </c>
      <c r="L4407" s="4" t="s">
        <v>60</v>
      </c>
      <c r="M4407" s="4" t="s">
        <v>7013</v>
      </c>
      <c r="N4407" s="4" t="s">
        <v>7086</v>
      </c>
      <c r="O4407" s="4" t="s">
        <v>63</v>
      </c>
      <c r="P4407" s="4" t="s">
        <v>64</v>
      </c>
    </row>
    <row r="4408">
      <c r="A4408" s="4" t="s">
        <v>7013</v>
      </c>
      <c r="B4408" s="4" t="s">
        <v>7014</v>
      </c>
      <c r="C4408" s="4">
        <v>357.0</v>
      </c>
      <c r="D4408" s="5" t="str">
        <f t="shared" ref="D4408:D4409" si="705">HYPERLINK("https://www.linkedin.com/ad-library/detail/1150708304","Open Ad")</f>
        <v>Open Ad</v>
      </c>
      <c r="E4408" s="4" t="s">
        <v>78</v>
      </c>
      <c r="F4408" s="4" t="s">
        <v>6765</v>
      </c>
      <c r="G4408" s="4" t="s">
        <v>7089</v>
      </c>
      <c r="H4408" s="4" t="s">
        <v>49</v>
      </c>
      <c r="I4408" s="4" t="s">
        <v>7016</v>
      </c>
      <c r="J4408" s="4" t="s">
        <v>78</v>
      </c>
      <c r="K4408" s="7" t="str">
        <f t="shared" ref="K4408:K4409" si="706">HYPERLINK("https://media.licdn.com/dms/image/v2/D4E10AQHRCGOPh43vUQ/image-shrink_1280/B4EZybCoqaGsAc-/0/1772127686008/Directory3FindTrustedAISearchExpertspng?e=2147483647&amp;v=beta&amp;t=deb9Vu57y6uAoG3vF1CvnEoPwvQwnu2_BtLte3bXNSg","View Creative")</f>
        <v>View Creative</v>
      </c>
      <c r="L4408" s="4" t="s">
        <v>60</v>
      </c>
      <c r="M4408" s="4" t="s">
        <v>7013</v>
      </c>
      <c r="N4408" s="4" t="s">
        <v>7086</v>
      </c>
      <c r="O4408" s="4" t="s">
        <v>63</v>
      </c>
      <c r="P4408" s="4" t="s">
        <v>64</v>
      </c>
    </row>
    <row r="4409">
      <c r="A4409" s="4" t="s">
        <v>7013</v>
      </c>
      <c r="B4409" s="4" t="s">
        <v>7014</v>
      </c>
      <c r="C4409" s="4">
        <v>358.0</v>
      </c>
      <c r="D4409" s="5" t="str">
        <f t="shared" si="705"/>
        <v>Open Ad</v>
      </c>
      <c r="E4409" s="4" t="s">
        <v>78</v>
      </c>
      <c r="F4409" s="4" t="s">
        <v>6765</v>
      </c>
      <c r="G4409" s="4" t="s">
        <v>7089</v>
      </c>
      <c r="H4409" s="4" t="s">
        <v>49</v>
      </c>
      <c r="I4409" s="4" t="s">
        <v>7016</v>
      </c>
      <c r="J4409" s="4" t="s">
        <v>78</v>
      </c>
      <c r="K4409" s="7" t="str">
        <f t="shared" si="706"/>
        <v>View Creative</v>
      </c>
      <c r="L4409" s="4" t="s">
        <v>60</v>
      </c>
      <c r="M4409" s="4" t="s">
        <v>7013</v>
      </c>
      <c r="N4409" s="4" t="s">
        <v>7086</v>
      </c>
      <c r="O4409" s="4" t="s">
        <v>63</v>
      </c>
      <c r="P4409" s="4" t="s">
        <v>64</v>
      </c>
    </row>
    <row r="4410">
      <c r="A4410" s="4" t="s">
        <v>7013</v>
      </c>
      <c r="B4410" s="4" t="s">
        <v>7014</v>
      </c>
      <c r="C4410" s="4">
        <v>359.0</v>
      </c>
      <c r="D4410" s="5" t="str">
        <f t="shared" ref="D4410:D4411" si="707">HYPERLINK("https://www.linkedin.com/ad-library/detail/1148510354","Open Ad")</f>
        <v>Open Ad</v>
      </c>
      <c r="E4410" s="4" t="s">
        <v>78</v>
      </c>
      <c r="F4410" s="4" t="s">
        <v>6765</v>
      </c>
      <c r="G4410" s="4" t="s">
        <v>7074</v>
      </c>
      <c r="H4410" s="4" t="s">
        <v>49</v>
      </c>
      <c r="I4410" s="4" t="s">
        <v>7016</v>
      </c>
      <c r="J4410" s="4" t="s">
        <v>78</v>
      </c>
      <c r="K4410" s="7" t="str">
        <f t="shared" ref="K4410:K4411" si="708">HYPERLINK("https://media.licdn.com/dms/image/v2/D4E10AQGtKok9G8Co_w/image-shrink_1280/B4EZybCoR6GYAc-/0/1772127684186/Directory1GetExpertHelpforAISearchpng?e=2147483647&amp;v=beta&amp;t=yrXbbpw2S9-81UaSPTZiQy5YHeY24f0r4iwEMY9FO9E","View Creative")</f>
        <v>View Creative</v>
      </c>
      <c r="L4410" s="4" t="s">
        <v>60</v>
      </c>
      <c r="M4410" s="4" t="s">
        <v>7013</v>
      </c>
      <c r="N4410" s="4" t="s">
        <v>7086</v>
      </c>
      <c r="O4410" s="4" t="s">
        <v>63</v>
      </c>
      <c r="P4410" s="4" t="s">
        <v>64</v>
      </c>
    </row>
    <row r="4411">
      <c r="A4411" s="4" t="s">
        <v>7013</v>
      </c>
      <c r="B4411" s="4" t="s">
        <v>7014</v>
      </c>
      <c r="C4411" s="4">
        <v>360.0</v>
      </c>
      <c r="D4411" s="5" t="str">
        <f t="shared" si="707"/>
        <v>Open Ad</v>
      </c>
      <c r="E4411" s="4" t="s">
        <v>78</v>
      </c>
      <c r="F4411" s="4" t="s">
        <v>6765</v>
      </c>
      <c r="G4411" s="4" t="s">
        <v>7074</v>
      </c>
      <c r="H4411" s="4" t="s">
        <v>49</v>
      </c>
      <c r="I4411" s="4" t="s">
        <v>7016</v>
      </c>
      <c r="J4411" s="4" t="s">
        <v>78</v>
      </c>
      <c r="K4411" s="7" t="str">
        <f t="shared" si="708"/>
        <v>View Creative</v>
      </c>
      <c r="L4411" s="4" t="s">
        <v>60</v>
      </c>
      <c r="M4411" s="4" t="s">
        <v>7013</v>
      </c>
      <c r="N4411" s="4" t="s">
        <v>7086</v>
      </c>
      <c r="O4411" s="4" t="s">
        <v>63</v>
      </c>
      <c r="P4411" s="4" t="s">
        <v>64</v>
      </c>
    </row>
    <row r="4412">
      <c r="A4412" s="4" t="s">
        <v>7013</v>
      </c>
      <c r="B4412" s="4" t="s">
        <v>7014</v>
      </c>
      <c r="C4412" s="4">
        <v>361.0</v>
      </c>
      <c r="D4412" s="5" t="str">
        <f t="shared" ref="D4412:D4413" si="709">HYPERLINK("https://www.linkedin.com/ad-library/detail/1149010484","Open Ad")</f>
        <v>Open Ad</v>
      </c>
      <c r="E4412" s="4" t="s">
        <v>78</v>
      </c>
      <c r="F4412" s="4" t="s">
        <v>6765</v>
      </c>
      <c r="G4412" s="4" t="s">
        <v>7085</v>
      </c>
      <c r="H4412" s="4" t="s">
        <v>49</v>
      </c>
      <c r="I4412" s="4" t="s">
        <v>7016</v>
      </c>
      <c r="J4412" s="4" t="s">
        <v>78</v>
      </c>
      <c r="K4412" s="7" t="str">
        <f t="shared" ref="K4412:K4413" si="710">HYPERLINK("https://media.licdn.com/dms/image/v2/D4E10AQHWBSAv8yIJ1Q/image-shrink_1280/B4EZybChrqIEAg-/0/1772127657140/Directory1AIVisibilityAgencyDirectorypng?e=2147483647&amp;v=beta&amp;t=GNhKLHJ19CMay96XBo6Nig-ruRSdoSKvl1ZlFYRysUM","View Creative")</f>
        <v>View Creative</v>
      </c>
      <c r="L4412" s="4" t="s">
        <v>60</v>
      </c>
      <c r="M4412" s="4" t="s">
        <v>7013</v>
      </c>
      <c r="N4412" s="4" t="s">
        <v>7086</v>
      </c>
      <c r="O4412" s="4" t="s">
        <v>63</v>
      </c>
      <c r="P4412" s="4" t="s">
        <v>64</v>
      </c>
    </row>
    <row r="4413">
      <c r="A4413" s="4" t="s">
        <v>7013</v>
      </c>
      <c r="B4413" s="4" t="s">
        <v>7014</v>
      </c>
      <c r="C4413" s="4">
        <v>362.0</v>
      </c>
      <c r="D4413" s="5" t="str">
        <f t="shared" si="709"/>
        <v>Open Ad</v>
      </c>
      <c r="E4413" s="4" t="s">
        <v>78</v>
      </c>
      <c r="F4413" s="4" t="s">
        <v>6765</v>
      </c>
      <c r="G4413" s="4" t="s">
        <v>7085</v>
      </c>
      <c r="H4413" s="4" t="s">
        <v>49</v>
      </c>
      <c r="I4413" s="4" t="s">
        <v>7016</v>
      </c>
      <c r="J4413" s="4" t="s">
        <v>78</v>
      </c>
      <c r="K4413" s="7" t="str">
        <f t="shared" si="710"/>
        <v>View Creative</v>
      </c>
      <c r="L4413" s="4" t="s">
        <v>60</v>
      </c>
      <c r="M4413" s="4" t="s">
        <v>7013</v>
      </c>
      <c r="N4413" s="4" t="s">
        <v>7086</v>
      </c>
      <c r="O4413" s="4" t="s">
        <v>63</v>
      </c>
      <c r="P4413" s="4" t="s">
        <v>64</v>
      </c>
    </row>
    <row r="4414">
      <c r="A4414" s="4" t="s">
        <v>7013</v>
      </c>
      <c r="B4414" s="4" t="s">
        <v>7014</v>
      </c>
      <c r="C4414" s="4">
        <v>363.0</v>
      </c>
      <c r="D4414" s="5" t="str">
        <f t="shared" ref="D4414:D4415" si="711">HYPERLINK("https://www.linkedin.com/ad-library/detail/1148609334","Open Ad")</f>
        <v>Open Ad</v>
      </c>
      <c r="E4414" s="4" t="s">
        <v>78</v>
      </c>
      <c r="F4414" s="4" t="s">
        <v>6765</v>
      </c>
      <c r="G4414" s="4" t="s">
        <v>7080</v>
      </c>
      <c r="H4414" s="4" t="s">
        <v>49</v>
      </c>
      <c r="I4414" s="4" t="s">
        <v>7016</v>
      </c>
      <c r="J4414" s="4" t="s">
        <v>78</v>
      </c>
      <c r="K4414" s="7" t="str">
        <f t="shared" ref="K4414:K4415" si="712">HYPERLINK("https://media.licdn.com/dms/image/v2/D4E10AQFh3wRxQvxaHQ/image-shrink_1280/B4EZybCootIEAc-/0/1772127685632/Directory3AIVisibilityAgencyDirectorypng?e=2147483647&amp;v=beta&amp;t=M1uiPNOy86K4MsoZ3jwd4aJvyNEBdZcCGNZCw8tfIyo","View Creative")</f>
        <v>View Creative</v>
      </c>
      <c r="L4414" s="4" t="s">
        <v>60</v>
      </c>
      <c r="M4414" s="4" t="s">
        <v>7013</v>
      </c>
      <c r="N4414" s="4" t="s">
        <v>7086</v>
      </c>
      <c r="O4414" s="4" t="s">
        <v>63</v>
      </c>
      <c r="P4414" s="4" t="s">
        <v>64</v>
      </c>
    </row>
    <row r="4415">
      <c r="A4415" s="4" t="s">
        <v>7013</v>
      </c>
      <c r="B4415" s="4" t="s">
        <v>7014</v>
      </c>
      <c r="C4415" s="4">
        <v>364.0</v>
      </c>
      <c r="D4415" s="5" t="str">
        <f t="shared" si="711"/>
        <v>Open Ad</v>
      </c>
      <c r="E4415" s="4" t="s">
        <v>78</v>
      </c>
      <c r="F4415" s="4" t="s">
        <v>6765</v>
      </c>
      <c r="G4415" s="4" t="s">
        <v>7080</v>
      </c>
      <c r="H4415" s="4" t="s">
        <v>49</v>
      </c>
      <c r="I4415" s="4" t="s">
        <v>7016</v>
      </c>
      <c r="J4415" s="4" t="s">
        <v>78</v>
      </c>
      <c r="K4415" s="7" t="str">
        <f t="shared" si="712"/>
        <v>View Creative</v>
      </c>
      <c r="L4415" s="4" t="s">
        <v>60</v>
      </c>
      <c r="M4415" s="4" t="s">
        <v>7013</v>
      </c>
      <c r="N4415" s="4" t="s">
        <v>7086</v>
      </c>
      <c r="O4415" s="4" t="s">
        <v>63</v>
      </c>
      <c r="P4415" s="4" t="s">
        <v>64</v>
      </c>
    </row>
    <row r="4416">
      <c r="A4416" s="4" t="s">
        <v>7013</v>
      </c>
      <c r="B4416" s="4" t="s">
        <v>7014</v>
      </c>
      <c r="C4416" s="4">
        <v>365.0</v>
      </c>
      <c r="D4416" s="5" t="str">
        <f t="shared" ref="D4416:D4417" si="713">HYPERLINK("https://www.linkedin.com/ad-library/detail/1149010474","Open Ad")</f>
        <v>Open Ad</v>
      </c>
      <c r="E4416" s="4" t="s">
        <v>78</v>
      </c>
      <c r="F4416" s="4" t="s">
        <v>6765</v>
      </c>
      <c r="G4416" s="4" t="s">
        <v>7077</v>
      </c>
      <c r="H4416" s="4" t="s">
        <v>49</v>
      </c>
      <c r="I4416" s="4" t="s">
        <v>7016</v>
      </c>
      <c r="J4416" s="4" t="s">
        <v>78</v>
      </c>
      <c r="K4416" s="7" t="str">
        <f t="shared" ref="K4416:K4417" si="714">HYPERLINK("https://media.licdn.com/dms/image/v2/D4E10AQHXCJsPgcZ4_w/image-shrink_1280/B4EZybCon0JgAg-/0/1772127685657/Directory3GetExpertHelpforAISearchpng?e=2147483647&amp;v=beta&amp;t=HfUSY3XU6uwbZY8wgAX7_lRR7s287cOzcCtZklwj4H0","View Creative")</f>
        <v>View Creative</v>
      </c>
      <c r="L4416" s="4" t="s">
        <v>60</v>
      </c>
      <c r="M4416" s="4" t="s">
        <v>7013</v>
      </c>
      <c r="N4416" s="4" t="s">
        <v>7086</v>
      </c>
      <c r="O4416" s="4" t="s">
        <v>63</v>
      </c>
      <c r="P4416" s="4" t="s">
        <v>64</v>
      </c>
    </row>
    <row r="4417">
      <c r="A4417" s="4" t="s">
        <v>7013</v>
      </c>
      <c r="B4417" s="4" t="s">
        <v>7014</v>
      </c>
      <c r="C4417" s="4">
        <v>366.0</v>
      </c>
      <c r="D4417" s="5" t="str">
        <f t="shared" si="713"/>
        <v>Open Ad</v>
      </c>
      <c r="E4417" s="4" t="s">
        <v>78</v>
      </c>
      <c r="F4417" s="4" t="s">
        <v>6765</v>
      </c>
      <c r="G4417" s="4" t="s">
        <v>7077</v>
      </c>
      <c r="H4417" s="4" t="s">
        <v>49</v>
      </c>
      <c r="I4417" s="4" t="s">
        <v>7016</v>
      </c>
      <c r="J4417" s="4" t="s">
        <v>78</v>
      </c>
      <c r="K4417" s="7" t="str">
        <f t="shared" si="714"/>
        <v>View Creative</v>
      </c>
      <c r="L4417" s="4" t="s">
        <v>60</v>
      </c>
      <c r="M4417" s="4" t="s">
        <v>7013</v>
      </c>
      <c r="N4417" s="4" t="s">
        <v>7086</v>
      </c>
      <c r="O4417" s="4" t="s">
        <v>63</v>
      </c>
      <c r="P4417" s="4" t="s">
        <v>64</v>
      </c>
    </row>
    <row r="4418">
      <c r="A4418" s="4" t="s">
        <v>7013</v>
      </c>
      <c r="B4418" s="4" t="s">
        <v>7014</v>
      </c>
      <c r="C4418" s="4">
        <v>367.0</v>
      </c>
      <c r="D4418" s="5" t="str">
        <f t="shared" ref="D4418:D4419" si="715">HYPERLINK("https://www.linkedin.com/ad-library/detail/1148909114","Open Ad")</f>
        <v>Open Ad</v>
      </c>
      <c r="E4418" s="4" t="s">
        <v>78</v>
      </c>
      <c r="F4418" s="4" t="s">
        <v>6765</v>
      </c>
      <c r="G4418" s="4" t="s">
        <v>7085</v>
      </c>
      <c r="H4418" s="4" t="s">
        <v>49</v>
      </c>
      <c r="I4418" s="4" t="s">
        <v>7016</v>
      </c>
      <c r="J4418" s="4" t="s">
        <v>78</v>
      </c>
      <c r="K4418" s="7" t="str">
        <f t="shared" ref="K4418:K4419" si="716">HYPERLINK("https://media.licdn.com/dms/image/v2/D4E10AQHWBSAv8yIJ1Q/image-shrink_1280/B4EZybChrqIEAg-/0/1772127657140/Directory1AIVisibilityAgencyDirectorypng?e=2147483647&amp;v=beta&amp;t=GNhKLHJ19CMay96XBo6Nig-ruRSdoSKvl1ZlFYRysUM","View Creative")</f>
        <v>View Creative</v>
      </c>
      <c r="L4418" s="4" t="s">
        <v>60</v>
      </c>
      <c r="M4418" s="4" t="s">
        <v>7013</v>
      </c>
      <c r="N4418" s="4" t="s">
        <v>7086</v>
      </c>
      <c r="O4418" s="4" t="s">
        <v>63</v>
      </c>
      <c r="P4418" s="4" t="s">
        <v>64</v>
      </c>
    </row>
    <row r="4419">
      <c r="A4419" s="4" t="s">
        <v>7013</v>
      </c>
      <c r="B4419" s="4" t="s">
        <v>7014</v>
      </c>
      <c r="C4419" s="4">
        <v>368.0</v>
      </c>
      <c r="D4419" s="5" t="str">
        <f t="shared" si="715"/>
        <v>Open Ad</v>
      </c>
      <c r="E4419" s="4" t="s">
        <v>78</v>
      </c>
      <c r="F4419" s="4" t="s">
        <v>6765</v>
      </c>
      <c r="G4419" s="4" t="s">
        <v>7085</v>
      </c>
      <c r="H4419" s="4" t="s">
        <v>49</v>
      </c>
      <c r="I4419" s="4" t="s">
        <v>7016</v>
      </c>
      <c r="J4419" s="4" t="s">
        <v>78</v>
      </c>
      <c r="K4419" s="7" t="str">
        <f t="shared" si="716"/>
        <v>View Creative</v>
      </c>
      <c r="L4419" s="4" t="s">
        <v>60</v>
      </c>
      <c r="M4419" s="4" t="s">
        <v>7013</v>
      </c>
      <c r="N4419" s="4" t="s">
        <v>7086</v>
      </c>
      <c r="O4419" s="4" t="s">
        <v>63</v>
      </c>
      <c r="P4419" s="4" t="s">
        <v>64</v>
      </c>
    </row>
    <row r="4420">
      <c r="A4420" s="4" t="s">
        <v>7013</v>
      </c>
      <c r="B4420" s="4" t="s">
        <v>7014</v>
      </c>
      <c r="C4420" s="4">
        <v>369.0</v>
      </c>
      <c r="D4420" s="5" t="str">
        <f t="shared" ref="D4420:D4421" si="717">HYPERLINK("https://www.linkedin.com/ad-library/detail/1148609464","Open Ad")</f>
        <v>Open Ad</v>
      </c>
      <c r="E4420" s="4" t="s">
        <v>78</v>
      </c>
      <c r="F4420" s="4" t="s">
        <v>6765</v>
      </c>
      <c r="G4420" s="4" t="s">
        <v>7080</v>
      </c>
      <c r="H4420" s="4" t="s">
        <v>49</v>
      </c>
      <c r="I4420" s="4" t="s">
        <v>7016</v>
      </c>
      <c r="J4420" s="4" t="s">
        <v>78</v>
      </c>
      <c r="K4420" s="7" t="str">
        <f t="shared" ref="K4420:K4421" si="718">HYPERLINK("https://media.licdn.com/dms/image/v2/D4E10AQFh3wRxQvxaHQ/image-shrink_1280/B4EZybCootIEAc-/0/1772127685632/Directory3AIVisibilityAgencyDirectorypng?e=2147483647&amp;v=beta&amp;t=M1uiPNOy86K4MsoZ3jwd4aJvyNEBdZcCGNZCw8tfIyo","View Creative")</f>
        <v>View Creative</v>
      </c>
      <c r="L4420" s="4" t="s">
        <v>60</v>
      </c>
      <c r="M4420" s="4" t="s">
        <v>7013</v>
      </c>
      <c r="N4420" s="4" t="s">
        <v>7086</v>
      </c>
      <c r="O4420" s="4" t="s">
        <v>63</v>
      </c>
      <c r="P4420" s="4" t="s">
        <v>64</v>
      </c>
    </row>
    <row r="4421">
      <c r="A4421" s="4" t="s">
        <v>7013</v>
      </c>
      <c r="B4421" s="4" t="s">
        <v>7014</v>
      </c>
      <c r="C4421" s="4">
        <v>370.0</v>
      </c>
      <c r="D4421" s="5" t="str">
        <f t="shared" si="717"/>
        <v>Open Ad</v>
      </c>
      <c r="E4421" s="4" t="s">
        <v>78</v>
      </c>
      <c r="F4421" s="4" t="s">
        <v>6765</v>
      </c>
      <c r="G4421" s="4" t="s">
        <v>7080</v>
      </c>
      <c r="H4421" s="4" t="s">
        <v>49</v>
      </c>
      <c r="I4421" s="4" t="s">
        <v>7016</v>
      </c>
      <c r="J4421" s="4" t="s">
        <v>78</v>
      </c>
      <c r="K4421" s="7" t="str">
        <f t="shared" si="718"/>
        <v>View Creative</v>
      </c>
      <c r="L4421" s="4" t="s">
        <v>60</v>
      </c>
      <c r="M4421" s="4" t="s">
        <v>7013</v>
      </c>
      <c r="N4421" s="4" t="s">
        <v>7086</v>
      </c>
      <c r="O4421" s="4" t="s">
        <v>63</v>
      </c>
      <c r="P4421" s="4" t="s">
        <v>64</v>
      </c>
    </row>
    <row r="4422">
      <c r="A4422" s="4" t="s">
        <v>7013</v>
      </c>
      <c r="B4422" s="4" t="s">
        <v>7014</v>
      </c>
      <c r="C4422" s="4">
        <v>371.0</v>
      </c>
      <c r="D4422" s="5" t="str">
        <f t="shared" ref="D4422:D4423" si="719">HYPERLINK("https://www.linkedin.com/ad-library/detail/1149010304","Open Ad")</f>
        <v>Open Ad</v>
      </c>
      <c r="E4422" s="4" t="s">
        <v>78</v>
      </c>
      <c r="F4422" s="4" t="s">
        <v>6765</v>
      </c>
      <c r="G4422" s="4" t="s">
        <v>7078</v>
      </c>
      <c r="H4422" s="4" t="s">
        <v>49</v>
      </c>
      <c r="I4422" s="4" t="s">
        <v>7016</v>
      </c>
      <c r="J4422" s="4" t="s">
        <v>78</v>
      </c>
      <c r="K4422" s="7" t="str">
        <f t="shared" ref="K4422:K4423" si="720">HYPERLINK("https://media.licdn.com/dms/image/v2/D4E10AQENGNql_Hfi3w/image-shrink_1280/B4EZybChuMHkAc-/0/1772127657303/Directory2GetExpertHelpforAISearchpng?e=2147483647&amp;v=beta&amp;t=N05A1GpFf-MaOO-coxz8xvXUeDa3TTrq2hacW3d7_j4","View Creative")</f>
        <v>View Creative</v>
      </c>
      <c r="L4422" s="4" t="s">
        <v>60</v>
      </c>
      <c r="M4422" s="4" t="s">
        <v>7013</v>
      </c>
      <c r="N4422" s="4" t="s">
        <v>7086</v>
      </c>
      <c r="O4422" s="4" t="s">
        <v>63</v>
      </c>
      <c r="P4422" s="4" t="s">
        <v>64</v>
      </c>
    </row>
    <row r="4423">
      <c r="A4423" s="4" t="s">
        <v>7013</v>
      </c>
      <c r="B4423" s="4" t="s">
        <v>7014</v>
      </c>
      <c r="C4423" s="4">
        <v>372.0</v>
      </c>
      <c r="D4423" s="5" t="str">
        <f t="shared" si="719"/>
        <v>Open Ad</v>
      </c>
      <c r="E4423" s="4" t="s">
        <v>78</v>
      </c>
      <c r="F4423" s="4" t="s">
        <v>6765</v>
      </c>
      <c r="G4423" s="4" t="s">
        <v>7078</v>
      </c>
      <c r="H4423" s="4" t="s">
        <v>49</v>
      </c>
      <c r="I4423" s="4" t="s">
        <v>7016</v>
      </c>
      <c r="J4423" s="4" t="s">
        <v>78</v>
      </c>
      <c r="K4423" s="7" t="str">
        <f t="shared" si="720"/>
        <v>View Creative</v>
      </c>
      <c r="L4423" s="4" t="s">
        <v>60</v>
      </c>
      <c r="M4423" s="4" t="s">
        <v>7013</v>
      </c>
      <c r="N4423" s="4" t="s">
        <v>7086</v>
      </c>
      <c r="O4423" s="4" t="s">
        <v>63</v>
      </c>
      <c r="P4423" s="4" t="s">
        <v>64</v>
      </c>
    </row>
    <row r="4424">
      <c r="A4424" s="4" t="s">
        <v>7013</v>
      </c>
      <c r="B4424" s="4" t="s">
        <v>7014</v>
      </c>
      <c r="C4424" s="4">
        <v>373.0</v>
      </c>
      <c r="D4424" s="5" t="str">
        <f t="shared" ref="D4424:D4425" si="721">HYPERLINK("https://www.linkedin.com/ad-library/detail/1148809954","Open Ad")</f>
        <v>Open Ad</v>
      </c>
      <c r="E4424" s="4" t="s">
        <v>78</v>
      </c>
      <c r="F4424" s="4" t="s">
        <v>6765</v>
      </c>
      <c r="G4424" s="4" t="s">
        <v>7085</v>
      </c>
      <c r="H4424" s="4" t="s">
        <v>49</v>
      </c>
      <c r="I4424" s="4" t="s">
        <v>7016</v>
      </c>
      <c r="J4424" s="4" t="s">
        <v>78</v>
      </c>
      <c r="K4424" s="7" t="str">
        <f t="shared" ref="K4424:K4425" si="722">HYPERLINK("https://media.licdn.com/dms/image/v2/D4E10AQHWBSAv8yIJ1Q/image-shrink_1280/B4EZybChrqIEAg-/0/1772127657140/Directory1AIVisibilityAgencyDirectorypng?e=2147483647&amp;v=beta&amp;t=GNhKLHJ19CMay96XBo6Nig-ruRSdoSKvl1ZlFYRysUM","View Creative")</f>
        <v>View Creative</v>
      </c>
      <c r="L4424" s="4" t="s">
        <v>60</v>
      </c>
      <c r="M4424" s="4" t="s">
        <v>7013</v>
      </c>
      <c r="N4424" s="4" t="s">
        <v>7086</v>
      </c>
      <c r="O4424" s="4" t="s">
        <v>63</v>
      </c>
      <c r="P4424" s="4" t="s">
        <v>64</v>
      </c>
    </row>
    <row r="4425">
      <c r="A4425" s="4" t="s">
        <v>7013</v>
      </c>
      <c r="B4425" s="4" t="s">
        <v>7014</v>
      </c>
      <c r="C4425" s="4">
        <v>374.0</v>
      </c>
      <c r="D4425" s="5" t="str">
        <f t="shared" si="721"/>
        <v>Open Ad</v>
      </c>
      <c r="E4425" s="4" t="s">
        <v>78</v>
      </c>
      <c r="F4425" s="4" t="s">
        <v>6765</v>
      </c>
      <c r="G4425" s="4" t="s">
        <v>7085</v>
      </c>
      <c r="H4425" s="4" t="s">
        <v>49</v>
      </c>
      <c r="I4425" s="4" t="s">
        <v>7016</v>
      </c>
      <c r="J4425" s="4" t="s">
        <v>78</v>
      </c>
      <c r="K4425" s="7" t="str">
        <f t="shared" si="722"/>
        <v>View Creative</v>
      </c>
      <c r="L4425" s="4" t="s">
        <v>60</v>
      </c>
      <c r="M4425" s="4" t="s">
        <v>7013</v>
      </c>
      <c r="N4425" s="4" t="s">
        <v>7086</v>
      </c>
      <c r="O4425" s="4" t="s">
        <v>63</v>
      </c>
      <c r="P4425" s="4" t="s">
        <v>64</v>
      </c>
    </row>
    <row r="4426">
      <c r="A4426" s="4" t="s">
        <v>7013</v>
      </c>
      <c r="B4426" s="4" t="s">
        <v>7014</v>
      </c>
      <c r="C4426" s="4">
        <v>375.0</v>
      </c>
      <c r="D4426" s="5" t="str">
        <f t="shared" ref="D4426:D4427" si="723">HYPERLINK("https://www.linkedin.com/ad-library/detail/1149609984","Open Ad")</f>
        <v>Open Ad</v>
      </c>
      <c r="E4426" s="4" t="s">
        <v>78</v>
      </c>
      <c r="F4426" s="4" t="s">
        <v>6765</v>
      </c>
      <c r="G4426" s="4" t="s">
        <v>7089</v>
      </c>
      <c r="H4426" s="4" t="s">
        <v>49</v>
      </c>
      <c r="I4426" s="4" t="s">
        <v>7016</v>
      </c>
      <c r="J4426" s="4" t="s">
        <v>78</v>
      </c>
      <c r="K4426" s="7" t="str">
        <f t="shared" ref="K4426:K4429" si="724">HYPERLINK("https://media.licdn.com/dms/image/v2/D4E10AQHRCGOPh43vUQ/image-shrink_1280/B4EZybCoqaGsAc-/0/1772127686008/Directory3FindTrustedAISearchExpertspng?e=2147483647&amp;v=beta&amp;t=deb9Vu57y6uAoG3vF1CvnEoPwvQwnu2_BtLte3bXNSg","View Creative")</f>
        <v>View Creative</v>
      </c>
      <c r="L4426" s="4" t="s">
        <v>60</v>
      </c>
      <c r="M4426" s="4" t="s">
        <v>7013</v>
      </c>
      <c r="N4426" s="4" t="s">
        <v>7086</v>
      </c>
      <c r="O4426" s="4" t="s">
        <v>63</v>
      </c>
      <c r="P4426" s="4" t="s">
        <v>64</v>
      </c>
    </row>
    <row r="4427">
      <c r="A4427" s="4" t="s">
        <v>7013</v>
      </c>
      <c r="B4427" s="4" t="s">
        <v>7014</v>
      </c>
      <c r="C4427" s="4">
        <v>376.0</v>
      </c>
      <c r="D4427" s="5" t="str">
        <f t="shared" si="723"/>
        <v>Open Ad</v>
      </c>
      <c r="E4427" s="4" t="s">
        <v>78</v>
      </c>
      <c r="F4427" s="4" t="s">
        <v>6765</v>
      </c>
      <c r="G4427" s="4" t="s">
        <v>7089</v>
      </c>
      <c r="H4427" s="4" t="s">
        <v>49</v>
      </c>
      <c r="I4427" s="4" t="s">
        <v>7016</v>
      </c>
      <c r="J4427" s="4" t="s">
        <v>78</v>
      </c>
      <c r="K4427" s="7" t="str">
        <f t="shared" si="724"/>
        <v>View Creative</v>
      </c>
      <c r="L4427" s="4" t="s">
        <v>60</v>
      </c>
      <c r="M4427" s="4" t="s">
        <v>7013</v>
      </c>
      <c r="N4427" s="4" t="s">
        <v>7086</v>
      </c>
      <c r="O4427" s="4" t="s">
        <v>63</v>
      </c>
      <c r="P4427" s="4" t="s">
        <v>64</v>
      </c>
    </row>
    <row r="4428">
      <c r="A4428" s="4" t="s">
        <v>7013</v>
      </c>
      <c r="B4428" s="4" t="s">
        <v>7014</v>
      </c>
      <c r="C4428" s="4">
        <v>377.0</v>
      </c>
      <c r="D4428" s="5" t="str">
        <f t="shared" ref="D4428:D4429" si="725">HYPERLINK("https://www.linkedin.com/ad-library/detail/1148909064","Open Ad")</f>
        <v>Open Ad</v>
      </c>
      <c r="E4428" s="4" t="s">
        <v>78</v>
      </c>
      <c r="F4428" s="4" t="s">
        <v>6765</v>
      </c>
      <c r="G4428" s="4" t="s">
        <v>7089</v>
      </c>
      <c r="H4428" s="4" t="s">
        <v>49</v>
      </c>
      <c r="I4428" s="4" t="s">
        <v>7016</v>
      </c>
      <c r="J4428" s="4" t="s">
        <v>78</v>
      </c>
      <c r="K4428" s="7" t="str">
        <f t="shared" si="724"/>
        <v>View Creative</v>
      </c>
      <c r="L4428" s="4" t="s">
        <v>60</v>
      </c>
      <c r="M4428" s="4" t="s">
        <v>7013</v>
      </c>
      <c r="N4428" s="4" t="s">
        <v>7086</v>
      </c>
      <c r="O4428" s="4" t="s">
        <v>63</v>
      </c>
      <c r="P4428" s="4" t="s">
        <v>64</v>
      </c>
    </row>
    <row r="4429">
      <c r="A4429" s="4" t="s">
        <v>7013</v>
      </c>
      <c r="B4429" s="4" t="s">
        <v>7014</v>
      </c>
      <c r="C4429" s="4">
        <v>378.0</v>
      </c>
      <c r="D4429" s="5" t="str">
        <f t="shared" si="725"/>
        <v>Open Ad</v>
      </c>
      <c r="E4429" s="4" t="s">
        <v>78</v>
      </c>
      <c r="F4429" s="4" t="s">
        <v>6765</v>
      </c>
      <c r="G4429" s="4" t="s">
        <v>7089</v>
      </c>
      <c r="H4429" s="4" t="s">
        <v>49</v>
      </c>
      <c r="I4429" s="4" t="s">
        <v>7016</v>
      </c>
      <c r="J4429" s="4" t="s">
        <v>78</v>
      </c>
      <c r="K4429" s="7" t="str">
        <f t="shared" si="724"/>
        <v>View Creative</v>
      </c>
      <c r="L4429" s="4" t="s">
        <v>60</v>
      </c>
      <c r="M4429" s="4" t="s">
        <v>7013</v>
      </c>
      <c r="N4429" s="4" t="s">
        <v>7086</v>
      </c>
      <c r="O4429" s="4" t="s">
        <v>63</v>
      </c>
      <c r="P4429" s="4" t="s">
        <v>64</v>
      </c>
    </row>
    <row r="4430">
      <c r="A4430" s="4" t="s">
        <v>7013</v>
      </c>
      <c r="B4430" s="4" t="s">
        <v>7014</v>
      </c>
      <c r="C4430" s="4">
        <v>379.0</v>
      </c>
      <c r="D4430" s="5" t="str">
        <f t="shared" ref="D4430:D4431" si="726">HYPERLINK("https://www.linkedin.com/ad-library/detail/1150610394","Open Ad")</f>
        <v>Open Ad</v>
      </c>
      <c r="E4430" s="4" t="s">
        <v>78</v>
      </c>
      <c r="F4430" s="4" t="s">
        <v>6765</v>
      </c>
      <c r="G4430" s="4" t="s">
        <v>7077</v>
      </c>
      <c r="H4430" s="4" t="s">
        <v>49</v>
      </c>
      <c r="I4430" s="4" t="s">
        <v>7016</v>
      </c>
      <c r="J4430" s="4" t="s">
        <v>78</v>
      </c>
      <c r="K4430" s="7" t="str">
        <f t="shared" ref="K4430:K4431" si="727">HYPERLINK("https://media.licdn.com/dms/image/v2/D4E10AQHXCJsPgcZ4_w/image-shrink_1280/B4EZybCon0JgAg-/0/1772127685657/Directory3GetExpertHelpforAISearchpng?e=2147483647&amp;v=beta&amp;t=HfUSY3XU6uwbZY8wgAX7_lRR7s287cOzcCtZklwj4H0","View Creative")</f>
        <v>View Creative</v>
      </c>
      <c r="L4430" s="4" t="s">
        <v>60</v>
      </c>
      <c r="M4430" s="4" t="s">
        <v>7013</v>
      </c>
      <c r="N4430" s="4" t="s">
        <v>7086</v>
      </c>
      <c r="O4430" s="4" t="s">
        <v>63</v>
      </c>
      <c r="P4430" s="4" t="s">
        <v>64</v>
      </c>
    </row>
    <row r="4431">
      <c r="A4431" s="4" t="s">
        <v>7013</v>
      </c>
      <c r="B4431" s="4" t="s">
        <v>7014</v>
      </c>
      <c r="C4431" s="4">
        <v>380.0</v>
      </c>
      <c r="D4431" s="5" t="str">
        <f t="shared" si="726"/>
        <v>Open Ad</v>
      </c>
      <c r="E4431" s="4" t="s">
        <v>78</v>
      </c>
      <c r="F4431" s="4" t="s">
        <v>6765</v>
      </c>
      <c r="G4431" s="4" t="s">
        <v>7077</v>
      </c>
      <c r="H4431" s="4" t="s">
        <v>49</v>
      </c>
      <c r="I4431" s="4" t="s">
        <v>7016</v>
      </c>
      <c r="J4431" s="4" t="s">
        <v>78</v>
      </c>
      <c r="K4431" s="7" t="str">
        <f t="shared" si="727"/>
        <v>View Creative</v>
      </c>
      <c r="L4431" s="4" t="s">
        <v>60</v>
      </c>
      <c r="M4431" s="4" t="s">
        <v>7013</v>
      </c>
      <c r="N4431" s="4" t="s">
        <v>7086</v>
      </c>
      <c r="O4431" s="4" t="s">
        <v>63</v>
      </c>
      <c r="P4431" s="4" t="s">
        <v>64</v>
      </c>
    </row>
    <row r="4432">
      <c r="A4432" s="4" t="s">
        <v>7013</v>
      </c>
      <c r="B4432" s="4" t="s">
        <v>7014</v>
      </c>
      <c r="C4432" s="4">
        <v>381.0</v>
      </c>
      <c r="D4432" s="5" t="str">
        <f t="shared" ref="D4432:D4433" si="728">HYPERLINK("https://www.linkedin.com/ad-library/detail/1150009404","Open Ad")</f>
        <v>Open Ad</v>
      </c>
      <c r="E4432" s="4" t="s">
        <v>78</v>
      </c>
      <c r="F4432" s="4" t="s">
        <v>6765</v>
      </c>
      <c r="G4432" s="4" t="s">
        <v>7080</v>
      </c>
      <c r="H4432" s="4" t="s">
        <v>49</v>
      </c>
      <c r="I4432" s="4" t="s">
        <v>7016</v>
      </c>
      <c r="J4432" s="4" t="s">
        <v>78</v>
      </c>
      <c r="K4432" s="7" t="str">
        <f t="shared" ref="K4432:K4433" si="729">HYPERLINK("https://media.licdn.com/dms/image/v2/D4E10AQFh3wRxQvxaHQ/image-shrink_1280/B4EZybCootIEAc-/0/1772127685632/Directory3AIVisibilityAgencyDirectorypng?e=2147483647&amp;v=beta&amp;t=M1uiPNOy86K4MsoZ3jwd4aJvyNEBdZcCGNZCw8tfIyo","View Creative")</f>
        <v>View Creative</v>
      </c>
      <c r="L4432" s="4" t="s">
        <v>60</v>
      </c>
      <c r="M4432" s="4" t="s">
        <v>7013</v>
      </c>
      <c r="N4432" s="4" t="s">
        <v>7086</v>
      </c>
      <c r="O4432" s="4" t="s">
        <v>63</v>
      </c>
      <c r="P4432" s="4" t="s">
        <v>64</v>
      </c>
    </row>
    <row r="4433">
      <c r="A4433" s="4" t="s">
        <v>7013</v>
      </c>
      <c r="B4433" s="4" t="s">
        <v>7014</v>
      </c>
      <c r="C4433" s="4">
        <v>382.0</v>
      </c>
      <c r="D4433" s="5" t="str">
        <f t="shared" si="728"/>
        <v>Open Ad</v>
      </c>
      <c r="E4433" s="4" t="s">
        <v>78</v>
      </c>
      <c r="F4433" s="4" t="s">
        <v>6765</v>
      </c>
      <c r="G4433" s="4" t="s">
        <v>7080</v>
      </c>
      <c r="H4433" s="4" t="s">
        <v>49</v>
      </c>
      <c r="I4433" s="4" t="s">
        <v>7016</v>
      </c>
      <c r="J4433" s="4" t="s">
        <v>78</v>
      </c>
      <c r="K4433" s="7" t="str">
        <f t="shared" si="729"/>
        <v>View Creative</v>
      </c>
      <c r="L4433" s="4" t="s">
        <v>60</v>
      </c>
      <c r="M4433" s="4" t="s">
        <v>7013</v>
      </c>
      <c r="N4433" s="4" t="s">
        <v>7086</v>
      </c>
      <c r="O4433" s="4" t="s">
        <v>63</v>
      </c>
      <c r="P4433" s="4" t="s">
        <v>64</v>
      </c>
    </row>
    <row r="4434">
      <c r="A4434" s="4" t="s">
        <v>7013</v>
      </c>
      <c r="B4434" s="4" t="s">
        <v>7014</v>
      </c>
      <c r="C4434" s="4">
        <v>383.0</v>
      </c>
      <c r="D4434" s="5" t="str">
        <f t="shared" ref="D4434:D4435" si="730">HYPERLINK("https://www.linkedin.com/ad-library/detail/1150809734","Open Ad")</f>
        <v>Open Ad</v>
      </c>
      <c r="E4434" s="4" t="s">
        <v>78</v>
      </c>
      <c r="F4434" s="4" t="s">
        <v>6765</v>
      </c>
      <c r="G4434" s="4" t="s">
        <v>7085</v>
      </c>
      <c r="H4434" s="4" t="s">
        <v>49</v>
      </c>
      <c r="I4434" s="4" t="s">
        <v>7016</v>
      </c>
      <c r="J4434" s="4" t="s">
        <v>78</v>
      </c>
      <c r="K4434" s="7" t="str">
        <f t="shared" ref="K4434:K4435" si="731">HYPERLINK("https://media.licdn.com/dms/image/v2/D4E10AQHWBSAv8yIJ1Q/image-shrink_1280/B4EZybChrqIEAg-/0/1772127657140/Directory1AIVisibilityAgencyDirectorypng?e=2147483647&amp;v=beta&amp;t=GNhKLHJ19CMay96XBo6Nig-ruRSdoSKvl1ZlFYRysUM","View Creative")</f>
        <v>View Creative</v>
      </c>
      <c r="L4434" s="4" t="s">
        <v>60</v>
      </c>
      <c r="M4434" s="4" t="s">
        <v>7013</v>
      </c>
      <c r="N4434" s="4" t="s">
        <v>7086</v>
      </c>
      <c r="O4434" s="4" t="s">
        <v>63</v>
      </c>
      <c r="P4434" s="4" t="s">
        <v>64</v>
      </c>
    </row>
    <row r="4435">
      <c r="A4435" s="4" t="s">
        <v>7013</v>
      </c>
      <c r="B4435" s="4" t="s">
        <v>7014</v>
      </c>
      <c r="C4435" s="4">
        <v>384.0</v>
      </c>
      <c r="D4435" s="5" t="str">
        <f t="shared" si="730"/>
        <v>Open Ad</v>
      </c>
      <c r="E4435" s="4" t="s">
        <v>78</v>
      </c>
      <c r="F4435" s="4" t="s">
        <v>6765</v>
      </c>
      <c r="G4435" s="4" t="s">
        <v>7085</v>
      </c>
      <c r="H4435" s="4" t="s">
        <v>49</v>
      </c>
      <c r="I4435" s="4" t="s">
        <v>7016</v>
      </c>
      <c r="J4435" s="4" t="s">
        <v>78</v>
      </c>
      <c r="K4435" s="7" t="str">
        <f t="shared" si="731"/>
        <v>View Creative</v>
      </c>
      <c r="L4435" s="4" t="s">
        <v>60</v>
      </c>
      <c r="M4435" s="4" t="s">
        <v>7013</v>
      </c>
      <c r="N4435" s="4" t="s">
        <v>7086</v>
      </c>
      <c r="O4435" s="4" t="s">
        <v>63</v>
      </c>
      <c r="P4435" s="4" t="s">
        <v>64</v>
      </c>
    </row>
    <row r="4436">
      <c r="A4436" s="4" t="s">
        <v>7013</v>
      </c>
      <c r="B4436" s="4" t="s">
        <v>7014</v>
      </c>
      <c r="C4436" s="4">
        <v>385.0</v>
      </c>
      <c r="D4436" s="5" t="str">
        <f t="shared" ref="D4436:D4437" si="732">HYPERLINK("https://www.linkedin.com/ad-library/detail/1150009304","Open Ad")</f>
        <v>Open Ad</v>
      </c>
      <c r="E4436" s="4" t="s">
        <v>78</v>
      </c>
      <c r="F4436" s="4" t="s">
        <v>6765</v>
      </c>
      <c r="G4436" s="4" t="s">
        <v>7074</v>
      </c>
      <c r="H4436" s="4" t="s">
        <v>49</v>
      </c>
      <c r="I4436" s="4" t="s">
        <v>7016</v>
      </c>
      <c r="J4436" s="4" t="s">
        <v>78</v>
      </c>
      <c r="K4436" s="7" t="str">
        <f t="shared" ref="K4436:K4437" si="733">HYPERLINK("https://media.licdn.com/dms/image/v2/D4E10AQGtKok9G8Co_w/image-shrink_1280/B4EZybCoR6GYAc-/0/1772127684186/Directory1GetExpertHelpforAISearchpng?e=2147483647&amp;v=beta&amp;t=yrXbbpw2S9-81UaSPTZiQy5YHeY24f0r4iwEMY9FO9E","View Creative")</f>
        <v>View Creative</v>
      </c>
      <c r="L4436" s="4" t="s">
        <v>60</v>
      </c>
      <c r="M4436" s="4" t="s">
        <v>7013</v>
      </c>
      <c r="N4436" s="4" t="s">
        <v>7086</v>
      </c>
      <c r="O4436" s="4" t="s">
        <v>63</v>
      </c>
      <c r="P4436" s="4" t="s">
        <v>64</v>
      </c>
    </row>
    <row r="4437">
      <c r="A4437" s="4" t="s">
        <v>7013</v>
      </c>
      <c r="B4437" s="4" t="s">
        <v>7014</v>
      </c>
      <c r="C4437" s="4">
        <v>386.0</v>
      </c>
      <c r="D4437" s="5" t="str">
        <f t="shared" si="732"/>
        <v>Open Ad</v>
      </c>
      <c r="E4437" s="4" t="s">
        <v>78</v>
      </c>
      <c r="F4437" s="4" t="s">
        <v>6765</v>
      </c>
      <c r="G4437" s="4" t="s">
        <v>7074</v>
      </c>
      <c r="H4437" s="4" t="s">
        <v>49</v>
      </c>
      <c r="I4437" s="4" t="s">
        <v>7016</v>
      </c>
      <c r="J4437" s="4" t="s">
        <v>78</v>
      </c>
      <c r="K4437" s="7" t="str">
        <f t="shared" si="733"/>
        <v>View Creative</v>
      </c>
      <c r="L4437" s="4" t="s">
        <v>60</v>
      </c>
      <c r="M4437" s="4" t="s">
        <v>7013</v>
      </c>
      <c r="N4437" s="4" t="s">
        <v>7086</v>
      </c>
      <c r="O4437" s="4" t="s">
        <v>63</v>
      </c>
      <c r="P4437" s="4" t="s">
        <v>64</v>
      </c>
    </row>
    <row r="4438">
      <c r="A4438" s="4" t="s">
        <v>7013</v>
      </c>
      <c r="B4438" s="4" t="s">
        <v>7014</v>
      </c>
      <c r="C4438" s="4">
        <v>387.0</v>
      </c>
      <c r="D4438" s="5" t="str">
        <f t="shared" ref="D4438:D4439" si="734">HYPERLINK("https://www.linkedin.com/ad-library/detail/1150309624","Open Ad")</f>
        <v>Open Ad</v>
      </c>
      <c r="E4438" s="4" t="s">
        <v>78</v>
      </c>
      <c r="F4438" s="4" t="s">
        <v>6765</v>
      </c>
      <c r="G4438" s="4" t="s">
        <v>7085</v>
      </c>
      <c r="H4438" s="4" t="s">
        <v>49</v>
      </c>
      <c r="I4438" s="4" t="s">
        <v>7016</v>
      </c>
      <c r="J4438" s="4" t="s">
        <v>78</v>
      </c>
      <c r="K4438" s="7" t="str">
        <f t="shared" ref="K4438:K4443" si="735">HYPERLINK("https://media.licdn.com/dms/image/v2/D4E10AQHWBSAv8yIJ1Q/image-shrink_1280/B4EZybChrqIEAg-/0/1772127657140/Directory1AIVisibilityAgencyDirectorypng?e=2147483647&amp;v=beta&amp;t=GNhKLHJ19CMay96XBo6Nig-ruRSdoSKvl1ZlFYRysUM","View Creative")</f>
        <v>View Creative</v>
      </c>
      <c r="L4438" s="4" t="s">
        <v>60</v>
      </c>
      <c r="M4438" s="4" t="s">
        <v>7013</v>
      </c>
      <c r="N4438" s="4" t="s">
        <v>7086</v>
      </c>
      <c r="O4438" s="4" t="s">
        <v>63</v>
      </c>
      <c r="P4438" s="4" t="s">
        <v>64</v>
      </c>
    </row>
    <row r="4439">
      <c r="A4439" s="4" t="s">
        <v>7013</v>
      </c>
      <c r="B4439" s="4" t="s">
        <v>7014</v>
      </c>
      <c r="C4439" s="4">
        <v>388.0</v>
      </c>
      <c r="D4439" s="5" t="str">
        <f t="shared" si="734"/>
        <v>Open Ad</v>
      </c>
      <c r="E4439" s="4" t="s">
        <v>78</v>
      </c>
      <c r="F4439" s="4" t="s">
        <v>6765</v>
      </c>
      <c r="G4439" s="4" t="s">
        <v>7085</v>
      </c>
      <c r="H4439" s="4" t="s">
        <v>49</v>
      </c>
      <c r="I4439" s="4" t="s">
        <v>7016</v>
      </c>
      <c r="J4439" s="4" t="s">
        <v>78</v>
      </c>
      <c r="K4439" s="7" t="str">
        <f t="shared" si="735"/>
        <v>View Creative</v>
      </c>
      <c r="L4439" s="4" t="s">
        <v>60</v>
      </c>
      <c r="M4439" s="4" t="s">
        <v>7013</v>
      </c>
      <c r="N4439" s="4" t="s">
        <v>7086</v>
      </c>
      <c r="O4439" s="4" t="s">
        <v>63</v>
      </c>
      <c r="P4439" s="4" t="s">
        <v>64</v>
      </c>
    </row>
    <row r="4440">
      <c r="A4440" s="4" t="s">
        <v>7013</v>
      </c>
      <c r="B4440" s="4" t="s">
        <v>7014</v>
      </c>
      <c r="C4440" s="4">
        <v>389.0</v>
      </c>
      <c r="D4440" s="5" t="str">
        <f t="shared" ref="D4440:D4441" si="736">HYPERLINK("https://www.linkedin.com/ad-library/detail/1149810584","Open Ad")</f>
        <v>Open Ad</v>
      </c>
      <c r="E4440" s="4" t="s">
        <v>78</v>
      </c>
      <c r="F4440" s="4" t="s">
        <v>6765</v>
      </c>
      <c r="G4440" s="4" t="s">
        <v>7085</v>
      </c>
      <c r="H4440" s="4" t="s">
        <v>49</v>
      </c>
      <c r="I4440" s="4" t="s">
        <v>7016</v>
      </c>
      <c r="J4440" s="4" t="s">
        <v>78</v>
      </c>
      <c r="K4440" s="7" t="str">
        <f t="shared" si="735"/>
        <v>View Creative</v>
      </c>
      <c r="L4440" s="4" t="s">
        <v>60</v>
      </c>
      <c r="M4440" s="4" t="s">
        <v>7013</v>
      </c>
      <c r="N4440" s="4" t="s">
        <v>7086</v>
      </c>
      <c r="O4440" s="4" t="s">
        <v>63</v>
      </c>
      <c r="P4440" s="4" t="s">
        <v>64</v>
      </c>
    </row>
    <row r="4441">
      <c r="A4441" s="4" t="s">
        <v>7013</v>
      </c>
      <c r="B4441" s="4" t="s">
        <v>7014</v>
      </c>
      <c r="C4441" s="4">
        <v>390.0</v>
      </c>
      <c r="D4441" s="5" t="str">
        <f t="shared" si="736"/>
        <v>Open Ad</v>
      </c>
      <c r="E4441" s="4" t="s">
        <v>78</v>
      </c>
      <c r="F4441" s="4" t="s">
        <v>6765</v>
      </c>
      <c r="G4441" s="4" t="s">
        <v>7085</v>
      </c>
      <c r="H4441" s="4" t="s">
        <v>49</v>
      </c>
      <c r="I4441" s="4" t="s">
        <v>7016</v>
      </c>
      <c r="J4441" s="4" t="s">
        <v>78</v>
      </c>
      <c r="K4441" s="7" t="str">
        <f t="shared" si="735"/>
        <v>View Creative</v>
      </c>
      <c r="L4441" s="4" t="s">
        <v>60</v>
      </c>
      <c r="M4441" s="4" t="s">
        <v>7013</v>
      </c>
      <c r="N4441" s="4" t="s">
        <v>7086</v>
      </c>
      <c r="O4441" s="4" t="s">
        <v>63</v>
      </c>
      <c r="P4441" s="4" t="s">
        <v>64</v>
      </c>
    </row>
    <row r="4442">
      <c r="A4442" s="4" t="s">
        <v>7013</v>
      </c>
      <c r="B4442" s="4" t="s">
        <v>7014</v>
      </c>
      <c r="C4442" s="4">
        <v>391.0</v>
      </c>
      <c r="D4442" s="5" t="str">
        <f t="shared" ref="D4442:D4443" si="737">HYPERLINK("https://www.linkedin.com/ad-library/detail/1150602394","Open Ad")</f>
        <v>Open Ad</v>
      </c>
      <c r="E4442" s="4" t="s">
        <v>78</v>
      </c>
      <c r="F4442" s="4" t="s">
        <v>6765</v>
      </c>
      <c r="G4442" s="4" t="s">
        <v>7085</v>
      </c>
      <c r="H4442" s="4" t="s">
        <v>49</v>
      </c>
      <c r="I4442" s="4" t="s">
        <v>7016</v>
      </c>
      <c r="J4442" s="4" t="s">
        <v>78</v>
      </c>
      <c r="K4442" s="7" t="str">
        <f t="shared" si="735"/>
        <v>View Creative</v>
      </c>
      <c r="L4442" s="4" t="s">
        <v>60</v>
      </c>
      <c r="M4442" s="4" t="s">
        <v>7013</v>
      </c>
      <c r="N4442" s="4"/>
      <c r="O4442" s="4" t="s">
        <v>63</v>
      </c>
      <c r="P4442" s="4" t="s">
        <v>64</v>
      </c>
    </row>
    <row r="4443">
      <c r="A4443" s="4" t="s">
        <v>7013</v>
      </c>
      <c r="B4443" s="4" t="s">
        <v>7014</v>
      </c>
      <c r="C4443" s="4">
        <v>392.0</v>
      </c>
      <c r="D4443" s="5" t="str">
        <f t="shared" si="737"/>
        <v>Open Ad</v>
      </c>
      <c r="E4443" s="4" t="s">
        <v>78</v>
      </c>
      <c r="F4443" s="4" t="s">
        <v>6765</v>
      </c>
      <c r="G4443" s="4" t="s">
        <v>7085</v>
      </c>
      <c r="H4443" s="4" t="s">
        <v>49</v>
      </c>
      <c r="I4443" s="4" t="s">
        <v>7016</v>
      </c>
      <c r="J4443" s="4" t="s">
        <v>78</v>
      </c>
      <c r="K4443" s="7" t="str">
        <f t="shared" si="735"/>
        <v>View Creative</v>
      </c>
      <c r="L4443" s="4" t="s">
        <v>60</v>
      </c>
      <c r="M4443" s="4" t="s">
        <v>7013</v>
      </c>
      <c r="N4443" s="4"/>
      <c r="O4443" s="4" t="s">
        <v>63</v>
      </c>
      <c r="P4443" s="4" t="s">
        <v>64</v>
      </c>
    </row>
    <row r="4444">
      <c r="A4444" s="4" t="s">
        <v>7013</v>
      </c>
      <c r="B4444" s="4" t="s">
        <v>7014</v>
      </c>
      <c r="C4444" s="4">
        <v>393.0</v>
      </c>
      <c r="D4444" s="5" t="str">
        <f t="shared" ref="D4444:D4445" si="738">HYPERLINK("https://www.linkedin.com/ad-library/detail/1149810594","Open Ad")</f>
        <v>Open Ad</v>
      </c>
      <c r="E4444" s="4" t="s">
        <v>78</v>
      </c>
      <c r="F4444" s="4" t="s">
        <v>6765</v>
      </c>
      <c r="G4444" s="4" t="s">
        <v>7090</v>
      </c>
      <c r="H4444" s="4" t="s">
        <v>49</v>
      </c>
      <c r="I4444" s="4" t="s">
        <v>7016</v>
      </c>
      <c r="J4444" s="4" t="s">
        <v>78</v>
      </c>
      <c r="K4444" s="7" t="str">
        <f t="shared" ref="K4444:K4445" si="739">HYPERLINK("https://media.licdn.com/dms/image/v2/D4E10AQEujPuW92_whg/image-shrink_1280/B4EZybChqwHMAc-/0/1772127657019/Directory2AIVisibilityAgencyDirectorypng?e=2147483647&amp;v=beta&amp;t=Z6MAKWzMej5_jYQRlmJ4y7bDcR6D_e69xbTN9r9L-9o","View Creative")</f>
        <v>View Creative</v>
      </c>
      <c r="L4444" s="4" t="s">
        <v>60</v>
      </c>
      <c r="M4444" s="4" t="s">
        <v>7013</v>
      </c>
      <c r="N4444" s="4" t="s">
        <v>7086</v>
      </c>
      <c r="O4444" s="4" t="s">
        <v>63</v>
      </c>
      <c r="P4444" s="4" t="s">
        <v>64</v>
      </c>
    </row>
    <row r="4445">
      <c r="A4445" s="4" t="s">
        <v>7013</v>
      </c>
      <c r="B4445" s="4" t="s">
        <v>7014</v>
      </c>
      <c r="C4445" s="4">
        <v>394.0</v>
      </c>
      <c r="D4445" s="5" t="str">
        <f t="shared" si="738"/>
        <v>Open Ad</v>
      </c>
      <c r="E4445" s="4" t="s">
        <v>78</v>
      </c>
      <c r="F4445" s="4" t="s">
        <v>6765</v>
      </c>
      <c r="G4445" s="4" t="s">
        <v>7090</v>
      </c>
      <c r="H4445" s="4" t="s">
        <v>49</v>
      </c>
      <c r="I4445" s="4" t="s">
        <v>7016</v>
      </c>
      <c r="J4445" s="4" t="s">
        <v>78</v>
      </c>
      <c r="K4445" s="7" t="str">
        <f t="shared" si="739"/>
        <v>View Creative</v>
      </c>
      <c r="L4445" s="4" t="s">
        <v>60</v>
      </c>
      <c r="M4445" s="4" t="s">
        <v>7013</v>
      </c>
      <c r="N4445" s="4" t="s">
        <v>7086</v>
      </c>
      <c r="O4445" s="4" t="s">
        <v>63</v>
      </c>
      <c r="P4445" s="4" t="s">
        <v>64</v>
      </c>
    </row>
    <row r="4446">
      <c r="A4446" s="4" t="s">
        <v>7013</v>
      </c>
      <c r="B4446" s="4" t="s">
        <v>7014</v>
      </c>
      <c r="C4446" s="4">
        <v>395.0</v>
      </c>
      <c r="D4446" s="5" t="str">
        <f t="shared" ref="D4446:D4447" si="740">HYPERLINK("https://www.linkedin.com/ad-library/detail/1149002754","Open Ad")</f>
        <v>Open Ad</v>
      </c>
      <c r="E4446" s="4" t="s">
        <v>78</v>
      </c>
      <c r="F4446" s="4" t="s">
        <v>6765</v>
      </c>
      <c r="G4446" s="4" t="s">
        <v>7089</v>
      </c>
      <c r="H4446" s="4" t="s">
        <v>49</v>
      </c>
      <c r="I4446" s="4" t="s">
        <v>7016</v>
      </c>
      <c r="J4446" s="4" t="s">
        <v>78</v>
      </c>
      <c r="K4446" s="7" t="str">
        <f t="shared" ref="K4446:K4447" si="741">HYPERLINK("https://media.licdn.com/dms/image/v2/D4E10AQHRCGOPh43vUQ/image-shrink_1280/B4EZybCoqaGsAc-/0/1772127686008/Directory3FindTrustedAISearchExpertspng?e=2147483647&amp;v=beta&amp;t=deb9Vu57y6uAoG3vF1CvnEoPwvQwnu2_BtLte3bXNSg","View Creative")</f>
        <v>View Creative</v>
      </c>
      <c r="L4446" s="4" t="s">
        <v>60</v>
      </c>
      <c r="M4446" s="4" t="s">
        <v>7013</v>
      </c>
      <c r="N4446" s="4"/>
      <c r="O4446" s="4" t="s">
        <v>63</v>
      </c>
      <c r="P4446" s="4" t="s">
        <v>64</v>
      </c>
    </row>
    <row r="4447">
      <c r="A4447" s="4" t="s">
        <v>7013</v>
      </c>
      <c r="B4447" s="4" t="s">
        <v>7014</v>
      </c>
      <c r="C4447" s="4">
        <v>396.0</v>
      </c>
      <c r="D4447" s="5" t="str">
        <f t="shared" si="740"/>
        <v>Open Ad</v>
      </c>
      <c r="E4447" s="4" t="s">
        <v>78</v>
      </c>
      <c r="F4447" s="4" t="s">
        <v>6765</v>
      </c>
      <c r="G4447" s="4" t="s">
        <v>7089</v>
      </c>
      <c r="H4447" s="4" t="s">
        <v>49</v>
      </c>
      <c r="I4447" s="4" t="s">
        <v>7016</v>
      </c>
      <c r="J4447" s="4" t="s">
        <v>78</v>
      </c>
      <c r="K4447" s="7" t="str">
        <f t="shared" si="741"/>
        <v>View Creative</v>
      </c>
      <c r="L4447" s="4" t="s">
        <v>60</v>
      </c>
      <c r="M4447" s="4" t="s">
        <v>7013</v>
      </c>
      <c r="N4447" s="4"/>
      <c r="O4447" s="4" t="s">
        <v>63</v>
      </c>
      <c r="P4447" s="4" t="s">
        <v>64</v>
      </c>
    </row>
    <row r="4448">
      <c r="A4448" s="4" t="s">
        <v>7013</v>
      </c>
      <c r="B4448" s="4" t="s">
        <v>7014</v>
      </c>
      <c r="C4448" s="4">
        <v>397.0</v>
      </c>
      <c r="D4448" s="5" t="str">
        <f t="shared" ref="D4448:D4449" si="742">HYPERLINK("https://www.linkedin.com/ad-library/detail/1149510544","Open Ad")</f>
        <v>Open Ad</v>
      </c>
      <c r="E4448" s="4" t="s">
        <v>78</v>
      </c>
      <c r="F4448" s="4" t="s">
        <v>6765</v>
      </c>
      <c r="G4448" s="4" t="s">
        <v>7077</v>
      </c>
      <c r="H4448" s="4" t="s">
        <v>49</v>
      </c>
      <c r="I4448" s="4" t="s">
        <v>7016</v>
      </c>
      <c r="J4448" s="4" t="s">
        <v>78</v>
      </c>
      <c r="K4448" s="7" t="str">
        <f t="shared" ref="K4448:K4449" si="743">HYPERLINK("https://media.licdn.com/dms/image/v2/D4E10AQHXCJsPgcZ4_w/image-shrink_1280/B4EZybCon0JgAg-/0/1772127685657/Directory3GetExpertHelpforAISearchpng?e=2147483647&amp;v=beta&amp;t=HfUSY3XU6uwbZY8wgAX7_lRR7s287cOzcCtZklwj4H0","View Creative")</f>
        <v>View Creative</v>
      </c>
      <c r="L4448" s="4" t="s">
        <v>60</v>
      </c>
      <c r="M4448" s="4" t="s">
        <v>7013</v>
      </c>
      <c r="N4448" s="4" t="s">
        <v>7086</v>
      </c>
      <c r="O4448" s="4" t="s">
        <v>63</v>
      </c>
      <c r="P4448" s="4" t="s">
        <v>64</v>
      </c>
    </row>
    <row r="4449">
      <c r="A4449" s="4" t="s">
        <v>7013</v>
      </c>
      <c r="B4449" s="4" t="s">
        <v>7014</v>
      </c>
      <c r="C4449" s="4">
        <v>398.0</v>
      </c>
      <c r="D4449" s="5" t="str">
        <f t="shared" si="742"/>
        <v>Open Ad</v>
      </c>
      <c r="E4449" s="4" t="s">
        <v>78</v>
      </c>
      <c r="F4449" s="4" t="s">
        <v>6765</v>
      </c>
      <c r="G4449" s="4" t="s">
        <v>7077</v>
      </c>
      <c r="H4449" s="4" t="s">
        <v>49</v>
      </c>
      <c r="I4449" s="4" t="s">
        <v>7016</v>
      </c>
      <c r="J4449" s="4" t="s">
        <v>78</v>
      </c>
      <c r="K4449" s="7" t="str">
        <f t="shared" si="743"/>
        <v>View Creative</v>
      </c>
      <c r="L4449" s="4" t="s">
        <v>60</v>
      </c>
      <c r="M4449" s="4" t="s">
        <v>7013</v>
      </c>
      <c r="N4449" s="4" t="s">
        <v>7086</v>
      </c>
      <c r="O4449" s="4" t="s">
        <v>63</v>
      </c>
      <c r="P4449" s="4" t="s">
        <v>64</v>
      </c>
    </row>
    <row r="4450">
      <c r="A4450" s="4" t="s">
        <v>7013</v>
      </c>
      <c r="B4450" s="4" t="s">
        <v>7014</v>
      </c>
      <c r="C4450" s="4">
        <v>399.0</v>
      </c>
      <c r="D4450" s="5" t="str">
        <f t="shared" ref="D4450:D4451" si="744">HYPERLINK("https://www.linkedin.com/ad-library/detail/1148901494","Open Ad")</f>
        <v>Open Ad</v>
      </c>
      <c r="E4450" s="4" t="s">
        <v>78</v>
      </c>
      <c r="F4450" s="4" t="s">
        <v>6765</v>
      </c>
      <c r="G4450" s="4" t="s">
        <v>7085</v>
      </c>
      <c r="H4450" s="4" t="s">
        <v>49</v>
      </c>
      <c r="I4450" s="4" t="s">
        <v>7016</v>
      </c>
      <c r="J4450" s="4" t="s">
        <v>78</v>
      </c>
      <c r="K4450" s="7" t="str">
        <f t="shared" ref="K4450:K4451" si="745">HYPERLINK("https://media.licdn.com/dms/image/v2/D4E10AQHWBSAv8yIJ1Q/image-shrink_1280/B4EZybChrqIEAg-/0/1772127657140/Directory1AIVisibilityAgencyDirectorypng?e=2147483647&amp;v=beta&amp;t=GNhKLHJ19CMay96XBo6Nig-ruRSdoSKvl1ZlFYRysUM","View Creative")</f>
        <v>View Creative</v>
      </c>
      <c r="L4450" s="4" t="s">
        <v>60</v>
      </c>
      <c r="M4450" s="4" t="s">
        <v>7013</v>
      </c>
      <c r="N4450" s="4"/>
      <c r="O4450" s="4" t="s">
        <v>63</v>
      </c>
      <c r="P4450" s="4" t="s">
        <v>64</v>
      </c>
    </row>
    <row r="4451">
      <c r="A4451" s="4" t="s">
        <v>7013</v>
      </c>
      <c r="B4451" s="4" t="s">
        <v>7014</v>
      </c>
      <c r="C4451" s="4">
        <v>400.0</v>
      </c>
      <c r="D4451" s="5" t="str">
        <f t="shared" si="744"/>
        <v>Open Ad</v>
      </c>
      <c r="E4451" s="4" t="s">
        <v>78</v>
      </c>
      <c r="F4451" s="4" t="s">
        <v>6765</v>
      </c>
      <c r="G4451" s="4" t="s">
        <v>7085</v>
      </c>
      <c r="H4451" s="4" t="s">
        <v>49</v>
      </c>
      <c r="I4451" s="4" t="s">
        <v>7016</v>
      </c>
      <c r="J4451" s="4" t="s">
        <v>78</v>
      </c>
      <c r="K4451" s="7" t="str">
        <f t="shared" si="745"/>
        <v>View Creative</v>
      </c>
      <c r="L4451" s="4" t="s">
        <v>60</v>
      </c>
      <c r="M4451" s="4" t="s">
        <v>7013</v>
      </c>
      <c r="N4451" s="4"/>
      <c r="O4451" s="4" t="s">
        <v>63</v>
      </c>
      <c r="P4451" s="4" t="s">
        <v>64</v>
      </c>
    </row>
    <row r="4452">
      <c r="A4452" s="4" t="s">
        <v>7013</v>
      </c>
      <c r="B4452" s="4" t="s">
        <v>7014</v>
      </c>
      <c r="C4452" s="4">
        <v>401.0</v>
      </c>
      <c r="D4452" s="5" t="str">
        <f t="shared" ref="D4452:D4453" si="746">HYPERLINK("https://www.linkedin.com/ad-library/detail/1149409434","Open Ad")</f>
        <v>Open Ad</v>
      </c>
      <c r="E4452" s="4" t="s">
        <v>78</v>
      </c>
      <c r="F4452" s="4" t="s">
        <v>6765</v>
      </c>
      <c r="G4452" s="4" t="s">
        <v>7078</v>
      </c>
      <c r="H4452" s="4" t="s">
        <v>49</v>
      </c>
      <c r="I4452" s="4" t="s">
        <v>7016</v>
      </c>
      <c r="J4452" s="4" t="s">
        <v>78</v>
      </c>
      <c r="K4452" s="7" t="str">
        <f t="shared" ref="K4452:K4453" si="747">HYPERLINK("https://media.licdn.com/dms/image/v2/D4E10AQENGNql_Hfi3w/image-shrink_1280/B4EZybChuMHkAc-/0/1772127657303/Directory2GetExpertHelpforAISearchpng?e=2147483647&amp;v=beta&amp;t=N05A1GpFf-MaOO-coxz8xvXUeDa3TTrq2hacW3d7_j4","View Creative")</f>
        <v>View Creative</v>
      </c>
      <c r="L4452" s="4" t="s">
        <v>60</v>
      </c>
      <c r="M4452" s="4" t="s">
        <v>7013</v>
      </c>
      <c r="N4452" s="4" t="s">
        <v>7086</v>
      </c>
      <c r="O4452" s="4" t="s">
        <v>63</v>
      </c>
      <c r="P4452" s="4" t="s">
        <v>64</v>
      </c>
    </row>
    <row r="4453">
      <c r="A4453" s="4" t="s">
        <v>7013</v>
      </c>
      <c r="B4453" s="4" t="s">
        <v>7014</v>
      </c>
      <c r="C4453" s="4">
        <v>402.0</v>
      </c>
      <c r="D4453" s="5" t="str">
        <f t="shared" si="746"/>
        <v>Open Ad</v>
      </c>
      <c r="E4453" s="4" t="s">
        <v>78</v>
      </c>
      <c r="F4453" s="4" t="s">
        <v>6765</v>
      </c>
      <c r="G4453" s="4" t="s">
        <v>7078</v>
      </c>
      <c r="H4453" s="4" t="s">
        <v>49</v>
      </c>
      <c r="I4453" s="4" t="s">
        <v>7016</v>
      </c>
      <c r="J4453" s="4" t="s">
        <v>78</v>
      </c>
      <c r="K4453" s="7" t="str">
        <f t="shared" si="747"/>
        <v>View Creative</v>
      </c>
      <c r="L4453" s="4" t="s">
        <v>60</v>
      </c>
      <c r="M4453" s="4" t="s">
        <v>7013</v>
      </c>
      <c r="N4453" s="4" t="s">
        <v>7086</v>
      </c>
      <c r="O4453" s="4" t="s">
        <v>63</v>
      </c>
      <c r="P4453" s="4" t="s">
        <v>64</v>
      </c>
    </row>
    <row r="4454">
      <c r="A4454" s="4" t="s">
        <v>7013</v>
      </c>
      <c r="B4454" s="4" t="s">
        <v>7014</v>
      </c>
      <c r="C4454" s="4">
        <v>403.0</v>
      </c>
      <c r="D4454" s="5" t="str">
        <f t="shared" ref="D4454:D4455" si="748">HYPERLINK("https://www.linkedin.com/ad-library/detail/1149810554","Open Ad")</f>
        <v>Open Ad</v>
      </c>
      <c r="E4454" s="4" t="s">
        <v>78</v>
      </c>
      <c r="F4454" s="4" t="s">
        <v>6765</v>
      </c>
      <c r="G4454" s="4" t="s">
        <v>7080</v>
      </c>
      <c r="H4454" s="4" t="s">
        <v>49</v>
      </c>
      <c r="I4454" s="4" t="s">
        <v>7016</v>
      </c>
      <c r="J4454" s="4" t="s">
        <v>78</v>
      </c>
      <c r="K4454" s="7" t="str">
        <f t="shared" ref="K4454:K4455" si="749">HYPERLINK("https://media.licdn.com/dms/image/v2/D4E10AQFh3wRxQvxaHQ/image-shrink_1280/B4EZybCootIEAc-/0/1772127685632/Directory3AIVisibilityAgencyDirectorypng?e=2147483647&amp;v=beta&amp;t=M1uiPNOy86K4MsoZ3jwd4aJvyNEBdZcCGNZCw8tfIyo","View Creative")</f>
        <v>View Creative</v>
      </c>
      <c r="L4454" s="4" t="s">
        <v>60</v>
      </c>
      <c r="M4454" s="4" t="s">
        <v>7013</v>
      </c>
      <c r="N4454" s="4" t="s">
        <v>7086</v>
      </c>
      <c r="O4454" s="4" t="s">
        <v>63</v>
      </c>
      <c r="P4454" s="4" t="s">
        <v>64</v>
      </c>
    </row>
    <row r="4455">
      <c r="A4455" s="4" t="s">
        <v>7013</v>
      </c>
      <c r="B4455" s="4" t="s">
        <v>7014</v>
      </c>
      <c r="C4455" s="4">
        <v>404.0</v>
      </c>
      <c r="D4455" s="5" t="str">
        <f t="shared" si="748"/>
        <v>Open Ad</v>
      </c>
      <c r="E4455" s="4" t="s">
        <v>78</v>
      </c>
      <c r="F4455" s="4" t="s">
        <v>6765</v>
      </c>
      <c r="G4455" s="4" t="s">
        <v>7080</v>
      </c>
      <c r="H4455" s="4" t="s">
        <v>49</v>
      </c>
      <c r="I4455" s="4" t="s">
        <v>7016</v>
      </c>
      <c r="J4455" s="4" t="s">
        <v>78</v>
      </c>
      <c r="K4455" s="7" t="str">
        <f t="shared" si="749"/>
        <v>View Creative</v>
      </c>
      <c r="L4455" s="4" t="s">
        <v>60</v>
      </c>
      <c r="M4455" s="4" t="s">
        <v>7013</v>
      </c>
      <c r="N4455" s="4" t="s">
        <v>7086</v>
      </c>
      <c r="O4455" s="4" t="s">
        <v>63</v>
      </c>
      <c r="P4455" s="4" t="s">
        <v>64</v>
      </c>
    </row>
    <row r="4456">
      <c r="A4456" s="4" t="s">
        <v>7013</v>
      </c>
      <c r="B4456" s="4" t="s">
        <v>7014</v>
      </c>
      <c r="C4456" s="4">
        <v>405.0</v>
      </c>
      <c r="D4456" s="5" t="str">
        <f t="shared" ref="D4456:D4457" si="750">HYPERLINK("https://www.linkedin.com/ad-library/detail/1149903044","Open Ad")</f>
        <v>Open Ad</v>
      </c>
      <c r="E4456" s="4" t="s">
        <v>78</v>
      </c>
      <c r="F4456" s="4" t="s">
        <v>6765</v>
      </c>
      <c r="G4456" s="4" t="s">
        <v>7077</v>
      </c>
      <c r="H4456" s="4" t="s">
        <v>49</v>
      </c>
      <c r="I4456" s="4" t="s">
        <v>7016</v>
      </c>
      <c r="J4456" s="4" t="s">
        <v>78</v>
      </c>
      <c r="K4456" s="7" t="str">
        <f t="shared" ref="K4456:K4457" si="751">HYPERLINK("https://media.licdn.com/dms/image/v2/D4E10AQHXCJsPgcZ4_w/image-shrink_1280/B4EZybCon0JgAg-/0/1772127685657/Directory3GetExpertHelpforAISearchpng?e=2147483647&amp;v=beta&amp;t=HfUSY3XU6uwbZY8wgAX7_lRR7s287cOzcCtZklwj4H0","View Creative")</f>
        <v>View Creative</v>
      </c>
      <c r="L4456" s="4" t="s">
        <v>60</v>
      </c>
      <c r="M4456" s="4" t="s">
        <v>7013</v>
      </c>
      <c r="N4456" s="4"/>
      <c r="O4456" s="4" t="s">
        <v>63</v>
      </c>
      <c r="P4456" s="4" t="s">
        <v>64</v>
      </c>
    </row>
    <row r="4457">
      <c r="A4457" s="4" t="s">
        <v>7013</v>
      </c>
      <c r="B4457" s="4" t="s">
        <v>7014</v>
      </c>
      <c r="C4457" s="4">
        <v>406.0</v>
      </c>
      <c r="D4457" s="5" t="str">
        <f t="shared" si="750"/>
        <v>Open Ad</v>
      </c>
      <c r="E4457" s="4" t="s">
        <v>78</v>
      </c>
      <c r="F4457" s="4" t="s">
        <v>6765</v>
      </c>
      <c r="G4457" s="4" t="s">
        <v>7077</v>
      </c>
      <c r="H4457" s="4" t="s">
        <v>49</v>
      </c>
      <c r="I4457" s="4" t="s">
        <v>7016</v>
      </c>
      <c r="J4457" s="4" t="s">
        <v>78</v>
      </c>
      <c r="K4457" s="7" t="str">
        <f t="shared" si="751"/>
        <v>View Creative</v>
      </c>
      <c r="L4457" s="4" t="s">
        <v>60</v>
      </c>
      <c r="M4457" s="4" t="s">
        <v>7013</v>
      </c>
      <c r="N4457" s="4"/>
      <c r="O4457" s="4" t="s">
        <v>63</v>
      </c>
      <c r="P4457" s="4" t="s">
        <v>64</v>
      </c>
    </row>
    <row r="4458">
      <c r="A4458" s="4" t="s">
        <v>7013</v>
      </c>
      <c r="B4458" s="4" t="s">
        <v>7014</v>
      </c>
      <c r="C4458" s="4">
        <v>407.0</v>
      </c>
      <c r="D4458" s="5" t="str">
        <f t="shared" ref="D4458:D4459" si="752">HYPERLINK("https://www.linkedin.com/ad-library/detail/1149402134","Open Ad")</f>
        <v>Open Ad</v>
      </c>
      <c r="E4458" s="4" t="s">
        <v>78</v>
      </c>
      <c r="F4458" s="4" t="s">
        <v>6765</v>
      </c>
      <c r="G4458" s="4" t="s">
        <v>7078</v>
      </c>
      <c r="H4458" s="4" t="s">
        <v>49</v>
      </c>
      <c r="I4458" s="4" t="s">
        <v>7016</v>
      </c>
      <c r="J4458" s="4" t="s">
        <v>78</v>
      </c>
      <c r="K4458" s="7" t="str">
        <f t="shared" ref="K4458:K4459" si="753">HYPERLINK("https://media.licdn.com/dms/image/v2/D4E10AQENGNql_Hfi3w/image-shrink_1280/B4EZybChuMHkAc-/0/1772127657303/Directory2GetExpertHelpforAISearchpng?e=2147483647&amp;v=beta&amp;t=N05A1GpFf-MaOO-coxz8xvXUeDa3TTrq2hacW3d7_j4","View Creative")</f>
        <v>View Creative</v>
      </c>
      <c r="L4458" s="4" t="s">
        <v>60</v>
      </c>
      <c r="M4458" s="4" t="s">
        <v>7013</v>
      </c>
      <c r="N4458" s="4"/>
      <c r="O4458" s="4" t="s">
        <v>63</v>
      </c>
      <c r="P4458" s="4" t="s">
        <v>64</v>
      </c>
    </row>
    <row r="4459">
      <c r="A4459" s="4" t="s">
        <v>7013</v>
      </c>
      <c r="B4459" s="4" t="s">
        <v>7014</v>
      </c>
      <c r="C4459" s="4">
        <v>408.0</v>
      </c>
      <c r="D4459" s="5" t="str">
        <f t="shared" si="752"/>
        <v>Open Ad</v>
      </c>
      <c r="E4459" s="4" t="s">
        <v>78</v>
      </c>
      <c r="F4459" s="4" t="s">
        <v>6765</v>
      </c>
      <c r="G4459" s="4" t="s">
        <v>7078</v>
      </c>
      <c r="H4459" s="4" t="s">
        <v>49</v>
      </c>
      <c r="I4459" s="4" t="s">
        <v>7016</v>
      </c>
      <c r="J4459" s="4" t="s">
        <v>78</v>
      </c>
      <c r="K4459" s="7" t="str">
        <f t="shared" si="753"/>
        <v>View Creative</v>
      </c>
      <c r="L4459" s="4" t="s">
        <v>60</v>
      </c>
      <c r="M4459" s="4" t="s">
        <v>7013</v>
      </c>
      <c r="N4459" s="4"/>
      <c r="O4459" s="4" t="s">
        <v>63</v>
      </c>
      <c r="P4459" s="4" t="s">
        <v>64</v>
      </c>
    </row>
    <row r="4460">
      <c r="A4460" s="4" t="s">
        <v>7013</v>
      </c>
      <c r="B4460" s="4" t="s">
        <v>7014</v>
      </c>
      <c r="C4460" s="4">
        <v>409.0</v>
      </c>
      <c r="D4460" s="5" t="str">
        <f t="shared" ref="D4460:D4461" si="754">HYPERLINK("https://www.linkedin.com/ad-library/detail/1148802334","Open Ad")</f>
        <v>Open Ad</v>
      </c>
      <c r="E4460" s="4" t="s">
        <v>78</v>
      </c>
      <c r="F4460" s="4" t="s">
        <v>6765</v>
      </c>
      <c r="G4460" s="4" t="s">
        <v>7080</v>
      </c>
      <c r="H4460" s="4" t="s">
        <v>49</v>
      </c>
      <c r="I4460" s="4" t="s">
        <v>7016</v>
      </c>
      <c r="J4460" s="4" t="s">
        <v>78</v>
      </c>
      <c r="K4460" s="7" t="str">
        <f t="shared" ref="K4460:K4461" si="755">HYPERLINK("https://media.licdn.com/dms/image/v2/D4E10AQFh3wRxQvxaHQ/image-shrink_1280/B4EZybCootIEAc-/0/1772127685632/Directory3AIVisibilityAgencyDirectorypng?e=2147483647&amp;v=beta&amp;t=M1uiPNOy86K4MsoZ3jwd4aJvyNEBdZcCGNZCw8tfIyo","View Creative")</f>
        <v>View Creative</v>
      </c>
      <c r="L4460" s="4" t="s">
        <v>60</v>
      </c>
      <c r="M4460" s="4" t="s">
        <v>7013</v>
      </c>
      <c r="N4460" s="4"/>
      <c r="O4460" s="4" t="s">
        <v>63</v>
      </c>
      <c r="P4460" s="4" t="s">
        <v>64</v>
      </c>
    </row>
    <row r="4461">
      <c r="A4461" s="4" t="s">
        <v>7013</v>
      </c>
      <c r="B4461" s="4" t="s">
        <v>7014</v>
      </c>
      <c r="C4461" s="4">
        <v>410.0</v>
      </c>
      <c r="D4461" s="5" t="str">
        <f t="shared" si="754"/>
        <v>Open Ad</v>
      </c>
      <c r="E4461" s="4" t="s">
        <v>78</v>
      </c>
      <c r="F4461" s="4" t="s">
        <v>6765</v>
      </c>
      <c r="G4461" s="4" t="s">
        <v>7080</v>
      </c>
      <c r="H4461" s="4" t="s">
        <v>49</v>
      </c>
      <c r="I4461" s="4" t="s">
        <v>7016</v>
      </c>
      <c r="J4461" s="4" t="s">
        <v>78</v>
      </c>
      <c r="K4461" s="7" t="str">
        <f t="shared" si="755"/>
        <v>View Creative</v>
      </c>
      <c r="L4461" s="4" t="s">
        <v>60</v>
      </c>
      <c r="M4461" s="4" t="s">
        <v>7013</v>
      </c>
      <c r="N4461" s="4"/>
      <c r="O4461" s="4" t="s">
        <v>63</v>
      </c>
      <c r="P4461" s="4" t="s">
        <v>64</v>
      </c>
    </row>
    <row r="4462">
      <c r="A4462" s="4" t="s">
        <v>7013</v>
      </c>
      <c r="B4462" s="4" t="s">
        <v>7014</v>
      </c>
      <c r="C4462" s="4">
        <v>411.0</v>
      </c>
      <c r="D4462" s="5" t="str">
        <f t="shared" ref="D4462:D4463" si="756">HYPERLINK("https://www.linkedin.com/ad-library/detail/1148809924","Open Ad")</f>
        <v>Open Ad</v>
      </c>
      <c r="E4462" s="4" t="s">
        <v>78</v>
      </c>
      <c r="F4462" s="4" t="s">
        <v>6765</v>
      </c>
      <c r="G4462" s="4" t="s">
        <v>7085</v>
      </c>
      <c r="H4462" s="4" t="s">
        <v>49</v>
      </c>
      <c r="I4462" s="4" t="s">
        <v>7016</v>
      </c>
      <c r="J4462" s="4" t="s">
        <v>78</v>
      </c>
      <c r="K4462" s="7" t="str">
        <f t="shared" ref="K4462:K4463" si="757">HYPERLINK("https://media.licdn.com/dms/image/v2/D4E10AQHWBSAv8yIJ1Q/image-shrink_1280/B4EZybChrqIEAg-/0/1772127657140/Directory1AIVisibilityAgencyDirectorypng?e=2147483647&amp;v=beta&amp;t=GNhKLHJ19CMay96XBo6Nig-ruRSdoSKvl1ZlFYRysUM","View Creative")</f>
        <v>View Creative</v>
      </c>
      <c r="L4462" s="4" t="s">
        <v>60</v>
      </c>
      <c r="M4462" s="4" t="s">
        <v>7013</v>
      </c>
      <c r="N4462" s="4" t="s">
        <v>7086</v>
      </c>
      <c r="O4462" s="4" t="s">
        <v>63</v>
      </c>
      <c r="P4462" s="4" t="s">
        <v>64</v>
      </c>
    </row>
    <row r="4463">
      <c r="A4463" s="4" t="s">
        <v>7013</v>
      </c>
      <c r="B4463" s="4" t="s">
        <v>7014</v>
      </c>
      <c r="C4463" s="4">
        <v>412.0</v>
      </c>
      <c r="D4463" s="5" t="str">
        <f t="shared" si="756"/>
        <v>Open Ad</v>
      </c>
      <c r="E4463" s="4" t="s">
        <v>78</v>
      </c>
      <c r="F4463" s="4" t="s">
        <v>6765</v>
      </c>
      <c r="G4463" s="4" t="s">
        <v>7085</v>
      </c>
      <c r="H4463" s="4" t="s">
        <v>49</v>
      </c>
      <c r="I4463" s="4" t="s">
        <v>7016</v>
      </c>
      <c r="J4463" s="4" t="s">
        <v>78</v>
      </c>
      <c r="K4463" s="7" t="str">
        <f t="shared" si="757"/>
        <v>View Creative</v>
      </c>
      <c r="L4463" s="4" t="s">
        <v>60</v>
      </c>
      <c r="M4463" s="4" t="s">
        <v>7013</v>
      </c>
      <c r="N4463" s="4" t="s">
        <v>7086</v>
      </c>
      <c r="O4463" s="4" t="s">
        <v>63</v>
      </c>
      <c r="P4463" s="4" t="s">
        <v>64</v>
      </c>
    </row>
    <row r="4464">
      <c r="A4464" s="4" t="s">
        <v>7013</v>
      </c>
      <c r="B4464" s="4" t="s">
        <v>7014</v>
      </c>
      <c r="C4464" s="4">
        <v>413.0</v>
      </c>
      <c r="D4464" s="5" t="str">
        <f t="shared" ref="D4464:D4465" si="758">HYPERLINK("https://www.linkedin.com/ad-library/detail/1148809934","Open Ad")</f>
        <v>Open Ad</v>
      </c>
      <c r="E4464" s="4" t="s">
        <v>78</v>
      </c>
      <c r="F4464" s="4" t="s">
        <v>6765</v>
      </c>
      <c r="G4464" s="4" t="s">
        <v>7074</v>
      </c>
      <c r="H4464" s="4" t="s">
        <v>49</v>
      </c>
      <c r="I4464" s="4" t="s">
        <v>7016</v>
      </c>
      <c r="J4464" s="4" t="s">
        <v>78</v>
      </c>
      <c r="K4464" s="7" t="str">
        <f t="shared" ref="K4464:K4465" si="759">HYPERLINK("https://media.licdn.com/dms/image/v2/D4E10AQGtKok9G8Co_w/image-shrink_1280/B4EZybCoR6GYAc-/0/1772127684186/Directory1GetExpertHelpforAISearchpng?e=2147483647&amp;v=beta&amp;t=yrXbbpw2S9-81UaSPTZiQy5YHeY24f0r4iwEMY9FO9E","View Creative")</f>
        <v>View Creative</v>
      </c>
      <c r="L4464" s="4" t="s">
        <v>60</v>
      </c>
      <c r="M4464" s="4" t="s">
        <v>7013</v>
      </c>
      <c r="N4464" s="4" t="s">
        <v>7086</v>
      </c>
      <c r="O4464" s="4" t="s">
        <v>63</v>
      </c>
      <c r="P4464" s="4" t="s">
        <v>64</v>
      </c>
    </row>
    <row r="4465">
      <c r="A4465" s="4" t="s">
        <v>7013</v>
      </c>
      <c r="B4465" s="4" t="s">
        <v>7014</v>
      </c>
      <c r="C4465" s="4">
        <v>414.0</v>
      </c>
      <c r="D4465" s="5" t="str">
        <f t="shared" si="758"/>
        <v>Open Ad</v>
      </c>
      <c r="E4465" s="4" t="s">
        <v>78</v>
      </c>
      <c r="F4465" s="4" t="s">
        <v>6765</v>
      </c>
      <c r="G4465" s="4" t="s">
        <v>7074</v>
      </c>
      <c r="H4465" s="4" t="s">
        <v>49</v>
      </c>
      <c r="I4465" s="4" t="s">
        <v>7016</v>
      </c>
      <c r="J4465" s="4" t="s">
        <v>78</v>
      </c>
      <c r="K4465" s="7" t="str">
        <f t="shared" si="759"/>
        <v>View Creative</v>
      </c>
      <c r="L4465" s="4" t="s">
        <v>60</v>
      </c>
      <c r="M4465" s="4" t="s">
        <v>7013</v>
      </c>
      <c r="N4465" s="4" t="s">
        <v>7086</v>
      </c>
      <c r="O4465" s="4" t="s">
        <v>63</v>
      </c>
      <c r="P4465" s="4" t="s">
        <v>64</v>
      </c>
    </row>
    <row r="4466">
      <c r="A4466" s="4" t="s">
        <v>7013</v>
      </c>
      <c r="B4466" s="4" t="s">
        <v>7014</v>
      </c>
      <c r="C4466" s="4">
        <v>415.0</v>
      </c>
      <c r="D4466" s="5" t="str">
        <f t="shared" ref="D4466:D4467" si="760">HYPERLINK("https://www.linkedin.com/ad-library/detail/1148609294","Open Ad")</f>
        <v>Open Ad</v>
      </c>
      <c r="E4466" s="4" t="s">
        <v>78</v>
      </c>
      <c r="F4466" s="4" t="s">
        <v>6765</v>
      </c>
      <c r="G4466" s="4" t="s">
        <v>7078</v>
      </c>
      <c r="H4466" s="4" t="s">
        <v>49</v>
      </c>
      <c r="I4466" s="4" t="s">
        <v>7016</v>
      </c>
      <c r="J4466" s="4" t="s">
        <v>78</v>
      </c>
      <c r="K4466" s="7" t="str">
        <f t="shared" ref="K4466:K4467" si="761">HYPERLINK("https://media.licdn.com/dms/image/v2/D4E10AQENGNql_Hfi3w/image-shrink_1280/B4EZybChuMHkAc-/0/1772127657303/Directory2GetExpertHelpforAISearchpng?e=2147483647&amp;v=beta&amp;t=N05A1GpFf-MaOO-coxz8xvXUeDa3TTrq2hacW3d7_j4","View Creative")</f>
        <v>View Creative</v>
      </c>
      <c r="L4466" s="4" t="s">
        <v>60</v>
      </c>
      <c r="M4466" s="4" t="s">
        <v>7013</v>
      </c>
      <c r="N4466" s="4" t="s">
        <v>7086</v>
      </c>
      <c r="O4466" s="4" t="s">
        <v>63</v>
      </c>
      <c r="P4466" s="4" t="s">
        <v>64</v>
      </c>
    </row>
    <row r="4467">
      <c r="A4467" s="4" t="s">
        <v>7013</v>
      </c>
      <c r="B4467" s="4" t="s">
        <v>7014</v>
      </c>
      <c r="C4467" s="4">
        <v>416.0</v>
      </c>
      <c r="D4467" s="5" t="str">
        <f t="shared" si="760"/>
        <v>Open Ad</v>
      </c>
      <c r="E4467" s="4" t="s">
        <v>78</v>
      </c>
      <c r="F4467" s="4" t="s">
        <v>6765</v>
      </c>
      <c r="G4467" s="4" t="s">
        <v>7078</v>
      </c>
      <c r="H4467" s="4" t="s">
        <v>49</v>
      </c>
      <c r="I4467" s="4" t="s">
        <v>7016</v>
      </c>
      <c r="J4467" s="4" t="s">
        <v>78</v>
      </c>
      <c r="K4467" s="7" t="str">
        <f t="shared" si="761"/>
        <v>View Creative</v>
      </c>
      <c r="L4467" s="4" t="s">
        <v>60</v>
      </c>
      <c r="M4467" s="4" t="s">
        <v>7013</v>
      </c>
      <c r="N4467" s="4" t="s">
        <v>7086</v>
      </c>
      <c r="O4467" s="4" t="s">
        <v>63</v>
      </c>
      <c r="P4467" s="4" t="s">
        <v>64</v>
      </c>
    </row>
    <row r="4468">
      <c r="A4468" s="4" t="s">
        <v>7013</v>
      </c>
      <c r="B4468" s="4" t="s">
        <v>7014</v>
      </c>
      <c r="C4468" s="4">
        <v>417.0</v>
      </c>
      <c r="D4468" s="5" t="str">
        <f t="shared" ref="D4468:D4469" si="762">HYPERLINK("https://www.linkedin.com/ad-library/detail/1150101874","Open Ad")</f>
        <v>Open Ad</v>
      </c>
      <c r="E4468" s="4" t="s">
        <v>78</v>
      </c>
      <c r="F4468" s="4" t="s">
        <v>6765</v>
      </c>
      <c r="G4468" s="4" t="s">
        <v>7078</v>
      </c>
      <c r="H4468" s="4" t="s">
        <v>49</v>
      </c>
      <c r="I4468" s="4" t="s">
        <v>7016</v>
      </c>
      <c r="J4468" s="4" t="s">
        <v>78</v>
      </c>
      <c r="K4468" s="7" t="str">
        <f t="shared" ref="K4468:K4469" si="763">HYPERLINK("https://media.licdn.com/dms/image/v2/D4E10AQGxjTOn07fzcA/image-shrink_1280/B4EZybChtQKIAg-/0/1772127657278/Directory1FindTrustedAISearchExpertspng?e=2147483647&amp;v=beta&amp;t=aR8A0uldYLiXsowkszpzW6mgBZgZU3py0uDUqMekhdo","View Creative")</f>
        <v>View Creative</v>
      </c>
      <c r="L4468" s="4" t="s">
        <v>60</v>
      </c>
      <c r="M4468" s="4" t="s">
        <v>7013</v>
      </c>
      <c r="N4468" s="4"/>
      <c r="O4468" s="4" t="s">
        <v>63</v>
      </c>
      <c r="P4468" s="4" t="s">
        <v>64</v>
      </c>
    </row>
    <row r="4469">
      <c r="A4469" s="4" t="s">
        <v>7013</v>
      </c>
      <c r="B4469" s="4" t="s">
        <v>7014</v>
      </c>
      <c r="C4469" s="4">
        <v>418.0</v>
      </c>
      <c r="D4469" s="5" t="str">
        <f t="shared" si="762"/>
        <v>Open Ad</v>
      </c>
      <c r="E4469" s="4" t="s">
        <v>78</v>
      </c>
      <c r="F4469" s="4" t="s">
        <v>6765</v>
      </c>
      <c r="G4469" s="4" t="s">
        <v>7078</v>
      </c>
      <c r="H4469" s="4" t="s">
        <v>49</v>
      </c>
      <c r="I4469" s="4" t="s">
        <v>7016</v>
      </c>
      <c r="J4469" s="4" t="s">
        <v>78</v>
      </c>
      <c r="K4469" s="7" t="str">
        <f t="shared" si="763"/>
        <v>View Creative</v>
      </c>
      <c r="L4469" s="4" t="s">
        <v>60</v>
      </c>
      <c r="M4469" s="4" t="s">
        <v>7013</v>
      </c>
      <c r="N4469" s="4"/>
      <c r="O4469" s="4" t="s">
        <v>63</v>
      </c>
      <c r="P4469" s="4" t="s">
        <v>64</v>
      </c>
    </row>
    <row r="4470">
      <c r="A4470" s="4" t="s">
        <v>7013</v>
      </c>
      <c r="B4470" s="4" t="s">
        <v>7014</v>
      </c>
      <c r="C4470" s="4">
        <v>419.0</v>
      </c>
      <c r="D4470" s="5" t="str">
        <f t="shared" ref="D4470:D4471" si="764">HYPERLINK("https://www.linkedin.com/ad-library/detail/1148909034","Open Ad")</f>
        <v>Open Ad</v>
      </c>
      <c r="E4470" s="4" t="s">
        <v>78</v>
      </c>
      <c r="F4470" s="4" t="s">
        <v>6765</v>
      </c>
      <c r="G4470" s="4" t="s">
        <v>7090</v>
      </c>
      <c r="H4470" s="4" t="s">
        <v>49</v>
      </c>
      <c r="I4470" s="4" t="s">
        <v>7016</v>
      </c>
      <c r="J4470" s="4" t="s">
        <v>78</v>
      </c>
      <c r="K4470" s="7" t="str">
        <f t="shared" ref="K4470:K4471" si="765">HYPERLINK("https://media.licdn.com/dms/image/v2/D4E10AQEujPuW92_whg/image-shrink_1280/B4EZybChqwHMAc-/0/1772127657019/Directory2AIVisibilityAgencyDirectorypng?e=2147483647&amp;v=beta&amp;t=Z6MAKWzMej5_jYQRlmJ4y7bDcR6D_e69xbTN9r9L-9o","View Creative")</f>
        <v>View Creative</v>
      </c>
      <c r="L4470" s="4" t="s">
        <v>60</v>
      </c>
      <c r="M4470" s="4" t="s">
        <v>7013</v>
      </c>
      <c r="N4470" s="4" t="s">
        <v>7086</v>
      </c>
      <c r="O4470" s="4" t="s">
        <v>63</v>
      </c>
      <c r="P4470" s="4" t="s">
        <v>64</v>
      </c>
    </row>
    <row r="4471">
      <c r="A4471" s="4" t="s">
        <v>7013</v>
      </c>
      <c r="B4471" s="4" t="s">
        <v>7014</v>
      </c>
      <c r="C4471" s="4">
        <v>420.0</v>
      </c>
      <c r="D4471" s="5" t="str">
        <f t="shared" si="764"/>
        <v>Open Ad</v>
      </c>
      <c r="E4471" s="4" t="s">
        <v>78</v>
      </c>
      <c r="F4471" s="4" t="s">
        <v>6765</v>
      </c>
      <c r="G4471" s="4" t="s">
        <v>7090</v>
      </c>
      <c r="H4471" s="4" t="s">
        <v>49</v>
      </c>
      <c r="I4471" s="4" t="s">
        <v>7016</v>
      </c>
      <c r="J4471" s="4" t="s">
        <v>78</v>
      </c>
      <c r="K4471" s="7" t="str">
        <f t="shared" si="765"/>
        <v>View Creative</v>
      </c>
      <c r="L4471" s="4" t="s">
        <v>60</v>
      </c>
      <c r="M4471" s="4" t="s">
        <v>7013</v>
      </c>
      <c r="N4471" s="4" t="s">
        <v>7086</v>
      </c>
      <c r="O4471" s="4" t="s">
        <v>63</v>
      </c>
      <c r="P4471" s="4" t="s">
        <v>64</v>
      </c>
    </row>
    <row r="4472">
      <c r="A4472" s="4" t="s">
        <v>7013</v>
      </c>
      <c r="B4472" s="4" t="s">
        <v>7014</v>
      </c>
      <c r="C4472" s="4">
        <v>421.0</v>
      </c>
      <c r="D4472" s="5" t="str">
        <f t="shared" ref="D4472:D4473" si="766">HYPERLINK("https://www.linkedin.com/ad-library/detail/1150809484","Open Ad")</f>
        <v>Open Ad</v>
      </c>
      <c r="E4472" s="4" t="s">
        <v>78</v>
      </c>
      <c r="F4472" s="4" t="s">
        <v>6765</v>
      </c>
      <c r="G4472" s="4" t="s">
        <v>7085</v>
      </c>
      <c r="H4472" s="4" t="s">
        <v>49</v>
      </c>
      <c r="I4472" s="4" t="s">
        <v>7016</v>
      </c>
      <c r="J4472" s="4" t="s">
        <v>78</v>
      </c>
      <c r="K4472" s="7" t="str">
        <f t="shared" ref="K4472:K4473" si="767">HYPERLINK("https://media.licdn.com/dms/image/v2/D4E10AQHWBSAv8yIJ1Q/image-shrink_1280/B4EZybChrqIEAg-/0/1772127657140/Directory1AIVisibilityAgencyDirectorypng?e=2147483647&amp;v=beta&amp;t=GNhKLHJ19CMay96XBo6Nig-ruRSdoSKvl1ZlFYRysUM","View Creative")</f>
        <v>View Creative</v>
      </c>
      <c r="L4472" s="4" t="s">
        <v>60</v>
      </c>
      <c r="M4472" s="4" t="s">
        <v>7013</v>
      </c>
      <c r="N4472" s="4" t="s">
        <v>7086</v>
      </c>
      <c r="O4472" s="4" t="s">
        <v>63</v>
      </c>
      <c r="P4472" s="4" t="s">
        <v>64</v>
      </c>
    </row>
    <row r="4473">
      <c r="A4473" s="4" t="s">
        <v>7013</v>
      </c>
      <c r="B4473" s="4" t="s">
        <v>7014</v>
      </c>
      <c r="C4473" s="4">
        <v>422.0</v>
      </c>
      <c r="D4473" s="5" t="str">
        <f t="shared" si="766"/>
        <v>Open Ad</v>
      </c>
      <c r="E4473" s="4" t="s">
        <v>78</v>
      </c>
      <c r="F4473" s="4" t="s">
        <v>6765</v>
      </c>
      <c r="G4473" s="4" t="s">
        <v>7085</v>
      </c>
      <c r="H4473" s="4" t="s">
        <v>49</v>
      </c>
      <c r="I4473" s="4" t="s">
        <v>7016</v>
      </c>
      <c r="J4473" s="4" t="s">
        <v>78</v>
      </c>
      <c r="K4473" s="7" t="str">
        <f t="shared" si="767"/>
        <v>View Creative</v>
      </c>
      <c r="L4473" s="4" t="s">
        <v>60</v>
      </c>
      <c r="M4473" s="4" t="s">
        <v>7013</v>
      </c>
      <c r="N4473" s="4" t="s">
        <v>7086</v>
      </c>
      <c r="O4473" s="4" t="s">
        <v>63</v>
      </c>
      <c r="P4473" s="4" t="s">
        <v>64</v>
      </c>
    </row>
    <row r="4474">
      <c r="A4474" s="4" t="s">
        <v>7013</v>
      </c>
      <c r="B4474" s="4" t="s">
        <v>7014</v>
      </c>
      <c r="C4474" s="4">
        <v>423.0</v>
      </c>
      <c r="D4474" s="5" t="str">
        <f t="shared" ref="D4474:D4475" si="768">HYPERLINK("https://www.linkedin.com/ad-library/detail/1149910854","Open Ad")</f>
        <v>Open Ad</v>
      </c>
      <c r="E4474" s="4" t="s">
        <v>78</v>
      </c>
      <c r="F4474" s="4" t="s">
        <v>6765</v>
      </c>
      <c r="G4474" s="4" t="s">
        <v>7078</v>
      </c>
      <c r="H4474" s="4" t="s">
        <v>49</v>
      </c>
      <c r="I4474" s="4" t="s">
        <v>7016</v>
      </c>
      <c r="J4474" s="4" t="s">
        <v>78</v>
      </c>
      <c r="K4474" s="7" t="str">
        <f t="shared" ref="K4474:K4475" si="769">HYPERLINK("https://media.licdn.com/dms/image/v2/D4E10AQGxjTOn07fzcA/image-shrink_1280/B4EZybChtQKIAg-/0/1772127657278/Directory1FindTrustedAISearchExpertspng?e=2147483647&amp;v=beta&amp;t=aR8A0uldYLiXsowkszpzW6mgBZgZU3py0uDUqMekhdo","View Creative")</f>
        <v>View Creative</v>
      </c>
      <c r="L4474" s="4" t="s">
        <v>60</v>
      </c>
      <c r="M4474" s="4" t="s">
        <v>7013</v>
      </c>
      <c r="N4474" s="4" t="s">
        <v>7086</v>
      </c>
      <c r="O4474" s="4" t="s">
        <v>63</v>
      </c>
      <c r="P4474" s="4" t="s">
        <v>64</v>
      </c>
    </row>
    <row r="4475">
      <c r="A4475" s="4" t="s">
        <v>7013</v>
      </c>
      <c r="B4475" s="4" t="s">
        <v>7014</v>
      </c>
      <c r="C4475" s="4">
        <v>424.0</v>
      </c>
      <c r="D4475" s="5" t="str">
        <f t="shared" si="768"/>
        <v>Open Ad</v>
      </c>
      <c r="E4475" s="4" t="s">
        <v>78</v>
      </c>
      <c r="F4475" s="4" t="s">
        <v>6765</v>
      </c>
      <c r="G4475" s="4" t="s">
        <v>7078</v>
      </c>
      <c r="H4475" s="4" t="s">
        <v>49</v>
      </c>
      <c r="I4475" s="4" t="s">
        <v>7016</v>
      </c>
      <c r="J4475" s="4" t="s">
        <v>78</v>
      </c>
      <c r="K4475" s="7" t="str">
        <f t="shared" si="769"/>
        <v>View Creative</v>
      </c>
      <c r="L4475" s="4" t="s">
        <v>60</v>
      </c>
      <c r="M4475" s="4" t="s">
        <v>7013</v>
      </c>
      <c r="N4475" s="4" t="s">
        <v>7086</v>
      </c>
      <c r="O4475" s="4" t="s">
        <v>63</v>
      </c>
      <c r="P4475" s="4" t="s">
        <v>64</v>
      </c>
    </row>
    <row r="4476">
      <c r="A4476" s="4" t="s">
        <v>7013</v>
      </c>
      <c r="B4476" s="4" t="s">
        <v>7014</v>
      </c>
      <c r="C4476" s="4">
        <v>425.0</v>
      </c>
      <c r="D4476" s="5" t="str">
        <f t="shared" ref="D4476:D4477" si="770">HYPERLINK("https://www.linkedin.com/ad-library/detail/1149110584","Open Ad")</f>
        <v>Open Ad</v>
      </c>
      <c r="E4476" s="4" t="s">
        <v>78</v>
      </c>
      <c r="F4476" s="4" t="s">
        <v>6765</v>
      </c>
      <c r="G4476" s="4" t="s">
        <v>7089</v>
      </c>
      <c r="H4476" s="4" t="s">
        <v>49</v>
      </c>
      <c r="I4476" s="4" t="s">
        <v>7016</v>
      </c>
      <c r="J4476" s="4" t="s">
        <v>78</v>
      </c>
      <c r="K4476" s="7" t="str">
        <f t="shared" ref="K4476:K4477" si="771">HYPERLINK("https://media.licdn.com/dms/image/v2/D4E10AQHRCGOPh43vUQ/image-shrink_1280/B4EZybCoqaGsAc-/0/1772127686008/Directory3FindTrustedAISearchExpertspng?e=2147483647&amp;v=beta&amp;t=deb9Vu57y6uAoG3vF1CvnEoPwvQwnu2_BtLte3bXNSg","View Creative")</f>
        <v>View Creative</v>
      </c>
      <c r="L4476" s="4" t="s">
        <v>60</v>
      </c>
      <c r="M4476" s="4" t="s">
        <v>7013</v>
      </c>
      <c r="N4476" s="4" t="s">
        <v>7094</v>
      </c>
      <c r="O4476" s="4" t="s">
        <v>63</v>
      </c>
      <c r="P4476" s="4" t="s">
        <v>64</v>
      </c>
    </row>
    <row r="4477">
      <c r="A4477" s="4" t="s">
        <v>7013</v>
      </c>
      <c r="B4477" s="4" t="s">
        <v>7014</v>
      </c>
      <c r="C4477" s="4">
        <v>426.0</v>
      </c>
      <c r="D4477" s="5" t="str">
        <f t="shared" si="770"/>
        <v>Open Ad</v>
      </c>
      <c r="E4477" s="4" t="s">
        <v>78</v>
      </c>
      <c r="F4477" s="4" t="s">
        <v>6765</v>
      </c>
      <c r="G4477" s="4" t="s">
        <v>7089</v>
      </c>
      <c r="H4477" s="4" t="s">
        <v>49</v>
      </c>
      <c r="I4477" s="4" t="s">
        <v>7016</v>
      </c>
      <c r="J4477" s="4" t="s">
        <v>78</v>
      </c>
      <c r="K4477" s="7" t="str">
        <f t="shared" si="771"/>
        <v>View Creative</v>
      </c>
      <c r="L4477" s="4" t="s">
        <v>60</v>
      </c>
      <c r="M4477" s="4" t="s">
        <v>7013</v>
      </c>
      <c r="N4477" s="4" t="s">
        <v>7094</v>
      </c>
      <c r="O4477" s="4" t="s">
        <v>63</v>
      </c>
      <c r="P4477" s="4" t="s">
        <v>64</v>
      </c>
    </row>
    <row r="4478">
      <c r="A4478" s="4" t="s">
        <v>7013</v>
      </c>
      <c r="B4478" s="4" t="s">
        <v>7014</v>
      </c>
      <c r="C4478" s="4">
        <v>427.0</v>
      </c>
      <c r="D4478" s="5" t="str">
        <f t="shared" ref="D4478:D4479" si="772">HYPERLINK("https://www.linkedin.com/ad-library/detail/1149110594","Open Ad")</f>
        <v>Open Ad</v>
      </c>
      <c r="E4478" s="4" t="s">
        <v>78</v>
      </c>
      <c r="F4478" s="4" t="s">
        <v>6765</v>
      </c>
      <c r="G4478" s="4" t="s">
        <v>7080</v>
      </c>
      <c r="H4478" s="4" t="s">
        <v>49</v>
      </c>
      <c r="I4478" s="4" t="s">
        <v>7016</v>
      </c>
      <c r="J4478" s="4" t="s">
        <v>78</v>
      </c>
      <c r="K4478" s="7" t="str">
        <f t="shared" ref="K4478:K4479" si="773">HYPERLINK("https://media.licdn.com/dms/image/v2/D4E10AQFh3wRxQvxaHQ/image-shrink_1280/B4EZybCootIEAc-/0/1772127685632/Directory3AIVisibilityAgencyDirectorypng?e=2147483647&amp;v=beta&amp;t=M1uiPNOy86K4MsoZ3jwd4aJvyNEBdZcCGNZCw8tfIyo","View Creative")</f>
        <v>View Creative</v>
      </c>
      <c r="L4478" s="4" t="s">
        <v>60</v>
      </c>
      <c r="M4478" s="4" t="s">
        <v>7013</v>
      </c>
      <c r="N4478" s="4" t="s">
        <v>7086</v>
      </c>
      <c r="O4478" s="4" t="s">
        <v>63</v>
      </c>
      <c r="P4478" s="4" t="s">
        <v>64</v>
      </c>
    </row>
    <row r="4479">
      <c r="A4479" s="4" t="s">
        <v>7013</v>
      </c>
      <c r="B4479" s="4" t="s">
        <v>7014</v>
      </c>
      <c r="C4479" s="4">
        <v>428.0</v>
      </c>
      <c r="D4479" s="5" t="str">
        <f t="shared" si="772"/>
        <v>Open Ad</v>
      </c>
      <c r="E4479" s="4" t="s">
        <v>78</v>
      </c>
      <c r="F4479" s="4" t="s">
        <v>6765</v>
      </c>
      <c r="G4479" s="4" t="s">
        <v>7080</v>
      </c>
      <c r="H4479" s="4" t="s">
        <v>49</v>
      </c>
      <c r="I4479" s="4" t="s">
        <v>7016</v>
      </c>
      <c r="J4479" s="4" t="s">
        <v>78</v>
      </c>
      <c r="K4479" s="7" t="str">
        <f t="shared" si="773"/>
        <v>View Creative</v>
      </c>
      <c r="L4479" s="4" t="s">
        <v>60</v>
      </c>
      <c r="M4479" s="4" t="s">
        <v>7013</v>
      </c>
      <c r="N4479" s="4" t="s">
        <v>7086</v>
      </c>
      <c r="O4479" s="4" t="s">
        <v>63</v>
      </c>
      <c r="P4479" s="4" t="s">
        <v>64</v>
      </c>
    </row>
    <row r="4480">
      <c r="A4480" s="4" t="s">
        <v>7013</v>
      </c>
      <c r="B4480" s="4" t="s">
        <v>7014</v>
      </c>
      <c r="C4480" s="4">
        <v>429.0</v>
      </c>
      <c r="D4480" s="5" t="str">
        <f t="shared" ref="D4480:D4481" si="774">HYPERLINK("https://www.linkedin.com/ad-library/detail/1150301874","Open Ad")</f>
        <v>Open Ad</v>
      </c>
      <c r="E4480" s="4" t="s">
        <v>78</v>
      </c>
      <c r="F4480" s="4" t="s">
        <v>6765</v>
      </c>
      <c r="G4480" s="4" t="s">
        <v>7074</v>
      </c>
      <c r="H4480" s="4" t="s">
        <v>49</v>
      </c>
      <c r="I4480" s="4" t="s">
        <v>7016</v>
      </c>
      <c r="J4480" s="4" t="s">
        <v>78</v>
      </c>
      <c r="K4480" s="7" t="str">
        <f t="shared" ref="K4480:K4481" si="775">HYPERLINK("https://media.licdn.com/dms/image/v2/D4E10AQGtKok9G8Co_w/image-shrink_1280/B4EZybCoR6GYAc-/0/1772127684186/Directory1GetExpertHelpforAISearchpng?e=2147483647&amp;v=beta&amp;t=yrXbbpw2S9-81UaSPTZiQy5YHeY24f0r4iwEMY9FO9E","View Creative")</f>
        <v>View Creative</v>
      </c>
      <c r="L4480" s="4" t="s">
        <v>60</v>
      </c>
      <c r="M4480" s="4" t="s">
        <v>7013</v>
      </c>
      <c r="N4480" s="4"/>
      <c r="O4480" s="4" t="s">
        <v>63</v>
      </c>
      <c r="P4480" s="4" t="s">
        <v>64</v>
      </c>
    </row>
    <row r="4481">
      <c r="A4481" s="4" t="s">
        <v>7013</v>
      </c>
      <c r="B4481" s="4" t="s">
        <v>7014</v>
      </c>
      <c r="C4481" s="4">
        <v>430.0</v>
      </c>
      <c r="D4481" s="5" t="str">
        <f t="shared" si="774"/>
        <v>Open Ad</v>
      </c>
      <c r="E4481" s="4" t="s">
        <v>78</v>
      </c>
      <c r="F4481" s="4" t="s">
        <v>6765</v>
      </c>
      <c r="G4481" s="4" t="s">
        <v>7074</v>
      </c>
      <c r="H4481" s="4" t="s">
        <v>49</v>
      </c>
      <c r="I4481" s="4" t="s">
        <v>7016</v>
      </c>
      <c r="J4481" s="4" t="s">
        <v>78</v>
      </c>
      <c r="K4481" s="7" t="str">
        <f t="shared" si="775"/>
        <v>View Creative</v>
      </c>
      <c r="L4481" s="4" t="s">
        <v>60</v>
      </c>
      <c r="M4481" s="4" t="s">
        <v>7013</v>
      </c>
      <c r="N4481" s="4"/>
      <c r="O4481" s="4" t="s">
        <v>63</v>
      </c>
      <c r="P4481" s="4" t="s">
        <v>64</v>
      </c>
    </row>
    <row r="4482">
      <c r="A4482" s="4" t="s">
        <v>7013</v>
      </c>
      <c r="B4482" s="4" t="s">
        <v>7014</v>
      </c>
      <c r="C4482" s="4">
        <v>431.0</v>
      </c>
      <c r="D4482" s="5" t="str">
        <f t="shared" ref="D4482:D4483" si="776">HYPERLINK("https://www.linkedin.com/ad-library/detail/1149310094","Open Ad")</f>
        <v>Open Ad</v>
      </c>
      <c r="E4482" s="4" t="s">
        <v>78</v>
      </c>
      <c r="F4482" s="4" t="s">
        <v>6765</v>
      </c>
      <c r="G4482" s="4" t="s">
        <v>7089</v>
      </c>
      <c r="H4482" s="4" t="s">
        <v>49</v>
      </c>
      <c r="I4482" s="4" t="s">
        <v>7016</v>
      </c>
      <c r="J4482" s="4" t="s">
        <v>78</v>
      </c>
      <c r="K4482" s="7" t="str">
        <f t="shared" ref="K4482:K4483" si="777">HYPERLINK("https://media.licdn.com/dms/image/v2/D4E10AQHRCGOPh43vUQ/image-shrink_1280/B4EZybCoqaGsAc-/0/1772127686008/Directory3FindTrustedAISearchExpertspng?e=2147483647&amp;v=beta&amp;t=deb9Vu57y6uAoG3vF1CvnEoPwvQwnu2_BtLte3bXNSg","View Creative")</f>
        <v>View Creative</v>
      </c>
      <c r="L4482" s="4" t="s">
        <v>60</v>
      </c>
      <c r="M4482" s="4" t="s">
        <v>7013</v>
      </c>
      <c r="N4482" s="4" t="s">
        <v>7086</v>
      </c>
      <c r="O4482" s="4" t="s">
        <v>63</v>
      </c>
      <c r="P4482" s="4" t="s">
        <v>64</v>
      </c>
    </row>
    <row r="4483">
      <c r="A4483" s="4" t="s">
        <v>7013</v>
      </c>
      <c r="B4483" s="4" t="s">
        <v>7014</v>
      </c>
      <c r="C4483" s="4">
        <v>432.0</v>
      </c>
      <c r="D4483" s="5" t="str">
        <f t="shared" si="776"/>
        <v>Open Ad</v>
      </c>
      <c r="E4483" s="4" t="s">
        <v>78</v>
      </c>
      <c r="F4483" s="4" t="s">
        <v>6765</v>
      </c>
      <c r="G4483" s="4" t="s">
        <v>7089</v>
      </c>
      <c r="H4483" s="4" t="s">
        <v>49</v>
      </c>
      <c r="I4483" s="4" t="s">
        <v>7016</v>
      </c>
      <c r="J4483" s="4" t="s">
        <v>78</v>
      </c>
      <c r="K4483" s="7" t="str">
        <f t="shared" si="777"/>
        <v>View Creative</v>
      </c>
      <c r="L4483" s="4" t="s">
        <v>60</v>
      </c>
      <c r="M4483" s="4" t="s">
        <v>7013</v>
      </c>
      <c r="N4483" s="4" t="s">
        <v>7086</v>
      </c>
      <c r="O4483" s="4" t="s">
        <v>63</v>
      </c>
      <c r="P4483" s="4" t="s">
        <v>64</v>
      </c>
    </row>
    <row r="4484">
      <c r="A4484" s="4" t="s">
        <v>7013</v>
      </c>
      <c r="B4484" s="4" t="s">
        <v>7014</v>
      </c>
      <c r="C4484" s="4">
        <v>433.0</v>
      </c>
      <c r="D4484" s="5" t="str">
        <f t="shared" ref="D4484:D4485" si="778">HYPERLINK("https://www.linkedin.com/ad-library/detail/1150708194","Open Ad")</f>
        <v>Open Ad</v>
      </c>
      <c r="E4484" s="4" t="s">
        <v>78</v>
      </c>
      <c r="F4484" s="4" t="s">
        <v>6765</v>
      </c>
      <c r="G4484" s="4" t="s">
        <v>7074</v>
      </c>
      <c r="H4484" s="4" t="s">
        <v>49</v>
      </c>
      <c r="I4484" s="4" t="s">
        <v>7016</v>
      </c>
      <c r="J4484" s="4" t="s">
        <v>78</v>
      </c>
      <c r="K4484" s="7" t="str">
        <f t="shared" ref="K4484:K4485" si="779">HYPERLINK("https://media.licdn.com/dms/image/v2/D4E10AQGtKok9G8Co_w/image-shrink_1280/B4EZybCoR6GYAc-/0/1772127684186/Directory1GetExpertHelpforAISearchpng?e=2147483647&amp;v=beta&amp;t=yrXbbpw2S9-81UaSPTZiQy5YHeY24f0r4iwEMY9FO9E","View Creative")</f>
        <v>View Creative</v>
      </c>
      <c r="L4484" s="4" t="s">
        <v>60</v>
      </c>
      <c r="M4484" s="4" t="s">
        <v>7013</v>
      </c>
      <c r="N4484" s="4" t="s">
        <v>7086</v>
      </c>
      <c r="O4484" s="4" t="s">
        <v>63</v>
      </c>
      <c r="P4484" s="4" t="s">
        <v>64</v>
      </c>
    </row>
    <row r="4485">
      <c r="A4485" s="4" t="s">
        <v>7013</v>
      </c>
      <c r="B4485" s="4" t="s">
        <v>7014</v>
      </c>
      <c r="C4485" s="4">
        <v>434.0</v>
      </c>
      <c r="D4485" s="5" t="str">
        <f t="shared" si="778"/>
        <v>Open Ad</v>
      </c>
      <c r="E4485" s="4" t="s">
        <v>78</v>
      </c>
      <c r="F4485" s="4" t="s">
        <v>6765</v>
      </c>
      <c r="G4485" s="4" t="s">
        <v>7074</v>
      </c>
      <c r="H4485" s="4" t="s">
        <v>49</v>
      </c>
      <c r="I4485" s="4" t="s">
        <v>7016</v>
      </c>
      <c r="J4485" s="4" t="s">
        <v>78</v>
      </c>
      <c r="K4485" s="7" t="str">
        <f t="shared" si="779"/>
        <v>View Creative</v>
      </c>
      <c r="L4485" s="4" t="s">
        <v>60</v>
      </c>
      <c r="M4485" s="4" t="s">
        <v>7013</v>
      </c>
      <c r="N4485" s="4" t="s">
        <v>7086</v>
      </c>
      <c r="O4485" s="4" t="s">
        <v>63</v>
      </c>
      <c r="P4485" s="4" t="s">
        <v>64</v>
      </c>
    </row>
    <row r="4486">
      <c r="A4486" s="4" t="s">
        <v>7013</v>
      </c>
      <c r="B4486" s="4" t="s">
        <v>7014</v>
      </c>
      <c r="C4486" s="4">
        <v>435.0</v>
      </c>
      <c r="D4486" s="5" t="str">
        <f t="shared" ref="D4486:D4487" si="780">HYPERLINK("https://www.linkedin.com/ad-library/detail/1150602384","Open Ad")</f>
        <v>Open Ad</v>
      </c>
      <c r="E4486" s="4" t="s">
        <v>78</v>
      </c>
      <c r="F4486" s="4" t="s">
        <v>6765</v>
      </c>
      <c r="G4486" s="4" t="s">
        <v>7085</v>
      </c>
      <c r="H4486" s="4" t="s">
        <v>49</v>
      </c>
      <c r="I4486" s="4" t="s">
        <v>7016</v>
      </c>
      <c r="J4486" s="4" t="s">
        <v>78</v>
      </c>
      <c r="K4486" s="7" t="str">
        <f t="shared" ref="K4486:K4487" si="781">HYPERLINK("https://media.licdn.com/dms/image/v2/D4E10AQHWBSAv8yIJ1Q/image-shrink_1280/B4EZybChrqIEAg-/0/1772127657140/Directory1AIVisibilityAgencyDirectorypng?e=2147483647&amp;v=beta&amp;t=GNhKLHJ19CMay96XBo6Nig-ruRSdoSKvl1ZlFYRysUM","View Creative")</f>
        <v>View Creative</v>
      </c>
      <c r="L4486" s="4" t="s">
        <v>60</v>
      </c>
      <c r="M4486" s="4" t="s">
        <v>7013</v>
      </c>
      <c r="N4486" s="4"/>
      <c r="O4486" s="4" t="s">
        <v>63</v>
      </c>
      <c r="P4486" s="4" t="s">
        <v>64</v>
      </c>
    </row>
    <row r="4487">
      <c r="A4487" s="4" t="s">
        <v>7013</v>
      </c>
      <c r="B4487" s="4" t="s">
        <v>7014</v>
      </c>
      <c r="C4487" s="4">
        <v>436.0</v>
      </c>
      <c r="D4487" s="5" t="str">
        <f t="shared" si="780"/>
        <v>Open Ad</v>
      </c>
      <c r="E4487" s="4" t="s">
        <v>78</v>
      </c>
      <c r="F4487" s="4" t="s">
        <v>6765</v>
      </c>
      <c r="G4487" s="4" t="s">
        <v>7085</v>
      </c>
      <c r="H4487" s="4" t="s">
        <v>49</v>
      </c>
      <c r="I4487" s="4" t="s">
        <v>7016</v>
      </c>
      <c r="J4487" s="4" t="s">
        <v>78</v>
      </c>
      <c r="K4487" s="7" t="str">
        <f t="shared" si="781"/>
        <v>View Creative</v>
      </c>
      <c r="L4487" s="4" t="s">
        <v>60</v>
      </c>
      <c r="M4487" s="4" t="s">
        <v>7013</v>
      </c>
      <c r="N4487" s="4"/>
      <c r="O4487" s="4" t="s">
        <v>63</v>
      </c>
      <c r="P4487" s="4" t="s">
        <v>64</v>
      </c>
    </row>
    <row r="4488">
      <c r="A4488" s="4" t="s">
        <v>7013</v>
      </c>
      <c r="B4488" s="4" t="s">
        <v>7014</v>
      </c>
      <c r="C4488" s="4">
        <v>437.0</v>
      </c>
      <c r="D4488" s="5" t="str">
        <f t="shared" ref="D4488:D4489" si="782">HYPERLINK("https://www.linkedin.com/ad-library/detail/1150602374","Open Ad")</f>
        <v>Open Ad</v>
      </c>
      <c r="E4488" s="4" t="s">
        <v>78</v>
      </c>
      <c r="F4488" s="4" t="s">
        <v>6765</v>
      </c>
      <c r="G4488" s="4" t="s">
        <v>7090</v>
      </c>
      <c r="H4488" s="4" t="s">
        <v>49</v>
      </c>
      <c r="I4488" s="4" t="s">
        <v>7016</v>
      </c>
      <c r="J4488" s="4" t="s">
        <v>78</v>
      </c>
      <c r="K4488" s="7" t="str">
        <f t="shared" ref="K4488:K4489" si="783">HYPERLINK("https://media.licdn.com/dms/image/v2/D4E10AQEujPuW92_whg/image-shrink_1280/B4EZybChqwHMAc-/0/1772127657019/Directory2AIVisibilityAgencyDirectorypng?e=2147483647&amp;v=beta&amp;t=Z6MAKWzMej5_jYQRlmJ4y7bDcR6D_e69xbTN9r9L-9o","View Creative")</f>
        <v>View Creative</v>
      </c>
      <c r="L4488" s="4" t="s">
        <v>60</v>
      </c>
      <c r="M4488" s="4" t="s">
        <v>7013</v>
      </c>
      <c r="N4488" s="4"/>
      <c r="O4488" s="4" t="s">
        <v>63</v>
      </c>
      <c r="P4488" s="4" t="s">
        <v>64</v>
      </c>
    </row>
    <row r="4489">
      <c r="A4489" s="4" t="s">
        <v>7013</v>
      </c>
      <c r="B4489" s="4" t="s">
        <v>7014</v>
      </c>
      <c r="C4489" s="4">
        <v>438.0</v>
      </c>
      <c r="D4489" s="5" t="str">
        <f t="shared" si="782"/>
        <v>Open Ad</v>
      </c>
      <c r="E4489" s="4" t="s">
        <v>78</v>
      </c>
      <c r="F4489" s="4" t="s">
        <v>6765</v>
      </c>
      <c r="G4489" s="4" t="s">
        <v>7090</v>
      </c>
      <c r="H4489" s="4" t="s">
        <v>49</v>
      </c>
      <c r="I4489" s="4" t="s">
        <v>7016</v>
      </c>
      <c r="J4489" s="4" t="s">
        <v>78</v>
      </c>
      <c r="K4489" s="7" t="str">
        <f t="shared" si="783"/>
        <v>View Creative</v>
      </c>
      <c r="L4489" s="4" t="s">
        <v>60</v>
      </c>
      <c r="M4489" s="4" t="s">
        <v>7013</v>
      </c>
      <c r="N4489" s="4"/>
      <c r="O4489" s="4" t="s">
        <v>63</v>
      </c>
      <c r="P4489" s="4" t="s">
        <v>64</v>
      </c>
    </row>
    <row r="4490">
      <c r="A4490" s="4" t="s">
        <v>7013</v>
      </c>
      <c r="B4490" s="4" t="s">
        <v>7014</v>
      </c>
      <c r="C4490" s="4">
        <v>439.0</v>
      </c>
      <c r="D4490" s="5" t="str">
        <f t="shared" ref="D4490:D4491" si="784">HYPERLINK("https://www.linkedin.com/ad-library/detail/1150202024","Open Ad")</f>
        <v>Open Ad</v>
      </c>
      <c r="E4490" s="4" t="s">
        <v>78</v>
      </c>
      <c r="F4490" s="4" t="s">
        <v>6765</v>
      </c>
      <c r="G4490" s="4" t="s">
        <v>7085</v>
      </c>
      <c r="H4490" s="4" t="s">
        <v>49</v>
      </c>
      <c r="I4490" s="4" t="s">
        <v>7016</v>
      </c>
      <c r="J4490" s="4" t="s">
        <v>78</v>
      </c>
      <c r="K4490" s="7" t="str">
        <f t="shared" ref="K4490:K4491" si="785">HYPERLINK("https://media.licdn.com/dms/image/v2/D4E10AQHWBSAv8yIJ1Q/image-shrink_1280/B4EZybChrqIEAg-/0/1772127657140/Directory1AIVisibilityAgencyDirectorypng?e=2147483647&amp;v=beta&amp;t=GNhKLHJ19CMay96XBo6Nig-ruRSdoSKvl1ZlFYRysUM","View Creative")</f>
        <v>View Creative</v>
      </c>
      <c r="L4490" s="4" t="s">
        <v>60</v>
      </c>
      <c r="M4490" s="4" t="s">
        <v>7013</v>
      </c>
      <c r="N4490" s="4"/>
      <c r="O4490" s="4" t="s">
        <v>63</v>
      </c>
      <c r="P4490" s="4" t="s">
        <v>64</v>
      </c>
    </row>
    <row r="4491">
      <c r="A4491" s="4" t="s">
        <v>7013</v>
      </c>
      <c r="B4491" s="4" t="s">
        <v>7014</v>
      </c>
      <c r="C4491" s="4">
        <v>440.0</v>
      </c>
      <c r="D4491" s="5" t="str">
        <f t="shared" si="784"/>
        <v>Open Ad</v>
      </c>
      <c r="E4491" s="4" t="s">
        <v>78</v>
      </c>
      <c r="F4491" s="4" t="s">
        <v>6765</v>
      </c>
      <c r="G4491" s="4" t="s">
        <v>7085</v>
      </c>
      <c r="H4491" s="4" t="s">
        <v>49</v>
      </c>
      <c r="I4491" s="4" t="s">
        <v>7016</v>
      </c>
      <c r="J4491" s="4" t="s">
        <v>78</v>
      </c>
      <c r="K4491" s="7" t="str">
        <f t="shared" si="785"/>
        <v>View Creative</v>
      </c>
      <c r="L4491" s="4" t="s">
        <v>60</v>
      </c>
      <c r="M4491" s="4" t="s">
        <v>7013</v>
      </c>
      <c r="N4491" s="4"/>
      <c r="O4491" s="4" t="s">
        <v>63</v>
      </c>
      <c r="P4491" s="4" t="s">
        <v>64</v>
      </c>
    </row>
    <row r="4492">
      <c r="A4492" s="4" t="s">
        <v>7013</v>
      </c>
      <c r="B4492" s="4" t="s">
        <v>7014</v>
      </c>
      <c r="C4492" s="4">
        <v>441.0</v>
      </c>
      <c r="D4492" s="5" t="str">
        <f t="shared" ref="D4492:D4493" si="786">HYPERLINK("https://www.linkedin.com/ad-library/detail/1150589354","Open Ad")</f>
        <v>Open Ad</v>
      </c>
      <c r="E4492" s="4" t="s">
        <v>78</v>
      </c>
      <c r="F4492" s="4" t="s">
        <v>6765</v>
      </c>
      <c r="G4492" s="4" t="s">
        <v>7091</v>
      </c>
      <c r="H4492" s="4" t="s">
        <v>49</v>
      </c>
      <c r="I4492" s="4" t="s">
        <v>7016</v>
      </c>
      <c r="J4492" s="4" t="s">
        <v>78</v>
      </c>
      <c r="K4492" s="7" t="str">
        <f t="shared" ref="K4492:K4493" si="787">HYPERLINK("https://media.licdn.com/dms/image/v2/D4E10AQEmkDLD4X437g/image-shrink_1280/B4EZyMRzsbKcAc-/0/1771880004998/ActionTracker4MeetActionspng?e=2147483647&amp;v=beta&amp;t=kBgjNRWbWwLkMbleB2r9e5Py7gwb2WX7uk3InZ1YbS8","View Creative")</f>
        <v>View Creative</v>
      </c>
      <c r="L4492" s="4" t="s">
        <v>60</v>
      </c>
      <c r="M4492" s="4" t="s">
        <v>7013</v>
      </c>
      <c r="N4492" s="4" t="s">
        <v>7095</v>
      </c>
      <c r="O4492" s="4" t="s">
        <v>63</v>
      </c>
      <c r="P4492" s="4" t="s">
        <v>64</v>
      </c>
    </row>
    <row r="4493">
      <c r="A4493" s="4" t="s">
        <v>7013</v>
      </c>
      <c r="B4493" s="4" t="s">
        <v>7014</v>
      </c>
      <c r="C4493" s="4">
        <v>442.0</v>
      </c>
      <c r="D4493" s="5" t="str">
        <f t="shared" si="786"/>
        <v>Open Ad</v>
      </c>
      <c r="E4493" s="4" t="s">
        <v>78</v>
      </c>
      <c r="F4493" s="4" t="s">
        <v>6765</v>
      </c>
      <c r="G4493" s="4" t="s">
        <v>7091</v>
      </c>
      <c r="H4493" s="4" t="s">
        <v>49</v>
      </c>
      <c r="I4493" s="4" t="s">
        <v>7016</v>
      </c>
      <c r="J4493" s="4" t="s">
        <v>78</v>
      </c>
      <c r="K4493" s="7" t="str">
        <f t="shared" si="787"/>
        <v>View Creative</v>
      </c>
      <c r="L4493" s="4" t="s">
        <v>60</v>
      </c>
      <c r="M4493" s="4" t="s">
        <v>7013</v>
      </c>
      <c r="N4493" s="4" t="s">
        <v>7095</v>
      </c>
      <c r="O4493" s="4" t="s">
        <v>63</v>
      </c>
      <c r="P4493" s="4" t="s">
        <v>64</v>
      </c>
    </row>
    <row r="4494">
      <c r="A4494" s="4" t="s">
        <v>7013</v>
      </c>
      <c r="B4494" s="4" t="s">
        <v>7014</v>
      </c>
      <c r="C4494" s="4">
        <v>443.0</v>
      </c>
      <c r="D4494" s="5" t="str">
        <f t="shared" ref="D4494:D4495" si="788">HYPERLINK("https://www.linkedin.com/ad-library/detail/1149702384","Open Ad")</f>
        <v>Open Ad</v>
      </c>
      <c r="E4494" s="4" t="s">
        <v>78</v>
      </c>
      <c r="F4494" s="4" t="s">
        <v>6765</v>
      </c>
      <c r="G4494" s="4" t="s">
        <v>7077</v>
      </c>
      <c r="H4494" s="4" t="s">
        <v>49</v>
      </c>
      <c r="I4494" s="4" t="s">
        <v>7016</v>
      </c>
      <c r="J4494" s="4" t="s">
        <v>78</v>
      </c>
      <c r="K4494" s="7" t="str">
        <f t="shared" ref="K4494:K4495" si="789">HYPERLINK("https://media.licdn.com/dms/image/v2/D4E10AQHXCJsPgcZ4_w/image-shrink_1280/B4EZybCon0JgAg-/0/1772127685657/Directory3GetExpertHelpforAISearchpng?e=2147483647&amp;v=beta&amp;t=HfUSY3XU6uwbZY8wgAX7_lRR7s287cOzcCtZklwj4H0","View Creative")</f>
        <v>View Creative</v>
      </c>
      <c r="L4494" s="4" t="s">
        <v>60</v>
      </c>
      <c r="M4494" s="4" t="s">
        <v>7013</v>
      </c>
      <c r="N4494" s="4"/>
      <c r="O4494" s="4" t="s">
        <v>63</v>
      </c>
      <c r="P4494" s="4" t="s">
        <v>64</v>
      </c>
    </row>
    <row r="4495">
      <c r="A4495" s="4" t="s">
        <v>7013</v>
      </c>
      <c r="B4495" s="4" t="s">
        <v>7014</v>
      </c>
      <c r="C4495" s="4">
        <v>444.0</v>
      </c>
      <c r="D4495" s="5" t="str">
        <f t="shared" si="788"/>
        <v>Open Ad</v>
      </c>
      <c r="E4495" s="4" t="s">
        <v>78</v>
      </c>
      <c r="F4495" s="4" t="s">
        <v>6765</v>
      </c>
      <c r="G4495" s="4" t="s">
        <v>7077</v>
      </c>
      <c r="H4495" s="4" t="s">
        <v>49</v>
      </c>
      <c r="I4495" s="4" t="s">
        <v>7016</v>
      </c>
      <c r="J4495" s="4" t="s">
        <v>78</v>
      </c>
      <c r="K4495" s="7" t="str">
        <f t="shared" si="789"/>
        <v>View Creative</v>
      </c>
      <c r="L4495" s="4" t="s">
        <v>60</v>
      </c>
      <c r="M4495" s="4" t="s">
        <v>7013</v>
      </c>
      <c r="N4495" s="4"/>
      <c r="O4495" s="4" t="s">
        <v>63</v>
      </c>
      <c r="P4495" s="4" t="s">
        <v>64</v>
      </c>
    </row>
    <row r="4496">
      <c r="A4496" s="4" t="s">
        <v>7013</v>
      </c>
      <c r="B4496" s="4" t="s">
        <v>7014</v>
      </c>
      <c r="C4496" s="4">
        <v>445.0</v>
      </c>
      <c r="D4496" s="5" t="str">
        <f t="shared" ref="D4496:D4497" si="790">HYPERLINK("https://www.linkedin.com/ad-library/detail/1150488864","Open Ad")</f>
        <v>Open Ad</v>
      </c>
      <c r="E4496" s="4" t="s">
        <v>78</v>
      </c>
      <c r="F4496" s="4" t="s">
        <v>6765</v>
      </c>
      <c r="G4496" s="4" t="s">
        <v>7087</v>
      </c>
      <c r="H4496" s="4" t="s">
        <v>49</v>
      </c>
      <c r="I4496" s="4" t="s">
        <v>7016</v>
      </c>
      <c r="J4496" s="4" t="s">
        <v>78</v>
      </c>
      <c r="K4496" s="7" t="str">
        <f t="shared" ref="K4496:K4497" si="791">HYPERLINK("https://media.licdn.com/dms/image/v2/D4E10AQE2-Q-XQyh4jQ/image-shrink_1280/B4EZyMSYfcGkAc-/0/1771880155697/Revolut1YourAIvisibilitymetricsnowcomewithnextstepspng?e=2147483647&amp;v=beta&amp;t=LKmS_a81BSZ-NPd8l1zFFSH_lc6bELzX32H4-DFcGM0","View Creative")</f>
        <v>View Creative</v>
      </c>
      <c r="L4496" s="4" t="s">
        <v>60</v>
      </c>
      <c r="M4496" s="4" t="s">
        <v>7013</v>
      </c>
      <c r="N4496" s="4" t="s">
        <v>7095</v>
      </c>
      <c r="O4496" s="4" t="s">
        <v>63</v>
      </c>
      <c r="P4496" s="4" t="s">
        <v>64</v>
      </c>
    </row>
    <row r="4497">
      <c r="A4497" s="4" t="s">
        <v>7013</v>
      </c>
      <c r="B4497" s="4" t="s">
        <v>7014</v>
      </c>
      <c r="C4497" s="4">
        <v>446.0</v>
      </c>
      <c r="D4497" s="5" t="str">
        <f t="shared" si="790"/>
        <v>Open Ad</v>
      </c>
      <c r="E4497" s="4" t="s">
        <v>78</v>
      </c>
      <c r="F4497" s="4" t="s">
        <v>6765</v>
      </c>
      <c r="G4497" s="4" t="s">
        <v>7087</v>
      </c>
      <c r="H4497" s="4" t="s">
        <v>49</v>
      </c>
      <c r="I4497" s="4" t="s">
        <v>7016</v>
      </c>
      <c r="J4497" s="4" t="s">
        <v>78</v>
      </c>
      <c r="K4497" s="7" t="str">
        <f t="shared" si="791"/>
        <v>View Creative</v>
      </c>
      <c r="L4497" s="4" t="s">
        <v>60</v>
      </c>
      <c r="M4497" s="4" t="s">
        <v>7013</v>
      </c>
      <c r="N4497" s="4" t="s">
        <v>7095</v>
      </c>
      <c r="O4497" s="4" t="s">
        <v>63</v>
      </c>
      <c r="P4497" s="4" t="s">
        <v>64</v>
      </c>
    </row>
    <row r="4498">
      <c r="A4498" s="4" t="s">
        <v>7013</v>
      </c>
      <c r="B4498" s="4" t="s">
        <v>7014</v>
      </c>
      <c r="C4498" s="4">
        <v>447.0</v>
      </c>
      <c r="D4498" s="5" t="str">
        <f t="shared" ref="D4498:D4499" si="792">HYPERLINK("https://www.linkedin.com/ad-library/detail/1148901484","Open Ad")</f>
        <v>Open Ad</v>
      </c>
      <c r="E4498" s="4" t="s">
        <v>78</v>
      </c>
      <c r="F4498" s="4" t="s">
        <v>6765</v>
      </c>
      <c r="G4498" s="4" t="s">
        <v>7078</v>
      </c>
      <c r="H4498" s="4" t="s">
        <v>49</v>
      </c>
      <c r="I4498" s="4" t="s">
        <v>7016</v>
      </c>
      <c r="J4498" s="4" t="s">
        <v>78</v>
      </c>
      <c r="K4498" s="7" t="str">
        <f t="shared" ref="K4498:K4499" si="793">HYPERLINK("https://media.licdn.com/dms/image/v2/D4E10AQENGNql_Hfi3w/image-shrink_1280/B4EZybChuMHkAc-/0/1772127657303/Directory2GetExpertHelpforAISearchpng?e=2147483647&amp;v=beta&amp;t=N05A1GpFf-MaOO-coxz8xvXUeDa3TTrq2hacW3d7_j4","View Creative")</f>
        <v>View Creative</v>
      </c>
      <c r="L4498" s="4" t="s">
        <v>60</v>
      </c>
      <c r="M4498" s="4" t="s">
        <v>7013</v>
      </c>
      <c r="N4498" s="4"/>
      <c r="O4498" s="4" t="s">
        <v>63</v>
      </c>
      <c r="P4498" s="4" t="s">
        <v>64</v>
      </c>
    </row>
    <row r="4499">
      <c r="A4499" s="4" t="s">
        <v>7013</v>
      </c>
      <c r="B4499" s="4" t="s">
        <v>7014</v>
      </c>
      <c r="C4499" s="4">
        <v>448.0</v>
      </c>
      <c r="D4499" s="5" t="str">
        <f t="shared" si="792"/>
        <v>Open Ad</v>
      </c>
      <c r="E4499" s="4" t="s">
        <v>78</v>
      </c>
      <c r="F4499" s="4" t="s">
        <v>6765</v>
      </c>
      <c r="G4499" s="4" t="s">
        <v>7078</v>
      </c>
      <c r="H4499" s="4" t="s">
        <v>49</v>
      </c>
      <c r="I4499" s="4" t="s">
        <v>7016</v>
      </c>
      <c r="J4499" s="4" t="s">
        <v>78</v>
      </c>
      <c r="K4499" s="7" t="str">
        <f t="shared" si="793"/>
        <v>View Creative</v>
      </c>
      <c r="L4499" s="4" t="s">
        <v>60</v>
      </c>
      <c r="M4499" s="4" t="s">
        <v>7013</v>
      </c>
      <c r="N4499" s="4"/>
      <c r="O4499" s="4" t="s">
        <v>63</v>
      </c>
      <c r="P4499" s="4" t="s">
        <v>64</v>
      </c>
    </row>
    <row r="4500">
      <c r="A4500" s="4" t="s">
        <v>7013</v>
      </c>
      <c r="B4500" s="4" t="s">
        <v>7014</v>
      </c>
      <c r="C4500" s="4">
        <v>449.0</v>
      </c>
      <c r="D4500" s="5" t="str">
        <f t="shared" ref="D4500:D4501" si="794">HYPERLINK("https://www.linkedin.com/ad-library/detail/1148901474","Open Ad")</f>
        <v>Open Ad</v>
      </c>
      <c r="E4500" s="4" t="s">
        <v>78</v>
      </c>
      <c r="F4500" s="4" t="s">
        <v>6765</v>
      </c>
      <c r="G4500" s="4" t="s">
        <v>7089</v>
      </c>
      <c r="H4500" s="4" t="s">
        <v>49</v>
      </c>
      <c r="I4500" s="4" t="s">
        <v>7016</v>
      </c>
      <c r="J4500" s="4" t="s">
        <v>78</v>
      </c>
      <c r="K4500" s="7" t="str">
        <f t="shared" ref="K4500:K4501" si="795">HYPERLINK("https://media.licdn.com/dms/image/v2/D4E10AQHRCGOPh43vUQ/image-shrink_1280/B4EZybCoqaGsAc-/0/1772127686008/Directory3FindTrustedAISearchExpertspng?e=2147483647&amp;v=beta&amp;t=deb9Vu57y6uAoG3vF1CvnEoPwvQwnu2_BtLte3bXNSg","View Creative")</f>
        <v>View Creative</v>
      </c>
      <c r="L4500" s="4" t="s">
        <v>60</v>
      </c>
      <c r="M4500" s="4" t="s">
        <v>7013</v>
      </c>
      <c r="N4500" s="4"/>
      <c r="O4500" s="4" t="s">
        <v>63</v>
      </c>
      <c r="P4500" s="4" t="s">
        <v>64</v>
      </c>
    </row>
    <row r="4501">
      <c r="A4501" s="4" t="s">
        <v>7013</v>
      </c>
      <c r="B4501" s="4" t="s">
        <v>7014</v>
      </c>
      <c r="C4501" s="4">
        <v>450.0</v>
      </c>
      <c r="D4501" s="5" t="str">
        <f t="shared" si="794"/>
        <v>Open Ad</v>
      </c>
      <c r="E4501" s="4" t="s">
        <v>78</v>
      </c>
      <c r="F4501" s="4" t="s">
        <v>6765</v>
      </c>
      <c r="G4501" s="4" t="s">
        <v>7089</v>
      </c>
      <c r="H4501" s="4" t="s">
        <v>49</v>
      </c>
      <c r="I4501" s="4" t="s">
        <v>7016</v>
      </c>
      <c r="J4501" s="4" t="s">
        <v>78</v>
      </c>
      <c r="K4501" s="7" t="str">
        <f t="shared" si="795"/>
        <v>View Creative</v>
      </c>
      <c r="L4501" s="4" t="s">
        <v>60</v>
      </c>
      <c r="M4501" s="4" t="s">
        <v>7013</v>
      </c>
      <c r="N4501" s="4"/>
      <c r="O4501" s="4" t="s">
        <v>63</v>
      </c>
      <c r="P4501" s="4" t="s">
        <v>64</v>
      </c>
    </row>
    <row r="4502">
      <c r="A4502" s="4" t="s">
        <v>7013</v>
      </c>
      <c r="B4502" s="4" t="s">
        <v>7014</v>
      </c>
      <c r="C4502" s="4">
        <v>451.0</v>
      </c>
      <c r="D4502" s="5" t="str">
        <f t="shared" ref="D4502:D4503" si="796">HYPERLINK("https://www.linkedin.com/ad-library/detail/1148901464","Open Ad")</f>
        <v>Open Ad</v>
      </c>
      <c r="E4502" s="4" t="s">
        <v>78</v>
      </c>
      <c r="F4502" s="4" t="s">
        <v>6765</v>
      </c>
      <c r="G4502" s="4" t="s">
        <v>7078</v>
      </c>
      <c r="H4502" s="4" t="s">
        <v>49</v>
      </c>
      <c r="I4502" s="4" t="s">
        <v>7016</v>
      </c>
      <c r="J4502" s="4" t="s">
        <v>78</v>
      </c>
      <c r="K4502" s="7" t="str">
        <f t="shared" ref="K4502:K4503" si="797">HYPERLINK("https://media.licdn.com/dms/image/v2/D4E10AQGxjTOn07fzcA/image-shrink_1280/B4EZybChtQKIAg-/0/1772127657278/Directory1FindTrustedAISearchExpertspng?e=2147483647&amp;v=beta&amp;t=aR8A0uldYLiXsowkszpzW6mgBZgZU3py0uDUqMekhdo","View Creative")</f>
        <v>View Creative</v>
      </c>
      <c r="L4502" s="4" t="s">
        <v>60</v>
      </c>
      <c r="M4502" s="4" t="s">
        <v>7013</v>
      </c>
      <c r="N4502" s="4"/>
      <c r="O4502" s="4" t="s">
        <v>63</v>
      </c>
      <c r="P4502" s="4" t="s">
        <v>64</v>
      </c>
    </row>
    <row r="4503">
      <c r="A4503" s="4" t="s">
        <v>7013</v>
      </c>
      <c r="B4503" s="4" t="s">
        <v>7014</v>
      </c>
      <c r="C4503" s="4">
        <v>452.0</v>
      </c>
      <c r="D4503" s="5" t="str">
        <f t="shared" si="796"/>
        <v>Open Ad</v>
      </c>
      <c r="E4503" s="4" t="s">
        <v>78</v>
      </c>
      <c r="F4503" s="4" t="s">
        <v>6765</v>
      </c>
      <c r="G4503" s="4" t="s">
        <v>7078</v>
      </c>
      <c r="H4503" s="4" t="s">
        <v>49</v>
      </c>
      <c r="I4503" s="4" t="s">
        <v>7016</v>
      </c>
      <c r="J4503" s="4" t="s">
        <v>78</v>
      </c>
      <c r="K4503" s="7" t="str">
        <f t="shared" si="797"/>
        <v>View Creative</v>
      </c>
      <c r="L4503" s="4" t="s">
        <v>60</v>
      </c>
      <c r="M4503" s="4" t="s">
        <v>7013</v>
      </c>
      <c r="N4503" s="4"/>
      <c r="O4503" s="4" t="s">
        <v>63</v>
      </c>
      <c r="P4503" s="4" t="s">
        <v>64</v>
      </c>
    </row>
    <row r="4504">
      <c r="A4504" s="4" t="s">
        <v>7013</v>
      </c>
      <c r="B4504" s="4" t="s">
        <v>7014</v>
      </c>
      <c r="C4504" s="4">
        <v>453.0</v>
      </c>
      <c r="D4504" s="5" t="str">
        <f t="shared" ref="D4504:D4505" si="798">HYPERLINK("https://www.linkedin.com/ad-library/detail/1149402124","Open Ad")</f>
        <v>Open Ad</v>
      </c>
      <c r="E4504" s="4" t="s">
        <v>78</v>
      </c>
      <c r="F4504" s="4" t="s">
        <v>6765</v>
      </c>
      <c r="G4504" s="4" t="s">
        <v>7090</v>
      </c>
      <c r="H4504" s="4" t="s">
        <v>49</v>
      </c>
      <c r="I4504" s="4" t="s">
        <v>7016</v>
      </c>
      <c r="J4504" s="4" t="s">
        <v>78</v>
      </c>
      <c r="K4504" s="7" t="str">
        <f t="shared" ref="K4504:K4505" si="799">HYPERLINK("https://media.licdn.com/dms/image/v2/D4E10AQEujPuW92_whg/image-shrink_1280/B4EZybChqwHMAc-/0/1772127657019/Directory2AIVisibilityAgencyDirectorypng?e=2147483647&amp;v=beta&amp;t=Z6MAKWzMej5_jYQRlmJ4y7bDcR6D_e69xbTN9r9L-9o","View Creative")</f>
        <v>View Creative</v>
      </c>
      <c r="L4504" s="4" t="s">
        <v>60</v>
      </c>
      <c r="M4504" s="4" t="s">
        <v>7013</v>
      </c>
      <c r="N4504" s="4"/>
      <c r="O4504" s="4" t="s">
        <v>63</v>
      </c>
      <c r="P4504" s="4" t="s">
        <v>64</v>
      </c>
    </row>
    <row r="4505">
      <c r="A4505" s="4" t="s">
        <v>7013</v>
      </c>
      <c r="B4505" s="4" t="s">
        <v>7014</v>
      </c>
      <c r="C4505" s="4">
        <v>454.0</v>
      </c>
      <c r="D4505" s="5" t="str">
        <f t="shared" si="798"/>
        <v>Open Ad</v>
      </c>
      <c r="E4505" s="4" t="s">
        <v>78</v>
      </c>
      <c r="F4505" s="4" t="s">
        <v>6765</v>
      </c>
      <c r="G4505" s="4" t="s">
        <v>7090</v>
      </c>
      <c r="H4505" s="4" t="s">
        <v>49</v>
      </c>
      <c r="I4505" s="4" t="s">
        <v>7016</v>
      </c>
      <c r="J4505" s="4" t="s">
        <v>78</v>
      </c>
      <c r="K4505" s="7" t="str">
        <f t="shared" si="799"/>
        <v>View Creative</v>
      </c>
      <c r="L4505" s="4" t="s">
        <v>60</v>
      </c>
      <c r="M4505" s="4" t="s">
        <v>7013</v>
      </c>
      <c r="N4505" s="4"/>
      <c r="O4505" s="4" t="s">
        <v>63</v>
      </c>
      <c r="P4505" s="4" t="s">
        <v>64</v>
      </c>
    </row>
    <row r="4506">
      <c r="A4506" s="4" t="s">
        <v>7013</v>
      </c>
      <c r="B4506" s="4" t="s">
        <v>7014</v>
      </c>
      <c r="C4506" s="4">
        <v>455.0</v>
      </c>
      <c r="D4506" s="5" t="str">
        <f t="shared" ref="D4506:D4507" si="800">HYPERLINK("https://www.linkedin.com/ad-library/detail/1149201834","Open Ad")</f>
        <v>Open Ad</v>
      </c>
      <c r="E4506" s="4" t="s">
        <v>78</v>
      </c>
      <c r="F4506" s="4" t="s">
        <v>6765</v>
      </c>
      <c r="G4506" s="4" t="s">
        <v>7077</v>
      </c>
      <c r="H4506" s="4" t="s">
        <v>49</v>
      </c>
      <c r="I4506" s="4" t="s">
        <v>7016</v>
      </c>
      <c r="J4506" s="4" t="s">
        <v>78</v>
      </c>
      <c r="K4506" s="7" t="str">
        <f t="shared" ref="K4506:K4507" si="801">HYPERLINK("https://media.licdn.com/dms/image/v2/D4E10AQHXCJsPgcZ4_w/image-shrink_1280/B4EZybCon0JgAg-/0/1772127685657/Directory3GetExpertHelpforAISearchpng?e=2147483647&amp;v=beta&amp;t=HfUSY3XU6uwbZY8wgAX7_lRR7s287cOzcCtZklwj4H0","View Creative")</f>
        <v>View Creative</v>
      </c>
      <c r="L4506" s="4" t="s">
        <v>60</v>
      </c>
      <c r="M4506" s="4" t="s">
        <v>7013</v>
      </c>
      <c r="N4506" s="4"/>
      <c r="O4506" s="4" t="s">
        <v>63</v>
      </c>
      <c r="P4506" s="4" t="s">
        <v>64</v>
      </c>
    </row>
    <row r="4507">
      <c r="A4507" s="4" t="s">
        <v>7013</v>
      </c>
      <c r="B4507" s="4" t="s">
        <v>7014</v>
      </c>
      <c r="C4507" s="4">
        <v>456.0</v>
      </c>
      <c r="D4507" s="5" t="str">
        <f t="shared" si="800"/>
        <v>Open Ad</v>
      </c>
      <c r="E4507" s="4" t="s">
        <v>78</v>
      </c>
      <c r="F4507" s="4" t="s">
        <v>6765</v>
      </c>
      <c r="G4507" s="4" t="s">
        <v>7077</v>
      </c>
      <c r="H4507" s="4" t="s">
        <v>49</v>
      </c>
      <c r="I4507" s="4" t="s">
        <v>7016</v>
      </c>
      <c r="J4507" s="4" t="s">
        <v>78</v>
      </c>
      <c r="K4507" s="7" t="str">
        <f t="shared" si="801"/>
        <v>View Creative</v>
      </c>
      <c r="L4507" s="4" t="s">
        <v>60</v>
      </c>
      <c r="M4507" s="4" t="s">
        <v>7013</v>
      </c>
      <c r="N4507" s="4"/>
      <c r="O4507" s="4" t="s">
        <v>63</v>
      </c>
      <c r="P4507" s="4" t="s">
        <v>64</v>
      </c>
    </row>
    <row r="4508">
      <c r="A4508" s="4" t="s">
        <v>7013</v>
      </c>
      <c r="B4508" s="4" t="s">
        <v>7014</v>
      </c>
      <c r="C4508" s="4">
        <v>457.0</v>
      </c>
      <c r="D4508" s="5" t="str">
        <f t="shared" ref="D4508:D4509" si="802">HYPERLINK("https://www.linkedin.com/ad-library/detail/1148802324","Open Ad")</f>
        <v>Open Ad</v>
      </c>
      <c r="E4508" s="4" t="s">
        <v>78</v>
      </c>
      <c r="F4508" s="4" t="s">
        <v>6765</v>
      </c>
      <c r="G4508" s="4" t="s">
        <v>7078</v>
      </c>
      <c r="H4508" s="4" t="s">
        <v>49</v>
      </c>
      <c r="I4508" s="4" t="s">
        <v>7016</v>
      </c>
      <c r="J4508" s="4" t="s">
        <v>78</v>
      </c>
      <c r="K4508" s="7" t="str">
        <f t="shared" ref="K4508:K4509" si="803">HYPERLINK("https://media.licdn.com/dms/image/v2/D4E10AQGxjTOn07fzcA/image-shrink_1280/B4EZybChtQKIAg-/0/1772127657278/Directory1FindTrustedAISearchExpertspng?e=2147483647&amp;v=beta&amp;t=aR8A0uldYLiXsowkszpzW6mgBZgZU3py0uDUqMekhdo","View Creative")</f>
        <v>View Creative</v>
      </c>
      <c r="L4508" s="4" t="s">
        <v>60</v>
      </c>
      <c r="M4508" s="4" t="s">
        <v>7013</v>
      </c>
      <c r="N4508" s="4"/>
      <c r="O4508" s="4" t="s">
        <v>63</v>
      </c>
      <c r="P4508" s="4" t="s">
        <v>64</v>
      </c>
    </row>
    <row r="4509">
      <c r="A4509" s="4" t="s">
        <v>7013</v>
      </c>
      <c r="B4509" s="4" t="s">
        <v>7014</v>
      </c>
      <c r="C4509" s="4">
        <v>458.0</v>
      </c>
      <c r="D4509" s="5" t="str">
        <f t="shared" si="802"/>
        <v>Open Ad</v>
      </c>
      <c r="E4509" s="4" t="s">
        <v>78</v>
      </c>
      <c r="F4509" s="4" t="s">
        <v>6765</v>
      </c>
      <c r="G4509" s="4" t="s">
        <v>7078</v>
      </c>
      <c r="H4509" s="4" t="s">
        <v>49</v>
      </c>
      <c r="I4509" s="4" t="s">
        <v>7016</v>
      </c>
      <c r="J4509" s="4" t="s">
        <v>78</v>
      </c>
      <c r="K4509" s="7" t="str">
        <f t="shared" si="803"/>
        <v>View Creative</v>
      </c>
      <c r="L4509" s="4" t="s">
        <v>60</v>
      </c>
      <c r="M4509" s="4" t="s">
        <v>7013</v>
      </c>
      <c r="N4509" s="4"/>
      <c r="O4509" s="4" t="s">
        <v>63</v>
      </c>
      <c r="P4509" s="4" t="s">
        <v>64</v>
      </c>
    </row>
    <row r="4510">
      <c r="A4510" s="4" t="s">
        <v>7013</v>
      </c>
      <c r="B4510" s="4" t="s">
        <v>7014</v>
      </c>
      <c r="C4510" s="4">
        <v>459.0</v>
      </c>
      <c r="D4510" s="5" t="str">
        <f t="shared" ref="D4510:D4511" si="804">HYPERLINK("https://www.linkedin.com/ad-library/detail/1148489364","Open Ad")</f>
        <v>Open Ad</v>
      </c>
      <c r="E4510" s="4" t="s">
        <v>78</v>
      </c>
      <c r="F4510" s="4" t="s">
        <v>6765</v>
      </c>
      <c r="G4510" s="4" t="s">
        <v>7093</v>
      </c>
      <c r="H4510" s="4" t="s">
        <v>49</v>
      </c>
      <c r="I4510" s="4" t="s">
        <v>7016</v>
      </c>
      <c r="J4510" s="4" t="s">
        <v>78</v>
      </c>
      <c r="K4510" s="7" t="str">
        <f t="shared" ref="K4510:K4511" si="805">HYPERLINK("https://media.licdn.com/dms/image/v2/D4E10AQEv4ItHpKi5pw/image-shrink_1280/B4EZyMQ4yWJsAc-/0/1771879763685/Revolut2FromAIsearchanalyticstoclearnextstepspng?e=2147483647&amp;v=beta&amp;t=YAFKK7AlmHSQR1kB7FUxy0Mpp2F4zE3XX62bSVzcuTc","View Creative")</f>
        <v>View Creative</v>
      </c>
      <c r="L4510" s="4" t="s">
        <v>60</v>
      </c>
      <c r="M4510" s="4" t="s">
        <v>7013</v>
      </c>
      <c r="N4510" s="4" t="s">
        <v>7095</v>
      </c>
      <c r="O4510" s="4" t="s">
        <v>63</v>
      </c>
      <c r="P4510" s="4" t="s">
        <v>64</v>
      </c>
    </row>
    <row r="4511">
      <c r="A4511" s="4" t="s">
        <v>7013</v>
      </c>
      <c r="B4511" s="4" t="s">
        <v>7014</v>
      </c>
      <c r="C4511" s="4">
        <v>460.0</v>
      </c>
      <c r="D4511" s="5" t="str">
        <f t="shared" si="804"/>
        <v>Open Ad</v>
      </c>
      <c r="E4511" s="4" t="s">
        <v>78</v>
      </c>
      <c r="F4511" s="4" t="s">
        <v>6765</v>
      </c>
      <c r="G4511" s="4" t="s">
        <v>7093</v>
      </c>
      <c r="H4511" s="4" t="s">
        <v>49</v>
      </c>
      <c r="I4511" s="4" t="s">
        <v>7016</v>
      </c>
      <c r="J4511" s="4" t="s">
        <v>78</v>
      </c>
      <c r="K4511" s="7" t="str">
        <f t="shared" si="805"/>
        <v>View Creative</v>
      </c>
      <c r="L4511" s="4" t="s">
        <v>60</v>
      </c>
      <c r="M4511" s="4" t="s">
        <v>7013</v>
      </c>
      <c r="N4511" s="4" t="s">
        <v>7095</v>
      </c>
      <c r="O4511" s="4" t="s">
        <v>63</v>
      </c>
      <c r="P4511" s="4" t="s">
        <v>64</v>
      </c>
    </row>
    <row r="4512">
      <c r="A4512" s="4" t="s">
        <v>7013</v>
      </c>
      <c r="B4512" s="4" t="s">
        <v>7014</v>
      </c>
      <c r="C4512" s="4">
        <v>461.0</v>
      </c>
      <c r="D4512" s="5" t="str">
        <f t="shared" ref="D4512:D4513" si="806">HYPERLINK("https://www.linkedin.com/ad-library/detail/1149302274","Open Ad")</f>
        <v>Open Ad</v>
      </c>
      <c r="E4512" s="4" t="s">
        <v>78</v>
      </c>
      <c r="F4512" s="4" t="s">
        <v>6765</v>
      </c>
      <c r="G4512" s="4" t="s">
        <v>7080</v>
      </c>
      <c r="H4512" s="4" t="s">
        <v>49</v>
      </c>
      <c r="I4512" s="4" t="s">
        <v>7016</v>
      </c>
      <c r="J4512" s="4" t="s">
        <v>78</v>
      </c>
      <c r="K4512" s="7" t="str">
        <f t="shared" ref="K4512:K4513" si="807">HYPERLINK("https://media.licdn.com/dms/image/v2/D4E10AQFh3wRxQvxaHQ/image-shrink_1280/B4EZybCootIEAc-/0/1772127685632/Directory3AIVisibilityAgencyDirectorypng?e=2147483647&amp;v=beta&amp;t=M1uiPNOy86K4MsoZ3jwd4aJvyNEBdZcCGNZCw8tfIyo","View Creative")</f>
        <v>View Creative</v>
      </c>
      <c r="L4512" s="4" t="s">
        <v>60</v>
      </c>
      <c r="M4512" s="4" t="s">
        <v>7013</v>
      </c>
      <c r="N4512" s="4"/>
      <c r="O4512" s="4" t="s">
        <v>63</v>
      </c>
      <c r="P4512" s="4" t="s">
        <v>64</v>
      </c>
    </row>
    <row r="4513">
      <c r="A4513" s="4" t="s">
        <v>7013</v>
      </c>
      <c r="B4513" s="4" t="s">
        <v>7014</v>
      </c>
      <c r="C4513" s="4">
        <v>462.0</v>
      </c>
      <c r="D4513" s="5" t="str">
        <f t="shared" si="806"/>
        <v>Open Ad</v>
      </c>
      <c r="E4513" s="4" t="s">
        <v>78</v>
      </c>
      <c r="F4513" s="4" t="s">
        <v>6765</v>
      </c>
      <c r="G4513" s="4" t="s">
        <v>7080</v>
      </c>
      <c r="H4513" s="4" t="s">
        <v>49</v>
      </c>
      <c r="I4513" s="4" t="s">
        <v>7016</v>
      </c>
      <c r="J4513" s="4" t="s">
        <v>78</v>
      </c>
      <c r="K4513" s="7" t="str">
        <f t="shared" si="807"/>
        <v>View Creative</v>
      </c>
      <c r="L4513" s="4" t="s">
        <v>60</v>
      </c>
      <c r="M4513" s="4" t="s">
        <v>7013</v>
      </c>
      <c r="N4513" s="4"/>
      <c r="O4513" s="4" t="s">
        <v>63</v>
      </c>
      <c r="P4513" s="4" t="s">
        <v>64</v>
      </c>
    </row>
    <row r="4514">
      <c r="A4514" s="4" t="s">
        <v>7013</v>
      </c>
      <c r="B4514" s="4" t="s">
        <v>7014</v>
      </c>
      <c r="C4514" s="4">
        <v>463.0</v>
      </c>
      <c r="D4514" s="5" t="str">
        <f t="shared" ref="D4514:D4515" si="808">HYPERLINK("https://www.linkedin.com/ad-library/detail/1149302264","Open Ad")</f>
        <v>Open Ad</v>
      </c>
      <c r="E4514" s="4" t="s">
        <v>78</v>
      </c>
      <c r="F4514" s="4" t="s">
        <v>6765</v>
      </c>
      <c r="G4514" s="4" t="s">
        <v>7089</v>
      </c>
      <c r="H4514" s="4" t="s">
        <v>49</v>
      </c>
      <c r="I4514" s="4" t="s">
        <v>7016</v>
      </c>
      <c r="J4514" s="4" t="s">
        <v>78</v>
      </c>
      <c r="K4514" s="7" t="str">
        <f t="shared" ref="K4514:K4515" si="809">HYPERLINK("https://media.licdn.com/dms/image/v2/D4E10AQHRCGOPh43vUQ/image-shrink_1280/B4EZybCoqaGsAc-/0/1772127686008/Directory3FindTrustedAISearchExpertspng?e=2147483647&amp;v=beta&amp;t=deb9Vu57y6uAoG3vF1CvnEoPwvQwnu2_BtLte3bXNSg","View Creative")</f>
        <v>View Creative</v>
      </c>
      <c r="L4514" s="4" t="s">
        <v>60</v>
      </c>
      <c r="M4514" s="4" t="s">
        <v>7013</v>
      </c>
      <c r="N4514" s="4"/>
      <c r="O4514" s="4" t="s">
        <v>63</v>
      </c>
      <c r="P4514" s="4" t="s">
        <v>64</v>
      </c>
    </row>
    <row r="4515">
      <c r="A4515" s="4" t="s">
        <v>7013</v>
      </c>
      <c r="B4515" s="4" t="s">
        <v>7014</v>
      </c>
      <c r="C4515" s="4">
        <v>464.0</v>
      </c>
      <c r="D4515" s="5" t="str">
        <f t="shared" si="808"/>
        <v>Open Ad</v>
      </c>
      <c r="E4515" s="4" t="s">
        <v>78</v>
      </c>
      <c r="F4515" s="4" t="s">
        <v>6765</v>
      </c>
      <c r="G4515" s="4" t="s">
        <v>7089</v>
      </c>
      <c r="H4515" s="4" t="s">
        <v>49</v>
      </c>
      <c r="I4515" s="4" t="s">
        <v>7016</v>
      </c>
      <c r="J4515" s="4" t="s">
        <v>78</v>
      </c>
      <c r="K4515" s="7" t="str">
        <f t="shared" si="809"/>
        <v>View Creative</v>
      </c>
      <c r="L4515" s="4" t="s">
        <v>60</v>
      </c>
      <c r="M4515" s="4" t="s">
        <v>7013</v>
      </c>
      <c r="N4515" s="4"/>
      <c r="O4515" s="4" t="s">
        <v>63</v>
      </c>
      <c r="P4515" s="4" t="s">
        <v>64</v>
      </c>
    </row>
    <row r="4516">
      <c r="A4516" s="4" t="s">
        <v>7013</v>
      </c>
      <c r="B4516" s="4" t="s">
        <v>7014</v>
      </c>
      <c r="C4516" s="4">
        <v>465.0</v>
      </c>
      <c r="D4516" s="5" t="str">
        <f t="shared" ref="D4516:D4517" si="810">HYPERLINK("https://www.linkedin.com/ad-library/detail/1148702634","Open Ad")</f>
        <v>Open Ad</v>
      </c>
      <c r="E4516" s="4" t="s">
        <v>78</v>
      </c>
      <c r="F4516" s="4" t="s">
        <v>6765</v>
      </c>
      <c r="G4516" s="4" t="s">
        <v>7080</v>
      </c>
      <c r="H4516" s="4" t="s">
        <v>49</v>
      </c>
      <c r="I4516" s="4" t="s">
        <v>7016</v>
      </c>
      <c r="J4516" s="4" t="s">
        <v>78</v>
      </c>
      <c r="K4516" s="7" t="str">
        <f t="shared" ref="K4516:K4517" si="811">HYPERLINK("https://media.licdn.com/dms/image/v2/D4E10AQFh3wRxQvxaHQ/image-shrink_1280/B4EZybCootIEAc-/0/1772127685632/Directory3AIVisibilityAgencyDirectorypng?e=2147483647&amp;v=beta&amp;t=M1uiPNOy86K4MsoZ3jwd4aJvyNEBdZcCGNZCw8tfIyo","View Creative")</f>
        <v>View Creative</v>
      </c>
      <c r="L4516" s="4" t="s">
        <v>60</v>
      </c>
      <c r="M4516" s="4" t="s">
        <v>7013</v>
      </c>
      <c r="N4516" s="4"/>
      <c r="O4516" s="4" t="s">
        <v>63</v>
      </c>
      <c r="P4516" s="4" t="s">
        <v>64</v>
      </c>
    </row>
    <row r="4517">
      <c r="A4517" s="4" t="s">
        <v>7013</v>
      </c>
      <c r="B4517" s="4" t="s">
        <v>7014</v>
      </c>
      <c r="C4517" s="4">
        <v>466.0</v>
      </c>
      <c r="D4517" s="5" t="str">
        <f t="shared" si="810"/>
        <v>Open Ad</v>
      </c>
      <c r="E4517" s="4" t="s">
        <v>78</v>
      </c>
      <c r="F4517" s="4" t="s">
        <v>6765</v>
      </c>
      <c r="G4517" s="4" t="s">
        <v>7080</v>
      </c>
      <c r="H4517" s="4" t="s">
        <v>49</v>
      </c>
      <c r="I4517" s="4" t="s">
        <v>7016</v>
      </c>
      <c r="J4517" s="4" t="s">
        <v>78</v>
      </c>
      <c r="K4517" s="7" t="str">
        <f t="shared" si="811"/>
        <v>View Creative</v>
      </c>
      <c r="L4517" s="4" t="s">
        <v>60</v>
      </c>
      <c r="M4517" s="4" t="s">
        <v>7013</v>
      </c>
      <c r="N4517" s="4"/>
      <c r="O4517" s="4" t="s">
        <v>63</v>
      </c>
      <c r="P4517" s="4" t="s">
        <v>64</v>
      </c>
    </row>
    <row r="4518">
      <c r="A4518" s="4" t="s">
        <v>7013</v>
      </c>
      <c r="B4518" s="4" t="s">
        <v>7014</v>
      </c>
      <c r="C4518" s="4">
        <v>467.0</v>
      </c>
      <c r="D4518" s="5" t="str">
        <f t="shared" ref="D4518:D4519" si="812">HYPERLINK("https://www.linkedin.com/ad-library/detail/1149302284","Open Ad")</f>
        <v>Open Ad</v>
      </c>
      <c r="E4518" s="4" t="s">
        <v>78</v>
      </c>
      <c r="F4518" s="4" t="s">
        <v>6765</v>
      </c>
      <c r="G4518" s="4" t="s">
        <v>7074</v>
      </c>
      <c r="H4518" s="4" t="s">
        <v>49</v>
      </c>
      <c r="I4518" s="4" t="s">
        <v>7016</v>
      </c>
      <c r="J4518" s="4" t="s">
        <v>78</v>
      </c>
      <c r="K4518" s="7" t="str">
        <f t="shared" ref="K4518:K4519" si="813">HYPERLINK("https://media.licdn.com/dms/image/v2/D4E10AQGtKok9G8Co_w/image-shrink_1280/B4EZybCoR6GYAc-/0/1772127684186/Directory1GetExpertHelpforAISearchpng?e=2147483647&amp;v=beta&amp;t=yrXbbpw2S9-81UaSPTZiQy5YHeY24f0r4iwEMY9FO9E","View Creative")</f>
        <v>View Creative</v>
      </c>
      <c r="L4518" s="4" t="s">
        <v>60</v>
      </c>
      <c r="M4518" s="4" t="s">
        <v>7013</v>
      </c>
      <c r="N4518" s="4"/>
      <c r="O4518" s="4" t="s">
        <v>63</v>
      </c>
      <c r="P4518" s="4" t="s">
        <v>64</v>
      </c>
    </row>
    <row r="4519">
      <c r="A4519" s="4" t="s">
        <v>7013</v>
      </c>
      <c r="B4519" s="4" t="s">
        <v>7014</v>
      </c>
      <c r="C4519" s="4">
        <v>468.0</v>
      </c>
      <c r="D4519" s="5" t="str">
        <f t="shared" si="812"/>
        <v>Open Ad</v>
      </c>
      <c r="E4519" s="4" t="s">
        <v>78</v>
      </c>
      <c r="F4519" s="4" t="s">
        <v>6765</v>
      </c>
      <c r="G4519" s="4" t="s">
        <v>7074</v>
      </c>
      <c r="H4519" s="4" t="s">
        <v>49</v>
      </c>
      <c r="I4519" s="4" t="s">
        <v>7016</v>
      </c>
      <c r="J4519" s="4" t="s">
        <v>78</v>
      </c>
      <c r="K4519" s="7" t="str">
        <f t="shared" si="813"/>
        <v>View Creative</v>
      </c>
      <c r="L4519" s="4" t="s">
        <v>60</v>
      </c>
      <c r="M4519" s="4" t="s">
        <v>7013</v>
      </c>
      <c r="N4519" s="4"/>
      <c r="O4519" s="4" t="s">
        <v>63</v>
      </c>
      <c r="P4519" s="4" t="s">
        <v>64</v>
      </c>
    </row>
    <row r="4520">
      <c r="A4520" s="4" t="s">
        <v>7013</v>
      </c>
      <c r="B4520" s="4" t="s">
        <v>7014</v>
      </c>
      <c r="C4520" s="4">
        <v>469.0</v>
      </c>
      <c r="D4520" s="5" t="str">
        <f t="shared" ref="D4520:D4521" si="814">HYPERLINK("https://www.linkedin.com/ad-library/detail/1149602564","Open Ad")</f>
        <v>Open Ad</v>
      </c>
      <c r="E4520" s="4" t="s">
        <v>78</v>
      </c>
      <c r="F4520" s="4" t="s">
        <v>6765</v>
      </c>
      <c r="G4520" s="4" t="s">
        <v>7078</v>
      </c>
      <c r="H4520" s="4" t="s">
        <v>49</v>
      </c>
      <c r="I4520" s="4" t="s">
        <v>7016</v>
      </c>
      <c r="J4520" s="4" t="s">
        <v>78</v>
      </c>
      <c r="K4520" s="7" t="str">
        <f t="shared" ref="K4520:K4521" si="815">HYPERLINK("https://media.licdn.com/dms/image/v2/D4E10AQENGNql_Hfi3w/image-shrink_1280/B4EZybChuMHkAc-/0/1772127657303/Directory2GetExpertHelpforAISearchpng?e=2147483647&amp;v=beta&amp;t=N05A1GpFf-MaOO-coxz8xvXUeDa3TTrq2hacW3d7_j4","View Creative")</f>
        <v>View Creative</v>
      </c>
      <c r="L4520" s="4" t="s">
        <v>60</v>
      </c>
      <c r="M4520" s="4" t="s">
        <v>7013</v>
      </c>
      <c r="N4520" s="4"/>
      <c r="O4520" s="4" t="s">
        <v>63</v>
      </c>
      <c r="P4520" s="4" t="s">
        <v>64</v>
      </c>
    </row>
    <row r="4521">
      <c r="A4521" s="4" t="s">
        <v>7013</v>
      </c>
      <c r="B4521" s="4" t="s">
        <v>7014</v>
      </c>
      <c r="C4521" s="4">
        <v>470.0</v>
      </c>
      <c r="D4521" s="5" t="str">
        <f t="shared" si="814"/>
        <v>Open Ad</v>
      </c>
      <c r="E4521" s="4" t="s">
        <v>78</v>
      </c>
      <c r="F4521" s="4" t="s">
        <v>6765</v>
      </c>
      <c r="G4521" s="4" t="s">
        <v>7078</v>
      </c>
      <c r="H4521" s="4" t="s">
        <v>49</v>
      </c>
      <c r="I4521" s="4" t="s">
        <v>7016</v>
      </c>
      <c r="J4521" s="4" t="s">
        <v>78</v>
      </c>
      <c r="K4521" s="7" t="str">
        <f t="shared" si="815"/>
        <v>View Creative</v>
      </c>
      <c r="L4521" s="4" t="s">
        <v>60</v>
      </c>
      <c r="M4521" s="4" t="s">
        <v>7013</v>
      </c>
      <c r="N4521" s="4"/>
      <c r="O4521" s="4" t="s">
        <v>63</v>
      </c>
      <c r="P4521" s="4" t="s">
        <v>64</v>
      </c>
    </row>
    <row r="4522">
      <c r="A4522" s="4" t="s">
        <v>7013</v>
      </c>
      <c r="B4522" s="4" t="s">
        <v>7014</v>
      </c>
      <c r="C4522" s="4">
        <v>471.0</v>
      </c>
      <c r="D4522" s="5" t="str">
        <f t="shared" ref="D4522:D4523" si="816">HYPERLINK("https://www.linkedin.com/ad-library/detail/1148702644","Open Ad")</f>
        <v>Open Ad</v>
      </c>
      <c r="E4522" s="4" t="s">
        <v>78</v>
      </c>
      <c r="F4522" s="4" t="s">
        <v>6765</v>
      </c>
      <c r="G4522" s="4" t="s">
        <v>7074</v>
      </c>
      <c r="H4522" s="4" t="s">
        <v>49</v>
      </c>
      <c r="I4522" s="4" t="s">
        <v>7016</v>
      </c>
      <c r="J4522" s="4" t="s">
        <v>78</v>
      </c>
      <c r="K4522" s="7" t="str">
        <f t="shared" ref="K4522:K4523" si="817">HYPERLINK("https://media.licdn.com/dms/image/v2/D4E10AQGtKok9G8Co_w/image-shrink_1280/B4EZybCoR6GYAc-/0/1772127684186/Directory1GetExpertHelpforAISearchpng?e=2147483647&amp;v=beta&amp;t=yrXbbpw2S9-81UaSPTZiQy5YHeY24f0r4iwEMY9FO9E","View Creative")</f>
        <v>View Creative</v>
      </c>
      <c r="L4522" s="4" t="s">
        <v>60</v>
      </c>
      <c r="M4522" s="4" t="s">
        <v>7013</v>
      </c>
      <c r="N4522" s="4"/>
      <c r="O4522" s="4" t="s">
        <v>63</v>
      </c>
      <c r="P4522" s="4" t="s">
        <v>64</v>
      </c>
    </row>
    <row r="4523">
      <c r="A4523" s="4" t="s">
        <v>7013</v>
      </c>
      <c r="B4523" s="4" t="s">
        <v>7014</v>
      </c>
      <c r="C4523" s="4">
        <v>472.0</v>
      </c>
      <c r="D4523" s="5" t="str">
        <f t="shared" si="816"/>
        <v>Open Ad</v>
      </c>
      <c r="E4523" s="4" t="s">
        <v>78</v>
      </c>
      <c r="F4523" s="4" t="s">
        <v>6765</v>
      </c>
      <c r="G4523" s="4" t="s">
        <v>7074</v>
      </c>
      <c r="H4523" s="4" t="s">
        <v>49</v>
      </c>
      <c r="I4523" s="4" t="s">
        <v>7016</v>
      </c>
      <c r="J4523" s="4" t="s">
        <v>78</v>
      </c>
      <c r="K4523" s="7" t="str">
        <f t="shared" si="817"/>
        <v>View Creative</v>
      </c>
      <c r="L4523" s="4" t="s">
        <v>60</v>
      </c>
      <c r="M4523" s="4" t="s">
        <v>7013</v>
      </c>
      <c r="N4523" s="4"/>
      <c r="O4523" s="4" t="s">
        <v>63</v>
      </c>
      <c r="P4523" s="4" t="s">
        <v>64</v>
      </c>
    </row>
    <row r="4524">
      <c r="A4524" s="4" t="s">
        <v>7013</v>
      </c>
      <c r="B4524" s="4" t="s">
        <v>7014</v>
      </c>
      <c r="C4524" s="4">
        <v>473.0</v>
      </c>
      <c r="D4524" s="5" t="str">
        <f t="shared" ref="D4524:D4525" si="818">HYPERLINK("https://www.linkedin.com/ad-library/detail/1150289124","Open Ad")</f>
        <v>Open Ad</v>
      </c>
      <c r="E4524" s="4" t="s">
        <v>78</v>
      </c>
      <c r="F4524" s="4" t="s">
        <v>6765</v>
      </c>
      <c r="G4524" s="4" t="s">
        <v>7093</v>
      </c>
      <c r="H4524" s="4" t="s">
        <v>49</v>
      </c>
      <c r="I4524" s="4" t="s">
        <v>7016</v>
      </c>
      <c r="J4524" s="4" t="s">
        <v>78</v>
      </c>
      <c r="K4524" s="7" t="str">
        <f t="shared" ref="K4524:K4525" si="819">HYPERLINK("https://media.licdn.com/dms/image/v2/D4E10AQHXd2CW_zULWg/image-shrink_1280/B4EZyMTHeUIMAc-/0/1771880348132/ActionTracker2YourAIvisibilitymetricsnowcomewithnextstepspng?e=2147483647&amp;v=beta&amp;t=NzDfAuilwUb2OeIQyBhjLRFVPNtcg2-ZxbDzGP7o3vs","View Creative")</f>
        <v>View Creative</v>
      </c>
      <c r="L4524" s="4" t="s">
        <v>60</v>
      </c>
      <c r="M4524" s="4" t="s">
        <v>7013</v>
      </c>
      <c r="N4524" s="4" t="s">
        <v>7095</v>
      </c>
      <c r="O4524" s="4" t="s">
        <v>63</v>
      </c>
      <c r="P4524" s="4" t="s">
        <v>64</v>
      </c>
    </row>
    <row r="4525">
      <c r="A4525" s="4" t="s">
        <v>7013</v>
      </c>
      <c r="B4525" s="4" t="s">
        <v>7014</v>
      </c>
      <c r="C4525" s="4">
        <v>474.0</v>
      </c>
      <c r="D4525" s="5" t="str">
        <f t="shared" si="818"/>
        <v>Open Ad</v>
      </c>
      <c r="E4525" s="4" t="s">
        <v>78</v>
      </c>
      <c r="F4525" s="4" t="s">
        <v>6765</v>
      </c>
      <c r="G4525" s="4" t="s">
        <v>7093</v>
      </c>
      <c r="H4525" s="4" t="s">
        <v>49</v>
      </c>
      <c r="I4525" s="4" t="s">
        <v>7016</v>
      </c>
      <c r="J4525" s="4" t="s">
        <v>78</v>
      </c>
      <c r="K4525" s="7" t="str">
        <f t="shared" si="819"/>
        <v>View Creative</v>
      </c>
      <c r="L4525" s="4" t="s">
        <v>60</v>
      </c>
      <c r="M4525" s="4" t="s">
        <v>7013</v>
      </c>
      <c r="N4525" s="4" t="s">
        <v>7095</v>
      </c>
      <c r="O4525" s="4" t="s">
        <v>63</v>
      </c>
      <c r="P4525" s="4" t="s">
        <v>64</v>
      </c>
    </row>
    <row r="4526">
      <c r="A4526" s="4" t="s">
        <v>7013</v>
      </c>
      <c r="B4526" s="4" t="s">
        <v>7014</v>
      </c>
      <c r="C4526" s="4">
        <v>475.0</v>
      </c>
      <c r="D4526" s="5" t="str">
        <f t="shared" ref="D4526:D4527" si="820">HYPERLINK("https://www.linkedin.com/ad-library/detail/1149102944","Open Ad")</f>
        <v>Open Ad</v>
      </c>
      <c r="E4526" s="4" t="s">
        <v>78</v>
      </c>
      <c r="F4526" s="4" t="s">
        <v>6765</v>
      </c>
      <c r="G4526" s="4" t="s">
        <v>7090</v>
      </c>
      <c r="H4526" s="4" t="s">
        <v>49</v>
      </c>
      <c r="I4526" s="4" t="s">
        <v>7016</v>
      </c>
      <c r="J4526" s="4" t="s">
        <v>78</v>
      </c>
      <c r="K4526" s="7" t="str">
        <f t="shared" ref="K4526:K4527" si="821">HYPERLINK("https://media.licdn.com/dms/image/v2/D4E10AQEujPuW92_whg/image-shrink_1280/B4EZybChqwHMAc-/0/1772127657019/Directory2AIVisibilityAgencyDirectorypng?e=2147483647&amp;v=beta&amp;t=Z6MAKWzMej5_jYQRlmJ4y7bDcR6D_e69xbTN9r9L-9o","View Creative")</f>
        <v>View Creative</v>
      </c>
      <c r="L4526" s="4" t="s">
        <v>60</v>
      </c>
      <c r="M4526" s="4" t="s">
        <v>7013</v>
      </c>
      <c r="N4526" s="4"/>
      <c r="O4526" s="4" t="s">
        <v>63</v>
      </c>
      <c r="P4526" s="4" t="s">
        <v>64</v>
      </c>
    </row>
    <row r="4527">
      <c r="A4527" s="4" t="s">
        <v>7013</v>
      </c>
      <c r="B4527" s="4" t="s">
        <v>7014</v>
      </c>
      <c r="C4527" s="4">
        <v>476.0</v>
      </c>
      <c r="D4527" s="5" t="str">
        <f t="shared" si="820"/>
        <v>Open Ad</v>
      </c>
      <c r="E4527" s="4" t="s">
        <v>78</v>
      </c>
      <c r="F4527" s="4" t="s">
        <v>6765</v>
      </c>
      <c r="G4527" s="4" t="s">
        <v>7090</v>
      </c>
      <c r="H4527" s="4" t="s">
        <v>49</v>
      </c>
      <c r="I4527" s="4" t="s">
        <v>7016</v>
      </c>
      <c r="J4527" s="4" t="s">
        <v>78</v>
      </c>
      <c r="K4527" s="7" t="str">
        <f t="shared" si="821"/>
        <v>View Creative</v>
      </c>
      <c r="L4527" s="4" t="s">
        <v>60</v>
      </c>
      <c r="M4527" s="4" t="s">
        <v>7013</v>
      </c>
      <c r="N4527" s="4"/>
      <c r="O4527" s="4" t="s">
        <v>63</v>
      </c>
      <c r="P4527" s="4" t="s">
        <v>64</v>
      </c>
    </row>
    <row r="4528">
      <c r="A4528" s="4" t="s">
        <v>7013</v>
      </c>
      <c r="B4528" s="4" t="s">
        <v>7014</v>
      </c>
      <c r="C4528" s="4">
        <v>477.0</v>
      </c>
      <c r="D4528" s="5" t="str">
        <f t="shared" ref="D4528:D4529" si="822">HYPERLINK("https://www.linkedin.com/ad-library/detail/1150802364","Open Ad")</f>
        <v>Open Ad</v>
      </c>
      <c r="E4528" s="4" t="s">
        <v>78</v>
      </c>
      <c r="F4528" s="4" t="s">
        <v>6765</v>
      </c>
      <c r="G4528" s="4" t="s">
        <v>7085</v>
      </c>
      <c r="H4528" s="4" t="s">
        <v>49</v>
      </c>
      <c r="I4528" s="4" t="s">
        <v>7016</v>
      </c>
      <c r="J4528" s="4" t="s">
        <v>78</v>
      </c>
      <c r="K4528" s="7" t="str">
        <f t="shared" ref="K4528:K4529" si="823">HYPERLINK("https://media.licdn.com/dms/image/v2/D4E10AQHWBSAv8yIJ1Q/image-shrink_1280/B4EZybChrqIEAg-/0/1772127657140/Directory1AIVisibilityAgencyDirectorypng?e=2147483647&amp;v=beta&amp;t=GNhKLHJ19CMay96XBo6Nig-ruRSdoSKvl1ZlFYRysUM","View Creative")</f>
        <v>View Creative</v>
      </c>
      <c r="L4528" s="4" t="s">
        <v>60</v>
      </c>
      <c r="M4528" s="4" t="s">
        <v>7013</v>
      </c>
      <c r="N4528" s="4"/>
      <c r="O4528" s="4" t="s">
        <v>63</v>
      </c>
      <c r="P4528" s="4" t="s">
        <v>64</v>
      </c>
    </row>
    <row r="4529">
      <c r="A4529" s="4" t="s">
        <v>7013</v>
      </c>
      <c r="B4529" s="4" t="s">
        <v>7014</v>
      </c>
      <c r="C4529" s="4">
        <v>478.0</v>
      </c>
      <c r="D4529" s="5" t="str">
        <f t="shared" si="822"/>
        <v>Open Ad</v>
      </c>
      <c r="E4529" s="4" t="s">
        <v>78</v>
      </c>
      <c r="F4529" s="4" t="s">
        <v>6765</v>
      </c>
      <c r="G4529" s="4" t="s">
        <v>7085</v>
      </c>
      <c r="H4529" s="4" t="s">
        <v>49</v>
      </c>
      <c r="I4529" s="4" t="s">
        <v>7016</v>
      </c>
      <c r="J4529" s="4" t="s">
        <v>78</v>
      </c>
      <c r="K4529" s="7" t="str">
        <f t="shared" si="823"/>
        <v>View Creative</v>
      </c>
      <c r="L4529" s="4" t="s">
        <v>60</v>
      </c>
      <c r="M4529" s="4" t="s">
        <v>7013</v>
      </c>
      <c r="N4529" s="4"/>
      <c r="O4529" s="4" t="s">
        <v>63</v>
      </c>
      <c r="P4529" s="4" t="s">
        <v>64</v>
      </c>
    </row>
    <row r="4530">
      <c r="A4530" s="4" t="s">
        <v>7013</v>
      </c>
      <c r="B4530" s="4" t="s">
        <v>7014</v>
      </c>
      <c r="C4530" s="4">
        <v>479.0</v>
      </c>
      <c r="D4530" s="5" t="str">
        <f t="shared" ref="D4530:D4531" si="824">HYPERLINK("https://www.linkedin.com/ad-library/detail/1148789324","Open Ad")</f>
        <v>Open Ad</v>
      </c>
      <c r="E4530" s="4" t="s">
        <v>78</v>
      </c>
      <c r="F4530" s="4" t="s">
        <v>6765</v>
      </c>
      <c r="G4530" s="4" t="s">
        <v>7087</v>
      </c>
      <c r="H4530" s="4" t="s">
        <v>49</v>
      </c>
      <c r="I4530" s="4" t="s">
        <v>7016</v>
      </c>
      <c r="J4530" s="4" t="s">
        <v>78</v>
      </c>
      <c r="K4530" s="7" t="str">
        <f t="shared" ref="K4530:K4531" si="825">HYPERLINK("https://media.licdn.com/dms/image/v2/D4E10AQG_fR28v9KqCQ/image-shrink_1280/B4EZyMQzWuH0Ag-/0/1771879741823/ActionTracker1FromAIsearchanalyticstoclearnextstepspng?e=2147483647&amp;v=beta&amp;t=0vyT_z6hi-EJzcEE7BFeO1VVAl3pIj2aVVBCz9EPkk0","View Creative")</f>
        <v>View Creative</v>
      </c>
      <c r="L4530" s="4" t="s">
        <v>60</v>
      </c>
      <c r="M4530" s="4" t="s">
        <v>7013</v>
      </c>
      <c r="N4530" s="4" t="s">
        <v>7095</v>
      </c>
      <c r="O4530" s="4" t="s">
        <v>63</v>
      </c>
      <c r="P4530" s="4" t="s">
        <v>64</v>
      </c>
    </row>
    <row r="4531">
      <c r="A4531" s="4" t="s">
        <v>7013</v>
      </c>
      <c r="B4531" s="4" t="s">
        <v>7014</v>
      </c>
      <c r="C4531" s="4">
        <v>480.0</v>
      </c>
      <c r="D4531" s="5" t="str">
        <f t="shared" si="824"/>
        <v>Open Ad</v>
      </c>
      <c r="E4531" s="4" t="s">
        <v>78</v>
      </c>
      <c r="F4531" s="4" t="s">
        <v>6765</v>
      </c>
      <c r="G4531" s="4" t="s">
        <v>7087</v>
      </c>
      <c r="H4531" s="4" t="s">
        <v>49</v>
      </c>
      <c r="I4531" s="4" t="s">
        <v>7016</v>
      </c>
      <c r="J4531" s="4" t="s">
        <v>78</v>
      </c>
      <c r="K4531" s="7" t="str">
        <f t="shared" si="825"/>
        <v>View Creative</v>
      </c>
      <c r="L4531" s="4" t="s">
        <v>60</v>
      </c>
      <c r="M4531" s="4" t="s">
        <v>7013</v>
      </c>
      <c r="N4531" s="4" t="s">
        <v>7095</v>
      </c>
      <c r="O4531" s="4" t="s">
        <v>63</v>
      </c>
      <c r="P4531" s="4" t="s">
        <v>64</v>
      </c>
    </row>
    <row r="4532">
      <c r="A4532" s="4" t="s">
        <v>7013</v>
      </c>
      <c r="B4532" s="4" t="s">
        <v>7014</v>
      </c>
      <c r="C4532" s="4">
        <v>481.0</v>
      </c>
      <c r="D4532" s="5" t="str">
        <f t="shared" ref="D4532:D4533" si="826">HYPERLINK("https://www.linkedin.com/ad-library/detail/1150301864","Open Ad")</f>
        <v>Open Ad</v>
      </c>
      <c r="E4532" s="4" t="s">
        <v>78</v>
      </c>
      <c r="F4532" s="4" t="s">
        <v>6765</v>
      </c>
      <c r="G4532" s="4" t="s">
        <v>7085</v>
      </c>
      <c r="H4532" s="4" t="s">
        <v>49</v>
      </c>
      <c r="I4532" s="4" t="s">
        <v>7016</v>
      </c>
      <c r="J4532" s="4" t="s">
        <v>78</v>
      </c>
      <c r="K4532" s="7" t="str">
        <f t="shared" ref="K4532:K4533" si="827">HYPERLINK("https://media.licdn.com/dms/image/v2/D4E10AQHWBSAv8yIJ1Q/image-shrink_1280/B4EZybChrqIEAg-/0/1772127657140/Directory1AIVisibilityAgencyDirectorypng?e=2147483647&amp;v=beta&amp;t=GNhKLHJ19CMay96XBo6Nig-ruRSdoSKvl1ZlFYRysUM","View Creative")</f>
        <v>View Creative</v>
      </c>
      <c r="L4532" s="4" t="s">
        <v>60</v>
      </c>
      <c r="M4532" s="4" t="s">
        <v>7013</v>
      </c>
      <c r="N4532" s="4"/>
      <c r="O4532" s="4" t="s">
        <v>63</v>
      </c>
      <c r="P4532" s="4" t="s">
        <v>64</v>
      </c>
    </row>
    <row r="4533">
      <c r="A4533" s="4" t="s">
        <v>7013</v>
      </c>
      <c r="B4533" s="4" t="s">
        <v>7014</v>
      </c>
      <c r="C4533" s="4">
        <v>482.0</v>
      </c>
      <c r="D4533" s="5" t="str">
        <f t="shared" si="826"/>
        <v>Open Ad</v>
      </c>
      <c r="E4533" s="4" t="s">
        <v>78</v>
      </c>
      <c r="F4533" s="4" t="s">
        <v>6765</v>
      </c>
      <c r="G4533" s="4" t="s">
        <v>7085</v>
      </c>
      <c r="H4533" s="4" t="s">
        <v>49</v>
      </c>
      <c r="I4533" s="4" t="s">
        <v>7016</v>
      </c>
      <c r="J4533" s="4" t="s">
        <v>78</v>
      </c>
      <c r="K4533" s="7" t="str">
        <f t="shared" si="827"/>
        <v>View Creative</v>
      </c>
      <c r="L4533" s="4" t="s">
        <v>60</v>
      </c>
      <c r="M4533" s="4" t="s">
        <v>7013</v>
      </c>
      <c r="N4533" s="4"/>
      <c r="O4533" s="4" t="s">
        <v>63</v>
      </c>
      <c r="P4533" s="4" t="s">
        <v>64</v>
      </c>
    </row>
    <row r="4534">
      <c r="A4534" s="4" t="s">
        <v>7013</v>
      </c>
      <c r="B4534" s="4" t="s">
        <v>7014</v>
      </c>
      <c r="C4534" s="4">
        <v>483.0</v>
      </c>
      <c r="D4534" s="5" t="str">
        <f t="shared" ref="D4534:D4535" si="828">HYPERLINK("https://www.linkedin.com/ad-library/detail/1149389054","Open Ad")</f>
        <v>Open Ad</v>
      </c>
      <c r="E4534" s="4" t="s">
        <v>78</v>
      </c>
      <c r="F4534" s="4" t="s">
        <v>6765</v>
      </c>
      <c r="G4534" s="4" t="s">
        <v>7091</v>
      </c>
      <c r="H4534" s="4" t="s">
        <v>49</v>
      </c>
      <c r="I4534" s="4" t="s">
        <v>7016</v>
      </c>
      <c r="J4534" s="4" t="s">
        <v>78</v>
      </c>
      <c r="K4534" s="7" t="str">
        <f t="shared" ref="K4534:K4535" si="829">HYPERLINK("https://media.licdn.com/dms/image/v2/D4E10AQEmkDLD4X437g/image-shrink_1280/B4EZyMRzsbKcAc-/0/1771880004998/ActionTracker4MeetActionspng?e=2147483647&amp;v=beta&amp;t=kBgjNRWbWwLkMbleB2r9e5Py7gwb2WX7uk3InZ1YbS8","View Creative")</f>
        <v>View Creative</v>
      </c>
      <c r="L4534" s="4" t="s">
        <v>60</v>
      </c>
      <c r="M4534" s="4" t="s">
        <v>7013</v>
      </c>
      <c r="N4534" s="4"/>
      <c r="O4534" s="4" t="s">
        <v>63</v>
      </c>
      <c r="P4534" s="4" t="s">
        <v>64</v>
      </c>
    </row>
    <row r="4535">
      <c r="A4535" s="4" t="s">
        <v>7013</v>
      </c>
      <c r="B4535" s="4" t="s">
        <v>7014</v>
      </c>
      <c r="C4535" s="4">
        <v>484.0</v>
      </c>
      <c r="D4535" s="5" t="str">
        <f t="shared" si="828"/>
        <v>Open Ad</v>
      </c>
      <c r="E4535" s="4" t="s">
        <v>78</v>
      </c>
      <c r="F4535" s="4" t="s">
        <v>6765</v>
      </c>
      <c r="G4535" s="4" t="s">
        <v>7091</v>
      </c>
      <c r="H4535" s="4" t="s">
        <v>49</v>
      </c>
      <c r="I4535" s="4" t="s">
        <v>7016</v>
      </c>
      <c r="J4535" s="4" t="s">
        <v>78</v>
      </c>
      <c r="K4535" s="7" t="str">
        <f t="shared" si="829"/>
        <v>View Creative</v>
      </c>
      <c r="L4535" s="4" t="s">
        <v>60</v>
      </c>
      <c r="M4535" s="4" t="s">
        <v>7013</v>
      </c>
      <c r="N4535" s="4"/>
      <c r="O4535" s="4" t="s">
        <v>63</v>
      </c>
      <c r="P4535" s="4" t="s">
        <v>64</v>
      </c>
    </row>
    <row r="4536">
      <c r="A4536" s="4" t="s">
        <v>7013</v>
      </c>
      <c r="B4536" s="4" t="s">
        <v>7014</v>
      </c>
      <c r="C4536" s="4">
        <v>485.0</v>
      </c>
      <c r="D4536" s="5" t="str">
        <f t="shared" ref="D4536:D4537" si="830">HYPERLINK("https://www.linkedin.com/ad-library/detail/1150487894","Open Ad")</f>
        <v>Open Ad</v>
      </c>
      <c r="E4536" s="4" t="s">
        <v>78</v>
      </c>
      <c r="F4536" s="4" t="s">
        <v>6765</v>
      </c>
      <c r="G4536" s="4" t="s">
        <v>7087</v>
      </c>
      <c r="H4536" s="4" t="s">
        <v>49</v>
      </c>
      <c r="I4536" s="4" t="s">
        <v>7016</v>
      </c>
      <c r="J4536" s="4" t="s">
        <v>78</v>
      </c>
      <c r="K4536" s="7" t="str">
        <f t="shared" ref="K4536:K4537" si="831">HYPERLINK("https://media.licdn.com/dms/image/v2/D4E10AQE2-Q-XQyh4jQ/image-shrink_1280/B4EZyMSYfcGkAc-/0/1771880155697/Revolut1YourAIvisibilitymetricsnowcomewithnextstepspng?e=2147483647&amp;v=beta&amp;t=LKmS_a81BSZ-NPd8l1zFFSH_lc6bELzX32H4-DFcGM0","View Creative")</f>
        <v>View Creative</v>
      </c>
      <c r="L4536" s="4" t="s">
        <v>60</v>
      </c>
      <c r="M4536" s="4" t="s">
        <v>7013</v>
      </c>
      <c r="N4536" s="4" t="s">
        <v>7095</v>
      </c>
      <c r="O4536" s="4" t="s">
        <v>63</v>
      </c>
      <c r="P4536" s="4" t="s">
        <v>64</v>
      </c>
    </row>
    <row r="4537">
      <c r="A4537" s="4" t="s">
        <v>7013</v>
      </c>
      <c r="B4537" s="4" t="s">
        <v>7014</v>
      </c>
      <c r="C4537" s="4">
        <v>486.0</v>
      </c>
      <c r="D4537" s="5" t="str">
        <f t="shared" si="830"/>
        <v>Open Ad</v>
      </c>
      <c r="E4537" s="4" t="s">
        <v>78</v>
      </c>
      <c r="F4537" s="4" t="s">
        <v>6765</v>
      </c>
      <c r="G4537" s="4" t="s">
        <v>7087</v>
      </c>
      <c r="H4537" s="4" t="s">
        <v>49</v>
      </c>
      <c r="I4537" s="4" t="s">
        <v>7016</v>
      </c>
      <c r="J4537" s="4" t="s">
        <v>78</v>
      </c>
      <c r="K4537" s="7" t="str">
        <f t="shared" si="831"/>
        <v>View Creative</v>
      </c>
      <c r="L4537" s="4" t="s">
        <v>60</v>
      </c>
      <c r="M4537" s="4" t="s">
        <v>7013</v>
      </c>
      <c r="N4537" s="4" t="s">
        <v>7095</v>
      </c>
      <c r="O4537" s="4" t="s">
        <v>63</v>
      </c>
      <c r="P4537" s="4" t="s">
        <v>64</v>
      </c>
    </row>
    <row r="4538">
      <c r="A4538" s="4" t="s">
        <v>7013</v>
      </c>
      <c r="B4538" s="4" t="s">
        <v>7014</v>
      </c>
      <c r="C4538" s="4">
        <v>487.0</v>
      </c>
      <c r="D4538" s="5" t="str">
        <f t="shared" ref="D4538:D4539" si="832">HYPERLINK("https://www.linkedin.com/ad-library/detail/1149889604","Open Ad")</f>
        <v>Open Ad</v>
      </c>
      <c r="E4538" s="4" t="s">
        <v>78</v>
      </c>
      <c r="F4538" s="4" t="s">
        <v>6765</v>
      </c>
      <c r="G4538" s="4" t="s">
        <v>7087</v>
      </c>
      <c r="H4538" s="4" t="s">
        <v>49</v>
      </c>
      <c r="I4538" s="4" t="s">
        <v>7016</v>
      </c>
      <c r="J4538" s="4" t="s">
        <v>78</v>
      </c>
      <c r="K4538" s="7" t="str">
        <f t="shared" ref="K4538:K4541" si="833">HYPERLINK("https://media.licdn.com/dms/image/v2/D4E10AQG_fR28v9KqCQ/image-shrink_1280/B4EZyMQzWuH0Ag-/0/1771879741823/ActionTracker1FromAIsearchanalyticstoclearnextstepspng?e=2147483647&amp;v=beta&amp;t=0vyT_z6hi-EJzcEE7BFeO1VVAl3pIj2aVVBCz9EPkk0","View Creative")</f>
        <v>View Creative</v>
      </c>
      <c r="L4538" s="4" t="s">
        <v>60</v>
      </c>
      <c r="M4538" s="4" t="s">
        <v>7013</v>
      </c>
      <c r="N4538" s="4"/>
      <c r="O4538" s="4" t="s">
        <v>63</v>
      </c>
      <c r="P4538" s="4" t="s">
        <v>64</v>
      </c>
    </row>
    <row r="4539">
      <c r="A4539" s="4" t="s">
        <v>7013</v>
      </c>
      <c r="B4539" s="4" t="s">
        <v>7014</v>
      </c>
      <c r="C4539" s="4">
        <v>488.0</v>
      </c>
      <c r="D4539" s="5" t="str">
        <f t="shared" si="832"/>
        <v>Open Ad</v>
      </c>
      <c r="E4539" s="4" t="s">
        <v>78</v>
      </c>
      <c r="F4539" s="4" t="s">
        <v>6765</v>
      </c>
      <c r="G4539" s="4" t="s">
        <v>7087</v>
      </c>
      <c r="H4539" s="4" t="s">
        <v>49</v>
      </c>
      <c r="I4539" s="4" t="s">
        <v>7016</v>
      </c>
      <c r="J4539" s="4" t="s">
        <v>78</v>
      </c>
      <c r="K4539" s="7" t="str">
        <f t="shared" si="833"/>
        <v>View Creative</v>
      </c>
      <c r="L4539" s="4" t="s">
        <v>60</v>
      </c>
      <c r="M4539" s="4" t="s">
        <v>7013</v>
      </c>
      <c r="N4539" s="4"/>
      <c r="O4539" s="4" t="s">
        <v>63</v>
      </c>
      <c r="P4539" s="4" t="s">
        <v>64</v>
      </c>
    </row>
    <row r="4540">
      <c r="A4540" s="4" t="s">
        <v>7013</v>
      </c>
      <c r="B4540" s="4" t="s">
        <v>7014</v>
      </c>
      <c r="C4540" s="4">
        <v>489.0</v>
      </c>
      <c r="D4540" s="5" t="str">
        <f t="shared" ref="D4540:D4541" si="834">HYPERLINK("https://www.linkedin.com/ad-library/detail/1150187764","Open Ad")</f>
        <v>Open Ad</v>
      </c>
      <c r="E4540" s="4" t="s">
        <v>78</v>
      </c>
      <c r="F4540" s="4" t="s">
        <v>6765</v>
      </c>
      <c r="G4540" s="4" t="s">
        <v>7087</v>
      </c>
      <c r="H4540" s="4" t="s">
        <v>49</v>
      </c>
      <c r="I4540" s="4" t="s">
        <v>7016</v>
      </c>
      <c r="J4540" s="4" t="s">
        <v>78</v>
      </c>
      <c r="K4540" s="7" t="str">
        <f t="shared" si="833"/>
        <v>View Creative</v>
      </c>
      <c r="L4540" s="4" t="s">
        <v>60</v>
      </c>
      <c r="M4540" s="4" t="s">
        <v>7013</v>
      </c>
      <c r="N4540" s="4" t="s">
        <v>7096</v>
      </c>
      <c r="O4540" s="4" t="s">
        <v>63</v>
      </c>
      <c r="P4540" s="4" t="s">
        <v>64</v>
      </c>
    </row>
    <row r="4541">
      <c r="A4541" s="4" t="s">
        <v>7013</v>
      </c>
      <c r="B4541" s="4" t="s">
        <v>7014</v>
      </c>
      <c r="C4541" s="4">
        <v>490.0</v>
      </c>
      <c r="D4541" s="5" t="str">
        <f t="shared" si="834"/>
        <v>Open Ad</v>
      </c>
      <c r="E4541" s="4" t="s">
        <v>78</v>
      </c>
      <c r="F4541" s="4" t="s">
        <v>6765</v>
      </c>
      <c r="G4541" s="4" t="s">
        <v>7087</v>
      </c>
      <c r="H4541" s="4" t="s">
        <v>49</v>
      </c>
      <c r="I4541" s="4" t="s">
        <v>7016</v>
      </c>
      <c r="J4541" s="4" t="s">
        <v>78</v>
      </c>
      <c r="K4541" s="7" t="str">
        <f t="shared" si="833"/>
        <v>View Creative</v>
      </c>
      <c r="L4541" s="4" t="s">
        <v>60</v>
      </c>
      <c r="M4541" s="4" t="s">
        <v>7013</v>
      </c>
      <c r="N4541" s="4" t="s">
        <v>7096</v>
      </c>
      <c r="O4541" s="4" t="s">
        <v>63</v>
      </c>
      <c r="P4541" s="4" t="s">
        <v>64</v>
      </c>
    </row>
    <row r="4542">
      <c r="A4542" s="4" t="s">
        <v>7013</v>
      </c>
      <c r="B4542" s="4" t="s">
        <v>7014</v>
      </c>
      <c r="C4542" s="4">
        <v>491.0</v>
      </c>
      <c r="D4542" s="5" t="str">
        <f t="shared" ref="D4542:D4543" si="835">HYPERLINK("https://www.linkedin.com/ad-library/detail/1150188914","Open Ad")</f>
        <v>Open Ad</v>
      </c>
      <c r="E4542" s="4" t="s">
        <v>78</v>
      </c>
      <c r="F4542" s="4" t="s">
        <v>6765</v>
      </c>
      <c r="G4542" s="4" t="s">
        <v>7091</v>
      </c>
      <c r="H4542" s="4" t="s">
        <v>49</v>
      </c>
      <c r="I4542" s="4" t="s">
        <v>7016</v>
      </c>
      <c r="J4542" s="4" t="s">
        <v>78</v>
      </c>
      <c r="K4542" s="7" t="str">
        <f t="shared" ref="K4542:K4543" si="836">HYPERLINK("https://media.licdn.com/dms/image/v2/D4E10AQEmkDLD4X437g/image-shrink_1280/B4EZyMRzsbKcAc-/0/1771880004998/ActionTracker4MeetActionspng?e=2147483647&amp;v=beta&amp;t=kBgjNRWbWwLkMbleB2r9e5Py7gwb2WX7uk3InZ1YbS8","View Creative")</f>
        <v>View Creative</v>
      </c>
      <c r="L4542" s="4" t="s">
        <v>60</v>
      </c>
      <c r="M4542" s="4" t="s">
        <v>7013</v>
      </c>
      <c r="N4542" s="4" t="s">
        <v>7096</v>
      </c>
      <c r="O4542" s="4" t="s">
        <v>63</v>
      </c>
      <c r="P4542" s="4" t="s">
        <v>64</v>
      </c>
    </row>
    <row r="4543">
      <c r="A4543" s="4" t="s">
        <v>7013</v>
      </c>
      <c r="B4543" s="4" t="s">
        <v>7014</v>
      </c>
      <c r="C4543" s="4">
        <v>492.0</v>
      </c>
      <c r="D4543" s="5" t="str">
        <f t="shared" si="835"/>
        <v>Open Ad</v>
      </c>
      <c r="E4543" s="4" t="s">
        <v>78</v>
      </c>
      <c r="F4543" s="4" t="s">
        <v>6765</v>
      </c>
      <c r="G4543" s="4" t="s">
        <v>7091</v>
      </c>
      <c r="H4543" s="4" t="s">
        <v>49</v>
      </c>
      <c r="I4543" s="4" t="s">
        <v>7016</v>
      </c>
      <c r="J4543" s="4" t="s">
        <v>78</v>
      </c>
      <c r="K4543" s="7" t="str">
        <f t="shared" si="836"/>
        <v>View Creative</v>
      </c>
      <c r="L4543" s="4" t="s">
        <v>60</v>
      </c>
      <c r="M4543" s="4" t="s">
        <v>7013</v>
      </c>
      <c r="N4543" s="4" t="s">
        <v>7096</v>
      </c>
      <c r="O4543" s="4" t="s">
        <v>63</v>
      </c>
      <c r="P4543" s="4" t="s">
        <v>64</v>
      </c>
    </row>
    <row r="4544">
      <c r="A4544" s="4" t="s">
        <v>7013</v>
      </c>
      <c r="B4544" s="4" t="s">
        <v>7014</v>
      </c>
      <c r="C4544" s="4">
        <v>493.0</v>
      </c>
      <c r="D4544" s="5" t="str">
        <f t="shared" ref="D4544:D4545" si="837">HYPERLINK("https://www.linkedin.com/ad-library/detail/1150387994","Open Ad")</f>
        <v>Open Ad</v>
      </c>
      <c r="E4544" s="4" t="s">
        <v>78</v>
      </c>
      <c r="F4544" s="4" t="s">
        <v>6765</v>
      </c>
      <c r="G4544" s="4" t="s">
        <v>7093</v>
      </c>
      <c r="H4544" s="4" t="s">
        <v>49</v>
      </c>
      <c r="I4544" s="4" t="s">
        <v>7016</v>
      </c>
      <c r="J4544" s="4" t="s">
        <v>78</v>
      </c>
      <c r="K4544" s="7" t="str">
        <f t="shared" ref="K4544:K4545" si="838">HYPERLINK("https://media.licdn.com/dms/image/v2/D4E10AQEv4ItHpKi5pw/image-shrink_1280/B4EZyMQ4yWJsAc-/0/1771879763685/Revolut2FromAIsearchanalyticstoclearnextstepspng?e=2147483647&amp;v=beta&amp;t=YAFKK7AlmHSQR1kB7FUxy0Mpp2F4zE3XX62bSVzcuTc","View Creative")</f>
        <v>View Creative</v>
      </c>
      <c r="L4544" s="4" t="s">
        <v>60</v>
      </c>
      <c r="M4544" s="4" t="s">
        <v>7013</v>
      </c>
      <c r="N4544" s="4" t="s">
        <v>7096</v>
      </c>
      <c r="O4544" s="4" t="s">
        <v>63</v>
      </c>
      <c r="P4544" s="4" t="s">
        <v>64</v>
      </c>
    </row>
    <row r="4545">
      <c r="A4545" s="4" t="s">
        <v>7013</v>
      </c>
      <c r="B4545" s="4" t="s">
        <v>7014</v>
      </c>
      <c r="C4545" s="4">
        <v>494.0</v>
      </c>
      <c r="D4545" s="5" t="str">
        <f t="shared" si="837"/>
        <v>Open Ad</v>
      </c>
      <c r="E4545" s="4" t="s">
        <v>78</v>
      </c>
      <c r="F4545" s="4" t="s">
        <v>6765</v>
      </c>
      <c r="G4545" s="4" t="s">
        <v>7093</v>
      </c>
      <c r="H4545" s="4" t="s">
        <v>49</v>
      </c>
      <c r="I4545" s="4" t="s">
        <v>7016</v>
      </c>
      <c r="J4545" s="4" t="s">
        <v>78</v>
      </c>
      <c r="K4545" s="7" t="str">
        <f t="shared" si="838"/>
        <v>View Creative</v>
      </c>
      <c r="L4545" s="4" t="s">
        <v>60</v>
      </c>
      <c r="M4545" s="4" t="s">
        <v>7013</v>
      </c>
      <c r="N4545" s="4" t="s">
        <v>7096</v>
      </c>
      <c r="O4545" s="4" t="s">
        <v>63</v>
      </c>
      <c r="P4545" s="4" t="s">
        <v>64</v>
      </c>
    </row>
    <row r="4546">
      <c r="A4546" s="4" t="s">
        <v>7013</v>
      </c>
      <c r="B4546" s="4" t="s">
        <v>7014</v>
      </c>
      <c r="C4546" s="4">
        <v>495.0</v>
      </c>
      <c r="D4546" s="5" t="str">
        <f t="shared" ref="D4546:D4547" si="839">HYPERLINK("https://www.linkedin.com/ad-library/detail/1149588284","Open Ad")</f>
        <v>Open Ad</v>
      </c>
      <c r="E4546" s="4" t="s">
        <v>78</v>
      </c>
      <c r="F4546" s="4" t="s">
        <v>6765</v>
      </c>
      <c r="G4546" s="4" t="s">
        <v>7087</v>
      </c>
      <c r="H4546" s="4" t="s">
        <v>49</v>
      </c>
      <c r="I4546" s="4" t="s">
        <v>7016</v>
      </c>
      <c r="J4546" s="4" t="s">
        <v>78</v>
      </c>
      <c r="K4546" s="7" t="str">
        <f t="shared" ref="K4546:K4547" si="840">HYPERLINK("https://media.licdn.com/dms/image/v2/D4E10AQE2-Q-XQyh4jQ/image-shrink_1280/B4EZyMSYfcGkAc-/0/1771880155697/Revolut1YourAIvisibilitymetricsnowcomewithnextstepspng?e=2147483647&amp;v=beta&amp;t=LKmS_a81BSZ-NPd8l1zFFSH_lc6bELzX32H4-DFcGM0","View Creative")</f>
        <v>View Creative</v>
      </c>
      <c r="L4546" s="4" t="s">
        <v>60</v>
      </c>
      <c r="M4546" s="4" t="s">
        <v>7013</v>
      </c>
      <c r="N4546" s="4" t="s">
        <v>7096</v>
      </c>
      <c r="O4546" s="4" t="s">
        <v>63</v>
      </c>
      <c r="P4546" s="4" t="s">
        <v>64</v>
      </c>
    </row>
    <row r="4547">
      <c r="A4547" s="4" t="s">
        <v>7013</v>
      </c>
      <c r="B4547" s="4" t="s">
        <v>7014</v>
      </c>
      <c r="C4547" s="4">
        <v>496.0</v>
      </c>
      <c r="D4547" s="5" t="str">
        <f t="shared" si="839"/>
        <v>Open Ad</v>
      </c>
      <c r="E4547" s="4" t="s">
        <v>78</v>
      </c>
      <c r="F4547" s="4" t="s">
        <v>6765</v>
      </c>
      <c r="G4547" s="4" t="s">
        <v>7087</v>
      </c>
      <c r="H4547" s="4" t="s">
        <v>49</v>
      </c>
      <c r="I4547" s="4" t="s">
        <v>7016</v>
      </c>
      <c r="J4547" s="4" t="s">
        <v>78</v>
      </c>
      <c r="K4547" s="7" t="str">
        <f t="shared" si="840"/>
        <v>View Creative</v>
      </c>
      <c r="L4547" s="4" t="s">
        <v>60</v>
      </c>
      <c r="M4547" s="4" t="s">
        <v>7013</v>
      </c>
      <c r="N4547" s="4" t="s">
        <v>7096</v>
      </c>
      <c r="O4547" s="4" t="s">
        <v>63</v>
      </c>
      <c r="P4547" s="4" t="s">
        <v>64</v>
      </c>
    </row>
    <row r="4548">
      <c r="A4548" s="4" t="s">
        <v>7013</v>
      </c>
      <c r="B4548" s="4" t="s">
        <v>7014</v>
      </c>
      <c r="C4548" s="4">
        <v>497.0</v>
      </c>
      <c r="D4548" s="5" t="str">
        <f t="shared" ref="D4548:D4549" si="841">HYPERLINK("https://www.linkedin.com/ad-library/detail/1150187844","Open Ad")</f>
        <v>Open Ad</v>
      </c>
      <c r="E4548" s="4" t="s">
        <v>78</v>
      </c>
      <c r="F4548" s="4" t="s">
        <v>6765</v>
      </c>
      <c r="G4548" s="4" t="s">
        <v>7087</v>
      </c>
      <c r="H4548" s="4" t="s">
        <v>49</v>
      </c>
      <c r="I4548" s="4" t="s">
        <v>7016</v>
      </c>
      <c r="J4548" s="4" t="s">
        <v>78</v>
      </c>
      <c r="K4548" s="7" t="str">
        <f t="shared" ref="K4548:K4549" si="842">HYPERLINK("https://media.licdn.com/dms/image/v2/D4E10AQG_fR28v9KqCQ/image-shrink_1280/B4EZyMQzWuH0Ag-/0/1771879741823/ActionTracker1FromAIsearchanalyticstoclearnextstepspng?e=2147483647&amp;v=beta&amp;t=0vyT_z6hi-EJzcEE7BFeO1VVAl3pIj2aVVBCz9EPkk0","View Creative")</f>
        <v>View Creative</v>
      </c>
      <c r="L4548" s="4" t="s">
        <v>60</v>
      </c>
      <c r="M4548" s="4" t="s">
        <v>7013</v>
      </c>
      <c r="N4548" s="4" t="s">
        <v>7095</v>
      </c>
      <c r="O4548" s="4" t="s">
        <v>63</v>
      </c>
      <c r="P4548" s="4" t="s">
        <v>64</v>
      </c>
    </row>
    <row r="4549">
      <c r="A4549" s="4" t="s">
        <v>7013</v>
      </c>
      <c r="B4549" s="4" t="s">
        <v>7014</v>
      </c>
      <c r="C4549" s="4">
        <v>498.0</v>
      </c>
      <c r="D4549" s="5" t="str">
        <f t="shared" si="841"/>
        <v>Open Ad</v>
      </c>
      <c r="E4549" s="4" t="s">
        <v>78</v>
      </c>
      <c r="F4549" s="4" t="s">
        <v>6765</v>
      </c>
      <c r="G4549" s="4" t="s">
        <v>7087</v>
      </c>
      <c r="H4549" s="4" t="s">
        <v>49</v>
      </c>
      <c r="I4549" s="4" t="s">
        <v>7016</v>
      </c>
      <c r="J4549" s="4" t="s">
        <v>78</v>
      </c>
      <c r="K4549" s="7" t="str">
        <f t="shared" si="842"/>
        <v>View Creative</v>
      </c>
      <c r="L4549" s="4" t="s">
        <v>60</v>
      </c>
      <c r="M4549" s="4" t="s">
        <v>7013</v>
      </c>
      <c r="N4549" s="4" t="s">
        <v>7095</v>
      </c>
      <c r="O4549" s="4" t="s">
        <v>63</v>
      </c>
      <c r="P4549" s="4" t="s">
        <v>64</v>
      </c>
    </row>
    <row r="4550">
      <c r="A4550" s="4" t="s">
        <v>7013</v>
      </c>
      <c r="B4550" s="4" t="s">
        <v>7014</v>
      </c>
      <c r="C4550" s="4">
        <v>499.0</v>
      </c>
      <c r="D4550" s="5" t="str">
        <f t="shared" ref="D4550:D4551" si="843">HYPERLINK("https://www.linkedin.com/ad-library/detail/1150687434","Open Ad")</f>
        <v>Open Ad</v>
      </c>
      <c r="E4550" s="4" t="s">
        <v>78</v>
      </c>
      <c r="F4550" s="4" t="s">
        <v>6765</v>
      </c>
      <c r="G4550" s="4" t="s">
        <v>7093</v>
      </c>
      <c r="H4550" s="4" t="s">
        <v>49</v>
      </c>
      <c r="I4550" s="4" t="s">
        <v>7016</v>
      </c>
      <c r="J4550" s="4" t="s">
        <v>78</v>
      </c>
      <c r="K4550" s="7" t="str">
        <f t="shared" ref="K4550:K4551" si="844">HYPERLINK("https://media.licdn.com/dms/image/v2/D4E10AQHXd2CW_zULWg/image-shrink_1280/B4EZyMTHeUIMAc-/0/1771880348132/ActionTracker2YourAIvisibilitymetricsnowcomewithnextstepspng?e=2147483647&amp;v=beta&amp;t=NzDfAuilwUb2OeIQyBhjLRFVPNtcg2-ZxbDzGP7o3vs","View Creative")</f>
        <v>View Creative</v>
      </c>
      <c r="L4550" s="4" t="s">
        <v>60</v>
      </c>
      <c r="M4550" s="4" t="s">
        <v>7013</v>
      </c>
      <c r="N4550" s="4" t="s">
        <v>7096</v>
      </c>
      <c r="O4550" s="4" t="s">
        <v>63</v>
      </c>
      <c r="P4550" s="4" t="s">
        <v>64</v>
      </c>
    </row>
    <row r="4551">
      <c r="A4551" s="4" t="s">
        <v>7013</v>
      </c>
      <c r="B4551" s="4" t="s">
        <v>7014</v>
      </c>
      <c r="C4551" s="4">
        <v>500.0</v>
      </c>
      <c r="D4551" s="5" t="str">
        <f t="shared" si="843"/>
        <v>Open Ad</v>
      </c>
      <c r="E4551" s="4" t="s">
        <v>78</v>
      </c>
      <c r="F4551" s="4" t="s">
        <v>6765</v>
      </c>
      <c r="G4551" s="4" t="s">
        <v>7093</v>
      </c>
      <c r="H4551" s="4" t="s">
        <v>49</v>
      </c>
      <c r="I4551" s="4" t="s">
        <v>7016</v>
      </c>
      <c r="J4551" s="4" t="s">
        <v>78</v>
      </c>
      <c r="K4551" s="7" t="str">
        <f t="shared" si="844"/>
        <v>View Creative</v>
      </c>
      <c r="L4551" s="4" t="s">
        <v>60</v>
      </c>
      <c r="M4551" s="4" t="s">
        <v>7013</v>
      </c>
      <c r="N4551" s="4" t="s">
        <v>7096</v>
      </c>
      <c r="O4551" s="4" t="s">
        <v>63</v>
      </c>
      <c r="P4551" s="4" t="s">
        <v>64</v>
      </c>
    </row>
    <row r="4552">
      <c r="A4552" s="4" t="s">
        <v>7013</v>
      </c>
      <c r="B4552" s="4" t="s">
        <v>7014</v>
      </c>
      <c r="C4552" s="4">
        <v>501.0</v>
      </c>
      <c r="D4552" s="5" t="str">
        <f t="shared" ref="D4552:D4553" si="845">HYPERLINK("https://www.linkedin.com/ad-library/detail/1148789284","Open Ad")</f>
        <v>Open Ad</v>
      </c>
      <c r="E4552" s="4" t="s">
        <v>78</v>
      </c>
      <c r="F4552" s="4" t="s">
        <v>6765</v>
      </c>
      <c r="G4552" s="4" t="s">
        <v>7093</v>
      </c>
      <c r="H4552" s="4" t="s">
        <v>49</v>
      </c>
      <c r="I4552" s="4" t="s">
        <v>7016</v>
      </c>
      <c r="J4552" s="4" t="s">
        <v>78</v>
      </c>
      <c r="K4552" s="7" t="str">
        <f t="shared" ref="K4552:K4553" si="846">HYPERLINK("https://media.licdn.com/dms/image/v2/D4E10AQEv4ItHpKi5pw/image-shrink_1280/B4EZyMQ4yWJsAc-/0/1771879763685/Revolut2FromAIsearchanalyticstoclearnextstepspng?e=2147483647&amp;v=beta&amp;t=YAFKK7AlmHSQR1kB7FUxy0Mpp2F4zE3XX62bSVzcuTc","View Creative")</f>
        <v>View Creative</v>
      </c>
      <c r="L4552" s="4" t="s">
        <v>60</v>
      </c>
      <c r="M4552" s="4" t="s">
        <v>7013</v>
      </c>
      <c r="N4552" s="4" t="s">
        <v>7096</v>
      </c>
      <c r="O4552" s="4" t="s">
        <v>63</v>
      </c>
      <c r="P4552" s="4" t="s">
        <v>64</v>
      </c>
    </row>
    <row r="4553">
      <c r="A4553" s="4" t="s">
        <v>7013</v>
      </c>
      <c r="B4553" s="4" t="s">
        <v>7014</v>
      </c>
      <c r="C4553" s="4">
        <v>502.0</v>
      </c>
      <c r="D4553" s="5" t="str">
        <f t="shared" si="845"/>
        <v>Open Ad</v>
      </c>
      <c r="E4553" s="4" t="s">
        <v>78</v>
      </c>
      <c r="F4553" s="4" t="s">
        <v>6765</v>
      </c>
      <c r="G4553" s="4" t="s">
        <v>7093</v>
      </c>
      <c r="H4553" s="4" t="s">
        <v>49</v>
      </c>
      <c r="I4553" s="4" t="s">
        <v>7016</v>
      </c>
      <c r="J4553" s="4" t="s">
        <v>78</v>
      </c>
      <c r="K4553" s="7" t="str">
        <f t="shared" si="846"/>
        <v>View Creative</v>
      </c>
      <c r="L4553" s="4" t="s">
        <v>60</v>
      </c>
      <c r="M4553" s="4" t="s">
        <v>7013</v>
      </c>
      <c r="N4553" s="4" t="s">
        <v>7096</v>
      </c>
      <c r="O4553" s="4" t="s">
        <v>63</v>
      </c>
      <c r="P4553" s="4" t="s">
        <v>64</v>
      </c>
    </row>
    <row r="4554">
      <c r="A4554" s="4" t="s">
        <v>7013</v>
      </c>
      <c r="B4554" s="4" t="s">
        <v>7014</v>
      </c>
      <c r="C4554" s="4">
        <v>503.0</v>
      </c>
      <c r="D4554" s="5" t="str">
        <f t="shared" ref="D4554:D4555" si="847">HYPERLINK("https://www.linkedin.com/ad-library/detail/1150287934","Open Ad")</f>
        <v>Open Ad</v>
      </c>
      <c r="E4554" s="4" t="s">
        <v>78</v>
      </c>
      <c r="F4554" s="4" t="s">
        <v>6765</v>
      </c>
      <c r="G4554" s="4" t="s">
        <v>7091</v>
      </c>
      <c r="H4554" s="4" t="s">
        <v>49</v>
      </c>
      <c r="I4554" s="4" t="s">
        <v>7016</v>
      </c>
      <c r="J4554" s="4" t="s">
        <v>78</v>
      </c>
      <c r="K4554" s="7" t="str">
        <f t="shared" ref="K4554:K4557" si="848">HYPERLINK("https://media.licdn.com/dms/image/v2/D4E10AQEmkDLD4X437g/image-shrink_1280/B4EZyMRzsbKcAc-/0/1771880004998/ActionTracker4MeetActionspng?e=2147483647&amp;v=beta&amp;t=kBgjNRWbWwLkMbleB2r9e5Py7gwb2WX7uk3InZ1YbS8","View Creative")</f>
        <v>View Creative</v>
      </c>
      <c r="L4554" s="4" t="s">
        <v>60</v>
      </c>
      <c r="M4554" s="4" t="s">
        <v>7013</v>
      </c>
      <c r="N4554" s="4" t="s">
        <v>7096</v>
      </c>
      <c r="O4554" s="4" t="s">
        <v>63</v>
      </c>
      <c r="P4554" s="4" t="s">
        <v>64</v>
      </c>
    </row>
    <row r="4555">
      <c r="A4555" s="4" t="s">
        <v>7013</v>
      </c>
      <c r="B4555" s="4" t="s">
        <v>7014</v>
      </c>
      <c r="C4555" s="4">
        <v>504.0</v>
      </c>
      <c r="D4555" s="5" t="str">
        <f t="shared" si="847"/>
        <v>Open Ad</v>
      </c>
      <c r="E4555" s="4" t="s">
        <v>78</v>
      </c>
      <c r="F4555" s="4" t="s">
        <v>6765</v>
      </c>
      <c r="G4555" s="4" t="s">
        <v>7091</v>
      </c>
      <c r="H4555" s="4" t="s">
        <v>49</v>
      </c>
      <c r="I4555" s="4" t="s">
        <v>7016</v>
      </c>
      <c r="J4555" s="4" t="s">
        <v>78</v>
      </c>
      <c r="K4555" s="7" t="str">
        <f t="shared" si="848"/>
        <v>View Creative</v>
      </c>
      <c r="L4555" s="4" t="s">
        <v>60</v>
      </c>
      <c r="M4555" s="4" t="s">
        <v>7013</v>
      </c>
      <c r="N4555" s="4" t="s">
        <v>7096</v>
      </c>
      <c r="O4555" s="4" t="s">
        <v>63</v>
      </c>
      <c r="P4555" s="4" t="s">
        <v>64</v>
      </c>
    </row>
    <row r="4556">
      <c r="A4556" s="4" t="s">
        <v>7013</v>
      </c>
      <c r="B4556" s="4" t="s">
        <v>7014</v>
      </c>
      <c r="C4556" s="4">
        <v>505.0</v>
      </c>
      <c r="D4556" s="5" t="str">
        <f t="shared" ref="D4556:D4557" si="849">HYPERLINK("https://www.linkedin.com/ad-library/detail/1148788364","Open Ad")</f>
        <v>Open Ad</v>
      </c>
      <c r="E4556" s="4" t="s">
        <v>78</v>
      </c>
      <c r="F4556" s="4" t="s">
        <v>6765</v>
      </c>
      <c r="G4556" s="4" t="s">
        <v>7091</v>
      </c>
      <c r="H4556" s="4" t="s">
        <v>49</v>
      </c>
      <c r="I4556" s="4" t="s">
        <v>7016</v>
      </c>
      <c r="J4556" s="4" t="s">
        <v>78</v>
      </c>
      <c r="K4556" s="7" t="str">
        <f t="shared" si="848"/>
        <v>View Creative</v>
      </c>
      <c r="L4556" s="4" t="s">
        <v>60</v>
      </c>
      <c r="M4556" s="4" t="s">
        <v>7013</v>
      </c>
      <c r="N4556" s="4" t="s">
        <v>7095</v>
      </c>
      <c r="O4556" s="4" t="s">
        <v>63</v>
      </c>
      <c r="P4556" s="4" t="s">
        <v>64</v>
      </c>
    </row>
    <row r="4557">
      <c r="A4557" s="4" t="s">
        <v>7013</v>
      </c>
      <c r="B4557" s="4" t="s">
        <v>7014</v>
      </c>
      <c r="C4557" s="4">
        <v>506.0</v>
      </c>
      <c r="D4557" s="5" t="str">
        <f t="shared" si="849"/>
        <v>Open Ad</v>
      </c>
      <c r="E4557" s="4" t="s">
        <v>78</v>
      </c>
      <c r="F4557" s="4" t="s">
        <v>6765</v>
      </c>
      <c r="G4557" s="4" t="s">
        <v>7091</v>
      </c>
      <c r="H4557" s="4" t="s">
        <v>49</v>
      </c>
      <c r="I4557" s="4" t="s">
        <v>7016</v>
      </c>
      <c r="J4557" s="4" t="s">
        <v>78</v>
      </c>
      <c r="K4557" s="7" t="str">
        <f t="shared" si="848"/>
        <v>View Creative</v>
      </c>
      <c r="L4557" s="4" t="s">
        <v>60</v>
      </c>
      <c r="M4557" s="4" t="s">
        <v>7013</v>
      </c>
      <c r="N4557" s="4" t="s">
        <v>7095</v>
      </c>
      <c r="O4557" s="4" t="s">
        <v>63</v>
      </c>
      <c r="P4557" s="4" t="s">
        <v>64</v>
      </c>
    </row>
    <row r="4558">
      <c r="A4558" s="4" t="s">
        <v>7013</v>
      </c>
      <c r="B4558" s="4" t="s">
        <v>7014</v>
      </c>
      <c r="C4558" s="4">
        <v>507.0</v>
      </c>
      <c r="D4558" s="5" t="str">
        <f t="shared" ref="D4558:D4559" si="850">HYPERLINK("https://www.linkedin.com/ad-library/detail/1149488434","Open Ad")</f>
        <v>Open Ad</v>
      </c>
      <c r="E4558" s="4" t="s">
        <v>78</v>
      </c>
      <c r="F4558" s="4" t="s">
        <v>6765</v>
      </c>
      <c r="G4558" s="4" t="s">
        <v>7093</v>
      </c>
      <c r="H4558" s="4" t="s">
        <v>49</v>
      </c>
      <c r="I4558" s="4" t="s">
        <v>7016</v>
      </c>
      <c r="J4558" s="4" t="s">
        <v>78</v>
      </c>
      <c r="K4558" s="7" t="str">
        <f t="shared" ref="K4558:K4559" si="851">HYPERLINK("https://media.licdn.com/dms/image/v2/D4E10AQEv4ItHpKi5pw/image-shrink_1280/B4EZyMQ4yWJsAc-/0/1771879763685/Revolut2FromAIsearchanalyticstoclearnextstepspng?e=2147483647&amp;v=beta&amp;t=YAFKK7AlmHSQR1kB7FUxy0Mpp2F4zE3XX62bSVzcuTc","View Creative")</f>
        <v>View Creative</v>
      </c>
      <c r="L4558" s="4" t="s">
        <v>60</v>
      </c>
      <c r="M4558" s="4" t="s">
        <v>7013</v>
      </c>
      <c r="N4558" s="4" t="s">
        <v>7095</v>
      </c>
      <c r="O4558" s="4" t="s">
        <v>63</v>
      </c>
      <c r="P4558" s="4" t="s">
        <v>64</v>
      </c>
    </row>
    <row r="4559">
      <c r="A4559" s="4" t="s">
        <v>7013</v>
      </c>
      <c r="B4559" s="4" t="s">
        <v>7014</v>
      </c>
      <c r="C4559" s="4">
        <v>508.0</v>
      </c>
      <c r="D4559" s="5" t="str">
        <f t="shared" si="850"/>
        <v>Open Ad</v>
      </c>
      <c r="E4559" s="4" t="s">
        <v>78</v>
      </c>
      <c r="F4559" s="4" t="s">
        <v>6765</v>
      </c>
      <c r="G4559" s="4" t="s">
        <v>7093</v>
      </c>
      <c r="H4559" s="4" t="s">
        <v>49</v>
      </c>
      <c r="I4559" s="4" t="s">
        <v>7016</v>
      </c>
      <c r="J4559" s="4" t="s">
        <v>78</v>
      </c>
      <c r="K4559" s="7" t="str">
        <f t="shared" si="851"/>
        <v>View Creative</v>
      </c>
      <c r="L4559" s="4" t="s">
        <v>60</v>
      </c>
      <c r="M4559" s="4" t="s">
        <v>7013</v>
      </c>
      <c r="N4559" s="4" t="s">
        <v>7095</v>
      </c>
      <c r="O4559" s="4" t="s">
        <v>63</v>
      </c>
      <c r="P4559" s="4" t="s">
        <v>64</v>
      </c>
    </row>
    <row r="4560">
      <c r="A4560" s="4" t="s">
        <v>7013</v>
      </c>
      <c r="B4560" s="4" t="s">
        <v>7014</v>
      </c>
      <c r="C4560" s="4">
        <v>509.0</v>
      </c>
      <c r="D4560" s="5" t="str">
        <f t="shared" ref="D4560:D4561" si="852">HYPERLINK("https://www.linkedin.com/ad-library/detail/1146428324","Open Ad")</f>
        <v>Open Ad</v>
      </c>
      <c r="E4560" s="4" t="s">
        <v>78</v>
      </c>
      <c r="F4560" s="4" t="s">
        <v>6765</v>
      </c>
      <c r="G4560" s="4" t="s">
        <v>7087</v>
      </c>
      <c r="H4560" s="4" t="s">
        <v>49</v>
      </c>
      <c r="I4560" s="4" t="s">
        <v>7016</v>
      </c>
      <c r="J4560" s="4" t="s">
        <v>78</v>
      </c>
      <c r="K4560" s="7" t="str">
        <f t="shared" ref="K4560:K4561" si="853">HYPERLINK("https://media.licdn.com/dms/image/v2/D4E10AQG_fR28v9KqCQ/image-shrink_1280/B4EZyMQzWuH0Ag-/0/1771879741823/ActionTracker1FromAIsearchanalyticstoclearnextstepspng?e=2147483647&amp;v=beta&amp;t=0vyT_z6hi-EJzcEE7BFeO1VVAl3pIj2aVVBCz9EPkk0","View Creative")</f>
        <v>View Creative</v>
      </c>
      <c r="L4560" s="4" t="s">
        <v>60</v>
      </c>
      <c r="M4560" s="4" t="s">
        <v>7013</v>
      </c>
      <c r="N4560" s="4"/>
      <c r="O4560" s="4" t="s">
        <v>63</v>
      </c>
      <c r="P4560" s="4" t="s">
        <v>64</v>
      </c>
    </row>
    <row r="4561">
      <c r="A4561" s="4" t="s">
        <v>7013</v>
      </c>
      <c r="B4561" s="4" t="s">
        <v>7014</v>
      </c>
      <c r="C4561" s="4">
        <v>510.0</v>
      </c>
      <c r="D4561" s="5" t="str">
        <f t="shared" si="852"/>
        <v>Open Ad</v>
      </c>
      <c r="E4561" s="4" t="s">
        <v>78</v>
      </c>
      <c r="F4561" s="4" t="s">
        <v>6765</v>
      </c>
      <c r="G4561" s="4" t="s">
        <v>7087</v>
      </c>
      <c r="H4561" s="4" t="s">
        <v>49</v>
      </c>
      <c r="I4561" s="4" t="s">
        <v>7016</v>
      </c>
      <c r="J4561" s="4" t="s">
        <v>78</v>
      </c>
      <c r="K4561" s="7" t="str">
        <f t="shared" si="853"/>
        <v>View Creative</v>
      </c>
      <c r="L4561" s="4" t="s">
        <v>60</v>
      </c>
      <c r="M4561" s="4" t="s">
        <v>7013</v>
      </c>
      <c r="N4561" s="4"/>
      <c r="O4561" s="4" t="s">
        <v>63</v>
      </c>
      <c r="P4561" s="4" t="s">
        <v>64</v>
      </c>
    </row>
    <row r="4562">
      <c r="A4562" s="4" t="s">
        <v>7013</v>
      </c>
      <c r="B4562" s="4" t="s">
        <v>7014</v>
      </c>
      <c r="C4562" s="4">
        <v>511.0</v>
      </c>
      <c r="D4562" s="5" t="str">
        <f t="shared" ref="D4562:D4563" si="854">HYPERLINK("https://www.linkedin.com/ad-library/detail/1148489314","Open Ad")</f>
        <v>Open Ad</v>
      </c>
      <c r="E4562" s="4" t="s">
        <v>78</v>
      </c>
      <c r="F4562" s="4" t="s">
        <v>6765</v>
      </c>
      <c r="G4562" s="4" t="s">
        <v>7087</v>
      </c>
      <c r="H4562" s="4" t="s">
        <v>49</v>
      </c>
      <c r="I4562" s="4" t="s">
        <v>7016</v>
      </c>
      <c r="J4562" s="4" t="s">
        <v>78</v>
      </c>
      <c r="K4562" s="7" t="str">
        <f t="shared" ref="K4562:K4563" si="855">HYPERLINK("https://media.licdn.com/dms/image/v2/D4E10AQE2-Q-XQyh4jQ/image-shrink_1280/B4EZyMSYfcGkAc-/0/1771880155697/Revolut1YourAIvisibilitymetricsnowcomewithnextstepspng?e=2147483647&amp;v=beta&amp;t=LKmS_a81BSZ-NPd8l1zFFSH_lc6bELzX32H4-DFcGM0","View Creative")</f>
        <v>View Creative</v>
      </c>
      <c r="L4562" s="4" t="s">
        <v>60</v>
      </c>
      <c r="M4562" s="4" t="s">
        <v>7013</v>
      </c>
      <c r="N4562" s="4" t="s">
        <v>7096</v>
      </c>
      <c r="O4562" s="4" t="s">
        <v>63</v>
      </c>
      <c r="P4562" s="4" t="s">
        <v>64</v>
      </c>
    </row>
    <row r="4563">
      <c r="A4563" s="4" t="s">
        <v>7013</v>
      </c>
      <c r="B4563" s="4" t="s">
        <v>7014</v>
      </c>
      <c r="C4563" s="4">
        <v>512.0</v>
      </c>
      <c r="D4563" s="5" t="str">
        <f t="shared" si="854"/>
        <v>Open Ad</v>
      </c>
      <c r="E4563" s="4" t="s">
        <v>78</v>
      </c>
      <c r="F4563" s="4" t="s">
        <v>6765</v>
      </c>
      <c r="G4563" s="4" t="s">
        <v>7087</v>
      </c>
      <c r="H4563" s="4" t="s">
        <v>49</v>
      </c>
      <c r="I4563" s="4" t="s">
        <v>7016</v>
      </c>
      <c r="J4563" s="4" t="s">
        <v>78</v>
      </c>
      <c r="K4563" s="7" t="str">
        <f t="shared" si="855"/>
        <v>View Creative</v>
      </c>
      <c r="L4563" s="4" t="s">
        <v>60</v>
      </c>
      <c r="M4563" s="4" t="s">
        <v>7013</v>
      </c>
      <c r="N4563" s="4" t="s">
        <v>7096</v>
      </c>
      <c r="O4563" s="4" t="s">
        <v>63</v>
      </c>
      <c r="P4563" s="4" t="s">
        <v>64</v>
      </c>
    </row>
    <row r="4564">
      <c r="A4564" s="4" t="s">
        <v>7013</v>
      </c>
      <c r="B4564" s="4" t="s">
        <v>7014</v>
      </c>
      <c r="C4564" s="4">
        <v>513.0</v>
      </c>
      <c r="D4564" s="5" t="str">
        <f t="shared" ref="D4564:D4565" si="856">HYPERLINK("https://www.linkedin.com/ad-library/detail/1150588444","Open Ad")</f>
        <v>Open Ad</v>
      </c>
      <c r="E4564" s="4" t="s">
        <v>78</v>
      </c>
      <c r="F4564" s="4" t="s">
        <v>6765</v>
      </c>
      <c r="G4564" s="4" t="s">
        <v>7093</v>
      </c>
      <c r="H4564" s="4" t="s">
        <v>49</v>
      </c>
      <c r="I4564" s="4" t="s">
        <v>7016</v>
      </c>
      <c r="J4564" s="4" t="s">
        <v>78</v>
      </c>
      <c r="K4564" s="7" t="str">
        <f t="shared" ref="K4564:K4567" si="857">HYPERLINK("https://media.licdn.com/dms/image/v2/D4E10AQHXd2CW_zULWg/image-shrink_1280/B4EZyMTHeUIMAc-/0/1771880348132/ActionTracker2YourAIvisibilitymetricsnowcomewithnextstepspng?e=2147483647&amp;v=beta&amp;t=NzDfAuilwUb2OeIQyBhjLRFVPNtcg2-ZxbDzGP7o3vs","View Creative")</f>
        <v>View Creative</v>
      </c>
      <c r="L4564" s="4" t="s">
        <v>60</v>
      </c>
      <c r="M4564" s="4" t="s">
        <v>7013</v>
      </c>
      <c r="N4564" s="4" t="s">
        <v>7095</v>
      </c>
      <c r="O4564" s="4" t="s">
        <v>63</v>
      </c>
      <c r="P4564" s="4" t="s">
        <v>64</v>
      </c>
    </row>
    <row r="4565">
      <c r="A4565" s="4" t="s">
        <v>7013</v>
      </c>
      <c r="B4565" s="4" t="s">
        <v>7014</v>
      </c>
      <c r="C4565" s="4">
        <v>514.0</v>
      </c>
      <c r="D4565" s="5" t="str">
        <f t="shared" si="856"/>
        <v>Open Ad</v>
      </c>
      <c r="E4565" s="4" t="s">
        <v>78</v>
      </c>
      <c r="F4565" s="4" t="s">
        <v>6765</v>
      </c>
      <c r="G4565" s="4" t="s">
        <v>7093</v>
      </c>
      <c r="H4565" s="4" t="s">
        <v>49</v>
      </c>
      <c r="I4565" s="4" t="s">
        <v>7016</v>
      </c>
      <c r="J4565" s="4" t="s">
        <v>78</v>
      </c>
      <c r="K4565" s="7" t="str">
        <f t="shared" si="857"/>
        <v>View Creative</v>
      </c>
      <c r="L4565" s="4" t="s">
        <v>60</v>
      </c>
      <c r="M4565" s="4" t="s">
        <v>7013</v>
      </c>
      <c r="N4565" s="4" t="s">
        <v>7095</v>
      </c>
      <c r="O4565" s="4" t="s">
        <v>63</v>
      </c>
      <c r="P4565" s="4" t="s">
        <v>64</v>
      </c>
    </row>
    <row r="4566">
      <c r="A4566" s="4" t="s">
        <v>7013</v>
      </c>
      <c r="B4566" s="4" t="s">
        <v>7014</v>
      </c>
      <c r="C4566" s="4">
        <v>515.0</v>
      </c>
      <c r="D4566" s="5" t="str">
        <f t="shared" ref="D4566:D4567" si="858">HYPERLINK("https://www.linkedin.com/ad-library/detail/1150589304","Open Ad")</f>
        <v>Open Ad</v>
      </c>
      <c r="E4566" s="4" t="s">
        <v>78</v>
      </c>
      <c r="F4566" s="4" t="s">
        <v>6765</v>
      </c>
      <c r="G4566" s="4" t="s">
        <v>7093</v>
      </c>
      <c r="H4566" s="4" t="s">
        <v>49</v>
      </c>
      <c r="I4566" s="4" t="s">
        <v>7016</v>
      </c>
      <c r="J4566" s="4" t="s">
        <v>78</v>
      </c>
      <c r="K4566" s="7" t="str">
        <f t="shared" si="857"/>
        <v>View Creative</v>
      </c>
      <c r="L4566" s="4" t="s">
        <v>60</v>
      </c>
      <c r="M4566" s="4" t="s">
        <v>7013</v>
      </c>
      <c r="N4566" s="4" t="s">
        <v>7096</v>
      </c>
      <c r="O4566" s="4" t="s">
        <v>63</v>
      </c>
      <c r="P4566" s="4" t="s">
        <v>64</v>
      </c>
    </row>
    <row r="4567">
      <c r="A4567" s="4" t="s">
        <v>7013</v>
      </c>
      <c r="B4567" s="4" t="s">
        <v>7014</v>
      </c>
      <c r="C4567" s="4">
        <v>516.0</v>
      </c>
      <c r="D4567" s="5" t="str">
        <f t="shared" si="858"/>
        <v>Open Ad</v>
      </c>
      <c r="E4567" s="4" t="s">
        <v>78</v>
      </c>
      <c r="F4567" s="4" t="s">
        <v>6765</v>
      </c>
      <c r="G4567" s="4" t="s">
        <v>7093</v>
      </c>
      <c r="H4567" s="4" t="s">
        <v>49</v>
      </c>
      <c r="I4567" s="4" t="s">
        <v>7016</v>
      </c>
      <c r="J4567" s="4" t="s">
        <v>78</v>
      </c>
      <c r="K4567" s="7" t="str">
        <f t="shared" si="857"/>
        <v>View Creative</v>
      </c>
      <c r="L4567" s="4" t="s">
        <v>60</v>
      </c>
      <c r="M4567" s="4" t="s">
        <v>7013</v>
      </c>
      <c r="N4567" s="4" t="s">
        <v>7096</v>
      </c>
      <c r="O4567" s="4" t="s">
        <v>63</v>
      </c>
      <c r="P4567" s="4" t="s">
        <v>64</v>
      </c>
    </row>
    <row r="4568">
      <c r="A4568" s="4" t="s">
        <v>7013</v>
      </c>
      <c r="B4568" s="4" t="s">
        <v>7014</v>
      </c>
      <c r="C4568" s="4">
        <v>517.0</v>
      </c>
      <c r="D4568" s="5" t="str">
        <f t="shared" ref="D4568:D4569" si="859">HYPERLINK("https://www.linkedin.com/ad-library/detail/1147019694","Open Ad")</f>
        <v>Open Ad</v>
      </c>
      <c r="E4568" s="4" t="s">
        <v>78</v>
      </c>
      <c r="F4568" s="4" t="s">
        <v>6765</v>
      </c>
      <c r="G4568" s="4" t="s">
        <v>7087</v>
      </c>
      <c r="H4568" s="4" t="s">
        <v>49</v>
      </c>
      <c r="I4568" s="4" t="s">
        <v>7016</v>
      </c>
      <c r="J4568" s="4" t="s">
        <v>78</v>
      </c>
      <c r="K4568" s="7" t="str">
        <f t="shared" ref="K4568:K4569" si="860">HYPERLINK("https://media.licdn.com/dms/image/v2/D4E10AQE2-Q-XQyh4jQ/image-shrink_1280/B4EZyMSYfcGkAc-/0/1771880155697/Revolut1YourAIvisibilitymetricsnowcomewithnextstepspng?e=2147483647&amp;v=beta&amp;t=LKmS_a81BSZ-NPd8l1zFFSH_lc6bELzX32H4-DFcGM0","View Creative")</f>
        <v>View Creative</v>
      </c>
      <c r="L4568" s="4" t="s">
        <v>60</v>
      </c>
      <c r="M4568" s="4" t="s">
        <v>7013</v>
      </c>
      <c r="N4568" s="4"/>
      <c r="O4568" s="4" t="s">
        <v>63</v>
      </c>
      <c r="P4568" s="4" t="s">
        <v>64</v>
      </c>
    </row>
    <row r="4569">
      <c r="A4569" s="4" t="s">
        <v>7013</v>
      </c>
      <c r="B4569" s="4" t="s">
        <v>7014</v>
      </c>
      <c r="C4569" s="4">
        <v>518.0</v>
      </c>
      <c r="D4569" s="5" t="str">
        <f t="shared" si="859"/>
        <v>Open Ad</v>
      </c>
      <c r="E4569" s="4" t="s">
        <v>78</v>
      </c>
      <c r="F4569" s="4" t="s">
        <v>6765</v>
      </c>
      <c r="G4569" s="4" t="s">
        <v>7087</v>
      </c>
      <c r="H4569" s="4" t="s">
        <v>49</v>
      </c>
      <c r="I4569" s="4" t="s">
        <v>7016</v>
      </c>
      <c r="J4569" s="4" t="s">
        <v>78</v>
      </c>
      <c r="K4569" s="7" t="str">
        <f t="shared" si="860"/>
        <v>View Creative</v>
      </c>
      <c r="L4569" s="4" t="s">
        <v>60</v>
      </c>
      <c r="M4569" s="4" t="s">
        <v>7013</v>
      </c>
      <c r="N4569" s="4"/>
      <c r="O4569" s="4" t="s">
        <v>63</v>
      </c>
      <c r="P4569" s="4" t="s">
        <v>64</v>
      </c>
    </row>
    <row r="4570">
      <c r="A4570" s="4" t="s">
        <v>7013</v>
      </c>
      <c r="B4570" s="4" t="s">
        <v>7014</v>
      </c>
      <c r="C4570" s="4">
        <v>519.0</v>
      </c>
      <c r="D4570" s="5" t="str">
        <f t="shared" ref="D4570:D4571" si="861">HYPERLINK("https://www.linkedin.com/ad-library/detail/1148489344","Open Ad")</f>
        <v>Open Ad</v>
      </c>
      <c r="E4570" s="4" t="s">
        <v>78</v>
      </c>
      <c r="F4570" s="4" t="s">
        <v>6765</v>
      </c>
      <c r="G4570" s="4" t="s">
        <v>7093</v>
      </c>
      <c r="H4570" s="4" t="s">
        <v>49</v>
      </c>
      <c r="I4570" s="4" t="s">
        <v>7016</v>
      </c>
      <c r="J4570" s="4" t="s">
        <v>78</v>
      </c>
      <c r="K4570" s="7" t="str">
        <f t="shared" ref="K4570:K4571" si="862">HYPERLINK("https://media.licdn.com/dms/image/v2/D4E10AQHXd2CW_zULWg/image-shrink_1280/B4EZyMTHeUIMAc-/0/1771880348132/ActionTracker2YourAIvisibilitymetricsnowcomewithnextstepspng?e=2147483647&amp;v=beta&amp;t=NzDfAuilwUb2OeIQyBhjLRFVPNtcg2-ZxbDzGP7o3vs","View Creative")</f>
        <v>View Creative</v>
      </c>
      <c r="L4570" s="4" t="s">
        <v>60</v>
      </c>
      <c r="M4570" s="4" t="s">
        <v>7013</v>
      </c>
      <c r="N4570" s="4"/>
      <c r="O4570" s="4" t="s">
        <v>63</v>
      </c>
      <c r="P4570" s="4" t="s">
        <v>64</v>
      </c>
    </row>
    <row r="4571">
      <c r="A4571" s="4" t="s">
        <v>7013</v>
      </c>
      <c r="B4571" s="4" t="s">
        <v>7014</v>
      </c>
      <c r="C4571" s="4">
        <v>520.0</v>
      </c>
      <c r="D4571" s="5" t="str">
        <f t="shared" si="861"/>
        <v>Open Ad</v>
      </c>
      <c r="E4571" s="4" t="s">
        <v>78</v>
      </c>
      <c r="F4571" s="4" t="s">
        <v>6765</v>
      </c>
      <c r="G4571" s="4" t="s">
        <v>7093</v>
      </c>
      <c r="H4571" s="4" t="s">
        <v>49</v>
      </c>
      <c r="I4571" s="4" t="s">
        <v>7016</v>
      </c>
      <c r="J4571" s="4" t="s">
        <v>78</v>
      </c>
      <c r="K4571" s="7" t="str">
        <f t="shared" si="862"/>
        <v>View Creative</v>
      </c>
      <c r="L4571" s="4" t="s">
        <v>60</v>
      </c>
      <c r="M4571" s="4" t="s">
        <v>7013</v>
      </c>
      <c r="N4571" s="4"/>
      <c r="O4571" s="4" t="s">
        <v>63</v>
      </c>
      <c r="P4571" s="4" t="s">
        <v>64</v>
      </c>
    </row>
    <row r="4572">
      <c r="A4572" s="4" t="s">
        <v>7013</v>
      </c>
      <c r="B4572" s="4" t="s">
        <v>7014</v>
      </c>
      <c r="C4572" s="4">
        <v>521.0</v>
      </c>
      <c r="D4572" s="5" t="str">
        <f t="shared" ref="D4572:D4573" si="863">HYPERLINK("https://www.linkedin.com/ad-library/detail/1150088814","Open Ad")</f>
        <v>Open Ad</v>
      </c>
      <c r="E4572" s="4" t="s">
        <v>78</v>
      </c>
      <c r="F4572" s="4" t="s">
        <v>6765</v>
      </c>
      <c r="G4572" s="4" t="s">
        <v>7087</v>
      </c>
      <c r="H4572" s="4" t="s">
        <v>49</v>
      </c>
      <c r="I4572" s="4" t="s">
        <v>7016</v>
      </c>
      <c r="J4572" s="4" t="s">
        <v>78</v>
      </c>
      <c r="K4572" s="7" t="str">
        <f t="shared" ref="K4572:K4573" si="864">HYPERLINK("https://media.licdn.com/dms/image/v2/D4E10AQG_fR28v9KqCQ/image-shrink_1280/B4EZyMQzWuH0Ag-/0/1771879741823/ActionTracker1FromAIsearchanalyticstoclearnextstepspng?e=2147483647&amp;v=beta&amp;t=0vyT_z6hi-EJzcEE7BFeO1VVAl3pIj2aVVBCz9EPkk0","View Creative")</f>
        <v>View Creative</v>
      </c>
      <c r="L4572" s="4" t="s">
        <v>60</v>
      </c>
      <c r="M4572" s="4" t="s">
        <v>7013</v>
      </c>
      <c r="N4572" s="4" t="s">
        <v>7096</v>
      </c>
      <c r="O4572" s="4" t="s">
        <v>63</v>
      </c>
      <c r="P4572" s="4" t="s">
        <v>64</v>
      </c>
    </row>
    <row r="4573">
      <c r="A4573" s="4" t="s">
        <v>7013</v>
      </c>
      <c r="B4573" s="4" t="s">
        <v>7014</v>
      </c>
      <c r="C4573" s="4">
        <v>522.0</v>
      </c>
      <c r="D4573" s="5" t="str">
        <f t="shared" si="863"/>
        <v>Open Ad</v>
      </c>
      <c r="E4573" s="4" t="s">
        <v>78</v>
      </c>
      <c r="F4573" s="4" t="s">
        <v>6765</v>
      </c>
      <c r="G4573" s="4" t="s">
        <v>7087</v>
      </c>
      <c r="H4573" s="4" t="s">
        <v>49</v>
      </c>
      <c r="I4573" s="4" t="s">
        <v>7016</v>
      </c>
      <c r="J4573" s="4" t="s">
        <v>78</v>
      </c>
      <c r="K4573" s="7" t="str">
        <f t="shared" si="864"/>
        <v>View Creative</v>
      </c>
      <c r="L4573" s="4" t="s">
        <v>60</v>
      </c>
      <c r="M4573" s="4" t="s">
        <v>7013</v>
      </c>
      <c r="N4573" s="4" t="s">
        <v>7096</v>
      </c>
      <c r="O4573" s="4" t="s">
        <v>63</v>
      </c>
      <c r="P4573" s="4" t="s">
        <v>64</v>
      </c>
    </row>
    <row r="4574">
      <c r="A4574" s="4" t="s">
        <v>7013</v>
      </c>
      <c r="B4574" s="4" t="s">
        <v>7014</v>
      </c>
      <c r="C4574" s="4">
        <v>523.0</v>
      </c>
      <c r="D4574" s="5" t="str">
        <f t="shared" ref="D4574:D4575" si="865">HYPERLINK("https://www.linkedin.com/ad-library/detail/1148489334","Open Ad")</f>
        <v>Open Ad</v>
      </c>
      <c r="E4574" s="4" t="s">
        <v>78</v>
      </c>
      <c r="F4574" s="4" t="s">
        <v>6765</v>
      </c>
      <c r="G4574" s="4" t="s">
        <v>7087</v>
      </c>
      <c r="H4574" s="4" t="s">
        <v>49</v>
      </c>
      <c r="I4574" s="4" t="s">
        <v>7016</v>
      </c>
      <c r="J4574" s="4" t="s">
        <v>78</v>
      </c>
      <c r="K4574" s="7" t="str">
        <f t="shared" ref="K4574:K4575" si="866">HYPERLINK("https://media.licdn.com/dms/image/v2/D4E10AQE2-Q-XQyh4jQ/image-shrink_1280/B4EZyMSYfcGkAc-/0/1771880155697/Revolut1YourAIvisibilitymetricsnowcomewithnextstepspng?e=2147483647&amp;v=beta&amp;t=LKmS_a81BSZ-NPd8l1zFFSH_lc6bELzX32H4-DFcGM0","View Creative")</f>
        <v>View Creative</v>
      </c>
      <c r="L4574" s="4" t="s">
        <v>60</v>
      </c>
      <c r="M4574" s="4" t="s">
        <v>7013</v>
      </c>
      <c r="N4574" s="4"/>
      <c r="O4574" s="4" t="s">
        <v>63</v>
      </c>
      <c r="P4574" s="4" t="s">
        <v>64</v>
      </c>
    </row>
    <row r="4575">
      <c r="A4575" s="4" t="s">
        <v>7013</v>
      </c>
      <c r="B4575" s="4" t="s">
        <v>7014</v>
      </c>
      <c r="C4575" s="4">
        <v>524.0</v>
      </c>
      <c r="D4575" s="5" t="str">
        <f t="shared" si="865"/>
        <v>Open Ad</v>
      </c>
      <c r="E4575" s="4" t="s">
        <v>78</v>
      </c>
      <c r="F4575" s="4" t="s">
        <v>6765</v>
      </c>
      <c r="G4575" s="4" t="s">
        <v>7087</v>
      </c>
      <c r="H4575" s="4" t="s">
        <v>49</v>
      </c>
      <c r="I4575" s="4" t="s">
        <v>7016</v>
      </c>
      <c r="J4575" s="4" t="s">
        <v>78</v>
      </c>
      <c r="K4575" s="7" t="str">
        <f t="shared" si="866"/>
        <v>View Creative</v>
      </c>
      <c r="L4575" s="4" t="s">
        <v>60</v>
      </c>
      <c r="M4575" s="4" t="s">
        <v>7013</v>
      </c>
      <c r="N4575" s="4"/>
      <c r="O4575" s="4" t="s">
        <v>63</v>
      </c>
      <c r="P4575" s="4" t="s">
        <v>64</v>
      </c>
    </row>
    <row r="4576">
      <c r="A4576" s="4" t="s">
        <v>7013</v>
      </c>
      <c r="B4576" s="4" t="s">
        <v>7014</v>
      </c>
      <c r="C4576" s="4">
        <v>525.0</v>
      </c>
      <c r="D4576" s="5" t="str">
        <f t="shared" ref="D4576:D4577" si="867">HYPERLINK("https://www.linkedin.com/ad-library/detail/1146231034","Open Ad")</f>
        <v>Open Ad</v>
      </c>
      <c r="E4576" s="4" t="s">
        <v>78</v>
      </c>
      <c r="F4576" s="4" t="s">
        <v>6765</v>
      </c>
      <c r="G4576" s="4" t="s">
        <v>7093</v>
      </c>
      <c r="H4576" s="4" t="s">
        <v>49</v>
      </c>
      <c r="I4576" s="4" t="s">
        <v>7016</v>
      </c>
      <c r="J4576" s="4" t="s">
        <v>78</v>
      </c>
      <c r="K4576" s="7" t="str">
        <f t="shared" ref="K4576:K4577" si="868">HYPERLINK("https://media.licdn.com/dms/image/v2/D4E10AQHXd2CW_zULWg/image-shrink_1280/B4EZyMTHeUIMAc-/0/1771880348132/ActionTracker2YourAIvisibilitymetricsnowcomewithnextstepspng?e=2147483647&amp;v=beta&amp;t=NzDfAuilwUb2OeIQyBhjLRFVPNtcg2-ZxbDzGP7o3vs","View Creative")</f>
        <v>View Creative</v>
      </c>
      <c r="L4576" s="4" t="s">
        <v>60</v>
      </c>
      <c r="M4576" s="4" t="s">
        <v>7013</v>
      </c>
      <c r="N4576" s="4"/>
      <c r="O4576" s="4" t="s">
        <v>63</v>
      </c>
      <c r="P4576" s="4" t="s">
        <v>64</v>
      </c>
    </row>
    <row r="4577">
      <c r="A4577" s="4" t="s">
        <v>7013</v>
      </c>
      <c r="B4577" s="4" t="s">
        <v>7014</v>
      </c>
      <c r="C4577" s="4">
        <v>526.0</v>
      </c>
      <c r="D4577" s="5" t="str">
        <f t="shared" si="867"/>
        <v>Open Ad</v>
      </c>
      <c r="E4577" s="4" t="s">
        <v>78</v>
      </c>
      <c r="F4577" s="4" t="s">
        <v>6765</v>
      </c>
      <c r="G4577" s="4" t="s">
        <v>7093</v>
      </c>
      <c r="H4577" s="4" t="s">
        <v>49</v>
      </c>
      <c r="I4577" s="4" t="s">
        <v>7016</v>
      </c>
      <c r="J4577" s="4" t="s">
        <v>78</v>
      </c>
      <c r="K4577" s="7" t="str">
        <f t="shared" si="868"/>
        <v>View Creative</v>
      </c>
      <c r="L4577" s="4" t="s">
        <v>60</v>
      </c>
      <c r="M4577" s="4" t="s">
        <v>7013</v>
      </c>
      <c r="N4577" s="4"/>
      <c r="O4577" s="4" t="s">
        <v>63</v>
      </c>
      <c r="P4577" s="4" t="s">
        <v>64</v>
      </c>
    </row>
    <row r="4578">
      <c r="A4578" s="4" t="s">
        <v>7013</v>
      </c>
      <c r="B4578" s="4" t="s">
        <v>7014</v>
      </c>
      <c r="C4578" s="4">
        <v>527.0</v>
      </c>
      <c r="D4578" s="5" t="str">
        <f t="shared" ref="D4578:D4579" si="869">HYPERLINK("https://www.linkedin.com/ad-library/detail/1149789024","Open Ad")</f>
        <v>Open Ad</v>
      </c>
      <c r="E4578" s="4" t="s">
        <v>78</v>
      </c>
      <c r="F4578" s="4" t="s">
        <v>6765</v>
      </c>
      <c r="G4578" s="4" t="s">
        <v>7093</v>
      </c>
      <c r="H4578" s="4" t="s">
        <v>49</v>
      </c>
      <c r="I4578" s="4" t="s">
        <v>7016</v>
      </c>
      <c r="J4578" s="4" t="s">
        <v>78</v>
      </c>
      <c r="K4578" s="7" t="str">
        <f t="shared" ref="K4578:K4581" si="870">HYPERLINK("https://media.licdn.com/dms/image/v2/D4E10AQEv4ItHpKi5pw/image-shrink_1280/B4EZyMQ4yWJsAc-/0/1771879763685/Revolut2FromAIsearchanalyticstoclearnextstepspng?e=2147483647&amp;v=beta&amp;t=YAFKK7AlmHSQR1kB7FUxy0Mpp2F4zE3XX62bSVzcuTc","View Creative")</f>
        <v>View Creative</v>
      </c>
      <c r="L4578" s="4" t="s">
        <v>60</v>
      </c>
      <c r="M4578" s="4" t="s">
        <v>7013</v>
      </c>
      <c r="N4578" s="4"/>
      <c r="O4578" s="4" t="s">
        <v>63</v>
      </c>
      <c r="P4578" s="4" t="s">
        <v>64</v>
      </c>
    </row>
    <row r="4579">
      <c r="A4579" s="4" t="s">
        <v>7013</v>
      </c>
      <c r="B4579" s="4" t="s">
        <v>7014</v>
      </c>
      <c r="C4579" s="4">
        <v>528.0</v>
      </c>
      <c r="D4579" s="5" t="str">
        <f t="shared" si="869"/>
        <v>Open Ad</v>
      </c>
      <c r="E4579" s="4" t="s">
        <v>78</v>
      </c>
      <c r="F4579" s="4" t="s">
        <v>6765</v>
      </c>
      <c r="G4579" s="4" t="s">
        <v>7093</v>
      </c>
      <c r="H4579" s="4" t="s">
        <v>49</v>
      </c>
      <c r="I4579" s="4" t="s">
        <v>7016</v>
      </c>
      <c r="J4579" s="4" t="s">
        <v>78</v>
      </c>
      <c r="K4579" s="7" t="str">
        <f t="shared" si="870"/>
        <v>View Creative</v>
      </c>
      <c r="L4579" s="4" t="s">
        <v>60</v>
      </c>
      <c r="M4579" s="4" t="s">
        <v>7013</v>
      </c>
      <c r="N4579" s="4"/>
      <c r="O4579" s="4" t="s">
        <v>63</v>
      </c>
      <c r="P4579" s="4" t="s">
        <v>64</v>
      </c>
    </row>
    <row r="4580">
      <c r="A4580" s="4" t="s">
        <v>7013</v>
      </c>
      <c r="B4580" s="4" t="s">
        <v>7014</v>
      </c>
      <c r="C4580" s="4">
        <v>529.0</v>
      </c>
      <c r="D4580" s="5" t="str">
        <f t="shared" ref="D4580:D4581" si="871">HYPERLINK("https://www.linkedin.com/ad-library/detail/1146231024","Open Ad")</f>
        <v>Open Ad</v>
      </c>
      <c r="E4580" s="4" t="s">
        <v>78</v>
      </c>
      <c r="F4580" s="4" t="s">
        <v>6765</v>
      </c>
      <c r="G4580" s="4" t="s">
        <v>7093</v>
      </c>
      <c r="H4580" s="4" t="s">
        <v>49</v>
      </c>
      <c r="I4580" s="4" t="s">
        <v>7016</v>
      </c>
      <c r="J4580" s="4" t="s">
        <v>78</v>
      </c>
      <c r="K4580" s="7" t="str">
        <f t="shared" si="870"/>
        <v>View Creative</v>
      </c>
      <c r="L4580" s="4" t="s">
        <v>60</v>
      </c>
      <c r="M4580" s="4" t="s">
        <v>7013</v>
      </c>
      <c r="N4580" s="4"/>
      <c r="O4580" s="4" t="s">
        <v>63</v>
      </c>
      <c r="P4580" s="4" t="s">
        <v>64</v>
      </c>
    </row>
    <row r="4581">
      <c r="A4581" s="4" t="s">
        <v>7013</v>
      </c>
      <c r="B4581" s="4" t="s">
        <v>7014</v>
      </c>
      <c r="C4581" s="4">
        <v>530.0</v>
      </c>
      <c r="D4581" s="5" t="str">
        <f t="shared" si="871"/>
        <v>Open Ad</v>
      </c>
      <c r="E4581" s="4" t="s">
        <v>78</v>
      </c>
      <c r="F4581" s="4" t="s">
        <v>6765</v>
      </c>
      <c r="G4581" s="4" t="s">
        <v>7093</v>
      </c>
      <c r="H4581" s="4" t="s">
        <v>49</v>
      </c>
      <c r="I4581" s="4" t="s">
        <v>7016</v>
      </c>
      <c r="J4581" s="4" t="s">
        <v>78</v>
      </c>
      <c r="K4581" s="7" t="str">
        <f t="shared" si="870"/>
        <v>View Creative</v>
      </c>
      <c r="L4581" s="4" t="s">
        <v>60</v>
      </c>
      <c r="M4581" s="4" t="s">
        <v>7013</v>
      </c>
      <c r="N4581" s="4"/>
      <c r="O4581" s="4" t="s">
        <v>63</v>
      </c>
      <c r="P4581" s="4" t="s">
        <v>64</v>
      </c>
    </row>
    <row r="4582">
      <c r="A4582" s="4" t="s">
        <v>7013</v>
      </c>
      <c r="B4582" s="4" t="s">
        <v>7014</v>
      </c>
      <c r="C4582" s="4">
        <v>531.0</v>
      </c>
      <c r="D4582" s="5" t="str">
        <f t="shared" ref="D4582:D4583" si="872">HYPERLINK("https://www.linkedin.com/ad-library/detail/1126580514","Open Ad")</f>
        <v>Open Ad</v>
      </c>
      <c r="E4582" s="4" t="s">
        <v>78</v>
      </c>
      <c r="F4582" s="4" t="s">
        <v>6765</v>
      </c>
      <c r="G4582" s="4" t="s">
        <v>7097</v>
      </c>
      <c r="H4582" s="4" t="s">
        <v>49</v>
      </c>
      <c r="I4582" s="4" t="s">
        <v>7016</v>
      </c>
      <c r="J4582" s="4" t="s">
        <v>78</v>
      </c>
      <c r="K4582" s="7" t="str">
        <f t="shared" ref="K4582:K4583" si="873">HYPERLINK("https://media.licdn.com/dms/image/v2/D4E10AQFBE-hGBlPdfQ/image-shrink_1280/B4EZvHPXk5GkAc-/0/1768574253788/TrackwhatAIsayspng?e=2147483647&amp;v=beta&amp;t=c2jX6FQItgO4wLlA6IAzpFa7FH4E4qDF52W5zHY4V5o","View Creative")</f>
        <v>View Creative</v>
      </c>
      <c r="L4582" s="4" t="s">
        <v>60</v>
      </c>
      <c r="M4582" s="4" t="s">
        <v>7013</v>
      </c>
      <c r="N4582" s="4"/>
      <c r="O4582" s="4" t="s">
        <v>63</v>
      </c>
      <c r="P4582" s="4" t="s">
        <v>64</v>
      </c>
    </row>
    <row r="4583">
      <c r="A4583" s="4" t="s">
        <v>7013</v>
      </c>
      <c r="B4583" s="4" t="s">
        <v>7014</v>
      </c>
      <c r="C4583" s="4">
        <v>532.0</v>
      </c>
      <c r="D4583" s="5" t="str">
        <f t="shared" si="872"/>
        <v>Open Ad</v>
      </c>
      <c r="E4583" s="4" t="s">
        <v>78</v>
      </c>
      <c r="F4583" s="4" t="s">
        <v>6765</v>
      </c>
      <c r="G4583" s="4" t="s">
        <v>7097</v>
      </c>
      <c r="H4583" s="4" t="s">
        <v>49</v>
      </c>
      <c r="I4583" s="4" t="s">
        <v>7016</v>
      </c>
      <c r="J4583" s="4" t="s">
        <v>78</v>
      </c>
      <c r="K4583" s="7" t="str">
        <f t="shared" si="873"/>
        <v>View Creative</v>
      </c>
      <c r="L4583" s="4" t="s">
        <v>60</v>
      </c>
      <c r="M4583" s="4" t="s">
        <v>7013</v>
      </c>
      <c r="N4583" s="4"/>
      <c r="O4583" s="4" t="s">
        <v>63</v>
      </c>
      <c r="P4583" s="4" t="s">
        <v>64</v>
      </c>
    </row>
    <row r="4584">
      <c r="A4584" s="4" t="s">
        <v>7013</v>
      </c>
      <c r="B4584" s="4" t="s">
        <v>7014</v>
      </c>
      <c r="C4584" s="4">
        <v>533.0</v>
      </c>
      <c r="D4584" s="5" t="str">
        <f t="shared" ref="D4584:D4585" si="874">HYPERLINK("https://www.linkedin.com/ad-library/detail/1124780624","Open Ad")</f>
        <v>Open Ad</v>
      </c>
      <c r="E4584" s="4" t="s">
        <v>78</v>
      </c>
      <c r="F4584" s="4" t="s">
        <v>6765</v>
      </c>
      <c r="G4584" s="4" t="s">
        <v>7098</v>
      </c>
      <c r="H4584" s="4" t="s">
        <v>49</v>
      </c>
      <c r="I4584" s="4" t="s">
        <v>7016</v>
      </c>
      <c r="J4584" s="4" t="s">
        <v>78</v>
      </c>
      <c r="K4584" s="7" t="str">
        <f t="shared" ref="K4584:K4585" si="875">HYPERLINK("https://media.licdn.com/dms/image/v2/D4E10AQFhdvl49SWZJw/image-shrink_1280/B4EZvHOpTsIIAg-/0/1768574064237/Gettrafficpng?e=2147483647&amp;v=beta&amp;t=zW2iradgKhv3Rzcgm7lLXw6UqHtXcSuZb9dYJ_IsQw0","View Creative")</f>
        <v>View Creative</v>
      </c>
      <c r="L4584" s="4" t="s">
        <v>60</v>
      </c>
      <c r="M4584" s="4" t="s">
        <v>7013</v>
      </c>
      <c r="N4584" s="4"/>
      <c r="O4584" s="4" t="s">
        <v>63</v>
      </c>
      <c r="P4584" s="4" t="s">
        <v>64</v>
      </c>
    </row>
    <row r="4585">
      <c r="A4585" s="4" t="s">
        <v>7013</v>
      </c>
      <c r="B4585" s="4" t="s">
        <v>7014</v>
      </c>
      <c r="C4585" s="4">
        <v>534.0</v>
      </c>
      <c r="D4585" s="5" t="str">
        <f t="shared" si="874"/>
        <v>Open Ad</v>
      </c>
      <c r="E4585" s="4" t="s">
        <v>78</v>
      </c>
      <c r="F4585" s="4" t="s">
        <v>6765</v>
      </c>
      <c r="G4585" s="4" t="s">
        <v>7098</v>
      </c>
      <c r="H4585" s="4" t="s">
        <v>49</v>
      </c>
      <c r="I4585" s="4" t="s">
        <v>7016</v>
      </c>
      <c r="J4585" s="4" t="s">
        <v>78</v>
      </c>
      <c r="K4585" s="7" t="str">
        <f t="shared" si="875"/>
        <v>View Creative</v>
      </c>
      <c r="L4585" s="4" t="s">
        <v>60</v>
      </c>
      <c r="M4585" s="4" t="s">
        <v>7013</v>
      </c>
      <c r="N4585" s="4"/>
      <c r="O4585" s="4" t="s">
        <v>63</v>
      </c>
      <c r="P4585" s="4" t="s">
        <v>64</v>
      </c>
    </row>
    <row r="4586">
      <c r="A4586" s="4" t="s">
        <v>7013</v>
      </c>
      <c r="B4586" s="4" t="s">
        <v>7014</v>
      </c>
      <c r="C4586" s="4">
        <v>535.0</v>
      </c>
      <c r="D4586" s="5" t="str">
        <f t="shared" ref="D4586:D4587" si="876">HYPERLINK("https://www.linkedin.com/ad-library/detail/1124480634","Open Ad")</f>
        <v>Open Ad</v>
      </c>
      <c r="E4586" s="4" t="s">
        <v>78</v>
      </c>
      <c r="F4586" s="4" t="s">
        <v>6765</v>
      </c>
      <c r="G4586" s="4" t="s">
        <v>7099</v>
      </c>
      <c r="H4586" s="4" t="s">
        <v>49</v>
      </c>
      <c r="I4586" s="4" t="s">
        <v>7016</v>
      </c>
      <c r="J4586" s="4" t="s">
        <v>78</v>
      </c>
      <c r="K4586" s="7" t="str">
        <f t="shared" ref="K4586:K4589" si="877">HYPERLINK("https://media.licdn.com/dms/image/v2/D4E10AQEJ3BN6TF0ShQ/image-shrink_1280/B4EZvHhgvMH8Ac-/0/1768579009905/1Trackyourvisibilitypng?e=2147483647&amp;v=beta&amp;t=kanyDacnSgkvxyWF3u29O_7mHnPNsjm8UGSWcuf78w8","View Creative")</f>
        <v>View Creative</v>
      </c>
      <c r="L4586" s="4" t="s">
        <v>60</v>
      </c>
      <c r="M4586" s="4" t="s">
        <v>7013</v>
      </c>
      <c r="N4586" s="4"/>
      <c r="O4586" s="4" t="s">
        <v>63</v>
      </c>
      <c r="P4586" s="4" t="s">
        <v>64</v>
      </c>
    </row>
    <row r="4587">
      <c r="A4587" s="4" t="s">
        <v>7013</v>
      </c>
      <c r="B4587" s="4" t="s">
        <v>7014</v>
      </c>
      <c r="C4587" s="4">
        <v>536.0</v>
      </c>
      <c r="D4587" s="5" t="str">
        <f t="shared" si="876"/>
        <v>Open Ad</v>
      </c>
      <c r="E4587" s="4" t="s">
        <v>78</v>
      </c>
      <c r="F4587" s="4" t="s">
        <v>6765</v>
      </c>
      <c r="G4587" s="4" t="s">
        <v>7099</v>
      </c>
      <c r="H4587" s="4" t="s">
        <v>49</v>
      </c>
      <c r="I4587" s="4" t="s">
        <v>7016</v>
      </c>
      <c r="J4587" s="4" t="s">
        <v>78</v>
      </c>
      <c r="K4587" s="7" t="str">
        <f t="shared" si="877"/>
        <v>View Creative</v>
      </c>
      <c r="L4587" s="4" t="s">
        <v>60</v>
      </c>
      <c r="M4587" s="4" t="s">
        <v>7013</v>
      </c>
      <c r="N4587" s="4"/>
      <c r="O4587" s="4" t="s">
        <v>63</v>
      </c>
      <c r="P4587" s="4" t="s">
        <v>64</v>
      </c>
    </row>
    <row r="4588">
      <c r="A4588" s="4" t="s">
        <v>7013</v>
      </c>
      <c r="B4588" s="4" t="s">
        <v>7014</v>
      </c>
      <c r="C4588" s="4">
        <v>537.0</v>
      </c>
      <c r="D4588" s="5" t="str">
        <f t="shared" ref="D4588:D4589" si="878">HYPERLINK("https://www.linkedin.com/ad-library/detail/1125280564","Open Ad")</f>
        <v>Open Ad</v>
      </c>
      <c r="E4588" s="4" t="s">
        <v>78</v>
      </c>
      <c r="F4588" s="4" t="s">
        <v>6765</v>
      </c>
      <c r="G4588" s="4" t="s">
        <v>7099</v>
      </c>
      <c r="H4588" s="4" t="s">
        <v>49</v>
      </c>
      <c r="I4588" s="4" t="s">
        <v>7016</v>
      </c>
      <c r="J4588" s="4" t="s">
        <v>78</v>
      </c>
      <c r="K4588" s="7" t="str">
        <f t="shared" si="877"/>
        <v>View Creative</v>
      </c>
      <c r="L4588" s="4" t="s">
        <v>60</v>
      </c>
      <c r="M4588" s="4" t="s">
        <v>7013</v>
      </c>
      <c r="N4588" s="4" t="s">
        <v>7100</v>
      </c>
      <c r="O4588" s="4" t="s">
        <v>63</v>
      </c>
      <c r="P4588" s="4" t="s">
        <v>64</v>
      </c>
    </row>
    <row r="4589">
      <c r="A4589" s="4" t="s">
        <v>7013</v>
      </c>
      <c r="B4589" s="4" t="s">
        <v>7014</v>
      </c>
      <c r="C4589" s="4">
        <v>538.0</v>
      </c>
      <c r="D4589" s="5" t="str">
        <f t="shared" si="878"/>
        <v>Open Ad</v>
      </c>
      <c r="E4589" s="4" t="s">
        <v>78</v>
      </c>
      <c r="F4589" s="4" t="s">
        <v>6765</v>
      </c>
      <c r="G4589" s="4" t="s">
        <v>7099</v>
      </c>
      <c r="H4589" s="4" t="s">
        <v>49</v>
      </c>
      <c r="I4589" s="4" t="s">
        <v>7016</v>
      </c>
      <c r="J4589" s="4" t="s">
        <v>78</v>
      </c>
      <c r="K4589" s="7" t="str">
        <f t="shared" si="877"/>
        <v>View Creative</v>
      </c>
      <c r="L4589" s="4" t="s">
        <v>60</v>
      </c>
      <c r="M4589" s="4" t="s">
        <v>7013</v>
      </c>
      <c r="N4589" s="4" t="s">
        <v>7100</v>
      </c>
      <c r="O4589" s="4" t="s">
        <v>63</v>
      </c>
      <c r="P4589" s="4" t="s">
        <v>64</v>
      </c>
    </row>
    <row r="4590">
      <c r="A4590" s="4" t="s">
        <v>7013</v>
      </c>
      <c r="B4590" s="4" t="s">
        <v>7014</v>
      </c>
      <c r="C4590" s="4">
        <v>539.0</v>
      </c>
      <c r="D4590" s="5" t="str">
        <f t="shared" ref="D4590:D4591" si="879">HYPERLINK("https://www.linkedin.com/ad-library/detail/1125280654","Open Ad")</f>
        <v>Open Ad</v>
      </c>
      <c r="E4590" s="4" t="s">
        <v>78</v>
      </c>
      <c r="F4590" s="4" t="s">
        <v>6765</v>
      </c>
      <c r="G4590" s="4" t="s">
        <v>7097</v>
      </c>
      <c r="H4590" s="4" t="s">
        <v>49</v>
      </c>
      <c r="I4590" s="4" t="s">
        <v>7016</v>
      </c>
      <c r="J4590" s="4" t="s">
        <v>78</v>
      </c>
      <c r="K4590" s="7" t="str">
        <f t="shared" ref="K4590:K4591" si="880">HYPERLINK("https://media.licdn.com/dms/image/v2/D4E10AQFBE-hGBlPdfQ/image-shrink_1280/B4EZvHPXk5GkAc-/0/1768574253788/TrackwhatAIsayspng?e=2147483647&amp;v=beta&amp;t=c2jX6FQItgO4wLlA6IAzpFa7FH4E4qDF52W5zHY4V5o","View Creative")</f>
        <v>View Creative</v>
      </c>
      <c r="L4590" s="4" t="s">
        <v>60</v>
      </c>
      <c r="M4590" s="4" t="s">
        <v>7013</v>
      </c>
      <c r="N4590" s="4"/>
      <c r="O4590" s="4" t="s">
        <v>63</v>
      </c>
      <c r="P4590" s="4" t="s">
        <v>64</v>
      </c>
    </row>
    <row r="4591">
      <c r="A4591" s="4" t="s">
        <v>7013</v>
      </c>
      <c r="B4591" s="4" t="s">
        <v>7014</v>
      </c>
      <c r="C4591" s="4">
        <v>540.0</v>
      </c>
      <c r="D4591" s="5" t="str">
        <f t="shared" si="879"/>
        <v>Open Ad</v>
      </c>
      <c r="E4591" s="4" t="s">
        <v>78</v>
      </c>
      <c r="F4591" s="4" t="s">
        <v>6765</v>
      </c>
      <c r="G4591" s="4" t="s">
        <v>7097</v>
      </c>
      <c r="H4591" s="4" t="s">
        <v>49</v>
      </c>
      <c r="I4591" s="4" t="s">
        <v>7016</v>
      </c>
      <c r="J4591" s="4" t="s">
        <v>78</v>
      </c>
      <c r="K4591" s="7" t="str">
        <f t="shared" si="880"/>
        <v>View Creative</v>
      </c>
      <c r="L4591" s="4" t="s">
        <v>60</v>
      </c>
      <c r="M4591" s="4" t="s">
        <v>7013</v>
      </c>
      <c r="N4591" s="4"/>
      <c r="O4591" s="4" t="s">
        <v>63</v>
      </c>
      <c r="P4591" s="4" t="s">
        <v>64</v>
      </c>
    </row>
    <row r="4592">
      <c r="A4592" s="4" t="s">
        <v>7013</v>
      </c>
      <c r="B4592" s="4" t="s">
        <v>7014</v>
      </c>
      <c r="C4592" s="4">
        <v>541.0</v>
      </c>
      <c r="D4592" s="5" t="str">
        <f t="shared" ref="D4592:D4593" si="881">HYPERLINK("https://www.linkedin.com/ad-library/detail/1124580674","Open Ad")</f>
        <v>Open Ad</v>
      </c>
      <c r="E4592" s="4" t="s">
        <v>78</v>
      </c>
      <c r="F4592" s="4" t="s">
        <v>6765</v>
      </c>
      <c r="G4592" s="4" t="s">
        <v>7101</v>
      </c>
      <c r="H4592" s="4" t="s">
        <v>49</v>
      </c>
      <c r="I4592" s="4" t="s">
        <v>7016</v>
      </c>
      <c r="J4592" s="4" t="s">
        <v>78</v>
      </c>
      <c r="K4592" s="7" t="str">
        <f t="shared" ref="K4592:K4593" si="882">HYPERLINK("https://media.licdn.com/dms/image/v2/D4E10AQHJS_17cXbRdg/image-shrink_1280/B4EZvHhKynJcAg-/0/1768578920006/1Yourorganictrafficpng?e=2147483647&amp;v=beta&amp;t=R-1DjIIQZU9ozJC_0T_K6Nf4-jGbi32oszyoTeUi4H0","View Creative")</f>
        <v>View Creative</v>
      </c>
      <c r="L4592" s="4" t="s">
        <v>60</v>
      </c>
      <c r="M4592" s="4" t="s">
        <v>7013</v>
      </c>
      <c r="N4592" s="4" t="s">
        <v>7100</v>
      </c>
      <c r="O4592" s="4" t="s">
        <v>63</v>
      </c>
      <c r="P4592" s="4" t="s">
        <v>64</v>
      </c>
    </row>
    <row r="4593">
      <c r="A4593" s="4" t="s">
        <v>7013</v>
      </c>
      <c r="B4593" s="4" t="s">
        <v>7014</v>
      </c>
      <c r="C4593" s="4">
        <v>542.0</v>
      </c>
      <c r="D4593" s="5" t="str">
        <f t="shared" si="881"/>
        <v>Open Ad</v>
      </c>
      <c r="E4593" s="4" t="s">
        <v>78</v>
      </c>
      <c r="F4593" s="4" t="s">
        <v>6765</v>
      </c>
      <c r="G4593" s="4" t="s">
        <v>7101</v>
      </c>
      <c r="H4593" s="4" t="s">
        <v>49</v>
      </c>
      <c r="I4593" s="4" t="s">
        <v>7016</v>
      </c>
      <c r="J4593" s="4" t="s">
        <v>78</v>
      </c>
      <c r="K4593" s="7" t="str">
        <f t="shared" si="882"/>
        <v>View Creative</v>
      </c>
      <c r="L4593" s="4" t="s">
        <v>60</v>
      </c>
      <c r="M4593" s="4" t="s">
        <v>7013</v>
      </c>
      <c r="N4593" s="4" t="s">
        <v>7100</v>
      </c>
      <c r="O4593" s="4" t="s">
        <v>63</v>
      </c>
      <c r="P4593" s="4" t="s">
        <v>64</v>
      </c>
    </row>
    <row r="4594">
      <c r="A4594" s="4" t="s">
        <v>7013</v>
      </c>
      <c r="B4594" s="4" t="s">
        <v>7014</v>
      </c>
      <c r="C4594" s="4">
        <v>543.0</v>
      </c>
      <c r="D4594" s="5" t="str">
        <f t="shared" ref="D4594:D4595" si="883">HYPERLINK("https://www.linkedin.com/ad-library/detail/1125880484","Open Ad")</f>
        <v>Open Ad</v>
      </c>
      <c r="E4594" s="4" t="s">
        <v>78</v>
      </c>
      <c r="F4594" s="4" t="s">
        <v>6765</v>
      </c>
      <c r="G4594" s="4" t="s">
        <v>7102</v>
      </c>
      <c r="H4594" s="4" t="s">
        <v>49</v>
      </c>
      <c r="I4594" s="4" t="s">
        <v>7016</v>
      </c>
      <c r="J4594" s="4" t="s">
        <v>78</v>
      </c>
      <c r="K4594" s="7" t="str">
        <f t="shared" ref="K4594:K4595" si="884">HYPERLINK("https://media.licdn.com/dms/image/v2/D4E10AQEQ0CWUOdqf5Q/image-shrink_1280/B4EZvHPErHHIAc-/0/1768574176286/Getmentionedpng?e=2147483647&amp;v=beta&amp;t=MJqK7cYTUhoCExV6KgyODJj-FCw_H7hff28vQufV73o","View Creative")</f>
        <v>View Creative</v>
      </c>
      <c r="L4594" s="4" t="s">
        <v>60</v>
      </c>
      <c r="M4594" s="4" t="s">
        <v>7013</v>
      </c>
      <c r="N4594" s="4" t="s">
        <v>7100</v>
      </c>
      <c r="O4594" s="4" t="s">
        <v>63</v>
      </c>
      <c r="P4594" s="4" t="s">
        <v>64</v>
      </c>
    </row>
    <row r="4595">
      <c r="A4595" s="4" t="s">
        <v>7013</v>
      </c>
      <c r="B4595" s="4" t="s">
        <v>7014</v>
      </c>
      <c r="C4595" s="4">
        <v>544.0</v>
      </c>
      <c r="D4595" s="5" t="str">
        <f t="shared" si="883"/>
        <v>Open Ad</v>
      </c>
      <c r="E4595" s="4" t="s">
        <v>78</v>
      </c>
      <c r="F4595" s="4" t="s">
        <v>6765</v>
      </c>
      <c r="G4595" s="4" t="s">
        <v>7102</v>
      </c>
      <c r="H4595" s="4" t="s">
        <v>49</v>
      </c>
      <c r="I4595" s="4" t="s">
        <v>7016</v>
      </c>
      <c r="J4595" s="4" t="s">
        <v>78</v>
      </c>
      <c r="K4595" s="7" t="str">
        <f t="shared" si="884"/>
        <v>View Creative</v>
      </c>
      <c r="L4595" s="4" t="s">
        <v>60</v>
      </c>
      <c r="M4595" s="4" t="s">
        <v>7013</v>
      </c>
      <c r="N4595" s="4" t="s">
        <v>7100</v>
      </c>
      <c r="O4595" s="4" t="s">
        <v>63</v>
      </c>
      <c r="P4595" s="4" t="s">
        <v>64</v>
      </c>
    </row>
    <row r="4596">
      <c r="A4596" s="4" t="s">
        <v>7013</v>
      </c>
      <c r="B4596" s="4" t="s">
        <v>7014</v>
      </c>
      <c r="C4596" s="4">
        <v>545.0</v>
      </c>
      <c r="D4596" s="5" t="str">
        <f t="shared" ref="D4596:D4597" si="885">HYPERLINK("https://www.linkedin.com/ad-library/detail/1125880494","Open Ad")</f>
        <v>Open Ad</v>
      </c>
      <c r="E4596" s="4" t="s">
        <v>78</v>
      </c>
      <c r="F4596" s="4" t="s">
        <v>6765</v>
      </c>
      <c r="G4596" s="4" t="s">
        <v>7097</v>
      </c>
      <c r="H4596" s="4" t="s">
        <v>49</v>
      </c>
      <c r="I4596" s="4" t="s">
        <v>7016</v>
      </c>
      <c r="J4596" s="4" t="s">
        <v>78</v>
      </c>
      <c r="K4596" s="7" t="str">
        <f t="shared" ref="K4596:K4597" si="886">HYPERLINK("https://media.licdn.com/dms/image/v2/D4E10AQFBE-hGBlPdfQ/image-shrink_1280/B4EZvHPXk5GkAc-/0/1768574253788/TrackwhatAIsayspng?e=2147483647&amp;v=beta&amp;t=c2jX6FQItgO4wLlA6IAzpFa7FH4E4qDF52W5zHY4V5o","View Creative")</f>
        <v>View Creative</v>
      </c>
      <c r="L4596" s="4" t="s">
        <v>60</v>
      </c>
      <c r="M4596" s="4" t="s">
        <v>7013</v>
      </c>
      <c r="N4596" s="4" t="s">
        <v>7100</v>
      </c>
      <c r="O4596" s="4" t="s">
        <v>63</v>
      </c>
      <c r="P4596" s="4" t="s">
        <v>64</v>
      </c>
    </row>
    <row r="4597">
      <c r="A4597" s="4" t="s">
        <v>7013</v>
      </c>
      <c r="B4597" s="4" t="s">
        <v>7014</v>
      </c>
      <c r="C4597" s="4">
        <v>546.0</v>
      </c>
      <c r="D4597" s="5" t="str">
        <f t="shared" si="885"/>
        <v>Open Ad</v>
      </c>
      <c r="E4597" s="4" t="s">
        <v>78</v>
      </c>
      <c r="F4597" s="4" t="s">
        <v>6765</v>
      </c>
      <c r="G4597" s="4" t="s">
        <v>7097</v>
      </c>
      <c r="H4597" s="4" t="s">
        <v>49</v>
      </c>
      <c r="I4597" s="4" t="s">
        <v>7016</v>
      </c>
      <c r="J4597" s="4" t="s">
        <v>78</v>
      </c>
      <c r="K4597" s="7" t="str">
        <f t="shared" si="886"/>
        <v>View Creative</v>
      </c>
      <c r="L4597" s="4" t="s">
        <v>60</v>
      </c>
      <c r="M4597" s="4" t="s">
        <v>7013</v>
      </c>
      <c r="N4597" s="4" t="s">
        <v>7100</v>
      </c>
      <c r="O4597" s="4" t="s">
        <v>63</v>
      </c>
      <c r="P4597" s="4" t="s">
        <v>64</v>
      </c>
    </row>
    <row r="4598">
      <c r="A4598" s="4" t="s">
        <v>7013</v>
      </c>
      <c r="B4598" s="4" t="s">
        <v>7014</v>
      </c>
      <c r="C4598" s="4">
        <v>547.0</v>
      </c>
      <c r="D4598" s="5" t="str">
        <f t="shared" ref="D4598:D4599" si="887">HYPERLINK("https://www.linkedin.com/ad-library/detail/1126580564","Open Ad")</f>
        <v>Open Ad</v>
      </c>
      <c r="E4598" s="4" t="s">
        <v>78</v>
      </c>
      <c r="F4598" s="4" t="s">
        <v>6765</v>
      </c>
      <c r="G4598" s="4" t="s">
        <v>7102</v>
      </c>
      <c r="H4598" s="4" t="s">
        <v>49</v>
      </c>
      <c r="I4598" s="4" t="s">
        <v>7016</v>
      </c>
      <c r="J4598" s="4" t="s">
        <v>78</v>
      </c>
      <c r="K4598" s="7" t="str">
        <f t="shared" ref="K4598:K4599" si="888">HYPERLINK("https://media.licdn.com/dms/image/v2/D4E10AQEQ0CWUOdqf5Q/image-shrink_1280/B4EZvHPErHHIAc-/0/1768574176286/Getmentionedpng?e=2147483647&amp;v=beta&amp;t=MJqK7cYTUhoCExV6KgyODJj-FCw_H7hff28vQufV73o","View Creative")</f>
        <v>View Creative</v>
      </c>
      <c r="L4598" s="4" t="s">
        <v>60</v>
      </c>
      <c r="M4598" s="4" t="s">
        <v>7013</v>
      </c>
      <c r="N4598" s="4"/>
      <c r="O4598" s="4" t="s">
        <v>63</v>
      </c>
      <c r="P4598" s="4" t="s">
        <v>64</v>
      </c>
    </row>
    <row r="4599">
      <c r="A4599" s="4" t="s">
        <v>7013</v>
      </c>
      <c r="B4599" s="4" t="s">
        <v>7014</v>
      </c>
      <c r="C4599" s="4">
        <v>548.0</v>
      </c>
      <c r="D4599" s="5" t="str">
        <f t="shared" si="887"/>
        <v>Open Ad</v>
      </c>
      <c r="E4599" s="4" t="s">
        <v>78</v>
      </c>
      <c r="F4599" s="4" t="s">
        <v>6765</v>
      </c>
      <c r="G4599" s="4" t="s">
        <v>7102</v>
      </c>
      <c r="H4599" s="4" t="s">
        <v>49</v>
      </c>
      <c r="I4599" s="4" t="s">
        <v>7016</v>
      </c>
      <c r="J4599" s="4" t="s">
        <v>78</v>
      </c>
      <c r="K4599" s="7" t="str">
        <f t="shared" si="888"/>
        <v>View Creative</v>
      </c>
      <c r="L4599" s="4" t="s">
        <v>60</v>
      </c>
      <c r="M4599" s="4" t="s">
        <v>7013</v>
      </c>
      <c r="N4599" s="4"/>
      <c r="O4599" s="4" t="s">
        <v>63</v>
      </c>
      <c r="P4599" s="4" t="s">
        <v>64</v>
      </c>
    </row>
    <row r="4600">
      <c r="A4600" s="4" t="s">
        <v>7013</v>
      </c>
      <c r="B4600" s="4" t="s">
        <v>7014</v>
      </c>
      <c r="C4600" s="4">
        <v>549.0</v>
      </c>
      <c r="D4600" s="5" t="str">
        <f t="shared" ref="D4600:D4601" si="889">HYPERLINK("https://www.linkedin.com/ad-library/detail/1125680584","Open Ad")</f>
        <v>Open Ad</v>
      </c>
      <c r="E4600" s="4" t="s">
        <v>78</v>
      </c>
      <c r="F4600" s="4" t="s">
        <v>6765</v>
      </c>
      <c r="G4600" s="4" t="s">
        <v>7101</v>
      </c>
      <c r="H4600" s="4" t="s">
        <v>49</v>
      </c>
      <c r="I4600" s="4" t="s">
        <v>7016</v>
      </c>
      <c r="J4600" s="4" t="s">
        <v>78</v>
      </c>
      <c r="K4600" s="7" t="str">
        <f t="shared" ref="K4600:K4601" si="890">HYPERLINK("https://media.licdn.com/dms/image/v2/D4E10AQHJS_17cXbRdg/image-shrink_1280/B4EZvHhKynJcAg-/0/1768578920006/1Yourorganictrafficpng?e=2147483647&amp;v=beta&amp;t=R-1DjIIQZU9ozJC_0T_K6Nf4-jGbi32oszyoTeUi4H0","View Creative")</f>
        <v>View Creative</v>
      </c>
      <c r="L4600" s="4" t="s">
        <v>60</v>
      </c>
      <c r="M4600" s="4" t="s">
        <v>7013</v>
      </c>
      <c r="N4600" s="4"/>
      <c r="O4600" s="4" t="s">
        <v>63</v>
      </c>
      <c r="P4600" s="4" t="s">
        <v>64</v>
      </c>
    </row>
    <row r="4601">
      <c r="A4601" s="4" t="s">
        <v>7013</v>
      </c>
      <c r="B4601" s="4" t="s">
        <v>7014</v>
      </c>
      <c r="C4601" s="4">
        <v>550.0</v>
      </c>
      <c r="D4601" s="5" t="str">
        <f t="shared" si="889"/>
        <v>Open Ad</v>
      </c>
      <c r="E4601" s="4" t="s">
        <v>78</v>
      </c>
      <c r="F4601" s="4" t="s">
        <v>6765</v>
      </c>
      <c r="G4601" s="4" t="s">
        <v>7101</v>
      </c>
      <c r="H4601" s="4" t="s">
        <v>49</v>
      </c>
      <c r="I4601" s="4" t="s">
        <v>7016</v>
      </c>
      <c r="J4601" s="4" t="s">
        <v>78</v>
      </c>
      <c r="K4601" s="7" t="str">
        <f t="shared" si="890"/>
        <v>View Creative</v>
      </c>
      <c r="L4601" s="4" t="s">
        <v>60</v>
      </c>
      <c r="M4601" s="4" t="s">
        <v>7013</v>
      </c>
      <c r="N4601" s="4"/>
      <c r="O4601" s="4" t="s">
        <v>63</v>
      </c>
      <c r="P4601" s="4" t="s">
        <v>64</v>
      </c>
    </row>
    <row r="4602">
      <c r="A4602" s="4" t="s">
        <v>7013</v>
      </c>
      <c r="B4602" s="4" t="s">
        <v>7014</v>
      </c>
      <c r="C4602" s="4">
        <v>551.0</v>
      </c>
      <c r="D4602" s="5" t="str">
        <f t="shared" ref="D4602:D4603" si="891">HYPERLINK("https://www.linkedin.com/ad-library/detail/1124980624","Open Ad")</f>
        <v>Open Ad</v>
      </c>
      <c r="E4602" s="4" t="s">
        <v>78</v>
      </c>
      <c r="F4602" s="4" t="s">
        <v>6765</v>
      </c>
      <c r="G4602" s="4" t="s">
        <v>7103</v>
      </c>
      <c r="H4602" s="4" t="s">
        <v>49</v>
      </c>
      <c r="I4602" s="4" t="s">
        <v>7016</v>
      </c>
      <c r="J4602" s="4" t="s">
        <v>78</v>
      </c>
      <c r="K4602" s="7" t="str">
        <f t="shared" ref="K4602:K4605" si="892">HYPERLINK("https://media.licdn.com/dms/image/v2/D4E10AQFeOWv4BOm3Lg/image-shrink_1280/B4EZvHgRcRGoAg-/0/1768578685071/AIsearchanalyticspng?e=2147483647&amp;v=beta&amp;t=r8ZA4O6fWX-JBdFSvxBgj_hIEsRx7sVZZ0_lepLUncw","View Creative")</f>
        <v>View Creative</v>
      </c>
      <c r="L4602" s="4" t="s">
        <v>60</v>
      </c>
      <c r="M4602" s="4" t="s">
        <v>7013</v>
      </c>
      <c r="N4602" s="4" t="s">
        <v>7100</v>
      </c>
      <c r="O4602" s="4" t="s">
        <v>63</v>
      </c>
      <c r="P4602" s="4" t="s">
        <v>64</v>
      </c>
    </row>
    <row r="4603">
      <c r="A4603" s="4" t="s">
        <v>7013</v>
      </c>
      <c r="B4603" s="4" t="s">
        <v>7014</v>
      </c>
      <c r="C4603" s="4">
        <v>552.0</v>
      </c>
      <c r="D4603" s="5" t="str">
        <f t="shared" si="891"/>
        <v>Open Ad</v>
      </c>
      <c r="E4603" s="4" t="s">
        <v>78</v>
      </c>
      <c r="F4603" s="4" t="s">
        <v>6765</v>
      </c>
      <c r="G4603" s="4" t="s">
        <v>7103</v>
      </c>
      <c r="H4603" s="4" t="s">
        <v>49</v>
      </c>
      <c r="I4603" s="4" t="s">
        <v>7016</v>
      </c>
      <c r="J4603" s="4" t="s">
        <v>78</v>
      </c>
      <c r="K4603" s="7" t="str">
        <f t="shared" si="892"/>
        <v>View Creative</v>
      </c>
      <c r="L4603" s="4" t="s">
        <v>60</v>
      </c>
      <c r="M4603" s="4" t="s">
        <v>7013</v>
      </c>
      <c r="N4603" s="4" t="s">
        <v>7100</v>
      </c>
      <c r="O4603" s="4" t="s">
        <v>63</v>
      </c>
      <c r="P4603" s="4" t="s">
        <v>64</v>
      </c>
    </row>
    <row r="4604">
      <c r="A4604" s="4" t="s">
        <v>7013</v>
      </c>
      <c r="B4604" s="4" t="s">
        <v>7014</v>
      </c>
      <c r="C4604" s="4">
        <v>553.0</v>
      </c>
      <c r="D4604" s="5" t="str">
        <f t="shared" ref="D4604:D4605" si="893">HYPERLINK("https://www.linkedin.com/ad-library/detail/1126280544","Open Ad")</f>
        <v>Open Ad</v>
      </c>
      <c r="E4604" s="4" t="s">
        <v>78</v>
      </c>
      <c r="F4604" s="4" t="s">
        <v>6765</v>
      </c>
      <c r="G4604" s="4" t="s">
        <v>7103</v>
      </c>
      <c r="H4604" s="4" t="s">
        <v>49</v>
      </c>
      <c r="I4604" s="4" t="s">
        <v>7016</v>
      </c>
      <c r="J4604" s="4" t="s">
        <v>78</v>
      </c>
      <c r="K4604" s="7" t="str">
        <f t="shared" si="892"/>
        <v>View Creative</v>
      </c>
      <c r="L4604" s="4" t="s">
        <v>60</v>
      </c>
      <c r="M4604" s="4" t="s">
        <v>7013</v>
      </c>
      <c r="N4604" s="4"/>
      <c r="O4604" s="4" t="s">
        <v>63</v>
      </c>
      <c r="P4604" s="4" t="s">
        <v>64</v>
      </c>
    </row>
    <row r="4605">
      <c r="A4605" s="4" t="s">
        <v>7013</v>
      </c>
      <c r="B4605" s="4" t="s">
        <v>7014</v>
      </c>
      <c r="C4605" s="4">
        <v>554.0</v>
      </c>
      <c r="D4605" s="5" t="str">
        <f t="shared" si="893"/>
        <v>Open Ad</v>
      </c>
      <c r="E4605" s="4" t="s">
        <v>78</v>
      </c>
      <c r="F4605" s="4" t="s">
        <v>6765</v>
      </c>
      <c r="G4605" s="4" t="s">
        <v>7103</v>
      </c>
      <c r="H4605" s="4" t="s">
        <v>49</v>
      </c>
      <c r="I4605" s="4" t="s">
        <v>7016</v>
      </c>
      <c r="J4605" s="4" t="s">
        <v>78</v>
      </c>
      <c r="K4605" s="7" t="str">
        <f t="shared" si="892"/>
        <v>View Creative</v>
      </c>
      <c r="L4605" s="4" t="s">
        <v>60</v>
      </c>
      <c r="M4605" s="4" t="s">
        <v>7013</v>
      </c>
      <c r="N4605" s="4"/>
      <c r="O4605" s="4" t="s">
        <v>63</v>
      </c>
      <c r="P4605" s="4" t="s">
        <v>64</v>
      </c>
    </row>
    <row r="4606">
      <c r="A4606" s="4" t="s">
        <v>7013</v>
      </c>
      <c r="B4606" s="4" t="s">
        <v>7014</v>
      </c>
      <c r="C4606" s="4">
        <v>555.0</v>
      </c>
      <c r="D4606" s="5" t="str">
        <f t="shared" ref="D4606:D4607" si="894">HYPERLINK("https://www.linkedin.com/ad-library/detail/1125480534","Open Ad")</f>
        <v>Open Ad</v>
      </c>
      <c r="E4606" s="4" t="s">
        <v>78</v>
      </c>
      <c r="F4606" s="4" t="s">
        <v>6765</v>
      </c>
      <c r="G4606" s="4" t="s">
        <v>7099</v>
      </c>
      <c r="H4606" s="4" t="s">
        <v>49</v>
      </c>
      <c r="I4606" s="4" t="s">
        <v>7016</v>
      </c>
      <c r="J4606" s="4" t="s">
        <v>78</v>
      </c>
      <c r="K4606" s="7" t="str">
        <f t="shared" ref="K4606:K4607" si="895">HYPERLINK("https://media.licdn.com/dms/image/v2/D4E10AQEJ3BN6TF0ShQ/image-shrink_1280/B4EZvHhgvMH8Ac-/0/1768579009905/1Trackyourvisibilitypng?e=2147483647&amp;v=beta&amp;t=kanyDacnSgkvxyWF3u29O_7mHnPNsjm8UGSWcuf78w8","View Creative")</f>
        <v>View Creative</v>
      </c>
      <c r="L4606" s="4" t="s">
        <v>60</v>
      </c>
      <c r="M4606" s="4" t="s">
        <v>7013</v>
      </c>
      <c r="N4606" s="4"/>
      <c r="O4606" s="4" t="s">
        <v>63</v>
      </c>
      <c r="P4606" s="4" t="s">
        <v>64</v>
      </c>
    </row>
    <row r="4607">
      <c r="A4607" s="4" t="s">
        <v>7013</v>
      </c>
      <c r="B4607" s="4" t="s">
        <v>7014</v>
      </c>
      <c r="C4607" s="4">
        <v>556.0</v>
      </c>
      <c r="D4607" s="5" t="str">
        <f t="shared" si="894"/>
        <v>Open Ad</v>
      </c>
      <c r="E4607" s="4" t="s">
        <v>78</v>
      </c>
      <c r="F4607" s="4" t="s">
        <v>6765</v>
      </c>
      <c r="G4607" s="4" t="s">
        <v>7099</v>
      </c>
      <c r="H4607" s="4" t="s">
        <v>49</v>
      </c>
      <c r="I4607" s="4" t="s">
        <v>7016</v>
      </c>
      <c r="J4607" s="4" t="s">
        <v>78</v>
      </c>
      <c r="K4607" s="7" t="str">
        <f t="shared" si="895"/>
        <v>View Creative</v>
      </c>
      <c r="L4607" s="4" t="s">
        <v>60</v>
      </c>
      <c r="M4607" s="4" t="s">
        <v>7013</v>
      </c>
      <c r="N4607" s="4"/>
      <c r="O4607" s="4" t="s">
        <v>63</v>
      </c>
      <c r="P4607" s="4" t="s">
        <v>64</v>
      </c>
    </row>
    <row r="4608">
      <c r="A4608" s="4" t="s">
        <v>7013</v>
      </c>
      <c r="B4608" s="4" t="s">
        <v>7014</v>
      </c>
      <c r="C4608" s="4">
        <v>557.0</v>
      </c>
      <c r="D4608" s="5" t="str">
        <f t="shared" ref="D4608:D4609" si="896">HYPERLINK("https://www.linkedin.com/ad-library/detail/1125180584","Open Ad")</f>
        <v>Open Ad</v>
      </c>
      <c r="E4608" s="4" t="s">
        <v>78</v>
      </c>
      <c r="F4608" s="4" t="s">
        <v>6765</v>
      </c>
      <c r="G4608" s="4" t="s">
        <v>7103</v>
      </c>
      <c r="H4608" s="4" t="s">
        <v>49</v>
      </c>
      <c r="I4608" s="4" t="s">
        <v>7016</v>
      </c>
      <c r="J4608" s="4" t="s">
        <v>78</v>
      </c>
      <c r="K4608" s="7" t="str">
        <f t="shared" ref="K4608:K4609" si="897">HYPERLINK("https://media.licdn.com/dms/image/v2/D4E10AQFeOWv4BOm3Lg/image-shrink_1280/B4EZvHgRcRGoAg-/0/1768578685071/AIsearchanalyticspng?e=2147483647&amp;v=beta&amp;t=r8ZA4O6fWX-JBdFSvxBgj_hIEsRx7sVZZ0_lepLUncw","View Creative")</f>
        <v>View Creative</v>
      </c>
      <c r="L4608" s="4" t="s">
        <v>60</v>
      </c>
      <c r="M4608" s="4" t="s">
        <v>7013</v>
      </c>
      <c r="N4608" s="4"/>
      <c r="O4608" s="4" t="s">
        <v>63</v>
      </c>
      <c r="P4608" s="4" t="s">
        <v>64</v>
      </c>
    </row>
    <row r="4609">
      <c r="A4609" s="4" t="s">
        <v>7013</v>
      </c>
      <c r="B4609" s="4" t="s">
        <v>7014</v>
      </c>
      <c r="C4609" s="4">
        <v>558.0</v>
      </c>
      <c r="D4609" s="5" t="str">
        <f t="shared" si="896"/>
        <v>Open Ad</v>
      </c>
      <c r="E4609" s="4" t="s">
        <v>78</v>
      </c>
      <c r="F4609" s="4" t="s">
        <v>6765</v>
      </c>
      <c r="G4609" s="4" t="s">
        <v>7103</v>
      </c>
      <c r="H4609" s="4" t="s">
        <v>49</v>
      </c>
      <c r="I4609" s="4" t="s">
        <v>7016</v>
      </c>
      <c r="J4609" s="4" t="s">
        <v>78</v>
      </c>
      <c r="K4609" s="7" t="str">
        <f t="shared" si="897"/>
        <v>View Creative</v>
      </c>
      <c r="L4609" s="4" t="s">
        <v>60</v>
      </c>
      <c r="M4609" s="4" t="s">
        <v>7013</v>
      </c>
      <c r="N4609" s="4"/>
      <c r="O4609" s="4" t="s">
        <v>63</v>
      </c>
      <c r="P4609" s="4" t="s">
        <v>64</v>
      </c>
    </row>
    <row r="4610">
      <c r="A4610" s="4" t="s">
        <v>7013</v>
      </c>
      <c r="B4610" s="4" t="s">
        <v>7014</v>
      </c>
      <c r="C4610" s="4">
        <v>559.0</v>
      </c>
      <c r="D4610" s="5" t="str">
        <f t="shared" ref="D4610:D4611" si="898">HYPERLINK("https://www.linkedin.com/ad-library/detail/1146428244","Open Ad")</f>
        <v>Open Ad</v>
      </c>
      <c r="E4610" s="4" t="s">
        <v>78</v>
      </c>
      <c r="F4610" s="4" t="s">
        <v>6765</v>
      </c>
      <c r="G4610" s="4" t="s">
        <v>7091</v>
      </c>
      <c r="H4610" s="4" t="s">
        <v>49</v>
      </c>
      <c r="I4610" s="4" t="s">
        <v>7016</v>
      </c>
      <c r="J4610" s="4" t="s">
        <v>78</v>
      </c>
      <c r="K4610" s="7" t="str">
        <f t="shared" ref="K4610:K4611" si="899">HYPERLINK("https://media.licdn.com/dms/image/v2/D4E10AQEmkDLD4X437g/image-shrink_1280/B4EZyMRzsbKcAc-/0/1771880004998/ActionTracker4MeetActionspng?e=2147483647&amp;v=beta&amp;t=kBgjNRWbWwLkMbleB2r9e5Py7gwb2WX7uk3InZ1YbS8","View Creative")</f>
        <v>View Creative</v>
      </c>
      <c r="L4610" s="4" t="s">
        <v>60</v>
      </c>
      <c r="M4610" s="4" t="s">
        <v>7013</v>
      </c>
      <c r="N4610" s="4"/>
      <c r="O4610" s="4" t="s">
        <v>63</v>
      </c>
      <c r="P4610" s="4" t="s">
        <v>64</v>
      </c>
    </row>
    <row r="4611">
      <c r="A4611" s="4" t="s">
        <v>7013</v>
      </c>
      <c r="B4611" s="4" t="s">
        <v>7014</v>
      </c>
      <c r="C4611" s="4">
        <v>560.0</v>
      </c>
      <c r="D4611" s="5" t="str">
        <f t="shared" si="898"/>
        <v>Open Ad</v>
      </c>
      <c r="E4611" s="4" t="s">
        <v>78</v>
      </c>
      <c r="F4611" s="4" t="s">
        <v>6765</v>
      </c>
      <c r="G4611" s="4" t="s">
        <v>7091</v>
      </c>
      <c r="H4611" s="4" t="s">
        <v>49</v>
      </c>
      <c r="I4611" s="4" t="s">
        <v>7016</v>
      </c>
      <c r="J4611" s="4" t="s">
        <v>78</v>
      </c>
      <c r="K4611" s="7" t="str">
        <f t="shared" si="899"/>
        <v>View Creative</v>
      </c>
      <c r="L4611" s="4" t="s">
        <v>60</v>
      </c>
      <c r="M4611" s="4" t="s">
        <v>7013</v>
      </c>
      <c r="N4611" s="4"/>
      <c r="O4611" s="4" t="s">
        <v>63</v>
      </c>
      <c r="P4611" s="4" t="s">
        <v>64</v>
      </c>
    </row>
    <row r="4612">
      <c r="A4612" s="4" t="s">
        <v>7013</v>
      </c>
      <c r="B4612" s="4" t="s">
        <v>7014</v>
      </c>
      <c r="C4612" s="4">
        <v>561.0</v>
      </c>
      <c r="D4612" s="5" t="str">
        <f t="shared" ref="D4612:D4613" si="900">HYPERLINK("https://www.linkedin.com/ad-library/detail/1125980624","Open Ad")</f>
        <v>Open Ad</v>
      </c>
      <c r="E4612" s="4" t="s">
        <v>78</v>
      </c>
      <c r="F4612" s="4" t="s">
        <v>6765</v>
      </c>
      <c r="G4612" s="4" t="s">
        <v>7098</v>
      </c>
      <c r="H4612" s="4" t="s">
        <v>49</v>
      </c>
      <c r="I4612" s="4" t="s">
        <v>7016</v>
      </c>
      <c r="J4612" s="4" t="s">
        <v>78</v>
      </c>
      <c r="K4612" s="7" t="str">
        <f t="shared" ref="K4612:K4613" si="901">HYPERLINK("https://media.licdn.com/dms/image/v2/D4E10AQFhdvl49SWZJw/image-shrink_1280/B4EZvHOpTsIIAg-/0/1768574064237/Gettrafficpng?e=2147483647&amp;v=beta&amp;t=zW2iradgKhv3Rzcgm7lLXw6UqHtXcSuZb9dYJ_IsQw0","View Creative")</f>
        <v>View Creative</v>
      </c>
      <c r="L4612" s="4" t="s">
        <v>60</v>
      </c>
      <c r="M4612" s="4" t="s">
        <v>7013</v>
      </c>
      <c r="N4612" s="4"/>
      <c r="O4612" s="4" t="s">
        <v>63</v>
      </c>
      <c r="P4612" s="4" t="s">
        <v>64</v>
      </c>
    </row>
    <row r="4613">
      <c r="A4613" s="4" t="s">
        <v>7013</v>
      </c>
      <c r="B4613" s="4" t="s">
        <v>7014</v>
      </c>
      <c r="C4613" s="4">
        <v>562.0</v>
      </c>
      <c r="D4613" s="5" t="str">
        <f t="shared" si="900"/>
        <v>Open Ad</v>
      </c>
      <c r="E4613" s="4" t="s">
        <v>78</v>
      </c>
      <c r="F4613" s="4" t="s">
        <v>6765</v>
      </c>
      <c r="G4613" s="4" t="s">
        <v>7098</v>
      </c>
      <c r="H4613" s="4" t="s">
        <v>49</v>
      </c>
      <c r="I4613" s="4" t="s">
        <v>7016</v>
      </c>
      <c r="J4613" s="4" t="s">
        <v>78</v>
      </c>
      <c r="K4613" s="7" t="str">
        <f t="shared" si="901"/>
        <v>View Creative</v>
      </c>
      <c r="L4613" s="4" t="s">
        <v>60</v>
      </c>
      <c r="M4613" s="4" t="s">
        <v>7013</v>
      </c>
      <c r="N4613" s="4"/>
      <c r="O4613" s="4" t="s">
        <v>63</v>
      </c>
      <c r="P4613" s="4" t="s">
        <v>64</v>
      </c>
    </row>
    <row r="4614">
      <c r="A4614" s="4" t="s">
        <v>7013</v>
      </c>
      <c r="B4614" s="4" t="s">
        <v>7014</v>
      </c>
      <c r="C4614" s="4">
        <v>563.0</v>
      </c>
      <c r="D4614" s="5" t="str">
        <f t="shared" ref="D4614:D4615" si="902">HYPERLINK("https://www.linkedin.com/ad-library/detail/1126180494","Open Ad")</f>
        <v>Open Ad</v>
      </c>
      <c r="E4614" s="4" t="s">
        <v>78</v>
      </c>
      <c r="F4614" s="4" t="s">
        <v>6765</v>
      </c>
      <c r="G4614" s="4" t="s">
        <v>7104</v>
      </c>
      <c r="H4614" s="4" t="s">
        <v>49</v>
      </c>
      <c r="I4614" s="4" t="s">
        <v>7016</v>
      </c>
      <c r="J4614" s="4" t="s">
        <v>78</v>
      </c>
      <c r="K4614" s="7" t="str">
        <f t="shared" ref="K4614:K4615" si="903">HYPERLINK("https://media.licdn.com/dms/image/v2/D4E10AQGzdZamj-FFtg/image-shrink_1280/B4EZvHgki1HkAg-/0/1768578763264/1Yournextcustomerpng?e=2147483647&amp;v=beta&amp;t=813tYu3iNOk44Zb_qdwCHDYOEnZ5Xj42K2DyHeDrxuM","View Creative")</f>
        <v>View Creative</v>
      </c>
      <c r="L4614" s="4" t="s">
        <v>60</v>
      </c>
      <c r="M4614" s="4" t="s">
        <v>7013</v>
      </c>
      <c r="N4614" s="4" t="s">
        <v>7100</v>
      </c>
      <c r="O4614" s="4" t="s">
        <v>63</v>
      </c>
      <c r="P4614" s="4" t="s">
        <v>64</v>
      </c>
    </row>
    <row r="4615">
      <c r="A4615" s="4" t="s">
        <v>7013</v>
      </c>
      <c r="B4615" s="4" t="s">
        <v>7014</v>
      </c>
      <c r="C4615" s="4">
        <v>564.0</v>
      </c>
      <c r="D4615" s="5" t="str">
        <f t="shared" si="902"/>
        <v>Open Ad</v>
      </c>
      <c r="E4615" s="4" t="s">
        <v>78</v>
      </c>
      <c r="F4615" s="4" t="s">
        <v>6765</v>
      </c>
      <c r="G4615" s="4" t="s">
        <v>7104</v>
      </c>
      <c r="H4615" s="4" t="s">
        <v>49</v>
      </c>
      <c r="I4615" s="4" t="s">
        <v>7016</v>
      </c>
      <c r="J4615" s="4" t="s">
        <v>78</v>
      </c>
      <c r="K4615" s="7" t="str">
        <f t="shared" si="903"/>
        <v>View Creative</v>
      </c>
      <c r="L4615" s="4" t="s">
        <v>60</v>
      </c>
      <c r="M4615" s="4" t="s">
        <v>7013</v>
      </c>
      <c r="N4615" s="4" t="s">
        <v>7100</v>
      </c>
      <c r="O4615" s="4" t="s">
        <v>63</v>
      </c>
      <c r="P4615" s="4" t="s">
        <v>64</v>
      </c>
    </row>
    <row r="4616">
      <c r="A4616" s="4" t="s">
        <v>7013</v>
      </c>
      <c r="B4616" s="4" t="s">
        <v>7014</v>
      </c>
      <c r="C4616" s="4">
        <v>565.0</v>
      </c>
      <c r="D4616" s="5" t="str">
        <f t="shared" ref="D4616:D4617" si="904">HYPERLINK("https://www.linkedin.com/ad-library/detail/1125980634","Open Ad")</f>
        <v>Open Ad</v>
      </c>
      <c r="E4616" s="4" t="s">
        <v>78</v>
      </c>
      <c r="F4616" s="4" t="s">
        <v>6765</v>
      </c>
      <c r="G4616" s="4" t="s">
        <v>7101</v>
      </c>
      <c r="H4616" s="4" t="s">
        <v>49</v>
      </c>
      <c r="I4616" s="4" t="s">
        <v>7016</v>
      </c>
      <c r="J4616" s="4" t="s">
        <v>78</v>
      </c>
      <c r="K4616" s="7" t="str">
        <f t="shared" ref="K4616:K4617" si="905">HYPERLINK("https://media.licdn.com/dms/image/v2/D4E10AQHJS_17cXbRdg/image-shrink_1280/B4EZvHhKynJcAg-/0/1768578920006/1Yourorganictrafficpng?e=2147483647&amp;v=beta&amp;t=R-1DjIIQZU9ozJC_0T_K6Nf4-jGbi32oszyoTeUi4H0","View Creative")</f>
        <v>View Creative</v>
      </c>
      <c r="L4616" s="4" t="s">
        <v>60</v>
      </c>
      <c r="M4616" s="4" t="s">
        <v>7013</v>
      </c>
      <c r="N4616" s="4"/>
      <c r="O4616" s="4" t="s">
        <v>63</v>
      </c>
      <c r="P4616" s="4" t="s">
        <v>64</v>
      </c>
    </row>
    <row r="4617">
      <c r="A4617" s="4" t="s">
        <v>7013</v>
      </c>
      <c r="B4617" s="4" t="s">
        <v>7014</v>
      </c>
      <c r="C4617" s="4">
        <v>566.0</v>
      </c>
      <c r="D4617" s="5" t="str">
        <f t="shared" si="904"/>
        <v>Open Ad</v>
      </c>
      <c r="E4617" s="4" t="s">
        <v>78</v>
      </c>
      <c r="F4617" s="4" t="s">
        <v>6765</v>
      </c>
      <c r="G4617" s="4" t="s">
        <v>7101</v>
      </c>
      <c r="H4617" s="4" t="s">
        <v>49</v>
      </c>
      <c r="I4617" s="4" t="s">
        <v>7016</v>
      </c>
      <c r="J4617" s="4" t="s">
        <v>78</v>
      </c>
      <c r="K4617" s="7" t="str">
        <f t="shared" si="905"/>
        <v>View Creative</v>
      </c>
      <c r="L4617" s="4" t="s">
        <v>60</v>
      </c>
      <c r="M4617" s="4" t="s">
        <v>7013</v>
      </c>
      <c r="N4617" s="4"/>
      <c r="O4617" s="4" t="s">
        <v>63</v>
      </c>
      <c r="P4617" s="4" t="s">
        <v>64</v>
      </c>
    </row>
    <row r="4618">
      <c r="A4618" s="4" t="s">
        <v>7013</v>
      </c>
      <c r="B4618" s="4" t="s">
        <v>7014</v>
      </c>
      <c r="C4618" s="4">
        <v>567.0</v>
      </c>
      <c r="D4618" s="5" t="str">
        <f t="shared" ref="D4618:D4619" si="906">HYPERLINK("https://www.linkedin.com/ad-library/detail/1124980754","Open Ad")</f>
        <v>Open Ad</v>
      </c>
      <c r="E4618" s="4" t="s">
        <v>78</v>
      </c>
      <c r="F4618" s="4" t="s">
        <v>6765</v>
      </c>
      <c r="G4618" s="4" t="s">
        <v>7102</v>
      </c>
      <c r="H4618" s="4" t="s">
        <v>49</v>
      </c>
      <c r="I4618" s="4" t="s">
        <v>7016</v>
      </c>
      <c r="J4618" s="4" t="s">
        <v>78</v>
      </c>
      <c r="K4618" s="7" t="str">
        <f t="shared" ref="K4618:K4619" si="907">HYPERLINK("https://media.licdn.com/dms/image/v2/D4E10AQEQ0CWUOdqf5Q/image-shrink_1280/B4EZvHPErHHIAc-/0/1768574176286/Getmentionedpng?e=2147483647&amp;v=beta&amp;t=MJqK7cYTUhoCExV6KgyODJj-FCw_H7hff28vQufV73o","View Creative")</f>
        <v>View Creative</v>
      </c>
      <c r="L4618" s="4" t="s">
        <v>60</v>
      </c>
      <c r="M4618" s="4" t="s">
        <v>7013</v>
      </c>
      <c r="N4618" s="4"/>
      <c r="O4618" s="4" t="s">
        <v>63</v>
      </c>
      <c r="P4618" s="4" t="s">
        <v>64</v>
      </c>
    </row>
    <row r="4619">
      <c r="A4619" s="4" t="s">
        <v>7013</v>
      </c>
      <c r="B4619" s="4" t="s">
        <v>7014</v>
      </c>
      <c r="C4619" s="4">
        <v>568.0</v>
      </c>
      <c r="D4619" s="5" t="str">
        <f t="shared" si="906"/>
        <v>Open Ad</v>
      </c>
      <c r="E4619" s="4" t="s">
        <v>78</v>
      </c>
      <c r="F4619" s="4" t="s">
        <v>6765</v>
      </c>
      <c r="G4619" s="4" t="s">
        <v>7102</v>
      </c>
      <c r="H4619" s="4" t="s">
        <v>49</v>
      </c>
      <c r="I4619" s="4" t="s">
        <v>7016</v>
      </c>
      <c r="J4619" s="4" t="s">
        <v>78</v>
      </c>
      <c r="K4619" s="7" t="str">
        <f t="shared" si="907"/>
        <v>View Creative</v>
      </c>
      <c r="L4619" s="4" t="s">
        <v>60</v>
      </c>
      <c r="M4619" s="4" t="s">
        <v>7013</v>
      </c>
      <c r="N4619" s="4"/>
      <c r="O4619" s="4" t="s">
        <v>63</v>
      </c>
      <c r="P4619" s="4" t="s">
        <v>64</v>
      </c>
    </row>
    <row r="4620">
      <c r="A4620" s="4" t="s">
        <v>7013</v>
      </c>
      <c r="B4620" s="4" t="s">
        <v>7014</v>
      </c>
      <c r="C4620" s="4">
        <v>569.0</v>
      </c>
      <c r="D4620" s="5" t="str">
        <f t="shared" ref="D4620:D4621" si="908">HYPERLINK("https://www.linkedin.com/ad-library/detail/1126380434","Open Ad")</f>
        <v>Open Ad</v>
      </c>
      <c r="E4620" s="4" t="s">
        <v>78</v>
      </c>
      <c r="F4620" s="4" t="s">
        <v>6765</v>
      </c>
      <c r="G4620" s="4" t="s">
        <v>7104</v>
      </c>
      <c r="H4620" s="4" t="s">
        <v>49</v>
      </c>
      <c r="I4620" s="4" t="s">
        <v>7016</v>
      </c>
      <c r="J4620" s="4" t="s">
        <v>78</v>
      </c>
      <c r="K4620" s="7" t="str">
        <f t="shared" ref="K4620:K4621" si="909">HYPERLINK("https://media.licdn.com/dms/image/v2/D4E10AQGzdZamj-FFtg/image-shrink_1280/B4EZvHgki1HkAg-/0/1768578763264/1Yournextcustomerpng?e=2147483647&amp;v=beta&amp;t=813tYu3iNOk44Zb_qdwCHDYOEnZ5Xj42K2DyHeDrxuM","View Creative")</f>
        <v>View Creative</v>
      </c>
      <c r="L4620" s="4" t="s">
        <v>60</v>
      </c>
      <c r="M4620" s="4" t="s">
        <v>7013</v>
      </c>
      <c r="N4620" s="4"/>
      <c r="O4620" s="4" t="s">
        <v>63</v>
      </c>
      <c r="P4620" s="4" t="s">
        <v>64</v>
      </c>
    </row>
    <row r="4621">
      <c r="A4621" s="4" t="s">
        <v>7013</v>
      </c>
      <c r="B4621" s="4" t="s">
        <v>7014</v>
      </c>
      <c r="C4621" s="4">
        <v>570.0</v>
      </c>
      <c r="D4621" s="5" t="str">
        <f t="shared" si="908"/>
        <v>Open Ad</v>
      </c>
      <c r="E4621" s="4" t="s">
        <v>78</v>
      </c>
      <c r="F4621" s="4" t="s">
        <v>6765</v>
      </c>
      <c r="G4621" s="4" t="s">
        <v>7104</v>
      </c>
      <c r="H4621" s="4" t="s">
        <v>49</v>
      </c>
      <c r="I4621" s="4" t="s">
        <v>7016</v>
      </c>
      <c r="J4621" s="4" t="s">
        <v>78</v>
      </c>
      <c r="K4621" s="7" t="str">
        <f t="shared" si="909"/>
        <v>View Creative</v>
      </c>
      <c r="L4621" s="4" t="s">
        <v>60</v>
      </c>
      <c r="M4621" s="4" t="s">
        <v>7013</v>
      </c>
      <c r="N4621" s="4"/>
      <c r="O4621" s="4" t="s">
        <v>63</v>
      </c>
      <c r="P4621" s="4" t="s">
        <v>64</v>
      </c>
    </row>
    <row r="4622">
      <c r="A4622" s="4" t="s">
        <v>7013</v>
      </c>
      <c r="B4622" s="4" t="s">
        <v>7014</v>
      </c>
      <c r="C4622" s="4">
        <v>571.0</v>
      </c>
      <c r="D4622" s="5" t="str">
        <f t="shared" ref="D4622:D4623" si="910">HYPERLINK("https://www.linkedin.com/ad-library/detail/1126080594","Open Ad")</f>
        <v>Open Ad</v>
      </c>
      <c r="E4622" s="4" t="s">
        <v>78</v>
      </c>
      <c r="F4622" s="4" t="s">
        <v>6765</v>
      </c>
      <c r="G4622" s="4" t="s">
        <v>7105</v>
      </c>
      <c r="H4622" s="4" t="s">
        <v>49</v>
      </c>
      <c r="I4622" s="4" t="s">
        <v>7016</v>
      </c>
      <c r="J4622" s="4" t="s">
        <v>78</v>
      </c>
      <c r="K4622" s="7" t="str">
        <f t="shared" ref="K4622:K4627" si="911">HYPERLINK("https://media.licdn.com/dms/image/v2/D4E10AQF6UPH7WMI63Q/image-shrink_1280/B4EZvHg4wgHUAc-/0/1768578846085/12026istheyearpng?e=2147483647&amp;v=beta&amp;t=je_Vle_0DuqkMG6yxq2CpIRKBNUD_kRp3xpwQZJzTgg","View Creative")</f>
        <v>View Creative</v>
      </c>
      <c r="L4622" s="4" t="s">
        <v>60</v>
      </c>
      <c r="M4622" s="4" t="s">
        <v>7013</v>
      </c>
      <c r="N4622" s="4"/>
      <c r="O4622" s="4" t="s">
        <v>63</v>
      </c>
      <c r="P4622" s="4" t="s">
        <v>64</v>
      </c>
    </row>
    <row r="4623">
      <c r="A4623" s="4" t="s">
        <v>7013</v>
      </c>
      <c r="B4623" s="4" t="s">
        <v>7014</v>
      </c>
      <c r="C4623" s="4">
        <v>572.0</v>
      </c>
      <c r="D4623" s="5" t="str">
        <f t="shared" si="910"/>
        <v>Open Ad</v>
      </c>
      <c r="E4623" s="4" t="s">
        <v>78</v>
      </c>
      <c r="F4623" s="4" t="s">
        <v>6765</v>
      </c>
      <c r="G4623" s="4" t="s">
        <v>7105</v>
      </c>
      <c r="H4623" s="4" t="s">
        <v>49</v>
      </c>
      <c r="I4623" s="4" t="s">
        <v>7016</v>
      </c>
      <c r="J4623" s="4" t="s">
        <v>78</v>
      </c>
      <c r="K4623" s="7" t="str">
        <f t="shared" si="911"/>
        <v>View Creative</v>
      </c>
      <c r="L4623" s="4" t="s">
        <v>60</v>
      </c>
      <c r="M4623" s="4" t="s">
        <v>7013</v>
      </c>
      <c r="N4623" s="4"/>
      <c r="O4623" s="4" t="s">
        <v>63</v>
      </c>
      <c r="P4623" s="4" t="s">
        <v>64</v>
      </c>
    </row>
    <row r="4624">
      <c r="A4624" s="4" t="s">
        <v>7013</v>
      </c>
      <c r="B4624" s="4" t="s">
        <v>7014</v>
      </c>
      <c r="C4624" s="4">
        <v>573.0</v>
      </c>
      <c r="D4624" s="5" t="str">
        <f t="shared" ref="D4624:D4625" si="912">HYPERLINK("https://www.linkedin.com/ad-library/detail/1124280524","Open Ad")</f>
        <v>Open Ad</v>
      </c>
      <c r="E4624" s="4" t="s">
        <v>78</v>
      </c>
      <c r="F4624" s="4" t="s">
        <v>6765</v>
      </c>
      <c r="G4624" s="4" t="s">
        <v>7105</v>
      </c>
      <c r="H4624" s="4" t="s">
        <v>49</v>
      </c>
      <c r="I4624" s="4" t="s">
        <v>7016</v>
      </c>
      <c r="J4624" s="4" t="s">
        <v>78</v>
      </c>
      <c r="K4624" s="7" t="str">
        <f t="shared" si="911"/>
        <v>View Creative</v>
      </c>
      <c r="L4624" s="4" t="s">
        <v>60</v>
      </c>
      <c r="M4624" s="4" t="s">
        <v>7013</v>
      </c>
      <c r="N4624" s="4"/>
      <c r="O4624" s="4" t="s">
        <v>63</v>
      </c>
      <c r="P4624" s="4" t="s">
        <v>64</v>
      </c>
    </row>
    <row r="4625">
      <c r="A4625" s="4" t="s">
        <v>7013</v>
      </c>
      <c r="B4625" s="4" t="s">
        <v>7014</v>
      </c>
      <c r="C4625" s="4">
        <v>574.0</v>
      </c>
      <c r="D4625" s="5" t="str">
        <f t="shared" si="912"/>
        <v>Open Ad</v>
      </c>
      <c r="E4625" s="4" t="s">
        <v>78</v>
      </c>
      <c r="F4625" s="4" t="s">
        <v>6765</v>
      </c>
      <c r="G4625" s="4" t="s">
        <v>7105</v>
      </c>
      <c r="H4625" s="4" t="s">
        <v>49</v>
      </c>
      <c r="I4625" s="4" t="s">
        <v>7016</v>
      </c>
      <c r="J4625" s="4" t="s">
        <v>78</v>
      </c>
      <c r="K4625" s="7" t="str">
        <f t="shared" si="911"/>
        <v>View Creative</v>
      </c>
      <c r="L4625" s="4" t="s">
        <v>60</v>
      </c>
      <c r="M4625" s="4" t="s">
        <v>7013</v>
      </c>
      <c r="N4625" s="4"/>
      <c r="O4625" s="4" t="s">
        <v>63</v>
      </c>
      <c r="P4625" s="4" t="s">
        <v>64</v>
      </c>
    </row>
    <row r="4626">
      <c r="A4626" s="4" t="s">
        <v>7013</v>
      </c>
      <c r="B4626" s="4" t="s">
        <v>7014</v>
      </c>
      <c r="C4626" s="4">
        <v>575.0</v>
      </c>
      <c r="D4626" s="5" t="str">
        <f t="shared" ref="D4626:D4627" si="913">HYPERLINK("https://www.linkedin.com/ad-library/detail/1125880514","Open Ad")</f>
        <v>Open Ad</v>
      </c>
      <c r="E4626" s="4" t="s">
        <v>78</v>
      </c>
      <c r="F4626" s="4" t="s">
        <v>6765</v>
      </c>
      <c r="G4626" s="4" t="s">
        <v>7105</v>
      </c>
      <c r="H4626" s="4" t="s">
        <v>49</v>
      </c>
      <c r="I4626" s="4" t="s">
        <v>7016</v>
      </c>
      <c r="J4626" s="4" t="s">
        <v>78</v>
      </c>
      <c r="K4626" s="7" t="str">
        <f t="shared" si="911"/>
        <v>View Creative</v>
      </c>
      <c r="L4626" s="4" t="s">
        <v>60</v>
      </c>
      <c r="M4626" s="4" t="s">
        <v>7013</v>
      </c>
      <c r="N4626" s="4" t="s">
        <v>7100</v>
      </c>
      <c r="O4626" s="4" t="s">
        <v>63</v>
      </c>
      <c r="P4626" s="4" t="s">
        <v>64</v>
      </c>
    </row>
    <row r="4627">
      <c r="A4627" s="4" t="s">
        <v>7013</v>
      </c>
      <c r="B4627" s="4" t="s">
        <v>7014</v>
      </c>
      <c r="C4627" s="4">
        <v>576.0</v>
      </c>
      <c r="D4627" s="5" t="str">
        <f t="shared" si="913"/>
        <v>Open Ad</v>
      </c>
      <c r="E4627" s="4" t="s">
        <v>78</v>
      </c>
      <c r="F4627" s="4" t="s">
        <v>6765</v>
      </c>
      <c r="G4627" s="4" t="s">
        <v>7105</v>
      </c>
      <c r="H4627" s="4" t="s">
        <v>49</v>
      </c>
      <c r="I4627" s="4" t="s">
        <v>7016</v>
      </c>
      <c r="J4627" s="4" t="s">
        <v>78</v>
      </c>
      <c r="K4627" s="7" t="str">
        <f t="shared" si="911"/>
        <v>View Creative</v>
      </c>
      <c r="L4627" s="4" t="s">
        <v>60</v>
      </c>
      <c r="M4627" s="4" t="s">
        <v>7013</v>
      </c>
      <c r="N4627" s="4" t="s">
        <v>7100</v>
      </c>
      <c r="O4627" s="4" t="s">
        <v>63</v>
      </c>
      <c r="P4627" s="4" t="s">
        <v>64</v>
      </c>
    </row>
    <row r="4628">
      <c r="A4628" s="4" t="s">
        <v>7013</v>
      </c>
      <c r="B4628" s="4" t="s">
        <v>7014</v>
      </c>
      <c r="C4628" s="4">
        <v>577.0</v>
      </c>
      <c r="D4628" s="5" t="str">
        <f t="shared" ref="D4628:D4629" si="914">HYPERLINK("https://www.linkedin.com/ad-library/detail/1124580724","Open Ad")</f>
        <v>Open Ad</v>
      </c>
      <c r="E4628" s="4" t="s">
        <v>78</v>
      </c>
      <c r="F4628" s="4" t="s">
        <v>6765</v>
      </c>
      <c r="G4628" s="4" t="s">
        <v>7104</v>
      </c>
      <c r="H4628" s="4" t="s">
        <v>49</v>
      </c>
      <c r="I4628" s="4" t="s">
        <v>7016</v>
      </c>
      <c r="J4628" s="4" t="s">
        <v>78</v>
      </c>
      <c r="K4628" s="7" t="str">
        <f t="shared" ref="K4628:K4629" si="915">HYPERLINK("https://media.licdn.com/dms/image/v2/D4E10AQGzdZamj-FFtg/image-shrink_1280/B4EZvHgki1HkAg-/0/1768578763264/1Yournextcustomerpng?e=2147483647&amp;v=beta&amp;t=813tYu3iNOk44Zb_qdwCHDYOEnZ5Xj42K2DyHeDrxuM","View Creative")</f>
        <v>View Creative</v>
      </c>
      <c r="L4628" s="4" t="s">
        <v>60</v>
      </c>
      <c r="M4628" s="4" t="s">
        <v>7013</v>
      </c>
      <c r="N4628" s="4"/>
      <c r="O4628" s="4" t="s">
        <v>63</v>
      </c>
      <c r="P4628" s="4" t="s">
        <v>64</v>
      </c>
    </row>
    <row r="4629">
      <c r="A4629" s="4" t="s">
        <v>7013</v>
      </c>
      <c r="B4629" s="4" t="s">
        <v>7014</v>
      </c>
      <c r="C4629" s="4">
        <v>578.0</v>
      </c>
      <c r="D4629" s="5" t="str">
        <f t="shared" si="914"/>
        <v>Open Ad</v>
      </c>
      <c r="E4629" s="4" t="s">
        <v>78</v>
      </c>
      <c r="F4629" s="4" t="s">
        <v>6765</v>
      </c>
      <c r="G4629" s="4" t="s">
        <v>7104</v>
      </c>
      <c r="H4629" s="4" t="s">
        <v>49</v>
      </c>
      <c r="I4629" s="4" t="s">
        <v>7016</v>
      </c>
      <c r="J4629" s="4" t="s">
        <v>78</v>
      </c>
      <c r="K4629" s="7" t="str">
        <f t="shared" si="915"/>
        <v>View Creative</v>
      </c>
      <c r="L4629" s="4" t="s">
        <v>60</v>
      </c>
      <c r="M4629" s="4" t="s">
        <v>7013</v>
      </c>
      <c r="N4629" s="4"/>
      <c r="O4629" s="4" t="s">
        <v>63</v>
      </c>
      <c r="P4629" s="4" t="s">
        <v>64</v>
      </c>
    </row>
    <row r="4630">
      <c r="A4630" s="4" t="s">
        <v>7013</v>
      </c>
      <c r="B4630" s="4" t="s">
        <v>7014</v>
      </c>
      <c r="C4630" s="4">
        <v>579.0</v>
      </c>
      <c r="D4630" s="5" t="str">
        <f t="shared" ref="D4630:D4631" si="916">HYPERLINK("https://www.linkedin.com/ad-library/detail/1124280484","Open Ad")</f>
        <v>Open Ad</v>
      </c>
      <c r="E4630" s="4" t="s">
        <v>78</v>
      </c>
      <c r="F4630" s="4" t="s">
        <v>6765</v>
      </c>
      <c r="G4630" s="4" t="s">
        <v>7098</v>
      </c>
      <c r="H4630" s="4" t="s">
        <v>49</v>
      </c>
      <c r="I4630" s="4" t="s">
        <v>7016</v>
      </c>
      <c r="J4630" s="4" t="s">
        <v>78</v>
      </c>
      <c r="K4630" s="7" t="str">
        <f t="shared" ref="K4630:K4631" si="917">HYPERLINK("https://media.licdn.com/dms/image/v2/D4E10AQFhdvl49SWZJw/image-shrink_1280/B4EZvHOpTsIIAg-/0/1768574064237/Gettrafficpng?e=2147483647&amp;v=beta&amp;t=zW2iradgKhv3Rzcgm7lLXw6UqHtXcSuZb9dYJ_IsQw0","View Creative")</f>
        <v>View Creative</v>
      </c>
      <c r="L4630" s="4" t="s">
        <v>60</v>
      </c>
      <c r="M4630" s="4" t="s">
        <v>7013</v>
      </c>
      <c r="N4630" s="4" t="s">
        <v>7100</v>
      </c>
      <c r="O4630" s="4" t="s">
        <v>63</v>
      </c>
      <c r="P4630" s="4" t="s">
        <v>64</v>
      </c>
    </row>
    <row r="4631">
      <c r="A4631" s="4" t="s">
        <v>7013</v>
      </c>
      <c r="B4631" s="4" t="s">
        <v>7014</v>
      </c>
      <c r="C4631" s="4">
        <v>580.0</v>
      </c>
      <c r="D4631" s="5" t="str">
        <f t="shared" si="916"/>
        <v>Open Ad</v>
      </c>
      <c r="E4631" s="4" t="s">
        <v>78</v>
      </c>
      <c r="F4631" s="4" t="s">
        <v>6765</v>
      </c>
      <c r="G4631" s="4" t="s">
        <v>7098</v>
      </c>
      <c r="H4631" s="4" t="s">
        <v>49</v>
      </c>
      <c r="I4631" s="4" t="s">
        <v>7016</v>
      </c>
      <c r="J4631" s="4" t="s">
        <v>78</v>
      </c>
      <c r="K4631" s="7" t="str">
        <f t="shared" si="917"/>
        <v>View Creative</v>
      </c>
      <c r="L4631" s="4" t="s">
        <v>60</v>
      </c>
      <c r="M4631" s="4" t="s">
        <v>7013</v>
      </c>
      <c r="N4631" s="4" t="s">
        <v>7100</v>
      </c>
      <c r="O4631" s="4" t="s">
        <v>63</v>
      </c>
      <c r="P4631" s="4" t="s">
        <v>64</v>
      </c>
    </row>
    <row r="4632">
      <c r="A4632" s="4" t="s">
        <v>7013</v>
      </c>
      <c r="B4632" s="4" t="s">
        <v>7014</v>
      </c>
      <c r="C4632" s="4">
        <v>581.0</v>
      </c>
      <c r="D4632" s="5" t="str">
        <f t="shared" ref="D4632:D4633" si="918">HYPERLINK("https://www.linkedin.com/ad-library/detail/1125279974","Open Ad")</f>
        <v>Open Ad</v>
      </c>
      <c r="E4632" s="4" t="s">
        <v>78</v>
      </c>
      <c r="F4632" s="4" t="s">
        <v>6765</v>
      </c>
      <c r="G4632" s="4" t="s">
        <v>7097</v>
      </c>
      <c r="H4632" s="4" t="s">
        <v>49</v>
      </c>
      <c r="I4632" s="4" t="s">
        <v>7016</v>
      </c>
      <c r="J4632" s="4" t="s">
        <v>78</v>
      </c>
      <c r="K4632" s="7" t="str">
        <f t="shared" ref="K4632:K4633" si="919">HYPERLINK("https://media.licdn.com/dms/image/v2/D4E10AQFBE-hGBlPdfQ/image-shrink_1280/B4EZvHPXk5GkAc-/0/1768574253788/TrackwhatAIsayspng?e=2147483647&amp;v=beta&amp;t=c2jX6FQItgO4wLlA6IAzpFa7FH4E4qDF52W5zHY4V5o","View Creative")</f>
        <v>View Creative</v>
      </c>
      <c r="L4632" s="4" t="s">
        <v>60</v>
      </c>
      <c r="M4632" s="4" t="s">
        <v>7013</v>
      </c>
      <c r="N4632" s="4" t="s">
        <v>7100</v>
      </c>
      <c r="O4632" s="4" t="s">
        <v>63</v>
      </c>
      <c r="P4632" s="4" t="s">
        <v>64</v>
      </c>
    </row>
    <row r="4633">
      <c r="A4633" s="4" t="s">
        <v>7013</v>
      </c>
      <c r="B4633" s="4" t="s">
        <v>7014</v>
      </c>
      <c r="C4633" s="4">
        <v>582.0</v>
      </c>
      <c r="D4633" s="5" t="str">
        <f t="shared" si="918"/>
        <v>Open Ad</v>
      </c>
      <c r="E4633" s="4" t="s">
        <v>78</v>
      </c>
      <c r="F4633" s="4" t="s">
        <v>6765</v>
      </c>
      <c r="G4633" s="4" t="s">
        <v>7097</v>
      </c>
      <c r="H4633" s="4" t="s">
        <v>49</v>
      </c>
      <c r="I4633" s="4" t="s">
        <v>7016</v>
      </c>
      <c r="J4633" s="4" t="s">
        <v>78</v>
      </c>
      <c r="K4633" s="7" t="str">
        <f t="shared" si="919"/>
        <v>View Creative</v>
      </c>
      <c r="L4633" s="4" t="s">
        <v>60</v>
      </c>
      <c r="M4633" s="4" t="s">
        <v>7013</v>
      </c>
      <c r="N4633" s="4" t="s">
        <v>7100</v>
      </c>
      <c r="O4633" s="4" t="s">
        <v>63</v>
      </c>
      <c r="P4633" s="4" t="s">
        <v>64</v>
      </c>
    </row>
    <row r="4634">
      <c r="A4634" s="4" t="s">
        <v>7013</v>
      </c>
      <c r="B4634" s="4" t="s">
        <v>7014</v>
      </c>
      <c r="C4634" s="4">
        <v>583.0</v>
      </c>
      <c r="D4634" s="5" t="str">
        <f t="shared" ref="D4634:D4635" si="920">HYPERLINK("https://www.linkedin.com/ad-library/detail/1125580514","Open Ad")</f>
        <v>Open Ad</v>
      </c>
      <c r="E4634" s="4" t="s">
        <v>78</v>
      </c>
      <c r="F4634" s="4" t="s">
        <v>6765</v>
      </c>
      <c r="G4634" s="4" t="s">
        <v>7104</v>
      </c>
      <c r="H4634" s="4" t="s">
        <v>49</v>
      </c>
      <c r="I4634" s="4" t="s">
        <v>7016</v>
      </c>
      <c r="J4634" s="4" t="s">
        <v>78</v>
      </c>
      <c r="K4634" s="7" t="str">
        <f t="shared" ref="K4634:K4635" si="921">HYPERLINK("https://media.licdn.com/dms/image/v2/D4E10AQGzdZamj-FFtg/image-shrink_1280/B4EZvHgki1HkAg-/0/1768578763264/1Yournextcustomerpng?e=2147483647&amp;v=beta&amp;t=813tYu3iNOk44Zb_qdwCHDYOEnZ5Xj42K2DyHeDrxuM","View Creative")</f>
        <v>View Creative</v>
      </c>
      <c r="L4634" s="4" t="s">
        <v>60</v>
      </c>
      <c r="M4634" s="4" t="s">
        <v>7013</v>
      </c>
      <c r="N4634" s="4" t="s">
        <v>7100</v>
      </c>
      <c r="O4634" s="4" t="s">
        <v>63</v>
      </c>
      <c r="P4634" s="4" t="s">
        <v>64</v>
      </c>
    </row>
    <row r="4635">
      <c r="A4635" s="4" t="s">
        <v>7013</v>
      </c>
      <c r="B4635" s="4" t="s">
        <v>7014</v>
      </c>
      <c r="C4635" s="4">
        <v>584.0</v>
      </c>
      <c r="D4635" s="5" t="str">
        <f t="shared" si="920"/>
        <v>Open Ad</v>
      </c>
      <c r="E4635" s="4" t="s">
        <v>78</v>
      </c>
      <c r="F4635" s="4" t="s">
        <v>6765</v>
      </c>
      <c r="G4635" s="4" t="s">
        <v>7104</v>
      </c>
      <c r="H4635" s="4" t="s">
        <v>49</v>
      </c>
      <c r="I4635" s="4" t="s">
        <v>7016</v>
      </c>
      <c r="J4635" s="4" t="s">
        <v>78</v>
      </c>
      <c r="K4635" s="7" t="str">
        <f t="shared" si="921"/>
        <v>View Creative</v>
      </c>
      <c r="L4635" s="4" t="s">
        <v>60</v>
      </c>
      <c r="M4635" s="4" t="s">
        <v>7013</v>
      </c>
      <c r="N4635" s="4" t="s">
        <v>7100</v>
      </c>
      <c r="O4635" s="4" t="s">
        <v>63</v>
      </c>
      <c r="P4635" s="4" t="s">
        <v>64</v>
      </c>
    </row>
    <row r="4636">
      <c r="A4636" s="4" t="s">
        <v>7013</v>
      </c>
      <c r="B4636" s="4" t="s">
        <v>7014</v>
      </c>
      <c r="C4636" s="4">
        <v>585.0</v>
      </c>
      <c r="D4636" s="5" t="str">
        <f t="shared" ref="D4636:D4637" si="922">HYPERLINK("https://www.linkedin.com/ad-library/detail/1125280504","Open Ad")</f>
        <v>Open Ad</v>
      </c>
      <c r="E4636" s="4" t="s">
        <v>78</v>
      </c>
      <c r="F4636" s="4" t="s">
        <v>6765</v>
      </c>
      <c r="G4636" s="4" t="s">
        <v>7098</v>
      </c>
      <c r="H4636" s="4" t="s">
        <v>49</v>
      </c>
      <c r="I4636" s="4" t="s">
        <v>7016</v>
      </c>
      <c r="J4636" s="4" t="s">
        <v>78</v>
      </c>
      <c r="K4636" s="7" t="str">
        <f t="shared" ref="K4636:K4637" si="923">HYPERLINK("https://media.licdn.com/dms/image/v2/D4E10AQFhdvl49SWZJw/image-shrink_1280/B4EZvHOpTsIIAg-/0/1768574064237/Gettrafficpng?e=2147483647&amp;v=beta&amp;t=zW2iradgKhv3Rzcgm7lLXw6UqHtXcSuZb9dYJ_IsQw0","View Creative")</f>
        <v>View Creative</v>
      </c>
      <c r="L4636" s="4" t="s">
        <v>60</v>
      </c>
      <c r="M4636" s="4" t="s">
        <v>7013</v>
      </c>
      <c r="N4636" s="4" t="s">
        <v>7100</v>
      </c>
      <c r="O4636" s="4" t="s">
        <v>63</v>
      </c>
      <c r="P4636" s="4" t="s">
        <v>64</v>
      </c>
    </row>
    <row r="4637">
      <c r="A4637" s="4" t="s">
        <v>7013</v>
      </c>
      <c r="B4637" s="4" t="s">
        <v>7014</v>
      </c>
      <c r="C4637" s="4">
        <v>586.0</v>
      </c>
      <c r="D4637" s="5" t="str">
        <f t="shared" si="922"/>
        <v>Open Ad</v>
      </c>
      <c r="E4637" s="4" t="s">
        <v>78</v>
      </c>
      <c r="F4637" s="4" t="s">
        <v>6765</v>
      </c>
      <c r="G4637" s="4" t="s">
        <v>7098</v>
      </c>
      <c r="H4637" s="4" t="s">
        <v>49</v>
      </c>
      <c r="I4637" s="4" t="s">
        <v>7016</v>
      </c>
      <c r="J4637" s="4" t="s">
        <v>78</v>
      </c>
      <c r="K4637" s="7" t="str">
        <f t="shared" si="923"/>
        <v>View Creative</v>
      </c>
      <c r="L4637" s="4" t="s">
        <v>60</v>
      </c>
      <c r="M4637" s="4" t="s">
        <v>7013</v>
      </c>
      <c r="N4637" s="4" t="s">
        <v>7100</v>
      </c>
      <c r="O4637" s="4" t="s">
        <v>63</v>
      </c>
      <c r="P4637" s="4" t="s">
        <v>64</v>
      </c>
    </row>
    <row r="4638">
      <c r="A4638" s="4" t="s">
        <v>7013</v>
      </c>
      <c r="B4638" s="4" t="s">
        <v>7014</v>
      </c>
      <c r="C4638" s="4">
        <v>587.0</v>
      </c>
      <c r="D4638" s="5" t="str">
        <f t="shared" ref="D4638:D4639" si="924">HYPERLINK("https://www.linkedin.com/ad-library/detail/1125180004","Open Ad")</f>
        <v>Open Ad</v>
      </c>
      <c r="E4638" s="4" t="s">
        <v>78</v>
      </c>
      <c r="F4638" s="4" t="s">
        <v>6765</v>
      </c>
      <c r="G4638" s="4" t="s">
        <v>7102</v>
      </c>
      <c r="H4638" s="4" t="s">
        <v>49</v>
      </c>
      <c r="I4638" s="4" t="s">
        <v>7016</v>
      </c>
      <c r="J4638" s="4" t="s">
        <v>78</v>
      </c>
      <c r="K4638" s="7" t="str">
        <f t="shared" ref="K4638:K4639" si="925">HYPERLINK("https://media.licdn.com/dms/image/v2/D4E10AQEQ0CWUOdqf5Q/image-shrink_1280/B4EZvHPErHHIAc-/0/1768574176286/Getmentionedpng?e=2147483647&amp;v=beta&amp;t=MJqK7cYTUhoCExV6KgyODJj-FCw_H7hff28vQufV73o","View Creative")</f>
        <v>View Creative</v>
      </c>
      <c r="L4638" s="4" t="s">
        <v>60</v>
      </c>
      <c r="M4638" s="4" t="s">
        <v>7013</v>
      </c>
      <c r="N4638" s="4" t="s">
        <v>7100</v>
      </c>
      <c r="O4638" s="4" t="s">
        <v>63</v>
      </c>
      <c r="P4638" s="4" t="s">
        <v>64</v>
      </c>
    </row>
    <row r="4639">
      <c r="A4639" s="4" t="s">
        <v>7013</v>
      </c>
      <c r="B4639" s="4" t="s">
        <v>7014</v>
      </c>
      <c r="C4639" s="4">
        <v>588.0</v>
      </c>
      <c r="D4639" s="5" t="str">
        <f t="shared" si="924"/>
        <v>Open Ad</v>
      </c>
      <c r="E4639" s="4" t="s">
        <v>78</v>
      </c>
      <c r="F4639" s="4" t="s">
        <v>6765</v>
      </c>
      <c r="G4639" s="4" t="s">
        <v>7102</v>
      </c>
      <c r="H4639" s="4" t="s">
        <v>49</v>
      </c>
      <c r="I4639" s="4" t="s">
        <v>7016</v>
      </c>
      <c r="J4639" s="4" t="s">
        <v>78</v>
      </c>
      <c r="K4639" s="7" t="str">
        <f t="shared" si="925"/>
        <v>View Creative</v>
      </c>
      <c r="L4639" s="4" t="s">
        <v>60</v>
      </c>
      <c r="M4639" s="4" t="s">
        <v>7013</v>
      </c>
      <c r="N4639" s="4" t="s">
        <v>7100</v>
      </c>
      <c r="O4639" s="4" t="s">
        <v>63</v>
      </c>
      <c r="P4639" s="4" t="s">
        <v>64</v>
      </c>
    </row>
    <row r="4640">
      <c r="A4640" s="4" t="s">
        <v>7013</v>
      </c>
      <c r="B4640" s="4" t="s">
        <v>7014</v>
      </c>
      <c r="C4640" s="4">
        <v>589.0</v>
      </c>
      <c r="D4640" s="5" t="str">
        <f t="shared" ref="D4640:D4641" si="926">HYPERLINK("https://www.linkedin.com/ad-library/detail/1124680624","Open Ad")</f>
        <v>Open Ad</v>
      </c>
      <c r="E4640" s="4" t="s">
        <v>78</v>
      </c>
      <c r="F4640" s="4" t="s">
        <v>6765</v>
      </c>
      <c r="G4640" s="4" t="s">
        <v>7103</v>
      </c>
      <c r="H4640" s="4" t="s">
        <v>49</v>
      </c>
      <c r="I4640" s="4" t="s">
        <v>7016</v>
      </c>
      <c r="J4640" s="4" t="s">
        <v>78</v>
      </c>
      <c r="K4640" s="7" t="str">
        <f t="shared" ref="K4640:K4641" si="927">HYPERLINK("https://media.licdn.com/dms/image/v2/D4E10AQFeOWv4BOm3Lg/image-shrink_1280/B4EZvHgRcRGoAg-/0/1768578685071/AIsearchanalyticspng?e=2147483647&amp;v=beta&amp;t=r8ZA4O6fWX-JBdFSvxBgj_hIEsRx7sVZZ0_lepLUncw","View Creative")</f>
        <v>View Creative</v>
      </c>
      <c r="L4640" s="4" t="s">
        <v>60</v>
      </c>
      <c r="M4640" s="4" t="s">
        <v>7013</v>
      </c>
      <c r="N4640" s="4" t="s">
        <v>7100</v>
      </c>
      <c r="O4640" s="4" t="s">
        <v>63</v>
      </c>
      <c r="P4640" s="4" t="s">
        <v>64</v>
      </c>
    </row>
    <row r="4641">
      <c r="A4641" s="4" t="s">
        <v>7013</v>
      </c>
      <c r="B4641" s="4" t="s">
        <v>7014</v>
      </c>
      <c r="C4641" s="4">
        <v>590.0</v>
      </c>
      <c r="D4641" s="5" t="str">
        <f t="shared" si="926"/>
        <v>Open Ad</v>
      </c>
      <c r="E4641" s="4" t="s">
        <v>78</v>
      </c>
      <c r="F4641" s="4" t="s">
        <v>6765</v>
      </c>
      <c r="G4641" s="4" t="s">
        <v>7103</v>
      </c>
      <c r="H4641" s="4" t="s">
        <v>49</v>
      </c>
      <c r="I4641" s="4" t="s">
        <v>7016</v>
      </c>
      <c r="J4641" s="4" t="s">
        <v>78</v>
      </c>
      <c r="K4641" s="7" t="str">
        <f t="shared" si="927"/>
        <v>View Creative</v>
      </c>
      <c r="L4641" s="4" t="s">
        <v>60</v>
      </c>
      <c r="M4641" s="4" t="s">
        <v>7013</v>
      </c>
      <c r="N4641" s="4" t="s">
        <v>7100</v>
      </c>
      <c r="O4641" s="4" t="s">
        <v>63</v>
      </c>
      <c r="P4641" s="4" t="s">
        <v>64</v>
      </c>
    </row>
    <row r="4642">
      <c r="A4642" s="4" t="s">
        <v>7013</v>
      </c>
      <c r="B4642" s="4" t="s">
        <v>7014</v>
      </c>
      <c r="C4642" s="4">
        <v>591.0</v>
      </c>
      <c r="D4642" s="5" t="str">
        <f t="shared" ref="D4642:D4643" si="928">HYPERLINK("https://www.linkedin.com/ad-library/detail/1125379924","Open Ad")</f>
        <v>Open Ad</v>
      </c>
      <c r="E4642" s="4" t="s">
        <v>78</v>
      </c>
      <c r="F4642" s="4" t="s">
        <v>6765</v>
      </c>
      <c r="G4642" s="4" t="s">
        <v>7098</v>
      </c>
      <c r="H4642" s="4" t="s">
        <v>49</v>
      </c>
      <c r="I4642" s="4" t="s">
        <v>7016</v>
      </c>
      <c r="J4642" s="4" t="s">
        <v>78</v>
      </c>
      <c r="K4642" s="7" t="str">
        <f t="shared" ref="K4642:K4643" si="929">HYPERLINK("https://media.licdn.com/dms/image/v2/D4E10AQFhdvl49SWZJw/image-shrink_1280/B4EZvHOpTsIIAg-/0/1768574064237/Gettrafficpng?e=2147483647&amp;v=beta&amp;t=zW2iradgKhv3Rzcgm7lLXw6UqHtXcSuZb9dYJ_IsQw0","View Creative")</f>
        <v>View Creative</v>
      </c>
      <c r="L4642" s="4" t="s">
        <v>60</v>
      </c>
      <c r="M4642" s="4" t="s">
        <v>7013</v>
      </c>
      <c r="N4642" s="4" t="s">
        <v>7100</v>
      </c>
      <c r="O4642" s="4" t="s">
        <v>63</v>
      </c>
      <c r="P4642" s="4" t="s">
        <v>64</v>
      </c>
    </row>
    <row r="4643">
      <c r="A4643" s="4" t="s">
        <v>7013</v>
      </c>
      <c r="B4643" s="4" t="s">
        <v>7014</v>
      </c>
      <c r="C4643" s="4">
        <v>592.0</v>
      </c>
      <c r="D4643" s="5" t="str">
        <f t="shared" si="928"/>
        <v>Open Ad</v>
      </c>
      <c r="E4643" s="4" t="s">
        <v>78</v>
      </c>
      <c r="F4643" s="4" t="s">
        <v>6765</v>
      </c>
      <c r="G4643" s="4" t="s">
        <v>7098</v>
      </c>
      <c r="H4643" s="4" t="s">
        <v>49</v>
      </c>
      <c r="I4643" s="4" t="s">
        <v>7016</v>
      </c>
      <c r="J4643" s="4" t="s">
        <v>78</v>
      </c>
      <c r="K4643" s="7" t="str">
        <f t="shared" si="929"/>
        <v>View Creative</v>
      </c>
      <c r="L4643" s="4" t="s">
        <v>60</v>
      </c>
      <c r="M4643" s="4" t="s">
        <v>7013</v>
      </c>
      <c r="N4643" s="4" t="s">
        <v>7100</v>
      </c>
      <c r="O4643" s="4" t="s">
        <v>63</v>
      </c>
      <c r="P4643" s="4" t="s">
        <v>64</v>
      </c>
    </row>
    <row r="4644">
      <c r="A4644" s="4" t="s">
        <v>7013</v>
      </c>
      <c r="B4644" s="4" t="s">
        <v>7014</v>
      </c>
      <c r="C4644" s="4">
        <v>593.0</v>
      </c>
      <c r="D4644" s="5" t="str">
        <f t="shared" ref="D4644:D4645" si="930">HYPERLINK("https://www.linkedin.com/ad-library/detail/1126280444","Open Ad")</f>
        <v>Open Ad</v>
      </c>
      <c r="E4644" s="4" t="s">
        <v>78</v>
      </c>
      <c r="F4644" s="4" t="s">
        <v>6765</v>
      </c>
      <c r="G4644" s="4" t="s">
        <v>7102</v>
      </c>
      <c r="H4644" s="4" t="s">
        <v>49</v>
      </c>
      <c r="I4644" s="4" t="s">
        <v>7016</v>
      </c>
      <c r="J4644" s="4" t="s">
        <v>78</v>
      </c>
      <c r="K4644" s="7" t="str">
        <f t="shared" ref="K4644:K4645" si="931">HYPERLINK("https://media.licdn.com/dms/image/v2/D4E10AQEQ0CWUOdqf5Q/image-shrink_1280/B4EZvHPErHHIAc-/0/1768574176286/Getmentionedpng?e=2147483647&amp;v=beta&amp;t=MJqK7cYTUhoCExV6KgyODJj-FCw_H7hff28vQufV73o","View Creative")</f>
        <v>View Creative</v>
      </c>
      <c r="L4644" s="4" t="s">
        <v>60</v>
      </c>
      <c r="M4644" s="4" t="s">
        <v>7013</v>
      </c>
      <c r="N4644" s="4" t="s">
        <v>7100</v>
      </c>
      <c r="O4644" s="4" t="s">
        <v>63</v>
      </c>
      <c r="P4644" s="4" t="s">
        <v>64</v>
      </c>
    </row>
    <row r="4645">
      <c r="A4645" s="4" t="s">
        <v>7013</v>
      </c>
      <c r="B4645" s="4" t="s">
        <v>7014</v>
      </c>
      <c r="C4645" s="4">
        <v>594.0</v>
      </c>
      <c r="D4645" s="5" t="str">
        <f t="shared" si="930"/>
        <v>Open Ad</v>
      </c>
      <c r="E4645" s="4" t="s">
        <v>78</v>
      </c>
      <c r="F4645" s="4" t="s">
        <v>6765</v>
      </c>
      <c r="G4645" s="4" t="s">
        <v>7102</v>
      </c>
      <c r="H4645" s="4" t="s">
        <v>49</v>
      </c>
      <c r="I4645" s="4" t="s">
        <v>7016</v>
      </c>
      <c r="J4645" s="4" t="s">
        <v>78</v>
      </c>
      <c r="K4645" s="7" t="str">
        <f t="shared" si="931"/>
        <v>View Creative</v>
      </c>
      <c r="L4645" s="4" t="s">
        <v>60</v>
      </c>
      <c r="M4645" s="4" t="s">
        <v>7013</v>
      </c>
      <c r="N4645" s="4" t="s">
        <v>7100</v>
      </c>
      <c r="O4645" s="4" t="s">
        <v>63</v>
      </c>
      <c r="P4645" s="4" t="s">
        <v>64</v>
      </c>
    </row>
    <row r="4646">
      <c r="A4646" s="4" t="s">
        <v>7013</v>
      </c>
      <c r="B4646" s="4" t="s">
        <v>7014</v>
      </c>
      <c r="C4646" s="4">
        <v>595.0</v>
      </c>
      <c r="D4646" s="5" t="str">
        <f t="shared" ref="D4646:D4647" si="932">HYPERLINK("https://www.linkedin.com/ad-library/detail/1124779984","Open Ad")</f>
        <v>Open Ad</v>
      </c>
      <c r="E4646" s="4" t="s">
        <v>78</v>
      </c>
      <c r="F4646" s="4" t="s">
        <v>6765</v>
      </c>
      <c r="G4646" s="4" t="s">
        <v>7099</v>
      </c>
      <c r="H4646" s="4" t="s">
        <v>49</v>
      </c>
      <c r="I4646" s="4" t="s">
        <v>7016</v>
      </c>
      <c r="J4646" s="4" t="s">
        <v>78</v>
      </c>
      <c r="K4646" s="7" t="str">
        <f t="shared" ref="K4646:K4647" si="933">HYPERLINK("https://media.licdn.com/dms/image/v2/D4E10AQEJ3BN6TF0ShQ/image-shrink_1280/B4EZvHhgvMH8Ac-/0/1768579009905/1Trackyourvisibilitypng?e=2147483647&amp;v=beta&amp;t=kanyDacnSgkvxyWF3u29O_7mHnPNsjm8UGSWcuf78w8","View Creative")</f>
        <v>View Creative</v>
      </c>
      <c r="L4646" s="4" t="s">
        <v>60</v>
      </c>
      <c r="M4646" s="4" t="s">
        <v>7013</v>
      </c>
      <c r="N4646" s="4" t="s">
        <v>7100</v>
      </c>
      <c r="O4646" s="4" t="s">
        <v>63</v>
      </c>
      <c r="P4646" s="4" t="s">
        <v>64</v>
      </c>
    </row>
    <row r="4647">
      <c r="A4647" s="4" t="s">
        <v>7013</v>
      </c>
      <c r="B4647" s="4" t="s">
        <v>7014</v>
      </c>
      <c r="C4647" s="4">
        <v>596.0</v>
      </c>
      <c r="D4647" s="5" t="str">
        <f t="shared" si="932"/>
        <v>Open Ad</v>
      </c>
      <c r="E4647" s="4" t="s">
        <v>78</v>
      </c>
      <c r="F4647" s="4" t="s">
        <v>6765</v>
      </c>
      <c r="G4647" s="4" t="s">
        <v>7099</v>
      </c>
      <c r="H4647" s="4" t="s">
        <v>49</v>
      </c>
      <c r="I4647" s="4" t="s">
        <v>7016</v>
      </c>
      <c r="J4647" s="4" t="s">
        <v>78</v>
      </c>
      <c r="K4647" s="7" t="str">
        <f t="shared" si="933"/>
        <v>View Creative</v>
      </c>
      <c r="L4647" s="4" t="s">
        <v>60</v>
      </c>
      <c r="M4647" s="4" t="s">
        <v>7013</v>
      </c>
      <c r="N4647" s="4" t="s">
        <v>7100</v>
      </c>
      <c r="O4647" s="4" t="s">
        <v>63</v>
      </c>
      <c r="P4647" s="4" t="s">
        <v>64</v>
      </c>
    </row>
    <row r="4648">
      <c r="A4648" s="4" t="s">
        <v>7013</v>
      </c>
      <c r="B4648" s="4" t="s">
        <v>7014</v>
      </c>
      <c r="C4648" s="4">
        <v>597.0</v>
      </c>
      <c r="D4648" s="5" t="str">
        <f t="shared" ref="D4648:D4649" si="934">HYPERLINK("https://www.linkedin.com/ad-library/detail/1093184564","Open Ad")</f>
        <v>Open Ad</v>
      </c>
      <c r="E4648" s="4" t="s">
        <v>78</v>
      </c>
      <c r="F4648" s="4" t="s">
        <v>6765</v>
      </c>
      <c r="G4648" s="4" t="s">
        <v>7102</v>
      </c>
      <c r="H4648" s="4" t="s">
        <v>49</v>
      </c>
      <c r="I4648" s="4" t="s">
        <v>7016</v>
      </c>
      <c r="J4648" s="4" t="s">
        <v>78</v>
      </c>
      <c r="K4648" s="7" t="str">
        <f t="shared" ref="K4648:K4649" si="935">HYPERLINK("https://media.licdn.com/dms/image/v2/D4E10AQEQ0CWUOdqf5Q/image-shrink_1280/B4EZvHPErHHIAc-/0/1768574176286/Getmentionedpng?e=2147483647&amp;v=beta&amp;t=MJqK7cYTUhoCExV6KgyODJj-FCw_H7hff28vQufV73o","View Creative")</f>
        <v>View Creative</v>
      </c>
      <c r="L4648" s="4" t="s">
        <v>60</v>
      </c>
      <c r="M4648" s="4" t="s">
        <v>7013</v>
      </c>
      <c r="N4648" s="4" t="s">
        <v>7100</v>
      </c>
      <c r="O4648" s="4" t="s">
        <v>63</v>
      </c>
      <c r="P4648" s="4" t="s">
        <v>64</v>
      </c>
    </row>
    <row r="4649">
      <c r="A4649" s="4" t="s">
        <v>7013</v>
      </c>
      <c r="B4649" s="4" t="s">
        <v>7014</v>
      </c>
      <c r="C4649" s="4">
        <v>598.0</v>
      </c>
      <c r="D4649" s="5" t="str">
        <f t="shared" si="934"/>
        <v>Open Ad</v>
      </c>
      <c r="E4649" s="4" t="s">
        <v>78</v>
      </c>
      <c r="F4649" s="4" t="s">
        <v>6765</v>
      </c>
      <c r="G4649" s="4" t="s">
        <v>7102</v>
      </c>
      <c r="H4649" s="4" t="s">
        <v>49</v>
      </c>
      <c r="I4649" s="4" t="s">
        <v>7016</v>
      </c>
      <c r="J4649" s="4" t="s">
        <v>78</v>
      </c>
      <c r="K4649" s="7" t="str">
        <f t="shared" si="935"/>
        <v>View Creative</v>
      </c>
      <c r="L4649" s="4" t="s">
        <v>60</v>
      </c>
      <c r="M4649" s="4" t="s">
        <v>7013</v>
      </c>
      <c r="N4649" s="4" t="s">
        <v>7100</v>
      </c>
      <c r="O4649" s="4" t="s">
        <v>63</v>
      </c>
      <c r="P4649" s="4" t="s">
        <v>64</v>
      </c>
    </row>
    <row r="4650">
      <c r="A4650" s="4" t="s">
        <v>7013</v>
      </c>
      <c r="B4650" s="4" t="s">
        <v>7014</v>
      </c>
      <c r="C4650" s="4">
        <v>599.0</v>
      </c>
      <c r="D4650" s="5" t="str">
        <f t="shared" ref="D4650:D4651" si="936">HYPERLINK("https://www.linkedin.com/ad-library/detail/1125780374","Open Ad")</f>
        <v>Open Ad</v>
      </c>
      <c r="E4650" s="4" t="s">
        <v>78</v>
      </c>
      <c r="F4650" s="4" t="s">
        <v>6765</v>
      </c>
      <c r="G4650" s="4" t="s">
        <v>7097</v>
      </c>
      <c r="H4650" s="4" t="s">
        <v>49</v>
      </c>
      <c r="I4650" s="4" t="s">
        <v>7016</v>
      </c>
      <c r="J4650" s="4" t="s">
        <v>78</v>
      </c>
      <c r="K4650" s="7" t="str">
        <f t="shared" ref="K4650:K4651" si="937">HYPERLINK("https://media.licdn.com/dms/image/v2/D4E10AQFBE-hGBlPdfQ/image-shrink_1280/B4EZvHPXk5GkAc-/0/1768574253788/TrackwhatAIsayspng?e=2147483647&amp;v=beta&amp;t=c2jX6FQItgO4wLlA6IAzpFa7FH4E4qDF52W5zHY4V5o","View Creative")</f>
        <v>View Creative</v>
      </c>
      <c r="L4650" s="4" t="s">
        <v>60</v>
      </c>
      <c r="M4650" s="4" t="s">
        <v>7013</v>
      </c>
      <c r="N4650" s="4" t="s">
        <v>7100</v>
      </c>
      <c r="O4650" s="4" t="s">
        <v>63</v>
      </c>
      <c r="P4650" s="4" t="s">
        <v>64</v>
      </c>
    </row>
    <row r="4651">
      <c r="A4651" s="4" t="s">
        <v>7013</v>
      </c>
      <c r="B4651" s="4" t="s">
        <v>7014</v>
      </c>
      <c r="C4651" s="4">
        <v>600.0</v>
      </c>
      <c r="D4651" s="5" t="str">
        <f t="shared" si="936"/>
        <v>Open Ad</v>
      </c>
      <c r="E4651" s="4" t="s">
        <v>78</v>
      </c>
      <c r="F4651" s="4" t="s">
        <v>6765</v>
      </c>
      <c r="G4651" s="4" t="s">
        <v>7097</v>
      </c>
      <c r="H4651" s="4" t="s">
        <v>49</v>
      </c>
      <c r="I4651" s="4" t="s">
        <v>7016</v>
      </c>
      <c r="J4651" s="4" t="s">
        <v>78</v>
      </c>
      <c r="K4651" s="7" t="str">
        <f t="shared" si="937"/>
        <v>View Creative</v>
      </c>
      <c r="L4651" s="4" t="s">
        <v>60</v>
      </c>
      <c r="M4651" s="4" t="s">
        <v>7013</v>
      </c>
      <c r="N4651" s="4" t="s">
        <v>7100</v>
      </c>
      <c r="O4651" s="4" t="s">
        <v>63</v>
      </c>
      <c r="P4651" s="4" t="s">
        <v>64</v>
      </c>
    </row>
    <row r="4652">
      <c r="A4652" s="4" t="s">
        <v>7013</v>
      </c>
      <c r="B4652" s="4" t="s">
        <v>7014</v>
      </c>
      <c r="C4652" s="4">
        <v>601.0</v>
      </c>
      <c r="D4652" s="5" t="str">
        <f t="shared" ref="D4652:D4653" si="938">HYPERLINK("https://www.linkedin.com/ad-library/detail/1124279924","Open Ad")</f>
        <v>Open Ad</v>
      </c>
      <c r="E4652" s="4" t="s">
        <v>78</v>
      </c>
      <c r="F4652" s="4" t="s">
        <v>6765</v>
      </c>
      <c r="G4652" s="4" t="s">
        <v>7101</v>
      </c>
      <c r="H4652" s="4" t="s">
        <v>49</v>
      </c>
      <c r="I4652" s="4" t="s">
        <v>7016</v>
      </c>
      <c r="J4652" s="4" t="s">
        <v>78</v>
      </c>
      <c r="K4652" s="7" t="str">
        <f t="shared" ref="K4652:K4653" si="939">HYPERLINK("https://media.licdn.com/dms/image/v2/D4E10AQHJS_17cXbRdg/image-shrink_1280/B4EZvHhKynJcAg-/0/1768578920006/1Yourorganictrafficpng?e=2147483647&amp;v=beta&amp;t=R-1DjIIQZU9ozJC_0T_K6Nf4-jGbi32oszyoTeUi4H0","View Creative")</f>
        <v>View Creative</v>
      </c>
      <c r="L4652" s="4" t="s">
        <v>60</v>
      </c>
      <c r="M4652" s="4" t="s">
        <v>7013</v>
      </c>
      <c r="N4652" s="4" t="s">
        <v>7100</v>
      </c>
      <c r="O4652" s="4" t="s">
        <v>63</v>
      </c>
      <c r="P4652" s="4" t="s">
        <v>64</v>
      </c>
    </row>
    <row r="4653">
      <c r="A4653" s="4" t="s">
        <v>7013</v>
      </c>
      <c r="B4653" s="4" t="s">
        <v>7014</v>
      </c>
      <c r="C4653" s="4">
        <v>602.0</v>
      </c>
      <c r="D4653" s="5" t="str">
        <f t="shared" si="938"/>
        <v>Open Ad</v>
      </c>
      <c r="E4653" s="4" t="s">
        <v>78</v>
      </c>
      <c r="F4653" s="4" t="s">
        <v>6765</v>
      </c>
      <c r="G4653" s="4" t="s">
        <v>7101</v>
      </c>
      <c r="H4653" s="4" t="s">
        <v>49</v>
      </c>
      <c r="I4653" s="4" t="s">
        <v>7016</v>
      </c>
      <c r="J4653" s="4" t="s">
        <v>78</v>
      </c>
      <c r="K4653" s="7" t="str">
        <f t="shared" si="939"/>
        <v>View Creative</v>
      </c>
      <c r="L4653" s="4" t="s">
        <v>60</v>
      </c>
      <c r="M4653" s="4" t="s">
        <v>7013</v>
      </c>
      <c r="N4653" s="4" t="s">
        <v>7100</v>
      </c>
      <c r="O4653" s="4" t="s">
        <v>63</v>
      </c>
      <c r="P4653" s="4" t="s">
        <v>64</v>
      </c>
    </row>
    <row r="4654">
      <c r="A4654" s="4" t="s">
        <v>7013</v>
      </c>
      <c r="B4654" s="4" t="s">
        <v>7014</v>
      </c>
      <c r="C4654" s="4">
        <v>603.0</v>
      </c>
      <c r="D4654" s="5" t="str">
        <f t="shared" ref="D4654:D4655" si="940">HYPERLINK("https://www.linkedin.com/ad-library/detail/1126480444","Open Ad")</f>
        <v>Open Ad</v>
      </c>
      <c r="E4654" s="4" t="s">
        <v>78</v>
      </c>
      <c r="F4654" s="4" t="s">
        <v>6765</v>
      </c>
      <c r="G4654" s="4" t="s">
        <v>7099</v>
      </c>
      <c r="H4654" s="4" t="s">
        <v>49</v>
      </c>
      <c r="I4654" s="4" t="s">
        <v>7016</v>
      </c>
      <c r="J4654" s="4" t="s">
        <v>78</v>
      </c>
      <c r="K4654" s="7" t="str">
        <f t="shared" ref="K4654:K4655" si="941">HYPERLINK("https://media.licdn.com/dms/image/v2/D4E10AQEJ3BN6TF0ShQ/image-shrink_1280/B4EZvHhgvMH8Ac-/0/1768579009905/1Trackyourvisibilitypng?e=2147483647&amp;v=beta&amp;t=kanyDacnSgkvxyWF3u29O_7mHnPNsjm8UGSWcuf78w8","View Creative")</f>
        <v>View Creative</v>
      </c>
      <c r="L4654" s="4" t="s">
        <v>60</v>
      </c>
      <c r="M4654" s="4" t="s">
        <v>7013</v>
      </c>
      <c r="N4654" s="4" t="s">
        <v>7100</v>
      </c>
      <c r="O4654" s="4" t="s">
        <v>63</v>
      </c>
      <c r="P4654" s="4" t="s">
        <v>64</v>
      </c>
    </row>
    <row r="4655">
      <c r="A4655" s="4" t="s">
        <v>7013</v>
      </c>
      <c r="B4655" s="4" t="s">
        <v>7014</v>
      </c>
      <c r="C4655" s="4">
        <v>604.0</v>
      </c>
      <c r="D4655" s="5" t="str">
        <f t="shared" si="940"/>
        <v>Open Ad</v>
      </c>
      <c r="E4655" s="4" t="s">
        <v>78</v>
      </c>
      <c r="F4655" s="4" t="s">
        <v>6765</v>
      </c>
      <c r="G4655" s="4" t="s">
        <v>7099</v>
      </c>
      <c r="H4655" s="4" t="s">
        <v>49</v>
      </c>
      <c r="I4655" s="4" t="s">
        <v>7016</v>
      </c>
      <c r="J4655" s="4" t="s">
        <v>78</v>
      </c>
      <c r="K4655" s="7" t="str">
        <f t="shared" si="941"/>
        <v>View Creative</v>
      </c>
      <c r="L4655" s="4" t="s">
        <v>60</v>
      </c>
      <c r="M4655" s="4" t="s">
        <v>7013</v>
      </c>
      <c r="N4655" s="4" t="s">
        <v>7100</v>
      </c>
      <c r="O4655" s="4" t="s">
        <v>63</v>
      </c>
      <c r="P4655" s="4" t="s">
        <v>64</v>
      </c>
    </row>
    <row r="4656">
      <c r="A4656" s="4" t="s">
        <v>7013</v>
      </c>
      <c r="B4656" s="4" t="s">
        <v>7014</v>
      </c>
      <c r="C4656" s="4">
        <v>605.0</v>
      </c>
      <c r="D4656" s="5" t="str">
        <f t="shared" ref="D4656:D4657" si="942">HYPERLINK("https://www.linkedin.com/ad-library/detail/1125380444","Open Ad")</f>
        <v>Open Ad</v>
      </c>
      <c r="E4656" s="4" t="s">
        <v>78</v>
      </c>
      <c r="F4656" s="4" t="s">
        <v>6765</v>
      </c>
      <c r="G4656" s="4" t="s">
        <v>7105</v>
      </c>
      <c r="H4656" s="4" t="s">
        <v>49</v>
      </c>
      <c r="I4656" s="4" t="s">
        <v>7016</v>
      </c>
      <c r="J4656" s="4" t="s">
        <v>78</v>
      </c>
      <c r="K4656" s="7" t="str">
        <f t="shared" ref="K4656:K4657" si="943">HYPERLINK("https://media.licdn.com/dms/image/v2/D4E10AQF6UPH7WMI63Q/image-shrink_1280/B4EZvHg4wgHUAc-/0/1768578846085/12026istheyearpng?e=2147483647&amp;v=beta&amp;t=je_Vle_0DuqkMG6yxq2CpIRKBNUD_kRp3xpwQZJzTgg","View Creative")</f>
        <v>View Creative</v>
      </c>
      <c r="L4656" s="4" t="s">
        <v>60</v>
      </c>
      <c r="M4656" s="4" t="s">
        <v>7013</v>
      </c>
      <c r="N4656" s="4" t="s">
        <v>7100</v>
      </c>
      <c r="O4656" s="4" t="s">
        <v>63</v>
      </c>
      <c r="P4656" s="4" t="s">
        <v>64</v>
      </c>
    </row>
    <row r="4657">
      <c r="A4657" s="4" t="s">
        <v>7013</v>
      </c>
      <c r="B4657" s="4" t="s">
        <v>7014</v>
      </c>
      <c r="C4657" s="4">
        <v>606.0</v>
      </c>
      <c r="D4657" s="5" t="str">
        <f t="shared" si="942"/>
        <v>Open Ad</v>
      </c>
      <c r="E4657" s="4" t="s">
        <v>78</v>
      </c>
      <c r="F4657" s="4" t="s">
        <v>6765</v>
      </c>
      <c r="G4657" s="4" t="s">
        <v>7105</v>
      </c>
      <c r="H4657" s="4" t="s">
        <v>49</v>
      </c>
      <c r="I4657" s="4" t="s">
        <v>7016</v>
      </c>
      <c r="J4657" s="4" t="s">
        <v>78</v>
      </c>
      <c r="K4657" s="7" t="str">
        <f t="shared" si="943"/>
        <v>View Creative</v>
      </c>
      <c r="L4657" s="4" t="s">
        <v>60</v>
      </c>
      <c r="M4657" s="4" t="s">
        <v>7013</v>
      </c>
      <c r="N4657" s="4" t="s">
        <v>7100</v>
      </c>
      <c r="O4657" s="4" t="s">
        <v>63</v>
      </c>
      <c r="P4657" s="4" t="s">
        <v>64</v>
      </c>
    </row>
    <row r="4658">
      <c r="A4658" s="4" t="s">
        <v>7013</v>
      </c>
      <c r="B4658" s="4" t="s">
        <v>7014</v>
      </c>
      <c r="C4658" s="4">
        <v>607.0</v>
      </c>
      <c r="D4658" s="5" t="str">
        <f t="shared" ref="D4658:D4659" si="944">HYPERLINK("https://www.linkedin.com/ad-library/detail/1125079894","Open Ad")</f>
        <v>Open Ad</v>
      </c>
      <c r="E4658" s="4" t="s">
        <v>78</v>
      </c>
      <c r="F4658" s="4" t="s">
        <v>6765</v>
      </c>
      <c r="G4658" s="4" t="s">
        <v>7104</v>
      </c>
      <c r="H4658" s="4" t="s">
        <v>49</v>
      </c>
      <c r="I4658" s="4" t="s">
        <v>7016</v>
      </c>
      <c r="J4658" s="4" t="s">
        <v>78</v>
      </c>
      <c r="K4658" s="7" t="str">
        <f t="shared" ref="K4658:K4659" si="945">HYPERLINK("https://media.licdn.com/dms/image/v2/D4E10AQGzdZamj-FFtg/image-shrink_1280/B4EZvHgki1HkAg-/0/1768578763264/1Yournextcustomerpng?e=2147483647&amp;v=beta&amp;t=813tYu3iNOk44Zb_qdwCHDYOEnZ5Xj42K2DyHeDrxuM","View Creative")</f>
        <v>View Creative</v>
      </c>
      <c r="L4658" s="4" t="s">
        <v>60</v>
      </c>
      <c r="M4658" s="4" t="s">
        <v>7013</v>
      </c>
      <c r="N4658" s="4" t="s">
        <v>7100</v>
      </c>
      <c r="O4658" s="4" t="s">
        <v>63</v>
      </c>
      <c r="P4658" s="4" t="s">
        <v>64</v>
      </c>
    </row>
    <row r="4659">
      <c r="A4659" s="4" t="s">
        <v>7013</v>
      </c>
      <c r="B4659" s="4" t="s">
        <v>7014</v>
      </c>
      <c r="C4659" s="4">
        <v>608.0</v>
      </c>
      <c r="D4659" s="5" t="str">
        <f t="shared" si="944"/>
        <v>Open Ad</v>
      </c>
      <c r="E4659" s="4" t="s">
        <v>78</v>
      </c>
      <c r="F4659" s="4" t="s">
        <v>6765</v>
      </c>
      <c r="G4659" s="4" t="s">
        <v>7104</v>
      </c>
      <c r="H4659" s="4" t="s">
        <v>49</v>
      </c>
      <c r="I4659" s="4" t="s">
        <v>7016</v>
      </c>
      <c r="J4659" s="4" t="s">
        <v>78</v>
      </c>
      <c r="K4659" s="7" t="str">
        <f t="shared" si="945"/>
        <v>View Creative</v>
      </c>
      <c r="L4659" s="4" t="s">
        <v>60</v>
      </c>
      <c r="M4659" s="4" t="s">
        <v>7013</v>
      </c>
      <c r="N4659" s="4" t="s">
        <v>7100</v>
      </c>
      <c r="O4659" s="4" t="s">
        <v>63</v>
      </c>
      <c r="P4659" s="4" t="s">
        <v>64</v>
      </c>
    </row>
    <row r="4660">
      <c r="A4660" s="4" t="s">
        <v>7013</v>
      </c>
      <c r="B4660" s="4" t="s">
        <v>7014</v>
      </c>
      <c r="C4660" s="4">
        <v>609.0</v>
      </c>
      <c r="D4660" s="5" t="str">
        <f t="shared" ref="D4660:D4661" si="946">HYPERLINK("https://www.linkedin.com/ad-library/detail/1126180454","Open Ad")</f>
        <v>Open Ad</v>
      </c>
      <c r="E4660" s="4" t="s">
        <v>78</v>
      </c>
      <c r="F4660" s="4" t="s">
        <v>6765</v>
      </c>
      <c r="G4660" s="4" t="s">
        <v>7101</v>
      </c>
      <c r="H4660" s="4" t="s">
        <v>49</v>
      </c>
      <c r="I4660" s="4" t="s">
        <v>7016</v>
      </c>
      <c r="J4660" s="4" t="s">
        <v>78</v>
      </c>
      <c r="K4660" s="7" t="str">
        <f t="shared" ref="K4660:K4661" si="947">HYPERLINK("https://media.licdn.com/dms/image/v2/D4E10AQHJS_17cXbRdg/image-shrink_1280/B4EZvHhKynJcAg-/0/1768578920006/1Yourorganictrafficpng?e=2147483647&amp;v=beta&amp;t=R-1DjIIQZU9ozJC_0T_K6Nf4-jGbi32oszyoTeUi4H0","View Creative")</f>
        <v>View Creative</v>
      </c>
      <c r="L4660" s="4" t="s">
        <v>60</v>
      </c>
      <c r="M4660" s="4" t="s">
        <v>7013</v>
      </c>
      <c r="N4660" s="4" t="s">
        <v>7100</v>
      </c>
      <c r="O4660" s="4" t="s">
        <v>63</v>
      </c>
      <c r="P4660" s="4" t="s">
        <v>64</v>
      </c>
    </row>
    <row r="4661">
      <c r="A4661" s="4" t="s">
        <v>7013</v>
      </c>
      <c r="B4661" s="4" t="s">
        <v>7014</v>
      </c>
      <c r="C4661" s="4">
        <v>610.0</v>
      </c>
      <c r="D4661" s="5" t="str">
        <f t="shared" si="946"/>
        <v>Open Ad</v>
      </c>
      <c r="E4661" s="4" t="s">
        <v>78</v>
      </c>
      <c r="F4661" s="4" t="s">
        <v>6765</v>
      </c>
      <c r="G4661" s="4" t="s">
        <v>7101</v>
      </c>
      <c r="H4661" s="4" t="s">
        <v>49</v>
      </c>
      <c r="I4661" s="4" t="s">
        <v>7016</v>
      </c>
      <c r="J4661" s="4" t="s">
        <v>78</v>
      </c>
      <c r="K4661" s="7" t="str">
        <f t="shared" si="947"/>
        <v>View Creative</v>
      </c>
      <c r="L4661" s="4" t="s">
        <v>60</v>
      </c>
      <c r="M4661" s="4" t="s">
        <v>7013</v>
      </c>
      <c r="N4661" s="4" t="s">
        <v>7100</v>
      </c>
      <c r="O4661" s="4" t="s">
        <v>63</v>
      </c>
      <c r="P4661" s="4" t="s">
        <v>64</v>
      </c>
    </row>
    <row r="4662">
      <c r="A4662" s="4" t="s">
        <v>7013</v>
      </c>
      <c r="B4662" s="4" t="s">
        <v>7014</v>
      </c>
      <c r="C4662" s="4">
        <v>611.0</v>
      </c>
      <c r="D4662" s="5" t="str">
        <f t="shared" ref="D4662:D4663" si="948">HYPERLINK("https://www.linkedin.com/ad-library/detail/1126079944","Open Ad")</f>
        <v>Open Ad</v>
      </c>
      <c r="E4662" s="4" t="s">
        <v>78</v>
      </c>
      <c r="F4662" s="4" t="s">
        <v>6765</v>
      </c>
      <c r="G4662" s="4" t="s">
        <v>7103</v>
      </c>
      <c r="H4662" s="4" t="s">
        <v>49</v>
      </c>
      <c r="I4662" s="4" t="s">
        <v>7016</v>
      </c>
      <c r="J4662" s="4" t="s">
        <v>78</v>
      </c>
      <c r="K4662" s="7" t="str">
        <f t="shared" ref="K4662:K4663" si="949">HYPERLINK("https://media.licdn.com/dms/image/v2/D4E10AQFeOWv4BOm3Lg/image-shrink_1280/B4EZvHgRcRGoAg-/0/1768578685071/AIsearchanalyticspng?e=2147483647&amp;v=beta&amp;t=r8ZA4O6fWX-JBdFSvxBgj_hIEsRx7sVZZ0_lepLUncw","View Creative")</f>
        <v>View Creative</v>
      </c>
      <c r="L4662" s="4" t="s">
        <v>60</v>
      </c>
      <c r="M4662" s="4" t="s">
        <v>7013</v>
      </c>
      <c r="N4662" s="4" t="s">
        <v>7100</v>
      </c>
      <c r="O4662" s="4" t="s">
        <v>63</v>
      </c>
      <c r="P4662" s="4" t="s">
        <v>64</v>
      </c>
    </row>
    <row r="4663">
      <c r="A4663" s="4" t="s">
        <v>7013</v>
      </c>
      <c r="B4663" s="4" t="s">
        <v>7014</v>
      </c>
      <c r="C4663" s="4">
        <v>612.0</v>
      </c>
      <c r="D4663" s="5" t="str">
        <f t="shared" si="948"/>
        <v>Open Ad</v>
      </c>
      <c r="E4663" s="4" t="s">
        <v>78</v>
      </c>
      <c r="F4663" s="4" t="s">
        <v>6765</v>
      </c>
      <c r="G4663" s="4" t="s">
        <v>7103</v>
      </c>
      <c r="H4663" s="4" t="s">
        <v>49</v>
      </c>
      <c r="I4663" s="4" t="s">
        <v>7016</v>
      </c>
      <c r="J4663" s="4" t="s">
        <v>78</v>
      </c>
      <c r="K4663" s="7" t="str">
        <f t="shared" si="949"/>
        <v>View Creative</v>
      </c>
      <c r="L4663" s="4" t="s">
        <v>60</v>
      </c>
      <c r="M4663" s="4" t="s">
        <v>7013</v>
      </c>
      <c r="N4663" s="4" t="s">
        <v>7100</v>
      </c>
      <c r="O4663" s="4" t="s">
        <v>63</v>
      </c>
      <c r="P4663" s="4" t="s">
        <v>64</v>
      </c>
    </row>
    <row r="4664">
      <c r="A4664" s="4" t="s">
        <v>7013</v>
      </c>
      <c r="B4664" s="4" t="s">
        <v>7014</v>
      </c>
      <c r="C4664" s="4">
        <v>613.0</v>
      </c>
      <c r="D4664" s="5" t="str">
        <f t="shared" ref="D4664:D4665" si="950">HYPERLINK("https://www.linkedin.com/ad-library/detail/1124980014","Open Ad")</f>
        <v>Open Ad</v>
      </c>
      <c r="E4664" s="4" t="s">
        <v>78</v>
      </c>
      <c r="F4664" s="4" t="s">
        <v>6765</v>
      </c>
      <c r="G4664" s="4" t="s">
        <v>7101</v>
      </c>
      <c r="H4664" s="4" t="s">
        <v>49</v>
      </c>
      <c r="I4664" s="4" t="s">
        <v>7016</v>
      </c>
      <c r="J4664" s="4" t="s">
        <v>78</v>
      </c>
      <c r="K4664" s="7" t="str">
        <f t="shared" ref="K4664:K4665" si="951">HYPERLINK("https://media.licdn.com/dms/image/v2/D4E10AQHJS_17cXbRdg/image-shrink_1280/B4EZvHhKynJcAg-/0/1768578920006/1Yourorganictrafficpng?e=2147483647&amp;v=beta&amp;t=R-1DjIIQZU9ozJC_0T_K6Nf4-jGbi32oszyoTeUi4H0","View Creative")</f>
        <v>View Creative</v>
      </c>
      <c r="L4664" s="4" t="s">
        <v>60</v>
      </c>
      <c r="M4664" s="4" t="s">
        <v>7013</v>
      </c>
      <c r="N4664" s="4" t="s">
        <v>7100</v>
      </c>
      <c r="O4664" s="4" t="s">
        <v>63</v>
      </c>
      <c r="P4664" s="4" t="s">
        <v>64</v>
      </c>
    </row>
    <row r="4665">
      <c r="A4665" s="4" t="s">
        <v>7013</v>
      </c>
      <c r="B4665" s="4" t="s">
        <v>7014</v>
      </c>
      <c r="C4665" s="4">
        <v>614.0</v>
      </c>
      <c r="D4665" s="5" t="str">
        <f t="shared" si="950"/>
        <v>Open Ad</v>
      </c>
      <c r="E4665" s="4" t="s">
        <v>78</v>
      </c>
      <c r="F4665" s="4" t="s">
        <v>6765</v>
      </c>
      <c r="G4665" s="4" t="s">
        <v>7101</v>
      </c>
      <c r="H4665" s="4" t="s">
        <v>49</v>
      </c>
      <c r="I4665" s="4" t="s">
        <v>7016</v>
      </c>
      <c r="J4665" s="4" t="s">
        <v>78</v>
      </c>
      <c r="K4665" s="7" t="str">
        <f t="shared" si="951"/>
        <v>View Creative</v>
      </c>
      <c r="L4665" s="4" t="s">
        <v>60</v>
      </c>
      <c r="M4665" s="4" t="s">
        <v>7013</v>
      </c>
      <c r="N4665" s="4" t="s">
        <v>7100</v>
      </c>
      <c r="O4665" s="4" t="s">
        <v>63</v>
      </c>
      <c r="P4665" s="4" t="s">
        <v>64</v>
      </c>
    </row>
    <row r="4666">
      <c r="A4666" s="4" t="s">
        <v>7013</v>
      </c>
      <c r="B4666" s="4" t="s">
        <v>7014</v>
      </c>
      <c r="C4666" s="4">
        <v>615.0</v>
      </c>
      <c r="D4666" s="5" t="str">
        <f t="shared" ref="D4666:D4667" si="952">HYPERLINK("https://www.linkedin.com/ad-library/detail/1124879934","Open Ad")</f>
        <v>Open Ad</v>
      </c>
      <c r="E4666" s="4" t="s">
        <v>78</v>
      </c>
      <c r="F4666" s="4" t="s">
        <v>6765</v>
      </c>
      <c r="G4666" s="4" t="s">
        <v>7103</v>
      </c>
      <c r="H4666" s="4" t="s">
        <v>49</v>
      </c>
      <c r="I4666" s="4" t="s">
        <v>7016</v>
      </c>
      <c r="J4666" s="4" t="s">
        <v>78</v>
      </c>
      <c r="K4666" s="7" t="str">
        <f t="shared" ref="K4666:K4667" si="953">HYPERLINK("https://media.licdn.com/dms/image/v2/D4E10AQFeOWv4BOm3Lg/image-shrink_1280/B4EZvHgRcRGoAg-/0/1768578685071/AIsearchanalyticspng?e=2147483647&amp;v=beta&amp;t=r8ZA4O6fWX-JBdFSvxBgj_hIEsRx7sVZZ0_lepLUncw","View Creative")</f>
        <v>View Creative</v>
      </c>
      <c r="L4666" s="4" t="s">
        <v>60</v>
      </c>
      <c r="M4666" s="4" t="s">
        <v>7013</v>
      </c>
      <c r="N4666" s="4" t="s">
        <v>7100</v>
      </c>
      <c r="O4666" s="4" t="s">
        <v>63</v>
      </c>
      <c r="P4666" s="4" t="s">
        <v>64</v>
      </c>
    </row>
    <row r="4667">
      <c r="A4667" s="4" t="s">
        <v>7013</v>
      </c>
      <c r="B4667" s="4" t="s">
        <v>7014</v>
      </c>
      <c r="C4667" s="4">
        <v>616.0</v>
      </c>
      <c r="D4667" s="5" t="str">
        <f t="shared" si="952"/>
        <v>Open Ad</v>
      </c>
      <c r="E4667" s="4" t="s">
        <v>78</v>
      </c>
      <c r="F4667" s="4" t="s">
        <v>6765</v>
      </c>
      <c r="G4667" s="4" t="s">
        <v>7103</v>
      </c>
      <c r="H4667" s="4" t="s">
        <v>49</v>
      </c>
      <c r="I4667" s="4" t="s">
        <v>7016</v>
      </c>
      <c r="J4667" s="4" t="s">
        <v>78</v>
      </c>
      <c r="K4667" s="7" t="str">
        <f t="shared" si="953"/>
        <v>View Creative</v>
      </c>
      <c r="L4667" s="4" t="s">
        <v>60</v>
      </c>
      <c r="M4667" s="4" t="s">
        <v>7013</v>
      </c>
      <c r="N4667" s="4" t="s">
        <v>7100</v>
      </c>
      <c r="O4667" s="4" t="s">
        <v>63</v>
      </c>
      <c r="P4667" s="4" t="s">
        <v>64</v>
      </c>
    </row>
    <row r="4668">
      <c r="A4668" s="4" t="s">
        <v>7013</v>
      </c>
      <c r="B4668" s="4" t="s">
        <v>7014</v>
      </c>
      <c r="C4668" s="4">
        <v>617.0</v>
      </c>
      <c r="D4668" s="5" t="str">
        <f t="shared" ref="D4668:D4669" si="954">HYPERLINK("https://www.linkedin.com/ad-library/detail/1124480044","Open Ad")</f>
        <v>Open Ad</v>
      </c>
      <c r="E4668" s="4" t="s">
        <v>78</v>
      </c>
      <c r="F4668" s="4" t="s">
        <v>6765</v>
      </c>
      <c r="G4668" s="4" t="s">
        <v>7104</v>
      </c>
      <c r="H4668" s="4" t="s">
        <v>49</v>
      </c>
      <c r="I4668" s="4" t="s">
        <v>7016</v>
      </c>
      <c r="J4668" s="4" t="s">
        <v>78</v>
      </c>
      <c r="K4668" s="7" t="str">
        <f t="shared" ref="K4668:K4669" si="955">HYPERLINK("https://media.licdn.com/dms/image/v2/D4E10AQGzdZamj-FFtg/image-shrink_1280/B4EZvHgki1HkAg-/0/1768578763264/1Yournextcustomerpng?e=2147483647&amp;v=beta&amp;t=813tYu3iNOk44Zb_qdwCHDYOEnZ5Xj42K2DyHeDrxuM","View Creative")</f>
        <v>View Creative</v>
      </c>
      <c r="L4668" s="4" t="s">
        <v>60</v>
      </c>
      <c r="M4668" s="4" t="s">
        <v>7013</v>
      </c>
      <c r="N4668" s="4" t="s">
        <v>7100</v>
      </c>
      <c r="O4668" s="4" t="s">
        <v>63</v>
      </c>
      <c r="P4668" s="4" t="s">
        <v>64</v>
      </c>
    </row>
    <row r="4669">
      <c r="A4669" s="4" t="s">
        <v>7013</v>
      </c>
      <c r="B4669" s="4" t="s">
        <v>7014</v>
      </c>
      <c r="C4669" s="4">
        <v>618.0</v>
      </c>
      <c r="D4669" s="5" t="str">
        <f t="shared" si="954"/>
        <v>Open Ad</v>
      </c>
      <c r="E4669" s="4" t="s">
        <v>78</v>
      </c>
      <c r="F4669" s="4" t="s">
        <v>6765</v>
      </c>
      <c r="G4669" s="4" t="s">
        <v>7104</v>
      </c>
      <c r="H4669" s="4" t="s">
        <v>49</v>
      </c>
      <c r="I4669" s="4" t="s">
        <v>7016</v>
      </c>
      <c r="J4669" s="4" t="s">
        <v>78</v>
      </c>
      <c r="K4669" s="7" t="str">
        <f t="shared" si="955"/>
        <v>View Creative</v>
      </c>
      <c r="L4669" s="4" t="s">
        <v>60</v>
      </c>
      <c r="M4669" s="4" t="s">
        <v>7013</v>
      </c>
      <c r="N4669" s="4" t="s">
        <v>7100</v>
      </c>
      <c r="O4669" s="4" t="s">
        <v>63</v>
      </c>
      <c r="P4669" s="4" t="s">
        <v>64</v>
      </c>
    </row>
    <row r="4670">
      <c r="A4670" s="4" t="s">
        <v>7013</v>
      </c>
      <c r="B4670" s="4" t="s">
        <v>7014</v>
      </c>
      <c r="C4670" s="4">
        <v>619.0</v>
      </c>
      <c r="D4670" s="5" t="str">
        <f t="shared" ref="D4670:D4671" si="956">HYPERLINK("https://www.linkedin.com/ad-library/detail/1126479834","Open Ad")</f>
        <v>Open Ad</v>
      </c>
      <c r="E4670" s="4" t="s">
        <v>78</v>
      </c>
      <c r="F4670" s="4" t="s">
        <v>6765</v>
      </c>
      <c r="G4670" s="4" t="s">
        <v>7105</v>
      </c>
      <c r="H4670" s="4" t="s">
        <v>49</v>
      </c>
      <c r="I4670" s="4" t="s">
        <v>7016</v>
      </c>
      <c r="J4670" s="4" t="s">
        <v>78</v>
      </c>
      <c r="K4670" s="7" t="str">
        <f t="shared" ref="K4670:K4671" si="957">HYPERLINK("https://media.licdn.com/dms/image/v2/D4E10AQF6UPH7WMI63Q/image-shrink_1280/B4EZvHg4wgHUAc-/0/1768578846085/12026istheyearpng?e=2147483647&amp;v=beta&amp;t=je_Vle_0DuqkMG6yxq2CpIRKBNUD_kRp3xpwQZJzTgg","View Creative")</f>
        <v>View Creative</v>
      </c>
      <c r="L4670" s="4" t="s">
        <v>60</v>
      </c>
      <c r="M4670" s="4" t="s">
        <v>7013</v>
      </c>
      <c r="N4670" s="4" t="s">
        <v>7100</v>
      </c>
      <c r="O4670" s="4" t="s">
        <v>63</v>
      </c>
      <c r="P4670" s="4" t="s">
        <v>64</v>
      </c>
    </row>
    <row r="4671">
      <c r="A4671" s="4" t="s">
        <v>7013</v>
      </c>
      <c r="B4671" s="4" t="s">
        <v>7014</v>
      </c>
      <c r="C4671" s="4">
        <v>620.0</v>
      </c>
      <c r="D4671" s="5" t="str">
        <f t="shared" si="956"/>
        <v>Open Ad</v>
      </c>
      <c r="E4671" s="4" t="s">
        <v>78</v>
      </c>
      <c r="F4671" s="4" t="s">
        <v>6765</v>
      </c>
      <c r="G4671" s="4" t="s">
        <v>7105</v>
      </c>
      <c r="H4671" s="4" t="s">
        <v>49</v>
      </c>
      <c r="I4671" s="4" t="s">
        <v>7016</v>
      </c>
      <c r="J4671" s="4" t="s">
        <v>78</v>
      </c>
      <c r="K4671" s="7" t="str">
        <f t="shared" si="957"/>
        <v>View Creative</v>
      </c>
      <c r="L4671" s="4" t="s">
        <v>60</v>
      </c>
      <c r="M4671" s="4" t="s">
        <v>7013</v>
      </c>
      <c r="N4671" s="4" t="s">
        <v>7100</v>
      </c>
      <c r="O4671" s="4" t="s">
        <v>63</v>
      </c>
      <c r="P4671" s="4" t="s">
        <v>64</v>
      </c>
    </row>
    <row r="4672">
      <c r="A4672" s="4" t="s">
        <v>7013</v>
      </c>
      <c r="B4672" s="4" t="s">
        <v>7014</v>
      </c>
      <c r="C4672" s="4">
        <v>621.0</v>
      </c>
      <c r="D4672" s="5" t="str">
        <f t="shared" ref="D4672:D4673" si="958">HYPERLINK("https://www.linkedin.com/ad-library/detail/1123484684","Open Ad")</f>
        <v>Open Ad</v>
      </c>
      <c r="E4672" s="4" t="s">
        <v>78</v>
      </c>
      <c r="F4672" s="4" t="s">
        <v>6765</v>
      </c>
      <c r="G4672" s="4" t="s">
        <v>7097</v>
      </c>
      <c r="H4672" s="4" t="s">
        <v>49</v>
      </c>
      <c r="I4672" s="4" t="s">
        <v>7016</v>
      </c>
      <c r="J4672" s="4" t="s">
        <v>78</v>
      </c>
      <c r="K4672" s="7" t="str">
        <f t="shared" ref="K4672:K4673" si="959">HYPERLINK("https://media.licdn.com/dms/image/v2/D4E10AQFBE-hGBlPdfQ/image-shrink_1280/B4EZvHPXk5GkAc-/0/1768574253788/TrackwhatAIsayspng?e=2147483647&amp;v=beta&amp;t=c2jX6FQItgO4wLlA6IAzpFa7FH4E4qDF52W5zHY4V5o","View Creative")</f>
        <v>View Creative</v>
      </c>
      <c r="L4672" s="4" t="s">
        <v>60</v>
      </c>
      <c r="M4672" s="4" t="s">
        <v>7013</v>
      </c>
      <c r="N4672" s="4" t="s">
        <v>7100</v>
      </c>
      <c r="O4672" s="4" t="s">
        <v>63</v>
      </c>
      <c r="P4672" s="4" t="s">
        <v>64</v>
      </c>
    </row>
    <row r="4673">
      <c r="A4673" s="4" t="s">
        <v>7013</v>
      </c>
      <c r="B4673" s="4" t="s">
        <v>7014</v>
      </c>
      <c r="C4673" s="4">
        <v>622.0</v>
      </c>
      <c r="D4673" s="5" t="str">
        <f t="shared" si="958"/>
        <v>Open Ad</v>
      </c>
      <c r="E4673" s="4" t="s">
        <v>78</v>
      </c>
      <c r="F4673" s="4" t="s">
        <v>6765</v>
      </c>
      <c r="G4673" s="4" t="s">
        <v>7097</v>
      </c>
      <c r="H4673" s="4" t="s">
        <v>49</v>
      </c>
      <c r="I4673" s="4" t="s">
        <v>7016</v>
      </c>
      <c r="J4673" s="4" t="s">
        <v>78</v>
      </c>
      <c r="K4673" s="7" t="str">
        <f t="shared" si="959"/>
        <v>View Creative</v>
      </c>
      <c r="L4673" s="4" t="s">
        <v>60</v>
      </c>
      <c r="M4673" s="4" t="s">
        <v>7013</v>
      </c>
      <c r="N4673" s="4" t="s">
        <v>7100</v>
      </c>
      <c r="O4673" s="4" t="s">
        <v>63</v>
      </c>
      <c r="P4673" s="4" t="s">
        <v>64</v>
      </c>
    </row>
    <row r="4674">
      <c r="A4674" s="4" t="s">
        <v>7013</v>
      </c>
      <c r="B4674" s="4" t="s">
        <v>7014</v>
      </c>
      <c r="C4674" s="4">
        <v>623.0</v>
      </c>
      <c r="D4674" s="5" t="str">
        <f t="shared" ref="D4674:D4675" si="960">HYPERLINK("https://www.linkedin.com/ad-library/detail/1126479874","Open Ad")</f>
        <v>Open Ad</v>
      </c>
      <c r="E4674" s="4" t="s">
        <v>78</v>
      </c>
      <c r="F4674" s="4" t="s">
        <v>6765</v>
      </c>
      <c r="G4674" s="4" t="s">
        <v>7099</v>
      </c>
      <c r="H4674" s="4" t="s">
        <v>49</v>
      </c>
      <c r="I4674" s="4" t="s">
        <v>7016</v>
      </c>
      <c r="J4674" s="4" t="s">
        <v>78</v>
      </c>
      <c r="K4674" s="7" t="str">
        <f t="shared" ref="K4674:K4675" si="961">HYPERLINK("https://media.licdn.com/dms/image/v2/D4E10AQEJ3BN6TF0ShQ/image-shrink_1280/B4EZvHhgvMH8Ac-/0/1768579009905/1Trackyourvisibilitypng?e=2147483647&amp;v=beta&amp;t=kanyDacnSgkvxyWF3u29O_7mHnPNsjm8UGSWcuf78w8","View Creative")</f>
        <v>View Creative</v>
      </c>
      <c r="L4674" s="4" t="s">
        <v>60</v>
      </c>
      <c r="M4674" s="4" t="s">
        <v>7013</v>
      </c>
      <c r="N4674" s="4" t="s">
        <v>7100</v>
      </c>
      <c r="O4674" s="4" t="s">
        <v>63</v>
      </c>
      <c r="P4674" s="4" t="s">
        <v>64</v>
      </c>
    </row>
    <row r="4675">
      <c r="A4675" s="4" t="s">
        <v>7013</v>
      </c>
      <c r="B4675" s="4" t="s">
        <v>7014</v>
      </c>
      <c r="C4675" s="4">
        <v>624.0</v>
      </c>
      <c r="D4675" s="5" t="str">
        <f t="shared" si="960"/>
        <v>Open Ad</v>
      </c>
      <c r="E4675" s="4" t="s">
        <v>78</v>
      </c>
      <c r="F4675" s="4" t="s">
        <v>6765</v>
      </c>
      <c r="G4675" s="4" t="s">
        <v>7099</v>
      </c>
      <c r="H4675" s="4" t="s">
        <v>49</v>
      </c>
      <c r="I4675" s="4" t="s">
        <v>7016</v>
      </c>
      <c r="J4675" s="4" t="s">
        <v>78</v>
      </c>
      <c r="K4675" s="7" t="str">
        <f t="shared" si="961"/>
        <v>View Creative</v>
      </c>
      <c r="L4675" s="4" t="s">
        <v>60</v>
      </c>
      <c r="M4675" s="4" t="s">
        <v>7013</v>
      </c>
      <c r="N4675" s="4" t="s">
        <v>7100</v>
      </c>
      <c r="O4675" s="4" t="s">
        <v>63</v>
      </c>
      <c r="P4675" s="4" t="s">
        <v>64</v>
      </c>
    </row>
    <row r="4676">
      <c r="A4676" s="4" t="s">
        <v>7013</v>
      </c>
      <c r="B4676" s="4" t="s">
        <v>7014</v>
      </c>
      <c r="C4676" s="4">
        <v>625.0</v>
      </c>
      <c r="D4676" s="5" t="str">
        <f t="shared" ref="D4676:D4677" si="962">HYPERLINK("https://www.linkedin.com/ad-library/detail/1126279934","Open Ad")</f>
        <v>Open Ad</v>
      </c>
      <c r="E4676" s="4" t="s">
        <v>78</v>
      </c>
      <c r="F4676" s="4" t="s">
        <v>6765</v>
      </c>
      <c r="G4676" s="4" t="s">
        <v>7105</v>
      </c>
      <c r="H4676" s="4" t="s">
        <v>49</v>
      </c>
      <c r="I4676" s="4" t="s">
        <v>7016</v>
      </c>
      <c r="J4676" s="4" t="s">
        <v>78</v>
      </c>
      <c r="K4676" s="7" t="str">
        <f t="shared" ref="K4676:K4677" si="963">HYPERLINK("https://media.licdn.com/dms/image/v2/D4E10AQF6UPH7WMI63Q/image-shrink_1280/B4EZvHg4wgHUAc-/0/1768578846085/12026istheyearpng?e=2147483647&amp;v=beta&amp;t=je_Vle_0DuqkMG6yxq2CpIRKBNUD_kRp3xpwQZJzTgg","View Creative")</f>
        <v>View Creative</v>
      </c>
      <c r="L4676" s="4" t="s">
        <v>60</v>
      </c>
      <c r="M4676" s="4" t="s">
        <v>7013</v>
      </c>
      <c r="N4676" s="4" t="s">
        <v>7100</v>
      </c>
      <c r="O4676" s="4" t="s">
        <v>63</v>
      </c>
      <c r="P4676" s="4" t="s">
        <v>64</v>
      </c>
    </row>
    <row r="4677">
      <c r="A4677" s="4" t="s">
        <v>7013</v>
      </c>
      <c r="B4677" s="4" t="s">
        <v>7014</v>
      </c>
      <c r="C4677" s="4">
        <v>626.0</v>
      </c>
      <c r="D4677" s="5" t="str">
        <f t="shared" si="962"/>
        <v>Open Ad</v>
      </c>
      <c r="E4677" s="4" t="s">
        <v>78</v>
      </c>
      <c r="F4677" s="4" t="s">
        <v>6765</v>
      </c>
      <c r="G4677" s="4" t="s">
        <v>7105</v>
      </c>
      <c r="H4677" s="4" t="s">
        <v>49</v>
      </c>
      <c r="I4677" s="4" t="s">
        <v>7016</v>
      </c>
      <c r="J4677" s="4" t="s">
        <v>78</v>
      </c>
      <c r="K4677" s="7" t="str">
        <f t="shared" si="963"/>
        <v>View Creative</v>
      </c>
      <c r="L4677" s="4" t="s">
        <v>60</v>
      </c>
      <c r="M4677" s="4" t="s">
        <v>7013</v>
      </c>
      <c r="N4677" s="4" t="s">
        <v>7100</v>
      </c>
      <c r="O4677" s="4" t="s">
        <v>63</v>
      </c>
      <c r="P4677" s="4" t="s">
        <v>64</v>
      </c>
    </row>
    <row r="4678">
      <c r="A4678" s="4" t="s">
        <v>7013</v>
      </c>
      <c r="B4678" s="4" t="s">
        <v>7014</v>
      </c>
      <c r="C4678" s="4">
        <v>627.0</v>
      </c>
      <c r="D4678" s="5" t="str">
        <f t="shared" ref="D4678:D4679" si="964">HYPERLINK("https://www.linkedin.com/ad-library/detail/916861814","Open Ad")</f>
        <v>Open Ad</v>
      </c>
      <c r="E4678" s="4" t="s">
        <v>78</v>
      </c>
      <c r="F4678" s="4" t="s">
        <v>6765</v>
      </c>
      <c r="G4678" s="4" t="s">
        <v>7106</v>
      </c>
      <c r="H4678" s="4" t="s">
        <v>49</v>
      </c>
      <c r="I4678" s="4" t="s">
        <v>7016</v>
      </c>
      <c r="J4678" s="4" t="s">
        <v>78</v>
      </c>
      <c r="K4678" s="7" t="str">
        <f t="shared" ref="K4678:K4679" si="965">HYPERLINK("https://media.licdn.com/dms/image/v2/D4E10AQGNSAIQ6QLAQA/image-shrink_1280/B4EZqXjmXGJ0AY-/0/1763479284571/4Dark-2jpg?e=2147483647&amp;v=beta&amp;t=JcZsw5Q4oi5lthxDnppFNw4twgrHMx1erlaYBtQWCPE","View Creative")</f>
        <v>View Creative</v>
      </c>
      <c r="L4678" s="4" t="s">
        <v>60</v>
      </c>
      <c r="M4678" s="4" t="s">
        <v>7013</v>
      </c>
      <c r="N4678" s="4"/>
      <c r="O4678" s="4" t="s">
        <v>63</v>
      </c>
      <c r="P4678" s="4" t="s">
        <v>64</v>
      </c>
    </row>
    <row r="4679">
      <c r="A4679" s="4" t="s">
        <v>7013</v>
      </c>
      <c r="B4679" s="4" t="s">
        <v>7014</v>
      </c>
      <c r="C4679" s="4">
        <v>628.0</v>
      </c>
      <c r="D4679" s="5" t="str">
        <f t="shared" si="964"/>
        <v>Open Ad</v>
      </c>
      <c r="E4679" s="4" t="s">
        <v>78</v>
      </c>
      <c r="F4679" s="4" t="s">
        <v>6765</v>
      </c>
      <c r="G4679" s="4" t="s">
        <v>7106</v>
      </c>
      <c r="H4679" s="4" t="s">
        <v>49</v>
      </c>
      <c r="I4679" s="4" t="s">
        <v>7016</v>
      </c>
      <c r="J4679" s="4" t="s">
        <v>78</v>
      </c>
      <c r="K4679" s="7" t="str">
        <f t="shared" si="965"/>
        <v>View Creative</v>
      </c>
      <c r="L4679" s="4" t="s">
        <v>60</v>
      </c>
      <c r="M4679" s="4" t="s">
        <v>7013</v>
      </c>
      <c r="N4679" s="4"/>
      <c r="O4679" s="4" t="s">
        <v>63</v>
      </c>
      <c r="P4679" s="4" t="s">
        <v>64</v>
      </c>
    </row>
    <row r="4680">
      <c r="A4680" s="4" t="s">
        <v>7013</v>
      </c>
      <c r="B4680" s="4" t="s">
        <v>7014</v>
      </c>
      <c r="C4680" s="4">
        <v>629.0</v>
      </c>
      <c r="D4680" s="5" t="str">
        <f t="shared" ref="D4680:D4681" si="966">HYPERLINK("https://www.linkedin.com/ad-library/detail/916804974","Open Ad")</f>
        <v>Open Ad</v>
      </c>
      <c r="E4680" s="4" t="s">
        <v>78</v>
      </c>
      <c r="F4680" s="4" t="s">
        <v>6765</v>
      </c>
      <c r="G4680" s="4" t="s">
        <v>7107</v>
      </c>
      <c r="H4680" s="4" t="s">
        <v>49</v>
      </c>
      <c r="I4680" s="4" t="s">
        <v>7016</v>
      </c>
      <c r="J4680" s="4" t="s">
        <v>78</v>
      </c>
      <c r="K4680" s="7" t="str">
        <f t="shared" ref="K4680:K4681" si="967">HYPERLINK("https://media.licdn.com/dms/image/v2/D4E10AQGrXINj2qMDXg/image-shrink_1280/B4EZqYq0HuKgAQ-/0/1763497952309/PeecAi-SeriesAannouncementImagepng?e=2147483647&amp;v=beta&amp;t=ZsfwRxs4S3xd7EWjZeymgk4kcg8ijKT3udTQCjD1K8o","View Creative")</f>
        <v>View Creative</v>
      </c>
      <c r="L4680" s="4" t="s">
        <v>60</v>
      </c>
      <c r="M4680" s="4" t="s">
        <v>7013</v>
      </c>
      <c r="N4680" s="4" t="s">
        <v>7108</v>
      </c>
      <c r="O4680" s="4" t="s">
        <v>63</v>
      </c>
      <c r="P4680" s="4" t="s">
        <v>64</v>
      </c>
    </row>
    <row r="4681">
      <c r="A4681" s="4" t="s">
        <v>7013</v>
      </c>
      <c r="B4681" s="4" t="s">
        <v>7014</v>
      </c>
      <c r="C4681" s="4">
        <v>630.0</v>
      </c>
      <c r="D4681" s="5" t="str">
        <f t="shared" si="966"/>
        <v>Open Ad</v>
      </c>
      <c r="E4681" s="4" t="s">
        <v>78</v>
      </c>
      <c r="F4681" s="4" t="s">
        <v>6765</v>
      </c>
      <c r="G4681" s="4" t="s">
        <v>7107</v>
      </c>
      <c r="H4681" s="4" t="s">
        <v>49</v>
      </c>
      <c r="I4681" s="4" t="s">
        <v>7016</v>
      </c>
      <c r="J4681" s="4" t="s">
        <v>78</v>
      </c>
      <c r="K4681" s="7" t="str">
        <f t="shared" si="967"/>
        <v>View Creative</v>
      </c>
      <c r="L4681" s="4" t="s">
        <v>60</v>
      </c>
      <c r="M4681" s="4" t="s">
        <v>7013</v>
      </c>
      <c r="N4681" s="4" t="s">
        <v>7108</v>
      </c>
      <c r="O4681" s="4" t="s">
        <v>63</v>
      </c>
      <c r="P4681" s="4" t="s">
        <v>64</v>
      </c>
    </row>
    <row r="4682">
      <c r="A4682" s="4" t="s">
        <v>7013</v>
      </c>
      <c r="B4682" s="4" t="s">
        <v>7014</v>
      </c>
      <c r="C4682" s="4">
        <v>631.0</v>
      </c>
      <c r="D4682" s="5" t="str">
        <f t="shared" ref="D4682:D4683" si="968">HYPERLINK("https://www.linkedin.com/ad-library/detail/934564104","Open Ad")</f>
        <v>Open Ad</v>
      </c>
      <c r="E4682" s="4" t="s">
        <v>78</v>
      </c>
      <c r="F4682" s="4" t="s">
        <v>6765</v>
      </c>
      <c r="G4682" s="4" t="s">
        <v>7109</v>
      </c>
      <c r="H4682" s="4" t="s">
        <v>49</v>
      </c>
      <c r="I4682" s="4" t="s">
        <v>7016</v>
      </c>
      <c r="J4682" s="4" t="s">
        <v>78</v>
      </c>
      <c r="K4682" s="7" t="str">
        <f t="shared" ref="K4682:K4683" si="969">HYPERLINK("https://media.licdn.com/dms/image/v2/D4E22AQG9mF5Fqgeeeg/feedshare-image-high-res/B4EZkPSmAcGUAo-/0/1756898157313?e=2147483647&amp;v=beta&amp;t=3_anBtahvCH0XCV-BckKHP05z2OpS8-hbvIDKpb4zBY","View Creative")</f>
        <v>View Creative</v>
      </c>
      <c r="L4682" s="4" t="s">
        <v>60</v>
      </c>
      <c r="M4682" s="4" t="s">
        <v>7013</v>
      </c>
      <c r="N4682" s="4"/>
      <c r="O4682" s="4" t="s">
        <v>63</v>
      </c>
      <c r="P4682" s="4" t="s">
        <v>64</v>
      </c>
    </row>
    <row r="4683">
      <c r="A4683" s="4" t="s">
        <v>7013</v>
      </c>
      <c r="B4683" s="4" t="s">
        <v>7014</v>
      </c>
      <c r="C4683" s="4">
        <v>632.0</v>
      </c>
      <c r="D4683" s="5" t="str">
        <f t="shared" si="968"/>
        <v>Open Ad</v>
      </c>
      <c r="E4683" s="4" t="s">
        <v>78</v>
      </c>
      <c r="F4683" s="4" t="s">
        <v>6765</v>
      </c>
      <c r="G4683" s="4" t="s">
        <v>7109</v>
      </c>
      <c r="H4683" s="4" t="s">
        <v>49</v>
      </c>
      <c r="I4683" s="4" t="s">
        <v>7016</v>
      </c>
      <c r="J4683" s="4" t="s">
        <v>78</v>
      </c>
      <c r="K4683" s="7" t="str">
        <f t="shared" si="969"/>
        <v>View Creative</v>
      </c>
      <c r="L4683" s="4" t="s">
        <v>60</v>
      </c>
      <c r="M4683" s="4" t="s">
        <v>7013</v>
      </c>
      <c r="N4683" s="4"/>
      <c r="O4683" s="4" t="s">
        <v>63</v>
      </c>
      <c r="P4683" s="4" t="s">
        <v>64</v>
      </c>
    </row>
    <row r="4684">
      <c r="A4684" s="4" t="s">
        <v>7013</v>
      </c>
      <c r="B4684" s="4" t="s">
        <v>7014</v>
      </c>
      <c r="C4684" s="4">
        <v>633.0</v>
      </c>
      <c r="D4684" s="5" t="str">
        <f t="shared" ref="D4684:D4685" si="970">HYPERLINK("https://www.linkedin.com/ad-library/detail/1088781354","Open Ad")</f>
        <v>Open Ad</v>
      </c>
      <c r="E4684" s="4" t="s">
        <v>78</v>
      </c>
      <c r="F4684" s="4" t="s">
        <v>6765</v>
      </c>
      <c r="G4684" s="4" t="s">
        <v>7110</v>
      </c>
      <c r="H4684" s="4" t="s">
        <v>49</v>
      </c>
      <c r="I4684" s="4" t="s">
        <v>7016</v>
      </c>
      <c r="J4684" s="4" t="s">
        <v>78</v>
      </c>
      <c r="K4684" s="7" t="str">
        <f t="shared" ref="K4684:K4685" si="971">HYPERLINK("https://media.licdn.com/dms/image/v2/D4D22AQHpDPyTImhx5w/feedshare-image-high-res/B4DZuxvQ.lHQAc-/0/1768213516550?e=2147483647&amp;v=beta&amp;t=08LI2gqWCc-E04kZnL7TgSR6HLqTvOyKiWV5PpKQrhI","View Creative")</f>
        <v>View Creative</v>
      </c>
      <c r="L4684" s="4" t="s">
        <v>60</v>
      </c>
      <c r="M4684" s="4" t="s">
        <v>7013</v>
      </c>
      <c r="N4684" s="4" t="s">
        <v>7111</v>
      </c>
      <c r="O4684" s="4" t="s">
        <v>63</v>
      </c>
      <c r="P4684" s="4" t="s">
        <v>64</v>
      </c>
    </row>
    <row r="4685">
      <c r="A4685" s="4" t="s">
        <v>7013</v>
      </c>
      <c r="B4685" s="4" t="s">
        <v>7014</v>
      </c>
      <c r="C4685" s="4">
        <v>634.0</v>
      </c>
      <c r="D4685" s="5" t="str">
        <f t="shared" si="970"/>
        <v>Open Ad</v>
      </c>
      <c r="E4685" s="4" t="s">
        <v>78</v>
      </c>
      <c r="F4685" s="4" t="s">
        <v>6765</v>
      </c>
      <c r="G4685" s="4" t="s">
        <v>7110</v>
      </c>
      <c r="H4685" s="4" t="s">
        <v>49</v>
      </c>
      <c r="I4685" s="4" t="s">
        <v>7016</v>
      </c>
      <c r="J4685" s="4" t="s">
        <v>78</v>
      </c>
      <c r="K4685" s="7" t="str">
        <f t="shared" si="971"/>
        <v>View Creative</v>
      </c>
      <c r="L4685" s="4" t="s">
        <v>60</v>
      </c>
      <c r="M4685" s="4" t="s">
        <v>7013</v>
      </c>
      <c r="N4685" s="4" t="s">
        <v>7111</v>
      </c>
      <c r="O4685" s="4" t="s">
        <v>63</v>
      </c>
      <c r="P4685" s="4" t="s">
        <v>64</v>
      </c>
    </row>
    <row r="4686">
      <c r="A4686" s="4" t="s">
        <v>7013</v>
      </c>
      <c r="B4686" s="4" t="s">
        <v>7014</v>
      </c>
      <c r="C4686" s="4">
        <v>635.0</v>
      </c>
      <c r="D4686" s="5" t="str">
        <f t="shared" ref="D4686:D4687" si="972">HYPERLINK("https://www.linkedin.com/ad-library/detail/934564114","Open Ad")</f>
        <v>Open Ad</v>
      </c>
      <c r="E4686" s="4" t="s">
        <v>78</v>
      </c>
      <c r="F4686" s="4" t="s">
        <v>6765</v>
      </c>
      <c r="G4686" s="4" t="s">
        <v>7109</v>
      </c>
      <c r="H4686" s="4" t="s">
        <v>49</v>
      </c>
      <c r="I4686" s="4" t="s">
        <v>7016</v>
      </c>
      <c r="J4686" s="4" t="s">
        <v>78</v>
      </c>
      <c r="K4686" s="7" t="str">
        <f t="shared" ref="K4686:K4687" si="973">HYPERLINK("https://media.licdn.com/dms/image/v2/D4E22AQG9mF5Fqgeeeg/feedshare-image-high-res/B4EZkPSmAcGUAo-/0/1756898157313?e=2147483647&amp;v=beta&amp;t=3_anBtahvCH0XCV-BckKHP05z2OpS8-hbvIDKpb4zBY","View Creative")</f>
        <v>View Creative</v>
      </c>
      <c r="L4686" s="4" t="s">
        <v>60</v>
      </c>
      <c r="M4686" s="4" t="s">
        <v>7013</v>
      </c>
      <c r="N4686" s="4"/>
      <c r="O4686" s="4" t="s">
        <v>63</v>
      </c>
      <c r="P4686" s="4" t="s">
        <v>64</v>
      </c>
    </row>
    <row r="4687">
      <c r="A4687" s="4" t="s">
        <v>7013</v>
      </c>
      <c r="B4687" s="4" t="s">
        <v>7014</v>
      </c>
      <c r="C4687" s="4">
        <v>636.0</v>
      </c>
      <c r="D4687" s="5" t="str">
        <f t="shared" si="972"/>
        <v>Open Ad</v>
      </c>
      <c r="E4687" s="4" t="s">
        <v>78</v>
      </c>
      <c r="F4687" s="4" t="s">
        <v>6765</v>
      </c>
      <c r="G4687" s="4" t="s">
        <v>7109</v>
      </c>
      <c r="H4687" s="4" t="s">
        <v>49</v>
      </c>
      <c r="I4687" s="4" t="s">
        <v>7016</v>
      </c>
      <c r="J4687" s="4" t="s">
        <v>78</v>
      </c>
      <c r="K4687" s="7" t="str">
        <f t="shared" si="973"/>
        <v>View Creative</v>
      </c>
      <c r="L4687" s="4" t="s">
        <v>60</v>
      </c>
      <c r="M4687" s="4" t="s">
        <v>7013</v>
      </c>
      <c r="N4687" s="4"/>
      <c r="O4687" s="4" t="s">
        <v>63</v>
      </c>
      <c r="P4687" s="4" t="s">
        <v>64</v>
      </c>
    </row>
    <row r="4688">
      <c r="A4688" s="4" t="s">
        <v>7013</v>
      </c>
      <c r="B4688" s="4" t="s">
        <v>7014</v>
      </c>
      <c r="C4688" s="4">
        <v>637.0</v>
      </c>
      <c r="D4688" s="5" t="str">
        <f>HYPERLINK("https://www.linkedin.com/ad-library/detail/934546614","Open Ad")</f>
        <v>Open Ad</v>
      </c>
      <c r="E4688" s="4" t="s">
        <v>52</v>
      </c>
      <c r="F4688" s="4" t="s">
        <v>6765</v>
      </c>
      <c r="G4688" s="4" t="s">
        <v>7112</v>
      </c>
      <c r="H4688" s="4" t="s">
        <v>49</v>
      </c>
      <c r="I4688" s="4" t="s">
        <v>7016</v>
      </c>
      <c r="J4688" s="4" t="s">
        <v>52</v>
      </c>
      <c r="K4688" s="4" t="s">
        <v>59</v>
      </c>
      <c r="L4688" s="4" t="s">
        <v>60</v>
      </c>
      <c r="M4688" s="4" t="s">
        <v>7013</v>
      </c>
      <c r="N4688" s="4"/>
      <c r="O4688" s="4" t="s">
        <v>63</v>
      </c>
      <c r="P4688" s="4" t="s">
        <v>64</v>
      </c>
    </row>
    <row r="4689">
      <c r="A4689" s="4" t="s">
        <v>7013</v>
      </c>
      <c r="B4689" s="4" t="s">
        <v>7014</v>
      </c>
      <c r="C4689" s="4">
        <v>638.0</v>
      </c>
      <c r="D4689" s="5" t="str">
        <f t="shared" ref="D4689:D4690" si="974">HYPERLINK("https://www.linkedin.com/ad-library/detail/919466484","Open Ad")</f>
        <v>Open Ad</v>
      </c>
      <c r="E4689" s="4" t="s">
        <v>78</v>
      </c>
      <c r="F4689" s="4" t="s">
        <v>6765</v>
      </c>
      <c r="G4689" s="4" t="s">
        <v>7113</v>
      </c>
      <c r="H4689" s="4" t="s">
        <v>49</v>
      </c>
      <c r="I4689" s="4" t="s">
        <v>7016</v>
      </c>
      <c r="J4689" s="4" t="s">
        <v>78</v>
      </c>
      <c r="K4689" s="7" t="str">
        <f t="shared" ref="K4689:K4690" si="975">HYPERLINK("https://media.licdn.com/dms/image/v2/D4E10AQEw9fOofiMzpw/image-shrink_1280/B4EZqnXh9vGUAM-/0/1763744556203/peec_linkedin_ad-light_041jpg?e=2147483647&amp;v=beta&amp;t=FM8FwBrjUJXoRjCdPCBeRSG8-UKtbE5E0N8xjjWPqzs","View Creative")</f>
        <v>View Creative</v>
      </c>
      <c r="L4689" s="4" t="s">
        <v>60</v>
      </c>
      <c r="M4689" s="4" t="s">
        <v>7013</v>
      </c>
      <c r="N4689" s="4" t="s">
        <v>7114</v>
      </c>
      <c r="O4689" s="4" t="s">
        <v>63</v>
      </c>
      <c r="P4689" s="4" t="s">
        <v>64</v>
      </c>
    </row>
    <row r="4690">
      <c r="A4690" s="4" t="s">
        <v>7013</v>
      </c>
      <c r="B4690" s="4" t="s">
        <v>7014</v>
      </c>
      <c r="C4690" s="4">
        <v>639.0</v>
      </c>
      <c r="D4690" s="5" t="str">
        <f t="shared" si="974"/>
        <v>Open Ad</v>
      </c>
      <c r="E4690" s="4" t="s">
        <v>78</v>
      </c>
      <c r="F4690" s="4" t="s">
        <v>6765</v>
      </c>
      <c r="G4690" s="4" t="s">
        <v>7113</v>
      </c>
      <c r="H4690" s="4" t="s">
        <v>49</v>
      </c>
      <c r="I4690" s="4" t="s">
        <v>7016</v>
      </c>
      <c r="J4690" s="4" t="s">
        <v>78</v>
      </c>
      <c r="K4690" s="7" t="str">
        <f t="shared" si="975"/>
        <v>View Creative</v>
      </c>
      <c r="L4690" s="4" t="s">
        <v>60</v>
      </c>
      <c r="M4690" s="4" t="s">
        <v>7013</v>
      </c>
      <c r="N4690" s="4" t="s">
        <v>7114</v>
      </c>
      <c r="O4690" s="4" t="s">
        <v>63</v>
      </c>
      <c r="P4690" s="4" t="s">
        <v>64</v>
      </c>
    </row>
    <row r="4691">
      <c r="A4691" s="4" t="s">
        <v>7013</v>
      </c>
      <c r="B4691" s="4" t="s">
        <v>7014</v>
      </c>
      <c r="C4691" s="4">
        <v>640.0</v>
      </c>
      <c r="D4691" s="5" t="str">
        <f>HYPERLINK("https://www.linkedin.com/ad-library/detail/934408174","Open Ad")</f>
        <v>Open Ad</v>
      </c>
      <c r="E4691" s="4" t="s">
        <v>52</v>
      </c>
      <c r="F4691" s="4" t="s">
        <v>6765</v>
      </c>
      <c r="G4691" s="4" t="s">
        <v>7112</v>
      </c>
      <c r="H4691" s="4" t="s">
        <v>49</v>
      </c>
      <c r="I4691" s="4" t="s">
        <v>7016</v>
      </c>
      <c r="J4691" s="4" t="s">
        <v>52</v>
      </c>
      <c r="K4691" s="4" t="s">
        <v>59</v>
      </c>
      <c r="L4691" s="4" t="s">
        <v>60</v>
      </c>
      <c r="M4691" s="4" t="s">
        <v>7013</v>
      </c>
      <c r="N4691" s="4"/>
      <c r="O4691" s="4" t="s">
        <v>63</v>
      </c>
      <c r="P4691" s="4" t="s">
        <v>64</v>
      </c>
    </row>
    <row r="4692">
      <c r="A4692" s="4" t="s">
        <v>7013</v>
      </c>
      <c r="B4692" s="4" t="s">
        <v>7014</v>
      </c>
      <c r="C4692" s="4">
        <v>641.0</v>
      </c>
      <c r="D4692" s="5" t="str">
        <f t="shared" ref="D4692:D4693" si="976">HYPERLINK("https://www.linkedin.com/ad-library/detail/919506544","Open Ad")</f>
        <v>Open Ad</v>
      </c>
      <c r="E4692" s="4" t="s">
        <v>78</v>
      </c>
      <c r="F4692" s="4" t="s">
        <v>6765</v>
      </c>
      <c r="G4692" s="4" t="s">
        <v>7115</v>
      </c>
      <c r="H4692" s="4" t="s">
        <v>49</v>
      </c>
      <c r="I4692" s="4" t="s">
        <v>7016</v>
      </c>
      <c r="J4692" s="4" t="s">
        <v>78</v>
      </c>
      <c r="K4692" s="7" t="str">
        <f t="shared" ref="K4692:K4693" si="977">HYPERLINK("https://media.licdn.com/dms/image/v2/D4E10AQEw9fOofiMzpw/image-shrink_1280/B4EZqnXh9vGUAM-/0/1763744556203/peec_linkedin_ad-light_041jpg?e=2147483647&amp;v=beta&amp;t=FM8FwBrjUJXoRjCdPCBeRSG8-UKtbE5E0N8xjjWPqzs","View Creative")</f>
        <v>View Creative</v>
      </c>
      <c r="L4692" s="4" t="s">
        <v>60</v>
      </c>
      <c r="M4692" s="4" t="s">
        <v>7013</v>
      </c>
      <c r="N4692" s="4" t="s">
        <v>7114</v>
      </c>
      <c r="O4692" s="4" t="s">
        <v>63</v>
      </c>
      <c r="P4692" s="4" t="s">
        <v>64</v>
      </c>
    </row>
    <row r="4693">
      <c r="A4693" s="4" t="s">
        <v>7013</v>
      </c>
      <c r="B4693" s="4" t="s">
        <v>7014</v>
      </c>
      <c r="C4693" s="4">
        <v>642.0</v>
      </c>
      <c r="D4693" s="5" t="str">
        <f t="shared" si="976"/>
        <v>Open Ad</v>
      </c>
      <c r="E4693" s="4" t="s">
        <v>78</v>
      </c>
      <c r="F4693" s="4" t="s">
        <v>6765</v>
      </c>
      <c r="G4693" s="4" t="s">
        <v>7115</v>
      </c>
      <c r="H4693" s="4" t="s">
        <v>49</v>
      </c>
      <c r="I4693" s="4" t="s">
        <v>7016</v>
      </c>
      <c r="J4693" s="4" t="s">
        <v>78</v>
      </c>
      <c r="K4693" s="7" t="str">
        <f t="shared" si="977"/>
        <v>View Creative</v>
      </c>
      <c r="L4693" s="4" t="s">
        <v>60</v>
      </c>
      <c r="M4693" s="4" t="s">
        <v>7013</v>
      </c>
      <c r="N4693" s="4" t="s">
        <v>7114</v>
      </c>
      <c r="O4693" s="4" t="s">
        <v>63</v>
      </c>
      <c r="P4693" s="4" t="s">
        <v>64</v>
      </c>
    </row>
    <row r="4694">
      <c r="A4694" s="4" t="s">
        <v>7013</v>
      </c>
      <c r="B4694" s="4" t="s">
        <v>7014</v>
      </c>
      <c r="C4694" s="4">
        <v>643.0</v>
      </c>
      <c r="D4694" s="5" t="str">
        <f t="shared" ref="D4694:D4695" si="978">HYPERLINK("https://www.linkedin.com/ad-library/detail/916891794","Open Ad")</f>
        <v>Open Ad</v>
      </c>
      <c r="E4694" s="4" t="s">
        <v>78</v>
      </c>
      <c r="F4694" s="4" t="s">
        <v>6765</v>
      </c>
      <c r="G4694" s="4" t="s">
        <v>7116</v>
      </c>
      <c r="H4694" s="4" t="s">
        <v>49</v>
      </c>
      <c r="I4694" s="4" t="s">
        <v>7016</v>
      </c>
      <c r="J4694" s="4" t="s">
        <v>78</v>
      </c>
      <c r="K4694" s="7" t="str">
        <f t="shared" ref="K4694:K4695" si="979">HYPERLINK("https://media.licdn.com/dms/image/v2/D4E10AQF45XRPTXtW5A/image-shrink_1280/B4EZqXhpz1GcAM-/0/1763478773949/3Darkjpg?e=2147483647&amp;v=beta&amp;t=4YvB4IIPTWmlveIYFlgySSG_pCTzhVNDBwJvzRQ8cLk","View Creative")</f>
        <v>View Creative</v>
      </c>
      <c r="L4694" s="4" t="s">
        <v>60</v>
      </c>
      <c r="M4694" s="4" t="s">
        <v>7013</v>
      </c>
      <c r="N4694" s="4"/>
      <c r="O4694" s="4" t="s">
        <v>63</v>
      </c>
      <c r="P4694" s="4" t="s">
        <v>64</v>
      </c>
    </row>
    <row r="4695">
      <c r="A4695" s="4" t="s">
        <v>7013</v>
      </c>
      <c r="B4695" s="4" t="s">
        <v>7014</v>
      </c>
      <c r="C4695" s="4">
        <v>644.0</v>
      </c>
      <c r="D4695" s="5" t="str">
        <f t="shared" si="978"/>
        <v>Open Ad</v>
      </c>
      <c r="E4695" s="4" t="s">
        <v>78</v>
      </c>
      <c r="F4695" s="4" t="s">
        <v>6765</v>
      </c>
      <c r="G4695" s="4" t="s">
        <v>7116</v>
      </c>
      <c r="H4695" s="4" t="s">
        <v>49</v>
      </c>
      <c r="I4695" s="4" t="s">
        <v>7016</v>
      </c>
      <c r="J4695" s="4" t="s">
        <v>78</v>
      </c>
      <c r="K4695" s="7" t="str">
        <f t="shared" si="979"/>
        <v>View Creative</v>
      </c>
      <c r="L4695" s="4" t="s">
        <v>60</v>
      </c>
      <c r="M4695" s="4" t="s">
        <v>7013</v>
      </c>
      <c r="N4695" s="4"/>
      <c r="O4695" s="4" t="s">
        <v>63</v>
      </c>
      <c r="P4695" s="4" t="s">
        <v>64</v>
      </c>
    </row>
    <row r="4696">
      <c r="A4696" s="4" t="s">
        <v>7013</v>
      </c>
      <c r="B4696" s="4" t="s">
        <v>7014</v>
      </c>
      <c r="C4696" s="4">
        <v>645.0</v>
      </c>
      <c r="D4696" s="5" t="str">
        <f t="shared" ref="D4696:D4697" si="980">HYPERLINK("https://www.linkedin.com/ad-library/detail/916715734","Open Ad")</f>
        <v>Open Ad</v>
      </c>
      <c r="E4696" s="4" t="s">
        <v>78</v>
      </c>
      <c r="F4696" s="4" t="s">
        <v>6765</v>
      </c>
      <c r="G4696" s="4" t="s">
        <v>7117</v>
      </c>
      <c r="H4696" s="4" t="s">
        <v>49</v>
      </c>
      <c r="I4696" s="4" t="s">
        <v>7016</v>
      </c>
      <c r="J4696" s="4" t="s">
        <v>78</v>
      </c>
      <c r="K4696" s="7" t="str">
        <f t="shared" ref="K4696:K4697" si="981">HYPERLINK("https://media.licdn.com/dms/image/v2/D4E10AQGrXINj2qMDXg/image-shrink_1280/B4EZqYq0HuKgAQ-/0/1763497952309/PeecAi-SeriesAannouncementImagepng?e=2147483647&amp;v=beta&amp;t=ZsfwRxs4S3xd7EWjZeymgk4kcg8ijKT3udTQCjD1K8o","View Creative")</f>
        <v>View Creative</v>
      </c>
      <c r="L4696" s="4" t="s">
        <v>60</v>
      </c>
      <c r="M4696" s="4" t="s">
        <v>7013</v>
      </c>
      <c r="N4696" s="4" t="s">
        <v>7118</v>
      </c>
      <c r="O4696" s="4" t="s">
        <v>63</v>
      </c>
      <c r="P4696" s="4" t="s">
        <v>64</v>
      </c>
    </row>
    <row r="4697">
      <c r="A4697" s="4" t="s">
        <v>7013</v>
      </c>
      <c r="B4697" s="4" t="s">
        <v>7014</v>
      </c>
      <c r="C4697" s="4">
        <v>646.0</v>
      </c>
      <c r="D4697" s="5" t="str">
        <f t="shared" si="980"/>
        <v>Open Ad</v>
      </c>
      <c r="E4697" s="4" t="s">
        <v>78</v>
      </c>
      <c r="F4697" s="4" t="s">
        <v>6765</v>
      </c>
      <c r="G4697" s="4" t="s">
        <v>7117</v>
      </c>
      <c r="H4697" s="4" t="s">
        <v>49</v>
      </c>
      <c r="I4697" s="4" t="s">
        <v>7016</v>
      </c>
      <c r="J4697" s="4" t="s">
        <v>78</v>
      </c>
      <c r="K4697" s="7" t="str">
        <f t="shared" si="981"/>
        <v>View Creative</v>
      </c>
      <c r="L4697" s="4" t="s">
        <v>60</v>
      </c>
      <c r="M4697" s="4" t="s">
        <v>7013</v>
      </c>
      <c r="N4697" s="4" t="s">
        <v>7118</v>
      </c>
      <c r="O4697" s="4" t="s">
        <v>63</v>
      </c>
      <c r="P4697" s="4" t="s">
        <v>64</v>
      </c>
    </row>
    <row r="4698">
      <c r="A4698" s="4" t="s">
        <v>7013</v>
      </c>
      <c r="B4698" s="4" t="s">
        <v>7014</v>
      </c>
      <c r="C4698" s="4">
        <v>647.0</v>
      </c>
      <c r="D4698" s="5" t="str">
        <f t="shared" ref="D4698:D4699" si="982">HYPERLINK("https://www.linkedin.com/ad-library/detail/916931634","Open Ad")</f>
        <v>Open Ad</v>
      </c>
      <c r="E4698" s="4" t="s">
        <v>78</v>
      </c>
      <c r="F4698" s="4" t="s">
        <v>6765</v>
      </c>
      <c r="G4698" s="4" t="s">
        <v>7106</v>
      </c>
      <c r="H4698" s="4" t="s">
        <v>49</v>
      </c>
      <c r="I4698" s="4" t="s">
        <v>7016</v>
      </c>
      <c r="J4698" s="4" t="s">
        <v>78</v>
      </c>
      <c r="K4698" s="7" t="str">
        <f t="shared" ref="K4698:K4699" si="983">HYPERLINK("https://media.licdn.com/dms/image/v2/D4E10AQExlvzvwZR9Cw/image-shrink_1280/B4EZqXjO3_JgAQ-/0/1763479187977/3Dark-2jpg?e=2147483647&amp;v=beta&amp;t=hIw8-9_xZmTLDeJdkluPd0WO2TRrUEIgeIYzXYtAh1g","View Creative")</f>
        <v>View Creative</v>
      </c>
      <c r="L4698" s="4" t="s">
        <v>60</v>
      </c>
      <c r="M4698" s="4" t="s">
        <v>7013</v>
      </c>
      <c r="N4698" s="4"/>
      <c r="O4698" s="4" t="s">
        <v>63</v>
      </c>
      <c r="P4698" s="4" t="s">
        <v>64</v>
      </c>
    </row>
    <row r="4699">
      <c r="A4699" s="4" t="s">
        <v>7013</v>
      </c>
      <c r="B4699" s="4" t="s">
        <v>7014</v>
      </c>
      <c r="C4699" s="4">
        <v>648.0</v>
      </c>
      <c r="D4699" s="5" t="str">
        <f t="shared" si="982"/>
        <v>Open Ad</v>
      </c>
      <c r="E4699" s="4" t="s">
        <v>78</v>
      </c>
      <c r="F4699" s="4" t="s">
        <v>6765</v>
      </c>
      <c r="G4699" s="4" t="s">
        <v>7106</v>
      </c>
      <c r="H4699" s="4" t="s">
        <v>49</v>
      </c>
      <c r="I4699" s="4" t="s">
        <v>7016</v>
      </c>
      <c r="J4699" s="4" t="s">
        <v>78</v>
      </c>
      <c r="K4699" s="7" t="str">
        <f t="shared" si="983"/>
        <v>View Creative</v>
      </c>
      <c r="L4699" s="4" t="s">
        <v>60</v>
      </c>
      <c r="M4699" s="4" t="s">
        <v>7013</v>
      </c>
      <c r="N4699" s="4"/>
      <c r="O4699" s="4" t="s">
        <v>63</v>
      </c>
      <c r="P4699" s="4" t="s">
        <v>64</v>
      </c>
    </row>
    <row r="4700">
      <c r="A4700" s="4" t="s">
        <v>7013</v>
      </c>
      <c r="B4700" s="4" t="s">
        <v>7014</v>
      </c>
      <c r="C4700" s="4">
        <v>649.0</v>
      </c>
      <c r="D4700" s="5" t="str">
        <f t="shared" ref="D4700:D4701" si="984">HYPERLINK("https://www.linkedin.com/ad-library/detail/1073685504","Open Ad")</f>
        <v>Open Ad</v>
      </c>
      <c r="E4700" s="4" t="s">
        <v>78</v>
      </c>
      <c r="F4700" s="4" t="s">
        <v>6765</v>
      </c>
      <c r="G4700" s="4" t="s">
        <v>7119</v>
      </c>
      <c r="H4700" s="4" t="s">
        <v>49</v>
      </c>
      <c r="I4700" s="4" t="s">
        <v>7016</v>
      </c>
      <c r="J4700" s="4" t="s">
        <v>78</v>
      </c>
      <c r="K4700" s="7" t="str">
        <f t="shared" ref="K4700:K4701" si="985">HYPERLINK("https://media.licdn.com/dms/image/v2/D5622AQFddpd4x2_Jpg/feedshare-shrink_1280/B56ZsmyOEoGkAs-/0/1765882260799?e=2147483647&amp;v=beta&amp;t=RolOQysPK_S2sP0JmQyfTzpkeOWizlelBK4-xs8MEX4","View Creative")</f>
        <v>View Creative</v>
      </c>
      <c r="L4700" s="4" t="s">
        <v>60</v>
      </c>
      <c r="M4700" s="4" t="s">
        <v>7013</v>
      </c>
      <c r="N4700" s="4" t="s">
        <v>7120</v>
      </c>
      <c r="O4700" s="4" t="s">
        <v>63</v>
      </c>
      <c r="P4700" s="4" t="s">
        <v>64</v>
      </c>
    </row>
    <row r="4701">
      <c r="A4701" s="4" t="s">
        <v>7013</v>
      </c>
      <c r="B4701" s="4" t="s">
        <v>7014</v>
      </c>
      <c r="C4701" s="4">
        <v>650.0</v>
      </c>
      <c r="D4701" s="5" t="str">
        <f t="shared" si="984"/>
        <v>Open Ad</v>
      </c>
      <c r="E4701" s="4" t="s">
        <v>78</v>
      </c>
      <c r="F4701" s="4" t="s">
        <v>6765</v>
      </c>
      <c r="G4701" s="4" t="s">
        <v>7119</v>
      </c>
      <c r="H4701" s="4" t="s">
        <v>49</v>
      </c>
      <c r="I4701" s="4" t="s">
        <v>7016</v>
      </c>
      <c r="J4701" s="4" t="s">
        <v>78</v>
      </c>
      <c r="K4701" s="7" t="str">
        <f t="shared" si="985"/>
        <v>View Creative</v>
      </c>
      <c r="L4701" s="4" t="s">
        <v>60</v>
      </c>
      <c r="M4701" s="4" t="s">
        <v>7013</v>
      </c>
      <c r="N4701" s="4" t="s">
        <v>7120</v>
      </c>
      <c r="O4701" s="4" t="s">
        <v>63</v>
      </c>
      <c r="P4701" s="4" t="s">
        <v>64</v>
      </c>
    </row>
    <row r="4702">
      <c r="A4702" s="4" t="s">
        <v>7013</v>
      </c>
      <c r="B4702" s="4" t="s">
        <v>7014</v>
      </c>
      <c r="C4702" s="4">
        <v>651.0</v>
      </c>
      <c r="D4702" s="5" t="str">
        <f t="shared" ref="D4702:D4703" si="986">HYPERLINK("https://www.linkedin.com/ad-library/detail/1070509574","Open Ad")</f>
        <v>Open Ad</v>
      </c>
      <c r="E4702" s="4" t="s">
        <v>78</v>
      </c>
      <c r="F4702" s="4" t="s">
        <v>6765</v>
      </c>
      <c r="G4702" s="4" t="s">
        <v>7121</v>
      </c>
      <c r="H4702" s="4" t="s">
        <v>49</v>
      </c>
      <c r="I4702" s="4" t="s">
        <v>7016</v>
      </c>
      <c r="J4702" s="4" t="s">
        <v>78</v>
      </c>
      <c r="K4702" s="7" t="str">
        <f t="shared" ref="K4702:K4703" si="987">HYPERLINK("https://media.licdn.com/dms/image/v2/D4D22AQEn2UAOtZRA3w/feedshare-image-high-res/B4DZsM9Gm7LYAs-/0/1765448907178?e=2147483647&amp;v=beta&amp;t=ZFtKTZNnOVmamF6ajxMGtTgwPxTDR7LD0taJoi_0ZSU","View Creative")</f>
        <v>View Creative</v>
      </c>
      <c r="L4702" s="4" t="s">
        <v>60</v>
      </c>
      <c r="M4702" s="4" t="s">
        <v>7013</v>
      </c>
      <c r="N4702" s="4" t="s">
        <v>7122</v>
      </c>
      <c r="O4702" s="4" t="s">
        <v>63</v>
      </c>
      <c r="P4702" s="4" t="s">
        <v>64</v>
      </c>
    </row>
    <row r="4703">
      <c r="A4703" s="4" t="s">
        <v>7013</v>
      </c>
      <c r="B4703" s="4" t="s">
        <v>7014</v>
      </c>
      <c r="C4703" s="4">
        <v>652.0</v>
      </c>
      <c r="D4703" s="5" t="str">
        <f t="shared" si="986"/>
        <v>Open Ad</v>
      </c>
      <c r="E4703" s="4" t="s">
        <v>78</v>
      </c>
      <c r="F4703" s="4" t="s">
        <v>6765</v>
      </c>
      <c r="G4703" s="4" t="s">
        <v>7121</v>
      </c>
      <c r="H4703" s="4" t="s">
        <v>49</v>
      </c>
      <c r="I4703" s="4" t="s">
        <v>7016</v>
      </c>
      <c r="J4703" s="4" t="s">
        <v>78</v>
      </c>
      <c r="K4703" s="7" t="str">
        <f t="shared" si="987"/>
        <v>View Creative</v>
      </c>
      <c r="L4703" s="4" t="s">
        <v>60</v>
      </c>
      <c r="M4703" s="4" t="s">
        <v>7013</v>
      </c>
      <c r="N4703" s="4" t="s">
        <v>7122</v>
      </c>
      <c r="O4703" s="4" t="s">
        <v>63</v>
      </c>
      <c r="P4703" s="4" t="s">
        <v>64</v>
      </c>
    </row>
    <row r="4704">
      <c r="A4704" s="4" t="s">
        <v>7013</v>
      </c>
      <c r="B4704" s="4" t="s">
        <v>7014</v>
      </c>
      <c r="C4704" s="4">
        <v>653.0</v>
      </c>
      <c r="D4704" s="5" t="str">
        <f t="shared" ref="D4704:D4705" si="988">HYPERLINK("https://www.linkedin.com/ad-library/detail/916815004","Open Ad")</f>
        <v>Open Ad</v>
      </c>
      <c r="E4704" s="4" t="s">
        <v>78</v>
      </c>
      <c r="F4704" s="4" t="s">
        <v>6765</v>
      </c>
      <c r="G4704" s="4" t="s">
        <v>7107</v>
      </c>
      <c r="H4704" s="4" t="s">
        <v>49</v>
      </c>
      <c r="I4704" s="4" t="s">
        <v>7016</v>
      </c>
      <c r="J4704" s="4" t="s">
        <v>78</v>
      </c>
      <c r="K4704" s="7" t="str">
        <f t="shared" ref="K4704:K4705" si="989">HYPERLINK("https://media.licdn.com/dms/image/v2/D4E10AQGrXINj2qMDXg/image-shrink_1280/B4EZqYq0HuKgAQ-/0/1763497952309/PeecAi-SeriesAannouncementImagepng?e=2147483647&amp;v=beta&amp;t=ZsfwRxs4S3xd7EWjZeymgk4kcg8ijKT3udTQCjD1K8o","View Creative")</f>
        <v>View Creative</v>
      </c>
      <c r="L4704" s="4" t="s">
        <v>60</v>
      </c>
      <c r="M4704" s="4" t="s">
        <v>7013</v>
      </c>
      <c r="N4704" s="4" t="s">
        <v>7108</v>
      </c>
      <c r="O4704" s="4" t="s">
        <v>63</v>
      </c>
      <c r="P4704" s="4" t="s">
        <v>64</v>
      </c>
    </row>
    <row r="4705">
      <c r="A4705" s="4" t="s">
        <v>7013</v>
      </c>
      <c r="B4705" s="4" t="s">
        <v>7014</v>
      </c>
      <c r="C4705" s="4">
        <v>654.0</v>
      </c>
      <c r="D4705" s="5" t="str">
        <f t="shared" si="988"/>
        <v>Open Ad</v>
      </c>
      <c r="E4705" s="4" t="s">
        <v>78</v>
      </c>
      <c r="F4705" s="4" t="s">
        <v>6765</v>
      </c>
      <c r="G4705" s="4" t="s">
        <v>7107</v>
      </c>
      <c r="H4705" s="4" t="s">
        <v>49</v>
      </c>
      <c r="I4705" s="4" t="s">
        <v>7016</v>
      </c>
      <c r="J4705" s="4" t="s">
        <v>78</v>
      </c>
      <c r="K4705" s="7" t="str">
        <f t="shared" si="989"/>
        <v>View Creative</v>
      </c>
      <c r="L4705" s="4" t="s">
        <v>60</v>
      </c>
      <c r="M4705" s="4" t="s">
        <v>7013</v>
      </c>
      <c r="N4705" s="4" t="s">
        <v>7108</v>
      </c>
      <c r="O4705" s="4" t="s">
        <v>63</v>
      </c>
      <c r="P4705" s="4" t="s">
        <v>64</v>
      </c>
    </row>
    <row r="4706">
      <c r="A4706" s="4" t="s">
        <v>7013</v>
      </c>
      <c r="B4706" s="4" t="s">
        <v>7014</v>
      </c>
      <c r="C4706" s="4">
        <v>655.0</v>
      </c>
      <c r="D4706" s="5" t="str">
        <f t="shared" ref="D4706:D4707" si="990">HYPERLINK("https://www.linkedin.com/ad-library/detail/1123284304","Open Ad")</f>
        <v>Open Ad</v>
      </c>
      <c r="E4706" s="4" t="s">
        <v>78</v>
      </c>
      <c r="F4706" s="4" t="s">
        <v>6765</v>
      </c>
      <c r="G4706" s="4" t="s">
        <v>7098</v>
      </c>
      <c r="H4706" s="4" t="s">
        <v>49</v>
      </c>
      <c r="I4706" s="4" t="s">
        <v>7016</v>
      </c>
      <c r="J4706" s="4" t="s">
        <v>78</v>
      </c>
      <c r="K4706" s="7" t="str">
        <f t="shared" ref="K4706:K4707" si="991">HYPERLINK("https://media.licdn.com/dms/image/v2/D4E10AQFhdvl49SWZJw/image-shrink_1280/B4EZvHOpTsIIAg-/0/1768574064237/Gettrafficpng?e=2147483647&amp;v=beta&amp;t=zW2iradgKhv3Rzcgm7lLXw6UqHtXcSuZb9dYJ_IsQw0","View Creative")</f>
        <v>View Creative</v>
      </c>
      <c r="L4706" s="4" t="s">
        <v>60</v>
      </c>
      <c r="M4706" s="4" t="s">
        <v>7013</v>
      </c>
      <c r="N4706" s="4" t="s">
        <v>7100</v>
      </c>
      <c r="O4706" s="4" t="s">
        <v>63</v>
      </c>
      <c r="P4706" s="4" t="s">
        <v>64</v>
      </c>
    </row>
    <row r="4707">
      <c r="A4707" s="4" t="s">
        <v>7013</v>
      </c>
      <c r="B4707" s="4" t="s">
        <v>7014</v>
      </c>
      <c r="C4707" s="4">
        <v>656.0</v>
      </c>
      <c r="D4707" s="5" t="str">
        <f t="shared" si="990"/>
        <v>Open Ad</v>
      </c>
      <c r="E4707" s="4" t="s">
        <v>78</v>
      </c>
      <c r="F4707" s="4" t="s">
        <v>6765</v>
      </c>
      <c r="G4707" s="4" t="s">
        <v>7098</v>
      </c>
      <c r="H4707" s="4" t="s">
        <v>49</v>
      </c>
      <c r="I4707" s="4" t="s">
        <v>7016</v>
      </c>
      <c r="J4707" s="4" t="s">
        <v>78</v>
      </c>
      <c r="K4707" s="7" t="str">
        <f t="shared" si="991"/>
        <v>View Creative</v>
      </c>
      <c r="L4707" s="4" t="s">
        <v>60</v>
      </c>
      <c r="M4707" s="4" t="s">
        <v>7013</v>
      </c>
      <c r="N4707" s="4" t="s">
        <v>7100</v>
      </c>
      <c r="O4707" s="4" t="s">
        <v>63</v>
      </c>
      <c r="P4707" s="4" t="s">
        <v>64</v>
      </c>
    </row>
    <row r="4708">
      <c r="A4708" s="4" t="s">
        <v>7013</v>
      </c>
      <c r="B4708" s="4" t="s">
        <v>7014</v>
      </c>
      <c r="C4708" s="4">
        <v>657.0</v>
      </c>
      <c r="D4708" s="5" t="str">
        <f t="shared" ref="D4708:D4709" si="992">HYPERLINK("https://www.linkedin.com/ad-library/detail/934197524","Open Ad")</f>
        <v>Open Ad</v>
      </c>
      <c r="E4708" s="4" t="s">
        <v>78</v>
      </c>
      <c r="F4708" s="4" t="s">
        <v>6765</v>
      </c>
      <c r="G4708" s="4" t="s">
        <v>7123</v>
      </c>
      <c r="H4708" s="4" t="s">
        <v>611</v>
      </c>
      <c r="I4708" s="4" t="s">
        <v>7016</v>
      </c>
      <c r="J4708" s="4" t="s">
        <v>78</v>
      </c>
      <c r="K4708" s="7" t="str">
        <f t="shared" ref="K4708:K4709" si="993">HYPERLINK("https://media.licdn.com/dms/image/v2/D4E22AQGgngbYnzzYdQ/feedshare-shrink_1280/B4EZlur.fdKUAs-/0/1758498647909?e=2147483647&amp;v=beta&amp;t=7UTsOYEzI3Pwc86ZWa9z-dZRqX-LnWK-uMKkoGxYMEw","View Creative")</f>
        <v>View Creative</v>
      </c>
      <c r="L4708" s="4" t="s">
        <v>60</v>
      </c>
      <c r="M4708" s="4" t="s">
        <v>7013</v>
      </c>
      <c r="N4708" s="4"/>
      <c r="O4708" s="4" t="s">
        <v>63</v>
      </c>
      <c r="P4708" s="4" t="s">
        <v>64</v>
      </c>
    </row>
    <row r="4709">
      <c r="A4709" s="4" t="s">
        <v>7013</v>
      </c>
      <c r="B4709" s="4" t="s">
        <v>7014</v>
      </c>
      <c r="C4709" s="4">
        <v>658.0</v>
      </c>
      <c r="D4709" s="5" t="str">
        <f t="shared" si="992"/>
        <v>Open Ad</v>
      </c>
      <c r="E4709" s="4" t="s">
        <v>78</v>
      </c>
      <c r="F4709" s="4" t="s">
        <v>6765</v>
      </c>
      <c r="G4709" s="4" t="s">
        <v>7123</v>
      </c>
      <c r="H4709" s="4" t="s">
        <v>611</v>
      </c>
      <c r="I4709" s="4" t="s">
        <v>7016</v>
      </c>
      <c r="J4709" s="4" t="s">
        <v>78</v>
      </c>
      <c r="K4709" s="7" t="str">
        <f t="shared" si="993"/>
        <v>View Creative</v>
      </c>
      <c r="L4709" s="4" t="s">
        <v>60</v>
      </c>
      <c r="M4709" s="4" t="s">
        <v>7013</v>
      </c>
      <c r="N4709" s="4"/>
      <c r="O4709" s="4" t="s">
        <v>63</v>
      </c>
      <c r="P4709" s="4" t="s">
        <v>64</v>
      </c>
    </row>
    <row r="4710">
      <c r="A4710" s="4" t="s">
        <v>7013</v>
      </c>
      <c r="B4710" s="4" t="s">
        <v>7014</v>
      </c>
      <c r="C4710" s="4">
        <v>659.0</v>
      </c>
      <c r="D4710" s="5" t="str">
        <f t="shared" ref="D4710:D4711" si="994">HYPERLINK("https://www.linkedin.com/ad-library/detail/916782384","Open Ad")</f>
        <v>Open Ad</v>
      </c>
      <c r="E4710" s="4" t="s">
        <v>78</v>
      </c>
      <c r="F4710" s="4" t="s">
        <v>6765</v>
      </c>
      <c r="G4710" s="4" t="s">
        <v>7116</v>
      </c>
      <c r="H4710" s="4" t="s">
        <v>49</v>
      </c>
      <c r="I4710" s="4" t="s">
        <v>7016</v>
      </c>
      <c r="J4710" s="4" t="s">
        <v>78</v>
      </c>
      <c r="K4710" s="7" t="str">
        <f t="shared" ref="K4710:K4711" si="995">HYPERLINK("https://media.licdn.com/dms/image/v2/D4E10AQGhh7LV9F74tQ/image-shrink_1280/B4EZqXkncJKkAM-/0/1763479550620/4Lightjpg?e=2147483647&amp;v=beta&amp;t=eoU5wfrx63QrhrkiifZxdA3k09DXN3GDOWhSCCpQXK8","View Creative")</f>
        <v>View Creative</v>
      </c>
      <c r="L4710" s="4" t="s">
        <v>60</v>
      </c>
      <c r="M4710" s="4" t="s">
        <v>7013</v>
      </c>
      <c r="N4710" s="4"/>
      <c r="O4710" s="4" t="s">
        <v>63</v>
      </c>
      <c r="P4710" s="4" t="s">
        <v>64</v>
      </c>
    </row>
    <row r="4711">
      <c r="A4711" s="4" t="s">
        <v>7013</v>
      </c>
      <c r="B4711" s="4" t="s">
        <v>7014</v>
      </c>
      <c r="C4711" s="4">
        <v>660.0</v>
      </c>
      <c r="D4711" s="5" t="str">
        <f t="shared" si="994"/>
        <v>Open Ad</v>
      </c>
      <c r="E4711" s="4" t="s">
        <v>78</v>
      </c>
      <c r="F4711" s="4" t="s">
        <v>6765</v>
      </c>
      <c r="G4711" s="4" t="s">
        <v>7116</v>
      </c>
      <c r="H4711" s="4" t="s">
        <v>49</v>
      </c>
      <c r="I4711" s="4" t="s">
        <v>7016</v>
      </c>
      <c r="J4711" s="4" t="s">
        <v>78</v>
      </c>
      <c r="K4711" s="7" t="str">
        <f t="shared" si="995"/>
        <v>View Creative</v>
      </c>
      <c r="L4711" s="4" t="s">
        <v>60</v>
      </c>
      <c r="M4711" s="4" t="s">
        <v>7013</v>
      </c>
      <c r="N4711" s="4"/>
      <c r="O4711" s="4" t="s">
        <v>63</v>
      </c>
      <c r="P4711" s="4" t="s">
        <v>64</v>
      </c>
    </row>
    <row r="4712">
      <c r="A4712" s="4" t="s">
        <v>7013</v>
      </c>
      <c r="B4712" s="4" t="s">
        <v>7014</v>
      </c>
      <c r="C4712" s="4">
        <v>661.0</v>
      </c>
      <c r="D4712" s="5" t="str">
        <f t="shared" ref="D4712:D4713" si="996">HYPERLINK("https://www.linkedin.com/ad-library/detail/916894384","Open Ad")</f>
        <v>Open Ad</v>
      </c>
      <c r="E4712" s="4" t="s">
        <v>78</v>
      </c>
      <c r="F4712" s="4" t="s">
        <v>6765</v>
      </c>
      <c r="G4712" s="4" t="s">
        <v>7107</v>
      </c>
      <c r="H4712" s="4" t="s">
        <v>49</v>
      </c>
      <c r="I4712" s="4" t="s">
        <v>7016</v>
      </c>
      <c r="J4712" s="4" t="s">
        <v>78</v>
      </c>
      <c r="K4712" s="7" t="str">
        <f t="shared" ref="K4712:K4713" si="997">HYPERLINK("https://media.licdn.com/dms/image/v2/D4E10AQGrXINj2qMDXg/image-shrink_1280/B4EZqYq0HuKgAQ-/0/1763497952309/PeecAi-SeriesAannouncementImagepng?e=2147483647&amp;v=beta&amp;t=ZsfwRxs4S3xd7EWjZeymgk4kcg8ijKT3udTQCjD1K8o","View Creative")</f>
        <v>View Creative</v>
      </c>
      <c r="L4712" s="4" t="s">
        <v>60</v>
      </c>
      <c r="M4712" s="4" t="s">
        <v>7013</v>
      </c>
      <c r="N4712" s="4" t="s">
        <v>7124</v>
      </c>
      <c r="O4712" s="4" t="s">
        <v>63</v>
      </c>
      <c r="P4712" s="4" t="s">
        <v>64</v>
      </c>
    </row>
    <row r="4713">
      <c r="A4713" s="4" t="s">
        <v>7013</v>
      </c>
      <c r="B4713" s="4" t="s">
        <v>7014</v>
      </c>
      <c r="C4713" s="4">
        <v>662.0</v>
      </c>
      <c r="D4713" s="5" t="str">
        <f t="shared" si="996"/>
        <v>Open Ad</v>
      </c>
      <c r="E4713" s="4" t="s">
        <v>78</v>
      </c>
      <c r="F4713" s="4" t="s">
        <v>6765</v>
      </c>
      <c r="G4713" s="4" t="s">
        <v>7107</v>
      </c>
      <c r="H4713" s="4" t="s">
        <v>49</v>
      </c>
      <c r="I4713" s="4" t="s">
        <v>7016</v>
      </c>
      <c r="J4713" s="4" t="s">
        <v>78</v>
      </c>
      <c r="K4713" s="7" t="str">
        <f t="shared" si="997"/>
        <v>View Creative</v>
      </c>
      <c r="L4713" s="4" t="s">
        <v>60</v>
      </c>
      <c r="M4713" s="4" t="s">
        <v>7013</v>
      </c>
      <c r="N4713" s="4" t="s">
        <v>7124</v>
      </c>
      <c r="O4713" s="4" t="s">
        <v>63</v>
      </c>
      <c r="P4713" s="4" t="s">
        <v>64</v>
      </c>
    </row>
    <row r="4714">
      <c r="A4714" s="4" t="s">
        <v>7013</v>
      </c>
      <c r="B4714" s="4" t="s">
        <v>7014</v>
      </c>
      <c r="C4714" s="4">
        <v>663.0</v>
      </c>
      <c r="D4714" s="5" t="str">
        <f t="shared" ref="D4714:D4715" si="998">HYPERLINK("https://www.linkedin.com/ad-library/detail/916762164","Open Ad")</f>
        <v>Open Ad</v>
      </c>
      <c r="E4714" s="4" t="s">
        <v>78</v>
      </c>
      <c r="F4714" s="4" t="s">
        <v>6765</v>
      </c>
      <c r="G4714" s="4" t="s">
        <v>7125</v>
      </c>
      <c r="H4714" s="4" t="s">
        <v>49</v>
      </c>
      <c r="I4714" s="4" t="s">
        <v>7016</v>
      </c>
      <c r="J4714" s="4" t="s">
        <v>78</v>
      </c>
      <c r="K4714" s="7" t="str">
        <f t="shared" ref="K4714:K4715" si="999">HYPERLINK("https://media.licdn.com/dms/image/v2/D4E10AQFyqNp1_XAbUA/image-shrink_1280/B4EZqXlVmuKkAU-/0/1763479739753/2Dark-1jpg?e=2147483647&amp;v=beta&amp;t=iZhl9TBautCZUHYjey6WYaA0RTOMTzCLLARQ6xpquy0","View Creative")</f>
        <v>View Creative</v>
      </c>
      <c r="L4714" s="4" t="s">
        <v>60</v>
      </c>
      <c r="M4714" s="4" t="s">
        <v>7013</v>
      </c>
      <c r="N4714" s="4"/>
      <c r="O4714" s="4" t="s">
        <v>63</v>
      </c>
      <c r="P4714" s="4" t="s">
        <v>64</v>
      </c>
    </row>
    <row r="4715">
      <c r="A4715" s="4" t="s">
        <v>7013</v>
      </c>
      <c r="B4715" s="4" t="s">
        <v>7014</v>
      </c>
      <c r="C4715" s="4">
        <v>664.0</v>
      </c>
      <c r="D4715" s="5" t="str">
        <f t="shared" si="998"/>
        <v>Open Ad</v>
      </c>
      <c r="E4715" s="4" t="s">
        <v>78</v>
      </c>
      <c r="F4715" s="4" t="s">
        <v>6765</v>
      </c>
      <c r="G4715" s="4" t="s">
        <v>7125</v>
      </c>
      <c r="H4715" s="4" t="s">
        <v>49</v>
      </c>
      <c r="I4715" s="4" t="s">
        <v>7016</v>
      </c>
      <c r="J4715" s="4" t="s">
        <v>78</v>
      </c>
      <c r="K4715" s="7" t="str">
        <f t="shared" si="999"/>
        <v>View Creative</v>
      </c>
      <c r="L4715" s="4" t="s">
        <v>60</v>
      </c>
      <c r="M4715" s="4" t="s">
        <v>7013</v>
      </c>
      <c r="N4715" s="4"/>
      <c r="O4715" s="4" t="s">
        <v>63</v>
      </c>
      <c r="P4715" s="4" t="s">
        <v>64</v>
      </c>
    </row>
    <row r="4716">
      <c r="A4716" s="4" t="s">
        <v>7013</v>
      </c>
      <c r="B4716" s="4" t="s">
        <v>7014</v>
      </c>
      <c r="C4716" s="4">
        <v>665.0</v>
      </c>
      <c r="D4716" s="5" t="str">
        <f t="shared" ref="D4716:D4717" si="1000">HYPERLINK("https://www.linkedin.com/ad-library/detail/934326554","Open Ad")</f>
        <v>Open Ad</v>
      </c>
      <c r="E4716" s="4" t="s">
        <v>78</v>
      </c>
      <c r="F4716" s="4" t="s">
        <v>6765</v>
      </c>
      <c r="G4716" s="4" t="s">
        <v>7123</v>
      </c>
      <c r="H4716" s="4" t="s">
        <v>611</v>
      </c>
      <c r="I4716" s="4" t="s">
        <v>7016</v>
      </c>
      <c r="J4716" s="4" t="s">
        <v>78</v>
      </c>
      <c r="K4716" s="7" t="str">
        <f t="shared" ref="K4716:K4717" si="1001">HYPERLINK("https://media.licdn.com/dms/image/v2/D4E22AQGgngbYnzzYdQ/feedshare-shrink_1280/B4EZlur.fdKUAs-/0/1758498647909?e=2147483647&amp;v=beta&amp;t=7UTsOYEzI3Pwc86ZWa9z-dZRqX-LnWK-uMKkoGxYMEw","View Creative")</f>
        <v>View Creative</v>
      </c>
      <c r="L4716" s="4" t="s">
        <v>60</v>
      </c>
      <c r="M4716" s="4" t="s">
        <v>7013</v>
      </c>
      <c r="N4716" s="4"/>
      <c r="O4716" s="4" t="s">
        <v>63</v>
      </c>
      <c r="P4716" s="4" t="s">
        <v>64</v>
      </c>
    </row>
    <row r="4717">
      <c r="A4717" s="4" t="s">
        <v>7013</v>
      </c>
      <c r="B4717" s="4" t="s">
        <v>7014</v>
      </c>
      <c r="C4717" s="4">
        <v>666.0</v>
      </c>
      <c r="D4717" s="5" t="str">
        <f t="shared" si="1000"/>
        <v>Open Ad</v>
      </c>
      <c r="E4717" s="4" t="s">
        <v>78</v>
      </c>
      <c r="F4717" s="4" t="s">
        <v>6765</v>
      </c>
      <c r="G4717" s="4" t="s">
        <v>7123</v>
      </c>
      <c r="H4717" s="4" t="s">
        <v>611</v>
      </c>
      <c r="I4717" s="4" t="s">
        <v>7016</v>
      </c>
      <c r="J4717" s="4" t="s">
        <v>78</v>
      </c>
      <c r="K4717" s="7" t="str">
        <f t="shared" si="1001"/>
        <v>View Creative</v>
      </c>
      <c r="L4717" s="4" t="s">
        <v>60</v>
      </c>
      <c r="M4717" s="4" t="s">
        <v>7013</v>
      </c>
      <c r="N4717" s="4"/>
      <c r="O4717" s="4" t="s">
        <v>63</v>
      </c>
      <c r="P4717" s="4" t="s">
        <v>64</v>
      </c>
    </row>
    <row r="4718">
      <c r="A4718" s="4" t="s">
        <v>7013</v>
      </c>
      <c r="B4718" s="4" t="s">
        <v>7014</v>
      </c>
      <c r="C4718" s="4">
        <v>667.0</v>
      </c>
      <c r="D4718" s="5" t="str">
        <f t="shared" ref="D4718:D4719" si="1002">HYPERLINK("https://www.linkedin.com/ad-library/detail/919666484","Open Ad")</f>
        <v>Open Ad</v>
      </c>
      <c r="E4718" s="4" t="s">
        <v>78</v>
      </c>
      <c r="F4718" s="4" t="s">
        <v>6765</v>
      </c>
      <c r="G4718" s="4" t="s">
        <v>7113</v>
      </c>
      <c r="H4718" s="4" t="s">
        <v>49</v>
      </c>
      <c r="I4718" s="4" t="s">
        <v>7016</v>
      </c>
      <c r="J4718" s="4" t="s">
        <v>78</v>
      </c>
      <c r="K4718" s="7" t="str">
        <f t="shared" ref="K4718:K4721" si="1003">HYPERLINK("https://media.licdn.com/dms/image/v2/D4E10AQHYboYAvoxQmA/image-shrink_1280/B4EZqnXUXmGoAM-/0/1763744500928/peec_linkedin_ad-dark_04png?e=2147483647&amp;v=beta&amp;t=dwdMbElMrffF1FIzaTi61F52Wo9BQSRysuZvI--0f0M","View Creative")</f>
        <v>View Creative</v>
      </c>
      <c r="L4718" s="4" t="s">
        <v>60</v>
      </c>
      <c r="M4718" s="4" t="s">
        <v>7013</v>
      </c>
      <c r="N4718" s="4" t="s">
        <v>7114</v>
      </c>
      <c r="O4718" s="4" t="s">
        <v>63</v>
      </c>
      <c r="P4718" s="4" t="s">
        <v>64</v>
      </c>
    </row>
    <row r="4719">
      <c r="A4719" s="4" t="s">
        <v>7013</v>
      </c>
      <c r="B4719" s="4" t="s">
        <v>7014</v>
      </c>
      <c r="C4719" s="4">
        <v>668.0</v>
      </c>
      <c r="D4719" s="5" t="str">
        <f t="shared" si="1002"/>
        <v>Open Ad</v>
      </c>
      <c r="E4719" s="4" t="s">
        <v>78</v>
      </c>
      <c r="F4719" s="4" t="s">
        <v>6765</v>
      </c>
      <c r="G4719" s="4" t="s">
        <v>7113</v>
      </c>
      <c r="H4719" s="4" t="s">
        <v>49</v>
      </c>
      <c r="I4719" s="4" t="s">
        <v>7016</v>
      </c>
      <c r="J4719" s="4" t="s">
        <v>78</v>
      </c>
      <c r="K4719" s="7" t="str">
        <f t="shared" si="1003"/>
        <v>View Creative</v>
      </c>
      <c r="L4719" s="4" t="s">
        <v>60</v>
      </c>
      <c r="M4719" s="4" t="s">
        <v>7013</v>
      </c>
      <c r="N4719" s="4" t="s">
        <v>7114</v>
      </c>
      <c r="O4719" s="4" t="s">
        <v>63</v>
      </c>
      <c r="P4719" s="4" t="s">
        <v>64</v>
      </c>
    </row>
    <row r="4720">
      <c r="A4720" s="4" t="s">
        <v>7013</v>
      </c>
      <c r="B4720" s="4" t="s">
        <v>7014</v>
      </c>
      <c r="C4720" s="4">
        <v>669.0</v>
      </c>
      <c r="D4720" s="5" t="str">
        <f t="shared" ref="D4720:D4721" si="1004">HYPERLINK("https://www.linkedin.com/ad-library/detail/919476574","Open Ad")</f>
        <v>Open Ad</v>
      </c>
      <c r="E4720" s="4" t="s">
        <v>78</v>
      </c>
      <c r="F4720" s="4" t="s">
        <v>6765</v>
      </c>
      <c r="G4720" s="4" t="s">
        <v>7115</v>
      </c>
      <c r="H4720" s="4" t="s">
        <v>49</v>
      </c>
      <c r="I4720" s="4" t="s">
        <v>7016</v>
      </c>
      <c r="J4720" s="4" t="s">
        <v>78</v>
      </c>
      <c r="K4720" s="7" t="str">
        <f t="shared" si="1003"/>
        <v>View Creative</v>
      </c>
      <c r="L4720" s="4" t="s">
        <v>60</v>
      </c>
      <c r="M4720" s="4" t="s">
        <v>7013</v>
      </c>
      <c r="N4720" s="4" t="s">
        <v>7114</v>
      </c>
      <c r="O4720" s="4" t="s">
        <v>63</v>
      </c>
      <c r="P4720" s="4" t="s">
        <v>64</v>
      </c>
    </row>
    <row r="4721">
      <c r="A4721" s="4" t="s">
        <v>7013</v>
      </c>
      <c r="B4721" s="4" t="s">
        <v>7014</v>
      </c>
      <c r="C4721" s="4">
        <v>670.0</v>
      </c>
      <c r="D4721" s="5" t="str">
        <f t="shared" si="1004"/>
        <v>Open Ad</v>
      </c>
      <c r="E4721" s="4" t="s">
        <v>78</v>
      </c>
      <c r="F4721" s="4" t="s">
        <v>6765</v>
      </c>
      <c r="G4721" s="4" t="s">
        <v>7115</v>
      </c>
      <c r="H4721" s="4" t="s">
        <v>49</v>
      </c>
      <c r="I4721" s="4" t="s">
        <v>7016</v>
      </c>
      <c r="J4721" s="4" t="s">
        <v>78</v>
      </c>
      <c r="K4721" s="7" t="str">
        <f t="shared" si="1003"/>
        <v>View Creative</v>
      </c>
      <c r="L4721" s="4" t="s">
        <v>60</v>
      </c>
      <c r="M4721" s="4" t="s">
        <v>7013</v>
      </c>
      <c r="N4721" s="4" t="s">
        <v>7114</v>
      </c>
      <c r="O4721" s="4" t="s">
        <v>63</v>
      </c>
      <c r="P4721" s="4" t="s">
        <v>64</v>
      </c>
    </row>
    <row r="4722">
      <c r="A4722" s="4" t="s">
        <v>7013</v>
      </c>
      <c r="B4722" s="4" t="s">
        <v>7014</v>
      </c>
      <c r="C4722" s="4">
        <v>671.0</v>
      </c>
      <c r="D4722" s="5" t="str">
        <f t="shared" ref="D4722:D4723" si="1005">HYPERLINK("https://www.linkedin.com/ad-library/detail/916812484","Open Ad")</f>
        <v>Open Ad</v>
      </c>
      <c r="E4722" s="4" t="s">
        <v>78</v>
      </c>
      <c r="F4722" s="4" t="s">
        <v>6765</v>
      </c>
      <c r="G4722" s="4" t="s">
        <v>7116</v>
      </c>
      <c r="H4722" s="4" t="s">
        <v>49</v>
      </c>
      <c r="I4722" s="4" t="s">
        <v>7016</v>
      </c>
      <c r="J4722" s="4" t="s">
        <v>78</v>
      </c>
      <c r="K4722" s="7" t="str">
        <f t="shared" ref="K4722:K4723" si="1006">HYPERLINK("https://media.licdn.com/dms/image/v2/D4E10AQEGBOzQY5J0Ig/image-shrink_1280/B4EZqXkFQHIIAQ-/0/1763479410773/2Darkjpg?e=2147483647&amp;v=beta&amp;t=erfq82UzNpZu5Zl5UHAnfU9yBixcEf2q-7xjAyGgUQo","View Creative")</f>
        <v>View Creative</v>
      </c>
      <c r="L4722" s="4" t="s">
        <v>60</v>
      </c>
      <c r="M4722" s="4" t="s">
        <v>7013</v>
      </c>
      <c r="N4722" s="4"/>
      <c r="O4722" s="4" t="s">
        <v>63</v>
      </c>
      <c r="P4722" s="4" t="s">
        <v>64</v>
      </c>
    </row>
    <row r="4723">
      <c r="A4723" s="4" t="s">
        <v>7013</v>
      </c>
      <c r="B4723" s="4" t="s">
        <v>7014</v>
      </c>
      <c r="C4723" s="4">
        <v>672.0</v>
      </c>
      <c r="D4723" s="5" t="str">
        <f t="shared" si="1005"/>
        <v>Open Ad</v>
      </c>
      <c r="E4723" s="4" t="s">
        <v>78</v>
      </c>
      <c r="F4723" s="4" t="s">
        <v>6765</v>
      </c>
      <c r="G4723" s="4" t="s">
        <v>7116</v>
      </c>
      <c r="H4723" s="4" t="s">
        <v>49</v>
      </c>
      <c r="I4723" s="4" t="s">
        <v>7016</v>
      </c>
      <c r="J4723" s="4" t="s">
        <v>78</v>
      </c>
      <c r="K4723" s="7" t="str">
        <f t="shared" si="1006"/>
        <v>View Creative</v>
      </c>
      <c r="L4723" s="4" t="s">
        <v>60</v>
      </c>
      <c r="M4723" s="4" t="s">
        <v>7013</v>
      </c>
      <c r="N4723" s="4"/>
      <c r="O4723" s="4" t="s">
        <v>63</v>
      </c>
      <c r="P4723" s="4" t="s">
        <v>64</v>
      </c>
    </row>
    <row r="4724">
      <c r="A4724" s="4" t="s">
        <v>7013</v>
      </c>
      <c r="B4724" s="4" t="s">
        <v>7014</v>
      </c>
      <c r="C4724" s="4">
        <v>673.0</v>
      </c>
      <c r="D4724" s="5" t="str">
        <f t="shared" ref="D4724:D4725" si="1007">HYPERLINK("https://www.linkedin.com/ad-library/detail/916852064","Open Ad")</f>
        <v>Open Ad</v>
      </c>
      <c r="E4724" s="4" t="s">
        <v>78</v>
      </c>
      <c r="F4724" s="4" t="s">
        <v>6765</v>
      </c>
      <c r="G4724" s="4" t="s">
        <v>7125</v>
      </c>
      <c r="H4724" s="4" t="s">
        <v>49</v>
      </c>
      <c r="I4724" s="4" t="s">
        <v>7016</v>
      </c>
      <c r="J4724" s="4" t="s">
        <v>78</v>
      </c>
      <c r="K4724" s="7" t="str">
        <f t="shared" ref="K4724:K4725" si="1008">HYPERLINK("https://media.licdn.com/dms/image/v2/D4E10AQHnhFdk5erWzw/image-shrink_1280/B4EZqXl1jdHcAQ-/0/1763479870659/4Dark-1jpg?e=2147483647&amp;v=beta&amp;t=wQnFAsjwRWIR2Up9jZTNCEwfUoCUCC6kW19Coj1cMSo","View Creative")</f>
        <v>View Creative</v>
      </c>
      <c r="L4724" s="4" t="s">
        <v>60</v>
      </c>
      <c r="M4724" s="4" t="s">
        <v>7013</v>
      </c>
      <c r="N4724" s="4"/>
      <c r="O4724" s="4" t="s">
        <v>63</v>
      </c>
      <c r="P4724" s="4" t="s">
        <v>64</v>
      </c>
    </row>
    <row r="4725">
      <c r="A4725" s="4" t="s">
        <v>7013</v>
      </c>
      <c r="B4725" s="4" t="s">
        <v>7014</v>
      </c>
      <c r="C4725" s="4">
        <v>674.0</v>
      </c>
      <c r="D4725" s="5" t="str">
        <f t="shared" si="1007"/>
        <v>Open Ad</v>
      </c>
      <c r="E4725" s="4" t="s">
        <v>78</v>
      </c>
      <c r="F4725" s="4" t="s">
        <v>6765</v>
      </c>
      <c r="G4725" s="4" t="s">
        <v>7125</v>
      </c>
      <c r="H4725" s="4" t="s">
        <v>49</v>
      </c>
      <c r="I4725" s="4" t="s">
        <v>7016</v>
      </c>
      <c r="J4725" s="4" t="s">
        <v>78</v>
      </c>
      <c r="K4725" s="7" t="str">
        <f t="shared" si="1008"/>
        <v>View Creative</v>
      </c>
      <c r="L4725" s="4" t="s">
        <v>60</v>
      </c>
      <c r="M4725" s="4" t="s">
        <v>7013</v>
      </c>
      <c r="N4725" s="4"/>
      <c r="O4725" s="4" t="s">
        <v>63</v>
      </c>
      <c r="P4725" s="4" t="s">
        <v>64</v>
      </c>
    </row>
    <row r="4726">
      <c r="A4726" s="4" t="s">
        <v>7013</v>
      </c>
      <c r="B4726" s="4" t="s">
        <v>7014</v>
      </c>
      <c r="C4726" s="4">
        <v>675.0</v>
      </c>
      <c r="D4726" s="5" t="str">
        <f t="shared" ref="D4726:D4727" si="1009">HYPERLINK("https://www.linkedin.com/ad-library/detail/916722994","Open Ad")</f>
        <v>Open Ad</v>
      </c>
      <c r="E4726" s="4" t="s">
        <v>78</v>
      </c>
      <c r="F4726" s="4" t="s">
        <v>6765</v>
      </c>
      <c r="G4726" s="4" t="s">
        <v>7106</v>
      </c>
      <c r="H4726" s="4" t="s">
        <v>49</v>
      </c>
      <c r="I4726" s="4" t="s">
        <v>7016</v>
      </c>
      <c r="J4726" s="4" t="s">
        <v>78</v>
      </c>
      <c r="K4726" s="7" t="str">
        <f t="shared" ref="K4726:K4727" si="1010">HYPERLINK("https://media.licdn.com/dms/image/v2/D4E10AQExlvzvwZR9Cw/image-shrink_1280/B4EZqXjO3_JgAQ-/0/1763479187977/3Dark-2jpg?e=2147483647&amp;v=beta&amp;t=hIw8-9_xZmTLDeJdkluPd0WO2TRrUEIgeIYzXYtAh1g","View Creative")</f>
        <v>View Creative</v>
      </c>
      <c r="L4726" s="4" t="s">
        <v>60</v>
      </c>
      <c r="M4726" s="4" t="s">
        <v>7013</v>
      </c>
      <c r="N4726" s="4"/>
      <c r="O4726" s="4" t="s">
        <v>63</v>
      </c>
      <c r="P4726" s="4" t="s">
        <v>64</v>
      </c>
    </row>
    <row r="4727">
      <c r="A4727" s="4" t="s">
        <v>7013</v>
      </c>
      <c r="B4727" s="4" t="s">
        <v>7014</v>
      </c>
      <c r="C4727" s="4">
        <v>676.0</v>
      </c>
      <c r="D4727" s="5" t="str">
        <f t="shared" si="1009"/>
        <v>Open Ad</v>
      </c>
      <c r="E4727" s="4" t="s">
        <v>78</v>
      </c>
      <c r="F4727" s="4" t="s">
        <v>6765</v>
      </c>
      <c r="G4727" s="4" t="s">
        <v>7106</v>
      </c>
      <c r="H4727" s="4" t="s">
        <v>49</v>
      </c>
      <c r="I4727" s="4" t="s">
        <v>7016</v>
      </c>
      <c r="J4727" s="4" t="s">
        <v>78</v>
      </c>
      <c r="K4727" s="7" t="str">
        <f t="shared" si="1010"/>
        <v>View Creative</v>
      </c>
      <c r="L4727" s="4" t="s">
        <v>60</v>
      </c>
      <c r="M4727" s="4" t="s">
        <v>7013</v>
      </c>
      <c r="N4727" s="4"/>
      <c r="O4727" s="4" t="s">
        <v>63</v>
      </c>
      <c r="P4727" s="4" t="s">
        <v>64</v>
      </c>
    </row>
    <row r="4728">
      <c r="A4728" s="4" t="s">
        <v>7013</v>
      </c>
      <c r="B4728" s="4" t="s">
        <v>7014</v>
      </c>
      <c r="C4728" s="4">
        <v>677.0</v>
      </c>
      <c r="D4728" s="5" t="str">
        <f t="shared" ref="D4728:D4729" si="1011">HYPERLINK("https://www.linkedin.com/ad-library/detail/916722984","Open Ad")</f>
        <v>Open Ad</v>
      </c>
      <c r="E4728" s="4" t="s">
        <v>78</v>
      </c>
      <c r="F4728" s="4" t="s">
        <v>6765</v>
      </c>
      <c r="G4728" s="4" t="s">
        <v>7106</v>
      </c>
      <c r="H4728" s="4" t="s">
        <v>49</v>
      </c>
      <c r="I4728" s="4" t="s">
        <v>7016</v>
      </c>
      <c r="J4728" s="4" t="s">
        <v>78</v>
      </c>
      <c r="K4728" s="7" t="str">
        <f t="shared" ref="K4728:K4729" si="1012">HYPERLINK("https://media.licdn.com/dms/image/v2/D4E10AQHFRHPc9FWrHg/image-shrink_1280/B4EZqXjE10HoAQ-/0/1763479146737/3Light-2jpg?e=2147483647&amp;v=beta&amp;t=rZhguR_gys1_eeccCKD40rY_p2pWztc9kFpk08d6MnM","View Creative")</f>
        <v>View Creative</v>
      </c>
      <c r="L4728" s="4" t="s">
        <v>60</v>
      </c>
      <c r="M4728" s="4" t="s">
        <v>7013</v>
      </c>
      <c r="N4728" s="4"/>
      <c r="O4728" s="4" t="s">
        <v>63</v>
      </c>
      <c r="P4728" s="4" t="s">
        <v>64</v>
      </c>
    </row>
    <row r="4729">
      <c r="A4729" s="4" t="s">
        <v>7013</v>
      </c>
      <c r="B4729" s="4" t="s">
        <v>7014</v>
      </c>
      <c r="C4729" s="4">
        <v>678.0</v>
      </c>
      <c r="D4729" s="5" t="str">
        <f t="shared" si="1011"/>
        <v>Open Ad</v>
      </c>
      <c r="E4729" s="4" t="s">
        <v>78</v>
      </c>
      <c r="F4729" s="4" t="s">
        <v>6765</v>
      </c>
      <c r="G4729" s="4" t="s">
        <v>7106</v>
      </c>
      <c r="H4729" s="4" t="s">
        <v>49</v>
      </c>
      <c r="I4729" s="4" t="s">
        <v>7016</v>
      </c>
      <c r="J4729" s="4" t="s">
        <v>78</v>
      </c>
      <c r="K4729" s="7" t="str">
        <f t="shared" si="1012"/>
        <v>View Creative</v>
      </c>
      <c r="L4729" s="4" t="s">
        <v>60</v>
      </c>
      <c r="M4729" s="4" t="s">
        <v>7013</v>
      </c>
      <c r="N4729" s="4"/>
      <c r="O4729" s="4" t="s">
        <v>63</v>
      </c>
      <c r="P4729" s="4" t="s">
        <v>64</v>
      </c>
    </row>
    <row r="4730">
      <c r="A4730" s="4" t="s">
        <v>7013</v>
      </c>
      <c r="B4730" s="4" t="s">
        <v>7014</v>
      </c>
      <c r="C4730" s="4">
        <v>679.0</v>
      </c>
      <c r="D4730" s="5" t="str">
        <f t="shared" ref="D4730:D4731" si="1013">HYPERLINK("https://www.linkedin.com/ad-library/detail/916911894","Open Ad")</f>
        <v>Open Ad</v>
      </c>
      <c r="E4730" s="4" t="s">
        <v>78</v>
      </c>
      <c r="F4730" s="4" t="s">
        <v>6765</v>
      </c>
      <c r="G4730" s="4" t="s">
        <v>7116</v>
      </c>
      <c r="H4730" s="4" t="s">
        <v>49</v>
      </c>
      <c r="I4730" s="4" t="s">
        <v>7016</v>
      </c>
      <c r="J4730" s="4" t="s">
        <v>78</v>
      </c>
      <c r="K4730" s="7" t="str">
        <f t="shared" ref="K4730:K4731" si="1014">HYPERLINK("https://media.licdn.com/dms/image/v2/D4E10AQEGBOzQY5J0Ig/image-shrink_1280/B4EZqXkFQHIIAQ-/0/1763479410773/2Darkjpg?e=2147483647&amp;v=beta&amp;t=erfq82UzNpZu5Zl5UHAnfU9yBixcEf2q-7xjAyGgUQo","View Creative")</f>
        <v>View Creative</v>
      </c>
      <c r="L4730" s="4" t="s">
        <v>60</v>
      </c>
      <c r="M4730" s="4" t="s">
        <v>7013</v>
      </c>
      <c r="N4730" s="4"/>
      <c r="O4730" s="4" t="s">
        <v>63</v>
      </c>
      <c r="P4730" s="4" t="s">
        <v>64</v>
      </c>
    </row>
    <row r="4731">
      <c r="A4731" s="4" t="s">
        <v>7013</v>
      </c>
      <c r="B4731" s="4" t="s">
        <v>7014</v>
      </c>
      <c r="C4731" s="4">
        <v>680.0</v>
      </c>
      <c r="D4731" s="5" t="str">
        <f t="shared" si="1013"/>
        <v>Open Ad</v>
      </c>
      <c r="E4731" s="4" t="s">
        <v>78</v>
      </c>
      <c r="F4731" s="4" t="s">
        <v>6765</v>
      </c>
      <c r="G4731" s="4" t="s">
        <v>7116</v>
      </c>
      <c r="H4731" s="4" t="s">
        <v>49</v>
      </c>
      <c r="I4731" s="4" t="s">
        <v>7016</v>
      </c>
      <c r="J4731" s="4" t="s">
        <v>78</v>
      </c>
      <c r="K4731" s="7" t="str">
        <f t="shared" si="1014"/>
        <v>View Creative</v>
      </c>
      <c r="L4731" s="4" t="s">
        <v>60</v>
      </c>
      <c r="M4731" s="4" t="s">
        <v>7013</v>
      </c>
      <c r="N4731" s="4"/>
      <c r="O4731" s="4" t="s">
        <v>63</v>
      </c>
      <c r="P4731" s="4" t="s">
        <v>64</v>
      </c>
    </row>
    <row r="4732">
      <c r="A4732" s="4" t="s">
        <v>7013</v>
      </c>
      <c r="B4732" s="4" t="s">
        <v>7014</v>
      </c>
      <c r="C4732" s="4">
        <v>681.0</v>
      </c>
      <c r="D4732" s="5" t="str">
        <f t="shared" ref="D4732:D4733" si="1015">HYPERLINK("https://www.linkedin.com/ad-library/detail/916752484","Open Ad")</f>
        <v>Open Ad</v>
      </c>
      <c r="E4732" s="4" t="s">
        <v>78</v>
      </c>
      <c r="F4732" s="4" t="s">
        <v>6765</v>
      </c>
      <c r="G4732" s="4" t="s">
        <v>7106</v>
      </c>
      <c r="H4732" s="4" t="s">
        <v>49</v>
      </c>
      <c r="I4732" s="4" t="s">
        <v>7016</v>
      </c>
      <c r="J4732" s="4" t="s">
        <v>78</v>
      </c>
      <c r="K4732" s="7" t="str">
        <f t="shared" ref="K4732:K4733" si="1016">HYPERLINK("https://media.licdn.com/dms/image/v2/D4E10AQHFRHPc9FWrHg/image-shrink_1280/B4EZqXjE10HoAQ-/0/1763479146737/3Light-2jpg?e=2147483647&amp;v=beta&amp;t=rZhguR_gys1_eeccCKD40rY_p2pWztc9kFpk08d6MnM","View Creative")</f>
        <v>View Creative</v>
      </c>
      <c r="L4732" s="4" t="s">
        <v>60</v>
      </c>
      <c r="M4732" s="4" t="s">
        <v>7013</v>
      </c>
      <c r="N4732" s="4"/>
      <c r="O4732" s="4" t="s">
        <v>63</v>
      </c>
      <c r="P4732" s="4" t="s">
        <v>64</v>
      </c>
    </row>
    <row r="4733">
      <c r="A4733" s="4" t="s">
        <v>7013</v>
      </c>
      <c r="B4733" s="4" t="s">
        <v>7014</v>
      </c>
      <c r="C4733" s="4">
        <v>682.0</v>
      </c>
      <c r="D4733" s="5" t="str">
        <f t="shared" si="1015"/>
        <v>Open Ad</v>
      </c>
      <c r="E4733" s="4" t="s">
        <v>78</v>
      </c>
      <c r="F4733" s="4" t="s">
        <v>6765</v>
      </c>
      <c r="G4733" s="4" t="s">
        <v>7106</v>
      </c>
      <c r="H4733" s="4" t="s">
        <v>49</v>
      </c>
      <c r="I4733" s="4" t="s">
        <v>7016</v>
      </c>
      <c r="J4733" s="4" t="s">
        <v>78</v>
      </c>
      <c r="K4733" s="7" t="str">
        <f t="shared" si="1016"/>
        <v>View Creative</v>
      </c>
      <c r="L4733" s="4" t="s">
        <v>60</v>
      </c>
      <c r="M4733" s="4" t="s">
        <v>7013</v>
      </c>
      <c r="N4733" s="4"/>
      <c r="O4733" s="4" t="s">
        <v>63</v>
      </c>
      <c r="P4733" s="4" t="s">
        <v>64</v>
      </c>
    </row>
    <row r="4734">
      <c r="A4734" s="4" t="s">
        <v>7013</v>
      </c>
      <c r="B4734" s="4" t="s">
        <v>7014</v>
      </c>
      <c r="C4734" s="4">
        <v>683.0</v>
      </c>
      <c r="D4734" s="5" t="str">
        <f t="shared" ref="D4734:D4735" si="1017">HYPERLINK("https://www.linkedin.com/ad-library/detail/916713294","Open Ad")</f>
        <v>Open Ad</v>
      </c>
      <c r="E4734" s="4" t="s">
        <v>78</v>
      </c>
      <c r="F4734" s="4" t="s">
        <v>6765</v>
      </c>
      <c r="G4734" s="4" t="s">
        <v>7125</v>
      </c>
      <c r="H4734" s="4" t="s">
        <v>49</v>
      </c>
      <c r="I4734" s="4" t="s">
        <v>7016</v>
      </c>
      <c r="J4734" s="4" t="s">
        <v>78</v>
      </c>
      <c r="K4734" s="7" t="str">
        <f t="shared" ref="K4734:K4735" si="1018">HYPERLINK("https://media.licdn.com/dms/image/v2/D4E10AQG-5ahZNFJ0Qw/image-shrink_1280/B4EZqXlcw9J0AQ-/0/1763479769117/3Dark-1jpg?e=2147483647&amp;v=beta&amp;t=4-8BXjQk2Kp5K6WaUT9S6iuqFLEfdncrDe1XCFFXnhA","View Creative")</f>
        <v>View Creative</v>
      </c>
      <c r="L4734" s="4" t="s">
        <v>60</v>
      </c>
      <c r="M4734" s="4" t="s">
        <v>7013</v>
      </c>
      <c r="N4734" s="4"/>
      <c r="O4734" s="4" t="s">
        <v>63</v>
      </c>
      <c r="P4734" s="4" t="s">
        <v>64</v>
      </c>
    </row>
    <row r="4735">
      <c r="A4735" s="4" t="s">
        <v>7013</v>
      </c>
      <c r="B4735" s="4" t="s">
        <v>7014</v>
      </c>
      <c r="C4735" s="4">
        <v>684.0</v>
      </c>
      <c r="D4735" s="5" t="str">
        <f t="shared" si="1017"/>
        <v>Open Ad</v>
      </c>
      <c r="E4735" s="4" t="s">
        <v>78</v>
      </c>
      <c r="F4735" s="4" t="s">
        <v>6765</v>
      </c>
      <c r="G4735" s="4" t="s">
        <v>7125</v>
      </c>
      <c r="H4735" s="4" t="s">
        <v>49</v>
      </c>
      <c r="I4735" s="4" t="s">
        <v>7016</v>
      </c>
      <c r="J4735" s="4" t="s">
        <v>78</v>
      </c>
      <c r="K4735" s="7" t="str">
        <f t="shared" si="1018"/>
        <v>View Creative</v>
      </c>
      <c r="L4735" s="4" t="s">
        <v>60</v>
      </c>
      <c r="M4735" s="4" t="s">
        <v>7013</v>
      </c>
      <c r="N4735" s="4"/>
      <c r="O4735" s="4" t="s">
        <v>63</v>
      </c>
      <c r="P4735" s="4" t="s">
        <v>64</v>
      </c>
    </row>
    <row r="4736">
      <c r="A4736" s="4" t="s">
        <v>7013</v>
      </c>
      <c r="B4736" s="4" t="s">
        <v>7014</v>
      </c>
      <c r="C4736" s="4">
        <v>685.0</v>
      </c>
      <c r="D4736" s="5" t="str">
        <f t="shared" ref="D4736:D4737" si="1019">HYPERLINK("https://www.linkedin.com/ad-library/detail/916842064","Open Ad")</f>
        <v>Open Ad</v>
      </c>
      <c r="E4736" s="4" t="s">
        <v>78</v>
      </c>
      <c r="F4736" s="4" t="s">
        <v>6765</v>
      </c>
      <c r="G4736" s="4" t="s">
        <v>7106</v>
      </c>
      <c r="H4736" s="4" t="s">
        <v>49</v>
      </c>
      <c r="I4736" s="4" t="s">
        <v>7016</v>
      </c>
      <c r="J4736" s="4" t="s">
        <v>78</v>
      </c>
      <c r="K4736" s="7" t="str">
        <f t="shared" ref="K4736:K4737" si="1020">HYPERLINK("https://media.licdn.com/dms/image/v2/D4E10AQHcSoWO1dYKtQ/image-shrink_1280/B4EZqXi5QAHcAQ-/0/1763479099393/2Dark-2jpg?e=2147483647&amp;v=beta&amp;t=icCzusjbqHqZBG3AQPs0VI2nQANVz543VtPBphg9iAk","View Creative")</f>
        <v>View Creative</v>
      </c>
      <c r="L4736" s="4" t="s">
        <v>60</v>
      </c>
      <c r="M4736" s="4" t="s">
        <v>7013</v>
      </c>
      <c r="N4736" s="4"/>
      <c r="O4736" s="4" t="s">
        <v>63</v>
      </c>
      <c r="P4736" s="4" t="s">
        <v>64</v>
      </c>
    </row>
    <row r="4737">
      <c r="A4737" s="4" t="s">
        <v>7013</v>
      </c>
      <c r="B4737" s="4" t="s">
        <v>7014</v>
      </c>
      <c r="C4737" s="4">
        <v>686.0</v>
      </c>
      <c r="D4737" s="5" t="str">
        <f t="shared" si="1019"/>
        <v>Open Ad</v>
      </c>
      <c r="E4737" s="4" t="s">
        <v>78</v>
      </c>
      <c r="F4737" s="4" t="s">
        <v>6765</v>
      </c>
      <c r="G4737" s="4" t="s">
        <v>7106</v>
      </c>
      <c r="H4737" s="4" t="s">
        <v>49</v>
      </c>
      <c r="I4737" s="4" t="s">
        <v>7016</v>
      </c>
      <c r="J4737" s="4" t="s">
        <v>78</v>
      </c>
      <c r="K4737" s="7" t="str">
        <f t="shared" si="1020"/>
        <v>View Creative</v>
      </c>
      <c r="L4737" s="4" t="s">
        <v>60</v>
      </c>
      <c r="M4737" s="4" t="s">
        <v>7013</v>
      </c>
      <c r="N4737" s="4"/>
      <c r="O4737" s="4" t="s">
        <v>63</v>
      </c>
      <c r="P4737" s="4" t="s">
        <v>64</v>
      </c>
    </row>
    <row r="4738">
      <c r="A4738" s="4" t="s">
        <v>7013</v>
      </c>
      <c r="B4738" s="4" t="s">
        <v>7014</v>
      </c>
      <c r="C4738" s="4">
        <v>687.0</v>
      </c>
      <c r="D4738" s="5" t="str">
        <f t="shared" ref="D4738:D4739" si="1021">HYPERLINK("https://www.linkedin.com/ad-library/detail/916842044","Open Ad")</f>
        <v>Open Ad</v>
      </c>
      <c r="E4738" s="4" t="s">
        <v>78</v>
      </c>
      <c r="F4738" s="4" t="s">
        <v>6765</v>
      </c>
      <c r="G4738" s="4" t="s">
        <v>7125</v>
      </c>
      <c r="H4738" s="4" t="s">
        <v>49</v>
      </c>
      <c r="I4738" s="4" t="s">
        <v>7016</v>
      </c>
      <c r="J4738" s="4" t="s">
        <v>78</v>
      </c>
      <c r="K4738" s="7" t="str">
        <f t="shared" ref="K4738:K4739" si="1022">HYPERLINK("https://media.licdn.com/dms/image/v2/D4E10AQEibW1Mbh7sqA/image-shrink_1280/B4EZqXls8NJ0AM-/0/1763479835181/4Light-1jpg?e=2147483647&amp;v=beta&amp;t=2hMSkg_WzpI0QH6KbZSxbFIXB8RwAQMadtR6L1vWDAk","View Creative")</f>
        <v>View Creative</v>
      </c>
      <c r="L4738" s="4" t="s">
        <v>60</v>
      </c>
      <c r="M4738" s="4" t="s">
        <v>7013</v>
      </c>
      <c r="N4738" s="4"/>
      <c r="O4738" s="4" t="s">
        <v>63</v>
      </c>
      <c r="P4738" s="4" t="s">
        <v>64</v>
      </c>
    </row>
    <row r="4739">
      <c r="A4739" s="4" t="s">
        <v>7013</v>
      </c>
      <c r="B4739" s="4" t="s">
        <v>7014</v>
      </c>
      <c r="C4739" s="4">
        <v>688.0</v>
      </c>
      <c r="D4739" s="5" t="str">
        <f t="shared" si="1021"/>
        <v>Open Ad</v>
      </c>
      <c r="E4739" s="4" t="s">
        <v>78</v>
      </c>
      <c r="F4739" s="4" t="s">
        <v>6765</v>
      </c>
      <c r="G4739" s="4" t="s">
        <v>7125</v>
      </c>
      <c r="H4739" s="4" t="s">
        <v>49</v>
      </c>
      <c r="I4739" s="4" t="s">
        <v>7016</v>
      </c>
      <c r="J4739" s="4" t="s">
        <v>78</v>
      </c>
      <c r="K4739" s="7" t="str">
        <f t="shared" si="1022"/>
        <v>View Creative</v>
      </c>
      <c r="L4739" s="4" t="s">
        <v>60</v>
      </c>
      <c r="M4739" s="4" t="s">
        <v>7013</v>
      </c>
      <c r="N4739" s="4"/>
      <c r="O4739" s="4" t="s">
        <v>63</v>
      </c>
      <c r="P4739" s="4" t="s">
        <v>64</v>
      </c>
    </row>
    <row r="4740">
      <c r="A4740" s="4" t="s">
        <v>7013</v>
      </c>
      <c r="B4740" s="4" t="s">
        <v>7014</v>
      </c>
      <c r="C4740" s="4">
        <v>689.0</v>
      </c>
      <c r="D4740" s="5" t="str">
        <f t="shared" ref="D4740:D4741" si="1023">HYPERLINK("https://www.linkedin.com/ad-library/detail/916842054","Open Ad")</f>
        <v>Open Ad</v>
      </c>
      <c r="E4740" s="4" t="s">
        <v>78</v>
      </c>
      <c r="F4740" s="4" t="s">
        <v>6765</v>
      </c>
      <c r="G4740" s="4" t="s">
        <v>7116</v>
      </c>
      <c r="H4740" s="4" t="s">
        <v>49</v>
      </c>
      <c r="I4740" s="4" t="s">
        <v>7016</v>
      </c>
      <c r="J4740" s="4" t="s">
        <v>78</v>
      </c>
      <c r="K4740" s="7" t="str">
        <f t="shared" ref="K4740:K4741" si="1024">HYPERLINK("https://media.licdn.com/dms/image/v2/D4E10AQF45XRPTXtW5A/image-shrink_1280/B4EZqXhpz1GcAM-/0/1763478773949/3Darkjpg?e=2147483647&amp;v=beta&amp;t=4YvB4IIPTWmlveIYFlgySSG_pCTzhVNDBwJvzRQ8cLk","View Creative")</f>
        <v>View Creative</v>
      </c>
      <c r="L4740" s="4" t="s">
        <v>60</v>
      </c>
      <c r="M4740" s="4" t="s">
        <v>7013</v>
      </c>
      <c r="N4740" s="4"/>
      <c r="O4740" s="4" t="s">
        <v>63</v>
      </c>
      <c r="P4740" s="4" t="s">
        <v>64</v>
      </c>
    </row>
    <row r="4741">
      <c r="A4741" s="4" t="s">
        <v>7013</v>
      </c>
      <c r="B4741" s="4" t="s">
        <v>7014</v>
      </c>
      <c r="C4741" s="4">
        <v>690.0</v>
      </c>
      <c r="D4741" s="5" t="str">
        <f t="shared" si="1023"/>
        <v>Open Ad</v>
      </c>
      <c r="E4741" s="4" t="s">
        <v>78</v>
      </c>
      <c r="F4741" s="4" t="s">
        <v>6765</v>
      </c>
      <c r="G4741" s="4" t="s">
        <v>7116</v>
      </c>
      <c r="H4741" s="4" t="s">
        <v>49</v>
      </c>
      <c r="I4741" s="4" t="s">
        <v>7016</v>
      </c>
      <c r="J4741" s="4" t="s">
        <v>78</v>
      </c>
      <c r="K4741" s="7" t="str">
        <f t="shared" si="1024"/>
        <v>View Creative</v>
      </c>
      <c r="L4741" s="4" t="s">
        <v>60</v>
      </c>
      <c r="M4741" s="4" t="s">
        <v>7013</v>
      </c>
      <c r="N4741" s="4"/>
      <c r="O4741" s="4" t="s">
        <v>63</v>
      </c>
      <c r="P4741" s="4" t="s">
        <v>64</v>
      </c>
    </row>
    <row r="4742">
      <c r="A4742" s="4" t="s">
        <v>7013</v>
      </c>
      <c r="B4742" s="4" t="s">
        <v>7014</v>
      </c>
      <c r="C4742" s="4">
        <v>691.0</v>
      </c>
      <c r="D4742" s="5" t="str">
        <f t="shared" ref="D4742:D4743" si="1025">HYPERLINK("https://www.linkedin.com/ad-library/detail/916782374","Open Ad")</f>
        <v>Open Ad</v>
      </c>
      <c r="E4742" s="4" t="s">
        <v>78</v>
      </c>
      <c r="F4742" s="4" t="s">
        <v>6765</v>
      </c>
      <c r="G4742" s="4" t="s">
        <v>7106</v>
      </c>
      <c r="H4742" s="4" t="s">
        <v>49</v>
      </c>
      <c r="I4742" s="4" t="s">
        <v>7016</v>
      </c>
      <c r="J4742" s="4" t="s">
        <v>78</v>
      </c>
      <c r="K4742" s="7" t="str">
        <f t="shared" ref="K4742:K4743" si="1026">HYPERLINK("https://media.licdn.com/dms/image/v2/D4E10AQENGaPDx5roqA/image-shrink_1280/B4EZqXim7FKkAM-/0/1763479024318/2Light-2jpg?e=2147483647&amp;v=beta&amp;t=DZept9KGGJUeiMjvlU1rddz-iLlsRJ0i4DTZKOx7IH4","View Creative")</f>
        <v>View Creative</v>
      </c>
      <c r="L4742" s="4" t="s">
        <v>60</v>
      </c>
      <c r="M4742" s="4" t="s">
        <v>7013</v>
      </c>
      <c r="N4742" s="4"/>
      <c r="O4742" s="4" t="s">
        <v>63</v>
      </c>
      <c r="P4742" s="4" t="s">
        <v>64</v>
      </c>
    </row>
    <row r="4743">
      <c r="A4743" s="4" t="s">
        <v>7013</v>
      </c>
      <c r="B4743" s="4" t="s">
        <v>7014</v>
      </c>
      <c r="C4743" s="4">
        <v>692.0</v>
      </c>
      <c r="D4743" s="5" t="str">
        <f t="shared" si="1025"/>
        <v>Open Ad</v>
      </c>
      <c r="E4743" s="4" t="s">
        <v>78</v>
      </c>
      <c r="F4743" s="4" t="s">
        <v>6765</v>
      </c>
      <c r="G4743" s="4" t="s">
        <v>7106</v>
      </c>
      <c r="H4743" s="4" t="s">
        <v>49</v>
      </c>
      <c r="I4743" s="4" t="s">
        <v>7016</v>
      </c>
      <c r="J4743" s="4" t="s">
        <v>78</v>
      </c>
      <c r="K4743" s="7" t="str">
        <f t="shared" si="1026"/>
        <v>View Creative</v>
      </c>
      <c r="L4743" s="4" t="s">
        <v>60</v>
      </c>
      <c r="M4743" s="4" t="s">
        <v>7013</v>
      </c>
      <c r="N4743" s="4"/>
      <c r="O4743" s="4" t="s">
        <v>63</v>
      </c>
      <c r="P4743" s="4" t="s">
        <v>64</v>
      </c>
    </row>
    <row r="4744">
      <c r="A4744" s="4" t="s">
        <v>7013</v>
      </c>
      <c r="B4744" s="4" t="s">
        <v>7014</v>
      </c>
      <c r="C4744" s="4">
        <v>693.0</v>
      </c>
      <c r="D4744" s="5" t="str">
        <f t="shared" ref="D4744:D4745" si="1027">HYPERLINK("https://www.linkedin.com/ad-library/detail/916931614","Open Ad")</f>
        <v>Open Ad</v>
      </c>
      <c r="E4744" s="4" t="s">
        <v>78</v>
      </c>
      <c r="F4744" s="4" t="s">
        <v>6765</v>
      </c>
      <c r="G4744" s="4" t="s">
        <v>7116</v>
      </c>
      <c r="H4744" s="4" t="s">
        <v>49</v>
      </c>
      <c r="I4744" s="4" t="s">
        <v>7016</v>
      </c>
      <c r="J4744" s="4" t="s">
        <v>78</v>
      </c>
      <c r="K4744" s="7" t="str">
        <f t="shared" ref="K4744:K4745" si="1028">HYPERLINK("https://media.licdn.com/dms/image/v2/D4E10AQEU0w4UGxx8Ag/image-shrink_1280/B4EZqXkZXlIQAQ-/0/1763479492926/3Lightjpg?e=2147483647&amp;v=beta&amp;t=_jgwspKyqLBBvgvbnQErlUU5Db0lO5w9CIE-CNaO5CA","View Creative")</f>
        <v>View Creative</v>
      </c>
      <c r="L4744" s="4" t="s">
        <v>60</v>
      </c>
      <c r="M4744" s="4" t="s">
        <v>7013</v>
      </c>
      <c r="N4744" s="4"/>
      <c r="O4744" s="4" t="s">
        <v>63</v>
      </c>
      <c r="P4744" s="4" t="s">
        <v>64</v>
      </c>
    </row>
    <row r="4745">
      <c r="A4745" s="4" t="s">
        <v>7013</v>
      </c>
      <c r="B4745" s="4" t="s">
        <v>7014</v>
      </c>
      <c r="C4745" s="4">
        <v>694.0</v>
      </c>
      <c r="D4745" s="5" t="str">
        <f t="shared" si="1027"/>
        <v>Open Ad</v>
      </c>
      <c r="E4745" s="4" t="s">
        <v>78</v>
      </c>
      <c r="F4745" s="4" t="s">
        <v>6765</v>
      </c>
      <c r="G4745" s="4" t="s">
        <v>7116</v>
      </c>
      <c r="H4745" s="4" t="s">
        <v>49</v>
      </c>
      <c r="I4745" s="4" t="s">
        <v>7016</v>
      </c>
      <c r="J4745" s="4" t="s">
        <v>78</v>
      </c>
      <c r="K4745" s="7" t="str">
        <f t="shared" si="1028"/>
        <v>View Creative</v>
      </c>
      <c r="L4745" s="4" t="s">
        <v>60</v>
      </c>
      <c r="M4745" s="4" t="s">
        <v>7013</v>
      </c>
      <c r="N4745" s="4"/>
      <c r="O4745" s="4" t="s">
        <v>63</v>
      </c>
      <c r="P4745" s="4" t="s">
        <v>64</v>
      </c>
    </row>
    <row r="4746">
      <c r="A4746" s="4" t="s">
        <v>7013</v>
      </c>
      <c r="B4746" s="4" t="s">
        <v>7014</v>
      </c>
      <c r="C4746" s="4">
        <v>695.0</v>
      </c>
      <c r="D4746" s="5" t="str">
        <f t="shared" ref="D4746:D4747" si="1029">HYPERLINK("https://www.linkedin.com/ad-library/detail/916713304","Open Ad")</f>
        <v>Open Ad</v>
      </c>
      <c r="E4746" s="4" t="s">
        <v>78</v>
      </c>
      <c r="F4746" s="4" t="s">
        <v>6765</v>
      </c>
      <c r="G4746" s="4" t="s">
        <v>7125</v>
      </c>
      <c r="H4746" s="4" t="s">
        <v>49</v>
      </c>
      <c r="I4746" s="4" t="s">
        <v>7016</v>
      </c>
      <c r="J4746" s="4" t="s">
        <v>78</v>
      </c>
      <c r="K4746" s="7" t="str">
        <f t="shared" ref="K4746:K4747" si="1030">HYPERLINK("https://media.licdn.com/dms/image/v2/D4E10AQG-5ahZNFJ0Qw/image-shrink_1280/B4EZqXlcw9J0AQ-/0/1763479769117/3Dark-1jpg?e=2147483647&amp;v=beta&amp;t=4-8BXjQk2Kp5K6WaUT9S6iuqFLEfdncrDe1XCFFXnhA","View Creative")</f>
        <v>View Creative</v>
      </c>
      <c r="L4746" s="4" t="s">
        <v>60</v>
      </c>
      <c r="M4746" s="4" t="s">
        <v>7013</v>
      </c>
      <c r="N4746" s="4"/>
      <c r="O4746" s="4" t="s">
        <v>63</v>
      </c>
      <c r="P4746" s="4" t="s">
        <v>64</v>
      </c>
    </row>
    <row r="4747">
      <c r="A4747" s="4" t="s">
        <v>7013</v>
      </c>
      <c r="B4747" s="4" t="s">
        <v>7014</v>
      </c>
      <c r="C4747" s="4">
        <v>696.0</v>
      </c>
      <c r="D4747" s="5" t="str">
        <f t="shared" si="1029"/>
        <v>Open Ad</v>
      </c>
      <c r="E4747" s="4" t="s">
        <v>78</v>
      </c>
      <c r="F4747" s="4" t="s">
        <v>6765</v>
      </c>
      <c r="G4747" s="4" t="s">
        <v>7125</v>
      </c>
      <c r="H4747" s="4" t="s">
        <v>49</v>
      </c>
      <c r="I4747" s="4" t="s">
        <v>7016</v>
      </c>
      <c r="J4747" s="4" t="s">
        <v>78</v>
      </c>
      <c r="K4747" s="7" t="str">
        <f t="shared" si="1030"/>
        <v>View Creative</v>
      </c>
      <c r="L4747" s="4" t="s">
        <v>60</v>
      </c>
      <c r="M4747" s="4" t="s">
        <v>7013</v>
      </c>
      <c r="N4747" s="4"/>
      <c r="O4747" s="4" t="s">
        <v>63</v>
      </c>
      <c r="P4747" s="4" t="s">
        <v>64</v>
      </c>
    </row>
    <row r="4748">
      <c r="A4748" s="4" t="s">
        <v>7013</v>
      </c>
      <c r="B4748" s="4" t="s">
        <v>7014</v>
      </c>
      <c r="C4748" s="4">
        <v>697.0</v>
      </c>
      <c r="D4748" s="5" t="str">
        <f t="shared" ref="D4748:D4749" si="1031">HYPERLINK("https://www.linkedin.com/ad-library/detail/916782364","Open Ad")</f>
        <v>Open Ad</v>
      </c>
      <c r="E4748" s="4" t="s">
        <v>78</v>
      </c>
      <c r="F4748" s="4" t="s">
        <v>6765</v>
      </c>
      <c r="G4748" s="4" t="s">
        <v>7125</v>
      </c>
      <c r="H4748" s="4" t="s">
        <v>49</v>
      </c>
      <c r="I4748" s="4" t="s">
        <v>7016</v>
      </c>
      <c r="J4748" s="4" t="s">
        <v>78</v>
      </c>
      <c r="K4748" s="7" t="str">
        <f t="shared" ref="K4748:K4749" si="1032">HYPERLINK("https://media.licdn.com/dms/image/v2/D4E10AQHvWSvzkkUHcQ/image-shrink_1280/B4EZqXlCzYHoAM-/0/1763479662776/2Light-1jpg?e=2147483647&amp;v=beta&amp;t=meiHpw5G1O5OMvTpODayPLwlALLEza8pvUEsF9Ht2OY","View Creative")</f>
        <v>View Creative</v>
      </c>
      <c r="L4748" s="4" t="s">
        <v>60</v>
      </c>
      <c r="M4748" s="4" t="s">
        <v>7013</v>
      </c>
      <c r="N4748" s="4"/>
      <c r="O4748" s="4" t="s">
        <v>63</v>
      </c>
      <c r="P4748" s="4" t="s">
        <v>64</v>
      </c>
    </row>
    <row r="4749">
      <c r="A4749" s="4" t="s">
        <v>7013</v>
      </c>
      <c r="B4749" s="4" t="s">
        <v>7014</v>
      </c>
      <c r="C4749" s="4">
        <v>698.0</v>
      </c>
      <c r="D4749" s="5" t="str">
        <f t="shared" si="1031"/>
        <v>Open Ad</v>
      </c>
      <c r="E4749" s="4" t="s">
        <v>78</v>
      </c>
      <c r="F4749" s="4" t="s">
        <v>6765</v>
      </c>
      <c r="G4749" s="4" t="s">
        <v>7125</v>
      </c>
      <c r="H4749" s="4" t="s">
        <v>49</v>
      </c>
      <c r="I4749" s="4" t="s">
        <v>7016</v>
      </c>
      <c r="J4749" s="4" t="s">
        <v>78</v>
      </c>
      <c r="K4749" s="7" t="str">
        <f t="shared" si="1032"/>
        <v>View Creative</v>
      </c>
      <c r="L4749" s="4" t="s">
        <v>60</v>
      </c>
      <c r="M4749" s="4" t="s">
        <v>7013</v>
      </c>
      <c r="N4749" s="4"/>
      <c r="O4749" s="4" t="s">
        <v>63</v>
      </c>
      <c r="P4749" s="4" t="s">
        <v>64</v>
      </c>
    </row>
    <row r="4750">
      <c r="A4750" s="4" t="s">
        <v>7013</v>
      </c>
      <c r="B4750" s="4" t="s">
        <v>7014</v>
      </c>
      <c r="C4750" s="4">
        <v>699.0</v>
      </c>
      <c r="D4750" s="5" t="str">
        <f t="shared" ref="D4750:D4751" si="1033">HYPERLINK("https://www.linkedin.com/ad-library/detail/916931624","Open Ad")</f>
        <v>Open Ad</v>
      </c>
      <c r="E4750" s="4" t="s">
        <v>78</v>
      </c>
      <c r="F4750" s="4" t="s">
        <v>6765</v>
      </c>
      <c r="G4750" s="4" t="s">
        <v>7106</v>
      </c>
      <c r="H4750" s="4" t="s">
        <v>49</v>
      </c>
      <c r="I4750" s="4" t="s">
        <v>7016</v>
      </c>
      <c r="J4750" s="4" t="s">
        <v>78</v>
      </c>
      <c r="K4750" s="7" t="str">
        <f t="shared" ref="K4750:K4751" si="1034">HYPERLINK("https://media.licdn.com/dms/image/v2/D4E10AQENGaPDx5roqA/image-shrink_1280/B4EZqXim7FKkAM-/0/1763479024318/2Light-2jpg?e=2147483647&amp;v=beta&amp;t=DZept9KGGJUeiMjvlU1rddz-iLlsRJ0i4DTZKOx7IH4","View Creative")</f>
        <v>View Creative</v>
      </c>
      <c r="L4750" s="4" t="s">
        <v>60</v>
      </c>
      <c r="M4750" s="4" t="s">
        <v>7013</v>
      </c>
      <c r="N4750" s="4"/>
      <c r="O4750" s="4" t="s">
        <v>63</v>
      </c>
      <c r="P4750" s="4" t="s">
        <v>64</v>
      </c>
    </row>
    <row r="4751">
      <c r="A4751" s="4" t="s">
        <v>7013</v>
      </c>
      <c r="B4751" s="4" t="s">
        <v>7014</v>
      </c>
      <c r="C4751" s="4">
        <v>700.0</v>
      </c>
      <c r="D4751" s="5" t="str">
        <f t="shared" si="1033"/>
        <v>Open Ad</v>
      </c>
      <c r="E4751" s="4" t="s">
        <v>78</v>
      </c>
      <c r="F4751" s="4" t="s">
        <v>6765</v>
      </c>
      <c r="G4751" s="4" t="s">
        <v>7106</v>
      </c>
      <c r="H4751" s="4" t="s">
        <v>49</v>
      </c>
      <c r="I4751" s="4" t="s">
        <v>7016</v>
      </c>
      <c r="J4751" s="4" t="s">
        <v>78</v>
      </c>
      <c r="K4751" s="7" t="str">
        <f t="shared" si="1034"/>
        <v>View Creative</v>
      </c>
      <c r="L4751" s="4" t="s">
        <v>60</v>
      </c>
      <c r="M4751" s="4" t="s">
        <v>7013</v>
      </c>
      <c r="N4751" s="4"/>
      <c r="O4751" s="4" t="s">
        <v>63</v>
      </c>
      <c r="P4751" s="4" t="s">
        <v>64</v>
      </c>
    </row>
    <row r="4752">
      <c r="A4752" s="4" t="s">
        <v>7013</v>
      </c>
      <c r="B4752" s="4" t="s">
        <v>7014</v>
      </c>
      <c r="C4752" s="4">
        <v>701.0</v>
      </c>
      <c r="D4752" s="5" t="str">
        <f t="shared" ref="D4752:D4753" si="1035">HYPERLINK("https://www.linkedin.com/ad-library/detail/916911904","Open Ad")</f>
        <v>Open Ad</v>
      </c>
      <c r="E4752" s="4" t="s">
        <v>78</v>
      </c>
      <c r="F4752" s="4" t="s">
        <v>6765</v>
      </c>
      <c r="G4752" s="4" t="s">
        <v>7116</v>
      </c>
      <c r="H4752" s="4" t="s">
        <v>49</v>
      </c>
      <c r="I4752" s="4" t="s">
        <v>7016</v>
      </c>
      <c r="J4752" s="4" t="s">
        <v>78</v>
      </c>
      <c r="K4752" s="7" t="str">
        <f t="shared" ref="K4752:K4753" si="1036">HYPERLINK("https://media.licdn.com/dms/image/v2/D4E10AQF05B5KrIYX3Q/image-shrink_1280/B4EZqXkxnNIUAQ-/0/1763479592401/4Darkjpg?e=2147483647&amp;v=beta&amp;t=lmbPcqoVC_Y-Wlew1o_6c5nMRLgnV8eb3NV3Xney0eU","View Creative")</f>
        <v>View Creative</v>
      </c>
      <c r="L4752" s="4" t="s">
        <v>60</v>
      </c>
      <c r="M4752" s="4" t="s">
        <v>7013</v>
      </c>
      <c r="N4752" s="4"/>
      <c r="O4752" s="4" t="s">
        <v>63</v>
      </c>
      <c r="P4752" s="4" t="s">
        <v>64</v>
      </c>
    </row>
    <row r="4753">
      <c r="A4753" s="4" t="s">
        <v>7013</v>
      </c>
      <c r="B4753" s="4" t="s">
        <v>7014</v>
      </c>
      <c r="C4753" s="4">
        <v>702.0</v>
      </c>
      <c r="D4753" s="5" t="str">
        <f t="shared" si="1035"/>
        <v>Open Ad</v>
      </c>
      <c r="E4753" s="4" t="s">
        <v>78</v>
      </c>
      <c r="F4753" s="4" t="s">
        <v>6765</v>
      </c>
      <c r="G4753" s="4" t="s">
        <v>7116</v>
      </c>
      <c r="H4753" s="4" t="s">
        <v>49</v>
      </c>
      <c r="I4753" s="4" t="s">
        <v>7016</v>
      </c>
      <c r="J4753" s="4" t="s">
        <v>78</v>
      </c>
      <c r="K4753" s="7" t="str">
        <f t="shared" si="1036"/>
        <v>View Creative</v>
      </c>
      <c r="L4753" s="4" t="s">
        <v>60</v>
      </c>
      <c r="M4753" s="4" t="s">
        <v>7013</v>
      </c>
      <c r="N4753" s="4"/>
      <c r="O4753" s="4" t="s">
        <v>63</v>
      </c>
      <c r="P4753" s="4" t="s">
        <v>64</v>
      </c>
    </row>
    <row r="4754">
      <c r="A4754" s="4" t="s">
        <v>7013</v>
      </c>
      <c r="B4754" s="4" t="s">
        <v>7014</v>
      </c>
      <c r="C4754" s="4">
        <v>703.0</v>
      </c>
      <c r="D4754" s="5" t="str">
        <f t="shared" ref="D4754:D4755" si="1037">HYPERLINK("https://www.linkedin.com/ad-library/detail/916822234","Open Ad")</f>
        <v>Open Ad</v>
      </c>
      <c r="E4754" s="4" t="s">
        <v>78</v>
      </c>
      <c r="F4754" s="4" t="s">
        <v>6765</v>
      </c>
      <c r="G4754" s="4" t="s">
        <v>7116</v>
      </c>
      <c r="H4754" s="4" t="s">
        <v>49</v>
      </c>
      <c r="I4754" s="4" t="s">
        <v>7016</v>
      </c>
      <c r="J4754" s="4" t="s">
        <v>78</v>
      </c>
      <c r="K4754" s="7" t="str">
        <f t="shared" ref="K4754:K4755" si="1038">HYPERLINK("https://media.licdn.com/dms/image/v2/D4E10AQGhh7LV9F74tQ/image-shrink_1280/B4EZqXkncJKkAM-/0/1763479550620/4Lightjpg?e=2147483647&amp;v=beta&amp;t=eoU5wfrx63QrhrkiifZxdA3k09DXN3GDOWhSCCpQXK8","View Creative")</f>
        <v>View Creative</v>
      </c>
      <c r="L4754" s="4" t="s">
        <v>60</v>
      </c>
      <c r="M4754" s="4" t="s">
        <v>7013</v>
      </c>
      <c r="N4754" s="4"/>
      <c r="O4754" s="4" t="s">
        <v>63</v>
      </c>
      <c r="P4754" s="4" t="s">
        <v>64</v>
      </c>
    </row>
    <row r="4755">
      <c r="A4755" s="4" t="s">
        <v>7013</v>
      </c>
      <c r="B4755" s="4" t="s">
        <v>7014</v>
      </c>
      <c r="C4755" s="4">
        <v>704.0</v>
      </c>
      <c r="D4755" s="5" t="str">
        <f t="shared" si="1037"/>
        <v>Open Ad</v>
      </c>
      <c r="E4755" s="4" t="s">
        <v>78</v>
      </c>
      <c r="F4755" s="4" t="s">
        <v>6765</v>
      </c>
      <c r="G4755" s="4" t="s">
        <v>7116</v>
      </c>
      <c r="H4755" s="4" t="s">
        <v>49</v>
      </c>
      <c r="I4755" s="4" t="s">
        <v>7016</v>
      </c>
      <c r="J4755" s="4" t="s">
        <v>78</v>
      </c>
      <c r="K4755" s="7" t="str">
        <f t="shared" si="1038"/>
        <v>View Creative</v>
      </c>
      <c r="L4755" s="4" t="s">
        <v>60</v>
      </c>
      <c r="M4755" s="4" t="s">
        <v>7013</v>
      </c>
      <c r="N4755" s="4"/>
      <c r="O4755" s="4" t="s">
        <v>63</v>
      </c>
      <c r="P4755" s="4" t="s">
        <v>64</v>
      </c>
    </row>
    <row r="4756">
      <c r="A4756" s="4" t="s">
        <v>7013</v>
      </c>
      <c r="B4756" s="4" t="s">
        <v>7014</v>
      </c>
      <c r="C4756" s="4">
        <v>705.0</v>
      </c>
      <c r="D4756" s="5" t="str">
        <f t="shared" ref="D4756:D4757" si="1039">HYPERLINK("https://www.linkedin.com/ad-library/detail/916812464","Open Ad")</f>
        <v>Open Ad</v>
      </c>
      <c r="E4756" s="4" t="s">
        <v>78</v>
      </c>
      <c r="F4756" s="4" t="s">
        <v>6765</v>
      </c>
      <c r="G4756" s="4" t="s">
        <v>7106</v>
      </c>
      <c r="H4756" s="4" t="s">
        <v>49</v>
      </c>
      <c r="I4756" s="4" t="s">
        <v>7016</v>
      </c>
      <c r="J4756" s="4" t="s">
        <v>78</v>
      </c>
      <c r="K4756" s="7" t="str">
        <f t="shared" ref="K4756:K4757" si="1040">HYPERLINK("https://media.licdn.com/dms/image/v2/D4E10AQGNSAIQ6QLAQA/image-shrink_1280/B4EZqXjmXGJ0AY-/0/1763479284571/4Dark-2jpg?e=2147483647&amp;v=beta&amp;t=JcZsw5Q4oi5lthxDnppFNw4twgrHMx1erlaYBtQWCPE","View Creative")</f>
        <v>View Creative</v>
      </c>
      <c r="L4756" s="4" t="s">
        <v>60</v>
      </c>
      <c r="M4756" s="4" t="s">
        <v>7013</v>
      </c>
      <c r="N4756" s="4"/>
      <c r="O4756" s="4" t="s">
        <v>63</v>
      </c>
      <c r="P4756" s="4" t="s">
        <v>64</v>
      </c>
    </row>
    <row r="4757">
      <c r="A4757" s="4" t="s">
        <v>7013</v>
      </c>
      <c r="B4757" s="4" t="s">
        <v>7014</v>
      </c>
      <c r="C4757" s="4">
        <v>706.0</v>
      </c>
      <c r="D4757" s="5" t="str">
        <f t="shared" si="1039"/>
        <v>Open Ad</v>
      </c>
      <c r="E4757" s="4" t="s">
        <v>78</v>
      </c>
      <c r="F4757" s="4" t="s">
        <v>6765</v>
      </c>
      <c r="G4757" s="4" t="s">
        <v>7106</v>
      </c>
      <c r="H4757" s="4" t="s">
        <v>49</v>
      </c>
      <c r="I4757" s="4" t="s">
        <v>7016</v>
      </c>
      <c r="J4757" s="4" t="s">
        <v>78</v>
      </c>
      <c r="K4757" s="7" t="str">
        <f t="shared" si="1040"/>
        <v>View Creative</v>
      </c>
      <c r="L4757" s="4" t="s">
        <v>60</v>
      </c>
      <c r="M4757" s="4" t="s">
        <v>7013</v>
      </c>
      <c r="N4757" s="4"/>
      <c r="O4757" s="4" t="s">
        <v>63</v>
      </c>
      <c r="P4757" s="4" t="s">
        <v>64</v>
      </c>
    </row>
    <row r="4758">
      <c r="A4758" s="4" t="s">
        <v>7013</v>
      </c>
      <c r="B4758" s="4" t="s">
        <v>7014</v>
      </c>
      <c r="C4758" s="4">
        <v>707.0</v>
      </c>
      <c r="D4758" s="5" t="str">
        <f t="shared" ref="D4758:D4759" si="1041">HYPERLINK("https://www.linkedin.com/ad-library/detail/916742864","Open Ad")</f>
        <v>Open Ad</v>
      </c>
      <c r="E4758" s="4" t="s">
        <v>78</v>
      </c>
      <c r="F4758" s="4" t="s">
        <v>6765</v>
      </c>
      <c r="G4758" s="4" t="s">
        <v>7125</v>
      </c>
      <c r="H4758" s="4" t="s">
        <v>49</v>
      </c>
      <c r="I4758" s="4" t="s">
        <v>7016</v>
      </c>
      <c r="J4758" s="4" t="s">
        <v>78</v>
      </c>
      <c r="K4758" s="7" t="str">
        <f t="shared" ref="K4758:K4759" si="1042">HYPERLINK("https://media.licdn.com/dms/image/v2/D4E10AQEibW1Mbh7sqA/image-shrink_1280/B4EZqXls8NJ0AM-/0/1763479835181/4Light-1jpg?e=2147483647&amp;v=beta&amp;t=2hMSkg_WzpI0QH6KbZSxbFIXB8RwAQMadtR6L1vWDAk","View Creative")</f>
        <v>View Creative</v>
      </c>
      <c r="L4758" s="4" t="s">
        <v>60</v>
      </c>
      <c r="M4758" s="4" t="s">
        <v>7013</v>
      </c>
      <c r="N4758" s="4"/>
      <c r="O4758" s="4" t="s">
        <v>63</v>
      </c>
      <c r="P4758" s="4" t="s">
        <v>64</v>
      </c>
    </row>
    <row r="4759">
      <c r="A4759" s="4" t="s">
        <v>7013</v>
      </c>
      <c r="B4759" s="4" t="s">
        <v>7014</v>
      </c>
      <c r="C4759" s="4">
        <v>708.0</v>
      </c>
      <c r="D4759" s="5" t="str">
        <f t="shared" si="1041"/>
        <v>Open Ad</v>
      </c>
      <c r="E4759" s="4" t="s">
        <v>78</v>
      </c>
      <c r="F4759" s="4" t="s">
        <v>6765</v>
      </c>
      <c r="G4759" s="4" t="s">
        <v>7125</v>
      </c>
      <c r="H4759" s="4" t="s">
        <v>49</v>
      </c>
      <c r="I4759" s="4" t="s">
        <v>7016</v>
      </c>
      <c r="J4759" s="4" t="s">
        <v>78</v>
      </c>
      <c r="K4759" s="7" t="str">
        <f t="shared" si="1042"/>
        <v>View Creative</v>
      </c>
      <c r="L4759" s="4" t="s">
        <v>60</v>
      </c>
      <c r="M4759" s="4" t="s">
        <v>7013</v>
      </c>
      <c r="N4759" s="4"/>
      <c r="O4759" s="4" t="s">
        <v>63</v>
      </c>
      <c r="P4759" s="4" t="s">
        <v>64</v>
      </c>
    </row>
    <row r="4760">
      <c r="A4760" s="4" t="s">
        <v>7013</v>
      </c>
      <c r="B4760" s="4" t="s">
        <v>7014</v>
      </c>
      <c r="C4760" s="4">
        <v>709.0</v>
      </c>
      <c r="D4760" s="5" t="str">
        <f t="shared" ref="D4760:D4761" si="1043">HYPERLINK("https://www.linkedin.com/ad-library/detail/916742854","Open Ad")</f>
        <v>Open Ad</v>
      </c>
      <c r="E4760" s="4" t="s">
        <v>78</v>
      </c>
      <c r="F4760" s="4" t="s">
        <v>6765</v>
      </c>
      <c r="G4760" s="4" t="s">
        <v>7106</v>
      </c>
      <c r="H4760" s="4" t="s">
        <v>49</v>
      </c>
      <c r="I4760" s="4" t="s">
        <v>7016</v>
      </c>
      <c r="J4760" s="4" t="s">
        <v>78</v>
      </c>
      <c r="K4760" s="7" t="str">
        <f t="shared" ref="K4760:K4761" si="1044">HYPERLINK("https://media.licdn.com/dms/image/v2/D4E10AQF4bTkTRfa3uA/image-shrink_1280/B4EZqXgd47HMAM-/0/1763478462911/4Light-2jpg?e=2147483647&amp;v=beta&amp;t=uK41TOo8iHj_pufRB7IRs6CRYzq8e8v7tl4rEbNjC4k","View Creative")</f>
        <v>View Creative</v>
      </c>
      <c r="L4760" s="4" t="s">
        <v>60</v>
      </c>
      <c r="M4760" s="4" t="s">
        <v>7013</v>
      </c>
      <c r="N4760" s="4"/>
      <c r="O4760" s="4" t="s">
        <v>63</v>
      </c>
      <c r="P4760" s="4" t="s">
        <v>64</v>
      </c>
    </row>
    <row r="4761">
      <c r="A4761" s="4" t="s">
        <v>7013</v>
      </c>
      <c r="B4761" s="4" t="s">
        <v>7014</v>
      </c>
      <c r="C4761" s="4">
        <v>710.0</v>
      </c>
      <c r="D4761" s="5" t="str">
        <f t="shared" si="1043"/>
        <v>Open Ad</v>
      </c>
      <c r="E4761" s="4" t="s">
        <v>78</v>
      </c>
      <c r="F4761" s="4" t="s">
        <v>6765</v>
      </c>
      <c r="G4761" s="4" t="s">
        <v>7106</v>
      </c>
      <c r="H4761" s="4" t="s">
        <v>49</v>
      </c>
      <c r="I4761" s="4" t="s">
        <v>7016</v>
      </c>
      <c r="J4761" s="4" t="s">
        <v>78</v>
      </c>
      <c r="K4761" s="7" t="str">
        <f t="shared" si="1044"/>
        <v>View Creative</v>
      </c>
      <c r="L4761" s="4" t="s">
        <v>60</v>
      </c>
      <c r="M4761" s="4" t="s">
        <v>7013</v>
      </c>
      <c r="N4761" s="4"/>
      <c r="O4761" s="4" t="s">
        <v>63</v>
      </c>
      <c r="P4761" s="4" t="s">
        <v>64</v>
      </c>
    </row>
    <row r="4762">
      <c r="A4762" s="4" t="s">
        <v>7013</v>
      </c>
      <c r="B4762" s="4" t="s">
        <v>7014</v>
      </c>
      <c r="C4762" s="4">
        <v>711.0</v>
      </c>
      <c r="D4762" s="5" t="str">
        <f t="shared" ref="D4762:D4763" si="1045">HYPERLINK("https://www.linkedin.com/ad-library/detail/916871994","Open Ad")</f>
        <v>Open Ad</v>
      </c>
      <c r="E4762" s="4" t="s">
        <v>78</v>
      </c>
      <c r="F4762" s="4" t="s">
        <v>6765</v>
      </c>
      <c r="G4762" s="4" t="s">
        <v>7125</v>
      </c>
      <c r="H4762" s="4" t="s">
        <v>49</v>
      </c>
      <c r="I4762" s="4" t="s">
        <v>7016</v>
      </c>
      <c r="J4762" s="4" t="s">
        <v>78</v>
      </c>
      <c r="K4762" s="7" t="str">
        <f t="shared" ref="K4762:K4763" si="1046">HYPERLINK("https://media.licdn.com/dms/image/v2/D4E10AQFyqNp1_XAbUA/image-shrink_1280/B4EZqXlVmuKkAU-/0/1763479739753/2Dark-1jpg?e=2147483647&amp;v=beta&amp;t=iZhl9TBautCZUHYjey6WYaA0RTOMTzCLLARQ6xpquy0","View Creative")</f>
        <v>View Creative</v>
      </c>
      <c r="L4762" s="4" t="s">
        <v>60</v>
      </c>
      <c r="M4762" s="4" t="s">
        <v>7013</v>
      </c>
      <c r="N4762" s="4"/>
      <c r="O4762" s="4" t="s">
        <v>63</v>
      </c>
      <c r="P4762" s="4" t="s">
        <v>64</v>
      </c>
    </row>
    <row r="4763">
      <c r="A4763" s="4" t="s">
        <v>7013</v>
      </c>
      <c r="B4763" s="4" t="s">
        <v>7014</v>
      </c>
      <c r="C4763" s="4">
        <v>712.0</v>
      </c>
      <c r="D4763" s="5" t="str">
        <f t="shared" si="1045"/>
        <v>Open Ad</v>
      </c>
      <c r="E4763" s="4" t="s">
        <v>78</v>
      </c>
      <c r="F4763" s="4" t="s">
        <v>6765</v>
      </c>
      <c r="G4763" s="4" t="s">
        <v>7125</v>
      </c>
      <c r="H4763" s="4" t="s">
        <v>49</v>
      </c>
      <c r="I4763" s="4" t="s">
        <v>7016</v>
      </c>
      <c r="J4763" s="4" t="s">
        <v>78</v>
      </c>
      <c r="K4763" s="7" t="str">
        <f t="shared" si="1046"/>
        <v>View Creative</v>
      </c>
      <c r="L4763" s="4" t="s">
        <v>60</v>
      </c>
      <c r="M4763" s="4" t="s">
        <v>7013</v>
      </c>
      <c r="N4763" s="4"/>
      <c r="O4763" s="4" t="s">
        <v>63</v>
      </c>
      <c r="P4763" s="4" t="s">
        <v>64</v>
      </c>
    </row>
    <row r="4764">
      <c r="A4764" s="4" t="s">
        <v>7013</v>
      </c>
      <c r="B4764" s="4" t="s">
        <v>7014</v>
      </c>
      <c r="C4764" s="4">
        <v>713.0</v>
      </c>
      <c r="D4764" s="5" t="str">
        <f t="shared" ref="D4764:D4765" si="1047">HYPERLINK("https://www.linkedin.com/ad-library/detail/916872004","Open Ad")</f>
        <v>Open Ad</v>
      </c>
      <c r="E4764" s="4" t="s">
        <v>78</v>
      </c>
      <c r="F4764" s="4" t="s">
        <v>6765</v>
      </c>
      <c r="G4764" s="4" t="s">
        <v>7125</v>
      </c>
      <c r="H4764" s="4" t="s">
        <v>49</v>
      </c>
      <c r="I4764" s="4" t="s">
        <v>7016</v>
      </c>
      <c r="J4764" s="4" t="s">
        <v>78</v>
      </c>
      <c r="K4764" s="7" t="str">
        <f t="shared" ref="K4764:K4765" si="1048">HYPERLINK("https://media.licdn.com/dms/image/v2/D4E10AQGFN_P8WCY0jA/image-shrink_1280/B4EZqXllA6IwAQ-/0/1763479802713/3Light-1jpg?e=2147483647&amp;v=beta&amp;t=moKbMnOEBsk-2jZ7gRD3BVAse4I-Gvx4cmQbqTbU_bw","View Creative")</f>
        <v>View Creative</v>
      </c>
      <c r="L4764" s="4" t="s">
        <v>60</v>
      </c>
      <c r="M4764" s="4" t="s">
        <v>7013</v>
      </c>
      <c r="N4764" s="4"/>
      <c r="O4764" s="4" t="s">
        <v>63</v>
      </c>
      <c r="P4764" s="4" t="s">
        <v>64</v>
      </c>
    </row>
    <row r="4765">
      <c r="A4765" s="4" t="s">
        <v>7013</v>
      </c>
      <c r="B4765" s="4" t="s">
        <v>7014</v>
      </c>
      <c r="C4765" s="4">
        <v>714.0</v>
      </c>
      <c r="D4765" s="5" t="str">
        <f t="shared" si="1047"/>
        <v>Open Ad</v>
      </c>
      <c r="E4765" s="4" t="s">
        <v>78</v>
      </c>
      <c r="F4765" s="4" t="s">
        <v>6765</v>
      </c>
      <c r="G4765" s="4" t="s">
        <v>7125</v>
      </c>
      <c r="H4765" s="4" t="s">
        <v>49</v>
      </c>
      <c r="I4765" s="4" t="s">
        <v>7016</v>
      </c>
      <c r="J4765" s="4" t="s">
        <v>78</v>
      </c>
      <c r="K4765" s="7" t="str">
        <f t="shared" si="1048"/>
        <v>View Creative</v>
      </c>
      <c r="L4765" s="4" t="s">
        <v>60</v>
      </c>
      <c r="M4765" s="4" t="s">
        <v>7013</v>
      </c>
      <c r="N4765" s="4"/>
      <c r="O4765" s="4" t="s">
        <v>63</v>
      </c>
      <c r="P4765" s="4" t="s">
        <v>64</v>
      </c>
    </row>
    <row r="4766">
      <c r="A4766" s="4" t="s">
        <v>7013</v>
      </c>
      <c r="B4766" s="4" t="s">
        <v>7014</v>
      </c>
      <c r="C4766" s="4">
        <v>715.0</v>
      </c>
      <c r="D4766" s="5" t="str">
        <f t="shared" ref="D4766:D4767" si="1049">HYPERLINK("https://www.linkedin.com/ad-library/detail/916872014","Open Ad")</f>
        <v>Open Ad</v>
      </c>
      <c r="E4766" s="4" t="s">
        <v>78</v>
      </c>
      <c r="F4766" s="4" t="s">
        <v>6765</v>
      </c>
      <c r="G4766" s="4" t="s">
        <v>7116</v>
      </c>
      <c r="H4766" s="4" t="s">
        <v>49</v>
      </c>
      <c r="I4766" s="4" t="s">
        <v>7016</v>
      </c>
      <c r="J4766" s="4" t="s">
        <v>78</v>
      </c>
      <c r="K4766" s="7" t="str">
        <f t="shared" ref="K4766:K4767" si="1050">HYPERLINK("https://media.licdn.com/dms/image/v2/D4E10AQEU0w4UGxx8Ag/image-shrink_1280/B4EZqXkZXlIQAQ-/0/1763479492926/3Lightjpg?e=2147483647&amp;v=beta&amp;t=_jgwspKyqLBBvgvbnQErlUU5Db0lO5w9CIE-CNaO5CA","View Creative")</f>
        <v>View Creative</v>
      </c>
      <c r="L4766" s="4" t="s">
        <v>60</v>
      </c>
      <c r="M4766" s="4" t="s">
        <v>7013</v>
      </c>
      <c r="N4766" s="4"/>
      <c r="O4766" s="4" t="s">
        <v>63</v>
      </c>
      <c r="P4766" s="4" t="s">
        <v>64</v>
      </c>
    </row>
    <row r="4767">
      <c r="A4767" s="4" t="s">
        <v>7013</v>
      </c>
      <c r="B4767" s="4" t="s">
        <v>7014</v>
      </c>
      <c r="C4767" s="4">
        <v>716.0</v>
      </c>
      <c r="D4767" s="5" t="str">
        <f t="shared" si="1049"/>
        <v>Open Ad</v>
      </c>
      <c r="E4767" s="4" t="s">
        <v>78</v>
      </c>
      <c r="F4767" s="4" t="s">
        <v>6765</v>
      </c>
      <c r="G4767" s="4" t="s">
        <v>7116</v>
      </c>
      <c r="H4767" s="4" t="s">
        <v>49</v>
      </c>
      <c r="I4767" s="4" t="s">
        <v>7016</v>
      </c>
      <c r="J4767" s="4" t="s">
        <v>78</v>
      </c>
      <c r="K4767" s="7" t="str">
        <f t="shared" si="1050"/>
        <v>View Creative</v>
      </c>
      <c r="L4767" s="4" t="s">
        <v>60</v>
      </c>
      <c r="M4767" s="4" t="s">
        <v>7013</v>
      </c>
      <c r="N4767" s="4"/>
      <c r="O4767" s="4" t="s">
        <v>63</v>
      </c>
      <c r="P4767" s="4" t="s">
        <v>64</v>
      </c>
    </row>
    <row r="4768">
      <c r="A4768" s="4" t="s">
        <v>7013</v>
      </c>
      <c r="B4768" s="4" t="s">
        <v>7014</v>
      </c>
      <c r="C4768" s="4">
        <v>717.0</v>
      </c>
      <c r="D4768" s="5" t="str">
        <f t="shared" ref="D4768:D4769" si="1051">HYPERLINK("https://www.linkedin.com/ad-library/detail/916891774","Open Ad")</f>
        <v>Open Ad</v>
      </c>
      <c r="E4768" s="4" t="s">
        <v>78</v>
      </c>
      <c r="F4768" s="4" t="s">
        <v>6765</v>
      </c>
      <c r="G4768" s="4" t="s">
        <v>7125</v>
      </c>
      <c r="H4768" s="4" t="s">
        <v>49</v>
      </c>
      <c r="I4768" s="4" t="s">
        <v>7016</v>
      </c>
      <c r="J4768" s="4" t="s">
        <v>78</v>
      </c>
      <c r="K4768" s="7" t="str">
        <f t="shared" ref="K4768:K4769" si="1052">HYPERLINK("https://media.licdn.com/dms/image/v2/D4E10AQHnhFdk5erWzw/image-shrink_1280/B4EZqXl1jdHcAQ-/0/1763479870659/4Dark-1jpg?e=2147483647&amp;v=beta&amp;t=wQnFAsjwRWIR2Up9jZTNCEwfUoCUCC6kW19Coj1cMSo","View Creative")</f>
        <v>View Creative</v>
      </c>
      <c r="L4768" s="4" t="s">
        <v>60</v>
      </c>
      <c r="M4768" s="4" t="s">
        <v>7013</v>
      </c>
      <c r="N4768" s="4"/>
      <c r="O4768" s="4" t="s">
        <v>63</v>
      </c>
      <c r="P4768" s="4" t="s">
        <v>64</v>
      </c>
    </row>
    <row r="4769">
      <c r="A4769" s="4" t="s">
        <v>7013</v>
      </c>
      <c r="B4769" s="4" t="s">
        <v>7014</v>
      </c>
      <c r="C4769" s="4">
        <v>718.0</v>
      </c>
      <c r="D4769" s="5" t="str">
        <f t="shared" si="1051"/>
        <v>Open Ad</v>
      </c>
      <c r="E4769" s="4" t="s">
        <v>78</v>
      </c>
      <c r="F4769" s="4" t="s">
        <v>6765</v>
      </c>
      <c r="G4769" s="4" t="s">
        <v>7125</v>
      </c>
      <c r="H4769" s="4" t="s">
        <v>49</v>
      </c>
      <c r="I4769" s="4" t="s">
        <v>7016</v>
      </c>
      <c r="J4769" s="4" t="s">
        <v>78</v>
      </c>
      <c r="K4769" s="7" t="str">
        <f t="shared" si="1052"/>
        <v>View Creative</v>
      </c>
      <c r="L4769" s="4" t="s">
        <v>60</v>
      </c>
      <c r="M4769" s="4" t="s">
        <v>7013</v>
      </c>
      <c r="N4769" s="4"/>
      <c r="O4769" s="4" t="s">
        <v>63</v>
      </c>
      <c r="P4769" s="4" t="s">
        <v>64</v>
      </c>
    </row>
    <row r="4770">
      <c r="A4770" s="4" t="s">
        <v>7013</v>
      </c>
      <c r="B4770" s="4" t="s">
        <v>7014</v>
      </c>
      <c r="C4770" s="4">
        <v>719.0</v>
      </c>
      <c r="D4770" s="5" t="str">
        <f t="shared" ref="D4770:D4771" si="1053">HYPERLINK("https://www.linkedin.com/ad-library/detail/916891784","Open Ad")</f>
        <v>Open Ad</v>
      </c>
      <c r="E4770" s="4" t="s">
        <v>78</v>
      </c>
      <c r="F4770" s="4" t="s">
        <v>6765</v>
      </c>
      <c r="G4770" s="4" t="s">
        <v>7116</v>
      </c>
      <c r="H4770" s="4" t="s">
        <v>49</v>
      </c>
      <c r="I4770" s="4" t="s">
        <v>7016</v>
      </c>
      <c r="J4770" s="4" t="s">
        <v>78</v>
      </c>
      <c r="K4770" s="7" t="str">
        <f t="shared" ref="K4770:K4771" si="1054">HYPERLINK("https://media.licdn.com/dms/image/v2/D4E10AQFxfjR2dJkNlg/image-shrink_1280/B4EZqXj65yHoAQ-/0/1763479368316/2Lightjpg?e=2147483647&amp;v=beta&amp;t=0BZupskLHGP7TqtfAL-L-mFVlgtE8yz43mAhCvAvz8E","View Creative")</f>
        <v>View Creative</v>
      </c>
      <c r="L4770" s="4" t="s">
        <v>60</v>
      </c>
      <c r="M4770" s="4" t="s">
        <v>7013</v>
      </c>
      <c r="N4770" s="4"/>
      <c r="O4770" s="4" t="s">
        <v>63</v>
      </c>
      <c r="P4770" s="4" t="s">
        <v>64</v>
      </c>
    </row>
    <row r="4771">
      <c r="A4771" s="4" t="s">
        <v>7013</v>
      </c>
      <c r="B4771" s="4" t="s">
        <v>7014</v>
      </c>
      <c r="C4771" s="4">
        <v>720.0</v>
      </c>
      <c r="D4771" s="5" t="str">
        <f t="shared" si="1053"/>
        <v>Open Ad</v>
      </c>
      <c r="E4771" s="4" t="s">
        <v>78</v>
      </c>
      <c r="F4771" s="4" t="s">
        <v>6765</v>
      </c>
      <c r="G4771" s="4" t="s">
        <v>7116</v>
      </c>
      <c r="H4771" s="4" t="s">
        <v>49</v>
      </c>
      <c r="I4771" s="4" t="s">
        <v>7016</v>
      </c>
      <c r="J4771" s="4" t="s">
        <v>78</v>
      </c>
      <c r="K4771" s="7" t="str">
        <f t="shared" si="1054"/>
        <v>View Creative</v>
      </c>
      <c r="L4771" s="4" t="s">
        <v>60</v>
      </c>
      <c r="M4771" s="4" t="s">
        <v>7013</v>
      </c>
      <c r="N4771" s="4"/>
      <c r="O4771" s="4" t="s">
        <v>63</v>
      </c>
      <c r="P4771" s="4" t="s">
        <v>64</v>
      </c>
    </row>
    <row r="4772">
      <c r="A4772" s="4" t="s">
        <v>7013</v>
      </c>
      <c r="B4772" s="4" t="s">
        <v>7014</v>
      </c>
      <c r="C4772" s="4">
        <v>721.0</v>
      </c>
      <c r="D4772" s="5" t="str">
        <f t="shared" ref="D4772:D4773" si="1055">HYPERLINK("https://www.linkedin.com/ad-library/detail/916921814","Open Ad")</f>
        <v>Open Ad</v>
      </c>
      <c r="E4772" s="4" t="s">
        <v>78</v>
      </c>
      <c r="F4772" s="4" t="s">
        <v>6765</v>
      </c>
      <c r="G4772" s="4" t="s">
        <v>7125</v>
      </c>
      <c r="H4772" s="4" t="s">
        <v>49</v>
      </c>
      <c r="I4772" s="4" t="s">
        <v>7016</v>
      </c>
      <c r="J4772" s="4" t="s">
        <v>78</v>
      </c>
      <c r="K4772" s="7" t="str">
        <f t="shared" ref="K4772:K4773" si="1056">HYPERLINK("https://media.licdn.com/dms/image/v2/D4E10AQGFN_P8WCY0jA/image-shrink_1280/B4EZqXllA6IwAQ-/0/1763479802713/3Light-1jpg?e=2147483647&amp;v=beta&amp;t=moKbMnOEBsk-2jZ7gRD3BVAse4I-Gvx4cmQbqTbU_bw","View Creative")</f>
        <v>View Creative</v>
      </c>
      <c r="L4772" s="4" t="s">
        <v>60</v>
      </c>
      <c r="M4772" s="4" t="s">
        <v>7013</v>
      </c>
      <c r="N4772" s="4"/>
      <c r="O4772" s="4" t="s">
        <v>63</v>
      </c>
      <c r="P4772" s="4" t="s">
        <v>64</v>
      </c>
    </row>
    <row r="4773">
      <c r="A4773" s="4" t="s">
        <v>7013</v>
      </c>
      <c r="B4773" s="4" t="s">
        <v>7014</v>
      </c>
      <c r="C4773" s="4">
        <v>722.0</v>
      </c>
      <c r="D4773" s="5" t="str">
        <f t="shared" si="1055"/>
        <v>Open Ad</v>
      </c>
      <c r="E4773" s="4" t="s">
        <v>78</v>
      </c>
      <c r="F4773" s="4" t="s">
        <v>6765</v>
      </c>
      <c r="G4773" s="4" t="s">
        <v>7125</v>
      </c>
      <c r="H4773" s="4" t="s">
        <v>49</v>
      </c>
      <c r="I4773" s="4" t="s">
        <v>7016</v>
      </c>
      <c r="J4773" s="4" t="s">
        <v>78</v>
      </c>
      <c r="K4773" s="7" t="str">
        <f t="shared" si="1056"/>
        <v>View Creative</v>
      </c>
      <c r="L4773" s="4" t="s">
        <v>60</v>
      </c>
      <c r="M4773" s="4" t="s">
        <v>7013</v>
      </c>
      <c r="N4773" s="4"/>
      <c r="O4773" s="4" t="s">
        <v>63</v>
      </c>
      <c r="P4773" s="4" t="s">
        <v>64</v>
      </c>
    </row>
    <row r="4774">
      <c r="A4774" s="4" t="s">
        <v>7013</v>
      </c>
      <c r="B4774" s="4" t="s">
        <v>7014</v>
      </c>
      <c r="C4774" s="4">
        <v>723.0</v>
      </c>
      <c r="D4774" s="5" t="str">
        <f t="shared" ref="D4774:D4775" si="1057">HYPERLINK("https://www.linkedin.com/ad-library/detail/916722894","Open Ad")</f>
        <v>Open Ad</v>
      </c>
      <c r="E4774" s="4" t="s">
        <v>78</v>
      </c>
      <c r="F4774" s="4" t="s">
        <v>6765</v>
      </c>
      <c r="G4774" s="4" t="s">
        <v>7106</v>
      </c>
      <c r="H4774" s="4" t="s">
        <v>49</v>
      </c>
      <c r="I4774" s="4" t="s">
        <v>7016</v>
      </c>
      <c r="J4774" s="4" t="s">
        <v>78</v>
      </c>
      <c r="K4774" s="7" t="str">
        <f t="shared" ref="K4774:K4775" si="1058">HYPERLINK("https://media.licdn.com/dms/image/v2/D4E10AQF4bTkTRfa3uA/image-shrink_1280/B4EZqXgd47HMAM-/0/1763478462911/4Light-2jpg?e=2147483647&amp;v=beta&amp;t=uK41TOo8iHj_pufRB7IRs6CRYzq8e8v7tl4rEbNjC4k","View Creative")</f>
        <v>View Creative</v>
      </c>
      <c r="L4774" s="4" t="s">
        <v>60</v>
      </c>
      <c r="M4774" s="4" t="s">
        <v>7013</v>
      </c>
      <c r="N4774" s="4" t="s">
        <v>7126</v>
      </c>
      <c r="O4774" s="4" t="s">
        <v>63</v>
      </c>
      <c r="P4774" s="4" t="s">
        <v>64</v>
      </c>
    </row>
    <row r="4775">
      <c r="A4775" s="4" t="s">
        <v>7013</v>
      </c>
      <c r="B4775" s="4" t="s">
        <v>7014</v>
      </c>
      <c r="C4775" s="4">
        <v>724.0</v>
      </c>
      <c r="D4775" s="5" t="str">
        <f t="shared" si="1057"/>
        <v>Open Ad</v>
      </c>
      <c r="E4775" s="4" t="s">
        <v>78</v>
      </c>
      <c r="F4775" s="4" t="s">
        <v>6765</v>
      </c>
      <c r="G4775" s="4" t="s">
        <v>7106</v>
      </c>
      <c r="H4775" s="4" t="s">
        <v>49</v>
      </c>
      <c r="I4775" s="4" t="s">
        <v>7016</v>
      </c>
      <c r="J4775" s="4" t="s">
        <v>78</v>
      </c>
      <c r="K4775" s="7" t="str">
        <f t="shared" si="1058"/>
        <v>View Creative</v>
      </c>
      <c r="L4775" s="4" t="s">
        <v>60</v>
      </c>
      <c r="M4775" s="4" t="s">
        <v>7013</v>
      </c>
      <c r="N4775" s="4" t="s">
        <v>7126</v>
      </c>
      <c r="O4775" s="4" t="s">
        <v>63</v>
      </c>
      <c r="P4775" s="4" t="s">
        <v>64</v>
      </c>
    </row>
    <row r="4776">
      <c r="A4776" s="4" t="s">
        <v>7013</v>
      </c>
      <c r="B4776" s="4" t="s">
        <v>7014</v>
      </c>
      <c r="C4776" s="4">
        <v>725.0</v>
      </c>
      <c r="D4776" s="5" t="str">
        <f t="shared" ref="D4776:D4777" si="1059">HYPERLINK("https://www.linkedin.com/ad-library/detail/916722884","Open Ad")</f>
        <v>Open Ad</v>
      </c>
      <c r="E4776" s="4" t="s">
        <v>78</v>
      </c>
      <c r="F4776" s="4" t="s">
        <v>6765</v>
      </c>
      <c r="G4776" s="4" t="s">
        <v>7125</v>
      </c>
      <c r="H4776" s="4" t="s">
        <v>49</v>
      </c>
      <c r="I4776" s="4" t="s">
        <v>7016</v>
      </c>
      <c r="J4776" s="4" t="s">
        <v>78</v>
      </c>
      <c r="K4776" s="7" t="str">
        <f t="shared" ref="K4776:K4777" si="1060">HYPERLINK("https://media.licdn.com/dms/image/v2/D4E10AQEibW1Mbh7sqA/image-shrink_1280/B4EZqXls8NJ0AM-/0/1763479835181/4Light-1jpg?e=2147483647&amp;v=beta&amp;t=2hMSkg_WzpI0QH6KbZSxbFIXB8RwAQMadtR6L1vWDAk","View Creative")</f>
        <v>View Creative</v>
      </c>
      <c r="L4776" s="4" t="s">
        <v>60</v>
      </c>
      <c r="M4776" s="4" t="s">
        <v>7013</v>
      </c>
      <c r="N4776" s="4" t="s">
        <v>7126</v>
      </c>
      <c r="O4776" s="4" t="s">
        <v>63</v>
      </c>
      <c r="P4776" s="4" t="s">
        <v>64</v>
      </c>
    </row>
    <row r="4777">
      <c r="A4777" s="4" t="s">
        <v>7013</v>
      </c>
      <c r="B4777" s="4" t="s">
        <v>7014</v>
      </c>
      <c r="C4777" s="4">
        <v>726.0</v>
      </c>
      <c r="D4777" s="5" t="str">
        <f t="shared" si="1059"/>
        <v>Open Ad</v>
      </c>
      <c r="E4777" s="4" t="s">
        <v>78</v>
      </c>
      <c r="F4777" s="4" t="s">
        <v>6765</v>
      </c>
      <c r="G4777" s="4" t="s">
        <v>7125</v>
      </c>
      <c r="H4777" s="4" t="s">
        <v>49</v>
      </c>
      <c r="I4777" s="4" t="s">
        <v>7016</v>
      </c>
      <c r="J4777" s="4" t="s">
        <v>78</v>
      </c>
      <c r="K4777" s="7" t="str">
        <f t="shared" si="1060"/>
        <v>View Creative</v>
      </c>
      <c r="L4777" s="4" t="s">
        <v>60</v>
      </c>
      <c r="M4777" s="4" t="s">
        <v>7013</v>
      </c>
      <c r="N4777" s="4" t="s">
        <v>7126</v>
      </c>
      <c r="O4777" s="4" t="s">
        <v>63</v>
      </c>
      <c r="P4777" s="4" t="s">
        <v>64</v>
      </c>
    </row>
    <row r="4778">
      <c r="A4778" s="4" t="s">
        <v>7013</v>
      </c>
      <c r="B4778" s="4" t="s">
        <v>7014</v>
      </c>
      <c r="C4778" s="4">
        <v>727.0</v>
      </c>
      <c r="D4778" s="5" t="str">
        <f t="shared" ref="D4778:D4779" si="1061">HYPERLINK("https://www.linkedin.com/ad-library/detail/916772474","Open Ad")</f>
        <v>Open Ad</v>
      </c>
      <c r="E4778" s="4" t="s">
        <v>78</v>
      </c>
      <c r="F4778" s="4" t="s">
        <v>6765</v>
      </c>
      <c r="G4778" s="4" t="s">
        <v>7106</v>
      </c>
      <c r="H4778" s="4" t="s">
        <v>49</v>
      </c>
      <c r="I4778" s="4" t="s">
        <v>7016</v>
      </c>
      <c r="J4778" s="4" t="s">
        <v>78</v>
      </c>
      <c r="K4778" s="7" t="str">
        <f t="shared" ref="K4778:K4779" si="1062">HYPERLINK("https://media.licdn.com/dms/image/v2/D4E10AQENGaPDx5roqA/image-shrink_1280/B4EZqXim7FKkAM-/0/1763479024318/2Light-2jpg?e=2147483647&amp;v=beta&amp;t=DZept9KGGJUeiMjvlU1rddz-iLlsRJ0i4DTZKOx7IH4","View Creative")</f>
        <v>View Creative</v>
      </c>
      <c r="L4778" s="4" t="s">
        <v>60</v>
      </c>
      <c r="M4778" s="4" t="s">
        <v>7013</v>
      </c>
      <c r="N4778" s="4" t="s">
        <v>7126</v>
      </c>
      <c r="O4778" s="4" t="s">
        <v>63</v>
      </c>
      <c r="P4778" s="4" t="s">
        <v>64</v>
      </c>
    </row>
    <row r="4779">
      <c r="A4779" s="4" t="s">
        <v>7013</v>
      </c>
      <c r="B4779" s="4" t="s">
        <v>7014</v>
      </c>
      <c r="C4779" s="4">
        <v>728.0</v>
      </c>
      <c r="D4779" s="5" t="str">
        <f t="shared" si="1061"/>
        <v>Open Ad</v>
      </c>
      <c r="E4779" s="4" t="s">
        <v>78</v>
      </c>
      <c r="F4779" s="4" t="s">
        <v>6765</v>
      </c>
      <c r="G4779" s="4" t="s">
        <v>7106</v>
      </c>
      <c r="H4779" s="4" t="s">
        <v>49</v>
      </c>
      <c r="I4779" s="4" t="s">
        <v>7016</v>
      </c>
      <c r="J4779" s="4" t="s">
        <v>78</v>
      </c>
      <c r="K4779" s="7" t="str">
        <f t="shared" si="1062"/>
        <v>View Creative</v>
      </c>
      <c r="L4779" s="4" t="s">
        <v>60</v>
      </c>
      <c r="M4779" s="4" t="s">
        <v>7013</v>
      </c>
      <c r="N4779" s="4" t="s">
        <v>7126</v>
      </c>
      <c r="O4779" s="4" t="s">
        <v>63</v>
      </c>
      <c r="P4779" s="4" t="s">
        <v>64</v>
      </c>
    </row>
    <row r="4780">
      <c r="A4780" s="4" t="s">
        <v>7013</v>
      </c>
      <c r="B4780" s="4" t="s">
        <v>7014</v>
      </c>
      <c r="C4780" s="4">
        <v>729.0</v>
      </c>
      <c r="D4780" s="5" t="str">
        <f t="shared" ref="D4780:D4781" si="1063">HYPERLINK("https://www.linkedin.com/ad-library/detail/916941524","Open Ad")</f>
        <v>Open Ad</v>
      </c>
      <c r="E4780" s="4" t="s">
        <v>78</v>
      </c>
      <c r="F4780" s="4" t="s">
        <v>6765</v>
      </c>
      <c r="G4780" s="4" t="s">
        <v>7116</v>
      </c>
      <c r="H4780" s="4" t="s">
        <v>49</v>
      </c>
      <c r="I4780" s="4" t="s">
        <v>7016</v>
      </c>
      <c r="J4780" s="4" t="s">
        <v>78</v>
      </c>
      <c r="K4780" s="7" t="str">
        <f t="shared" ref="K4780:K4781" si="1064">HYPERLINK("https://media.licdn.com/dms/image/v2/D4E10AQFxfjR2dJkNlg/image-shrink_1280/B4EZqXj65yHoAQ-/0/1763479368316/2Lightjpg?e=2147483647&amp;v=beta&amp;t=0BZupskLHGP7TqtfAL-L-mFVlgtE8yz43mAhCvAvz8E","View Creative")</f>
        <v>View Creative</v>
      </c>
      <c r="L4780" s="4" t="s">
        <v>60</v>
      </c>
      <c r="M4780" s="4" t="s">
        <v>7013</v>
      </c>
      <c r="N4780" s="4" t="s">
        <v>7126</v>
      </c>
      <c r="O4780" s="4" t="s">
        <v>63</v>
      </c>
      <c r="P4780" s="4" t="s">
        <v>64</v>
      </c>
    </row>
    <row r="4781">
      <c r="A4781" s="4" t="s">
        <v>7013</v>
      </c>
      <c r="B4781" s="4" t="s">
        <v>7014</v>
      </c>
      <c r="C4781" s="4">
        <v>730.0</v>
      </c>
      <c r="D4781" s="5" t="str">
        <f t="shared" si="1063"/>
        <v>Open Ad</v>
      </c>
      <c r="E4781" s="4" t="s">
        <v>78</v>
      </c>
      <c r="F4781" s="4" t="s">
        <v>6765</v>
      </c>
      <c r="G4781" s="4" t="s">
        <v>7116</v>
      </c>
      <c r="H4781" s="4" t="s">
        <v>49</v>
      </c>
      <c r="I4781" s="4" t="s">
        <v>7016</v>
      </c>
      <c r="J4781" s="4" t="s">
        <v>78</v>
      </c>
      <c r="K4781" s="7" t="str">
        <f t="shared" si="1064"/>
        <v>View Creative</v>
      </c>
      <c r="L4781" s="4" t="s">
        <v>60</v>
      </c>
      <c r="M4781" s="4" t="s">
        <v>7013</v>
      </c>
      <c r="N4781" s="4" t="s">
        <v>7126</v>
      </c>
      <c r="O4781" s="4" t="s">
        <v>63</v>
      </c>
      <c r="P4781" s="4" t="s">
        <v>64</v>
      </c>
    </row>
    <row r="4782">
      <c r="A4782" s="4" t="s">
        <v>7013</v>
      </c>
      <c r="B4782" s="4" t="s">
        <v>7014</v>
      </c>
      <c r="C4782" s="4">
        <v>731.0</v>
      </c>
      <c r="D4782" s="5" t="str">
        <f t="shared" ref="D4782:D4783" si="1065">HYPERLINK("https://www.linkedin.com/ad-library/detail/916792354","Open Ad")</f>
        <v>Open Ad</v>
      </c>
      <c r="E4782" s="4" t="s">
        <v>78</v>
      </c>
      <c r="F4782" s="4" t="s">
        <v>6765</v>
      </c>
      <c r="G4782" s="4" t="s">
        <v>7106</v>
      </c>
      <c r="H4782" s="4" t="s">
        <v>49</v>
      </c>
      <c r="I4782" s="4" t="s">
        <v>7016</v>
      </c>
      <c r="J4782" s="4" t="s">
        <v>78</v>
      </c>
      <c r="K4782" s="7" t="str">
        <f t="shared" ref="K4782:K4783" si="1066">HYPERLINK("https://media.licdn.com/dms/image/v2/D4E10AQExlvzvwZR9Cw/image-shrink_1280/B4EZqXjO3_JgAQ-/0/1763479187977/3Dark-2jpg?e=2147483647&amp;v=beta&amp;t=hIw8-9_xZmTLDeJdkluPd0WO2TRrUEIgeIYzXYtAh1g","View Creative")</f>
        <v>View Creative</v>
      </c>
      <c r="L4782" s="4" t="s">
        <v>60</v>
      </c>
      <c r="M4782" s="4" t="s">
        <v>7013</v>
      </c>
      <c r="N4782" s="4" t="s">
        <v>7126</v>
      </c>
      <c r="O4782" s="4" t="s">
        <v>63</v>
      </c>
      <c r="P4782" s="4" t="s">
        <v>64</v>
      </c>
    </row>
    <row r="4783">
      <c r="A4783" s="4" t="s">
        <v>7013</v>
      </c>
      <c r="B4783" s="4" t="s">
        <v>7014</v>
      </c>
      <c r="C4783" s="4">
        <v>732.0</v>
      </c>
      <c r="D4783" s="5" t="str">
        <f t="shared" si="1065"/>
        <v>Open Ad</v>
      </c>
      <c r="E4783" s="4" t="s">
        <v>78</v>
      </c>
      <c r="F4783" s="4" t="s">
        <v>6765</v>
      </c>
      <c r="G4783" s="4" t="s">
        <v>7106</v>
      </c>
      <c r="H4783" s="4" t="s">
        <v>49</v>
      </c>
      <c r="I4783" s="4" t="s">
        <v>7016</v>
      </c>
      <c r="J4783" s="4" t="s">
        <v>78</v>
      </c>
      <c r="K4783" s="7" t="str">
        <f t="shared" si="1066"/>
        <v>View Creative</v>
      </c>
      <c r="L4783" s="4" t="s">
        <v>60</v>
      </c>
      <c r="M4783" s="4" t="s">
        <v>7013</v>
      </c>
      <c r="N4783" s="4" t="s">
        <v>7126</v>
      </c>
      <c r="O4783" s="4" t="s">
        <v>63</v>
      </c>
      <c r="P4783" s="4" t="s">
        <v>64</v>
      </c>
    </row>
    <row r="4784">
      <c r="A4784" s="4" t="s">
        <v>7013</v>
      </c>
      <c r="B4784" s="4" t="s">
        <v>7014</v>
      </c>
      <c r="C4784" s="4">
        <v>733.0</v>
      </c>
      <c r="D4784" s="5" t="str">
        <f t="shared" ref="D4784:D4785" si="1067">HYPERLINK("https://www.linkedin.com/ad-library/detail/916802364","Open Ad")</f>
        <v>Open Ad</v>
      </c>
      <c r="E4784" s="4" t="s">
        <v>78</v>
      </c>
      <c r="F4784" s="4" t="s">
        <v>6765</v>
      </c>
      <c r="G4784" s="4" t="s">
        <v>7106</v>
      </c>
      <c r="H4784" s="4" t="s">
        <v>49</v>
      </c>
      <c r="I4784" s="4" t="s">
        <v>7016</v>
      </c>
      <c r="J4784" s="4" t="s">
        <v>78</v>
      </c>
      <c r="K4784" s="7" t="str">
        <f t="shared" ref="K4784:K4785" si="1068">HYPERLINK("https://media.licdn.com/dms/image/v2/D4E10AQHcSoWO1dYKtQ/image-shrink_1280/B4EZqXi5QAHcAQ-/0/1763479099393/2Dark-2jpg?e=2147483647&amp;v=beta&amp;t=icCzusjbqHqZBG3AQPs0VI2nQANVz543VtPBphg9iAk","View Creative")</f>
        <v>View Creative</v>
      </c>
      <c r="L4784" s="4" t="s">
        <v>60</v>
      </c>
      <c r="M4784" s="4" t="s">
        <v>7013</v>
      </c>
      <c r="N4784" s="4"/>
      <c r="O4784" s="4" t="s">
        <v>63</v>
      </c>
      <c r="P4784" s="4" t="s">
        <v>64</v>
      </c>
    </row>
    <row r="4785">
      <c r="A4785" s="4" t="s">
        <v>7013</v>
      </c>
      <c r="B4785" s="4" t="s">
        <v>7014</v>
      </c>
      <c r="C4785" s="4">
        <v>734.0</v>
      </c>
      <c r="D4785" s="5" t="str">
        <f t="shared" si="1067"/>
        <v>Open Ad</v>
      </c>
      <c r="E4785" s="4" t="s">
        <v>78</v>
      </c>
      <c r="F4785" s="4" t="s">
        <v>6765</v>
      </c>
      <c r="G4785" s="4" t="s">
        <v>7106</v>
      </c>
      <c r="H4785" s="4" t="s">
        <v>49</v>
      </c>
      <c r="I4785" s="4" t="s">
        <v>7016</v>
      </c>
      <c r="J4785" s="4" t="s">
        <v>78</v>
      </c>
      <c r="K4785" s="7" t="str">
        <f t="shared" si="1068"/>
        <v>View Creative</v>
      </c>
      <c r="L4785" s="4" t="s">
        <v>60</v>
      </c>
      <c r="M4785" s="4" t="s">
        <v>7013</v>
      </c>
      <c r="N4785" s="4"/>
      <c r="O4785" s="4" t="s">
        <v>63</v>
      </c>
      <c r="P4785" s="4" t="s">
        <v>64</v>
      </c>
    </row>
    <row r="4786">
      <c r="A4786" s="4" t="s">
        <v>7013</v>
      </c>
      <c r="B4786" s="4" t="s">
        <v>7014</v>
      </c>
      <c r="C4786" s="4">
        <v>735.0</v>
      </c>
      <c r="D4786" s="5" t="str">
        <f t="shared" ref="D4786:D4787" si="1069">HYPERLINK("https://www.linkedin.com/ad-library/detail/916822154","Open Ad")</f>
        <v>Open Ad</v>
      </c>
      <c r="E4786" s="4" t="s">
        <v>78</v>
      </c>
      <c r="F4786" s="4" t="s">
        <v>6765</v>
      </c>
      <c r="G4786" s="4" t="s">
        <v>7116</v>
      </c>
      <c r="H4786" s="4" t="s">
        <v>49</v>
      </c>
      <c r="I4786" s="4" t="s">
        <v>7016</v>
      </c>
      <c r="J4786" s="4" t="s">
        <v>78</v>
      </c>
      <c r="K4786" s="7" t="str">
        <f t="shared" ref="K4786:K4787" si="1070">HYPERLINK("https://media.licdn.com/dms/image/v2/D4E10AQEU0w4UGxx8Ag/image-shrink_1280/B4EZqXkZXlIQAQ-/0/1763479492926/3Lightjpg?e=2147483647&amp;v=beta&amp;t=_jgwspKyqLBBvgvbnQErlUU5Db0lO5w9CIE-CNaO5CA","View Creative")</f>
        <v>View Creative</v>
      </c>
      <c r="L4786" s="4" t="s">
        <v>60</v>
      </c>
      <c r="M4786" s="4" t="s">
        <v>7013</v>
      </c>
      <c r="N4786" s="4" t="s">
        <v>7126</v>
      </c>
      <c r="O4786" s="4" t="s">
        <v>63</v>
      </c>
      <c r="P4786" s="4" t="s">
        <v>64</v>
      </c>
    </row>
    <row r="4787">
      <c r="A4787" s="4" t="s">
        <v>7013</v>
      </c>
      <c r="B4787" s="4" t="s">
        <v>7014</v>
      </c>
      <c r="C4787" s="4">
        <v>736.0</v>
      </c>
      <c r="D4787" s="5" t="str">
        <f t="shared" si="1069"/>
        <v>Open Ad</v>
      </c>
      <c r="E4787" s="4" t="s">
        <v>78</v>
      </c>
      <c r="F4787" s="4" t="s">
        <v>6765</v>
      </c>
      <c r="G4787" s="4" t="s">
        <v>7116</v>
      </c>
      <c r="H4787" s="4" t="s">
        <v>49</v>
      </c>
      <c r="I4787" s="4" t="s">
        <v>7016</v>
      </c>
      <c r="J4787" s="4" t="s">
        <v>78</v>
      </c>
      <c r="K4787" s="7" t="str">
        <f t="shared" si="1070"/>
        <v>View Creative</v>
      </c>
      <c r="L4787" s="4" t="s">
        <v>60</v>
      </c>
      <c r="M4787" s="4" t="s">
        <v>7013</v>
      </c>
      <c r="N4787" s="4" t="s">
        <v>7126</v>
      </c>
      <c r="O4787" s="4" t="s">
        <v>63</v>
      </c>
      <c r="P4787" s="4" t="s">
        <v>64</v>
      </c>
    </row>
    <row r="4788">
      <c r="A4788" s="4" t="s">
        <v>7013</v>
      </c>
      <c r="B4788" s="4" t="s">
        <v>7014</v>
      </c>
      <c r="C4788" s="4">
        <v>737.0</v>
      </c>
      <c r="D4788" s="5" t="str">
        <f t="shared" ref="D4788:D4789" si="1071">HYPERLINK("https://www.linkedin.com/ad-library/detail/916921774","Open Ad")</f>
        <v>Open Ad</v>
      </c>
      <c r="E4788" s="4" t="s">
        <v>78</v>
      </c>
      <c r="F4788" s="4" t="s">
        <v>6765</v>
      </c>
      <c r="G4788" s="4" t="s">
        <v>7125</v>
      </c>
      <c r="H4788" s="4" t="s">
        <v>49</v>
      </c>
      <c r="I4788" s="4" t="s">
        <v>7016</v>
      </c>
      <c r="J4788" s="4" t="s">
        <v>78</v>
      </c>
      <c r="K4788" s="7" t="str">
        <f t="shared" ref="K4788:K4789" si="1072">HYPERLINK("https://media.licdn.com/dms/image/v2/D4E10AQGFN_P8WCY0jA/image-shrink_1280/B4EZqXllA6IwAQ-/0/1763479802713/3Light-1jpg?e=2147483647&amp;v=beta&amp;t=moKbMnOEBsk-2jZ7gRD3BVAse4I-Gvx4cmQbqTbU_bw","View Creative")</f>
        <v>View Creative</v>
      </c>
      <c r="L4788" s="4" t="s">
        <v>60</v>
      </c>
      <c r="M4788" s="4" t="s">
        <v>7013</v>
      </c>
      <c r="N4788" s="4" t="s">
        <v>7126</v>
      </c>
      <c r="O4788" s="4" t="s">
        <v>63</v>
      </c>
      <c r="P4788" s="4" t="s">
        <v>64</v>
      </c>
    </row>
    <row r="4789">
      <c r="A4789" s="4" t="s">
        <v>7013</v>
      </c>
      <c r="B4789" s="4" t="s">
        <v>7014</v>
      </c>
      <c r="C4789" s="4">
        <v>738.0</v>
      </c>
      <c r="D4789" s="5" t="str">
        <f t="shared" si="1071"/>
        <v>Open Ad</v>
      </c>
      <c r="E4789" s="4" t="s">
        <v>78</v>
      </c>
      <c r="F4789" s="4" t="s">
        <v>6765</v>
      </c>
      <c r="G4789" s="4" t="s">
        <v>7125</v>
      </c>
      <c r="H4789" s="4" t="s">
        <v>49</v>
      </c>
      <c r="I4789" s="4" t="s">
        <v>7016</v>
      </c>
      <c r="J4789" s="4" t="s">
        <v>78</v>
      </c>
      <c r="K4789" s="7" t="str">
        <f t="shared" si="1072"/>
        <v>View Creative</v>
      </c>
      <c r="L4789" s="4" t="s">
        <v>60</v>
      </c>
      <c r="M4789" s="4" t="s">
        <v>7013</v>
      </c>
      <c r="N4789" s="4" t="s">
        <v>7126</v>
      </c>
      <c r="O4789" s="4" t="s">
        <v>63</v>
      </c>
      <c r="P4789" s="4" t="s">
        <v>64</v>
      </c>
    </row>
    <row r="4790">
      <c r="A4790" s="4" t="s">
        <v>7013</v>
      </c>
      <c r="B4790" s="4" t="s">
        <v>7014</v>
      </c>
      <c r="C4790" s="4">
        <v>739.0</v>
      </c>
      <c r="D4790" s="5" t="str">
        <f t="shared" ref="D4790:D4791" si="1073">HYPERLINK("https://www.linkedin.com/ad-library/detail/916921784","Open Ad")</f>
        <v>Open Ad</v>
      </c>
      <c r="E4790" s="4" t="s">
        <v>78</v>
      </c>
      <c r="F4790" s="4" t="s">
        <v>6765</v>
      </c>
      <c r="G4790" s="4" t="s">
        <v>7125</v>
      </c>
      <c r="H4790" s="4" t="s">
        <v>49</v>
      </c>
      <c r="I4790" s="4" t="s">
        <v>7016</v>
      </c>
      <c r="J4790" s="4" t="s">
        <v>78</v>
      </c>
      <c r="K4790" s="7" t="str">
        <f t="shared" ref="K4790:K4793" si="1074">HYPERLINK("https://media.licdn.com/dms/image/v2/D4E10AQG-5ahZNFJ0Qw/image-shrink_1280/B4EZqXlcw9J0AQ-/0/1763479769117/3Dark-1jpg?e=2147483647&amp;v=beta&amp;t=4-8BXjQk2Kp5K6WaUT9S6iuqFLEfdncrDe1XCFFXnhA","View Creative")</f>
        <v>View Creative</v>
      </c>
      <c r="L4790" s="4" t="s">
        <v>60</v>
      </c>
      <c r="M4790" s="4" t="s">
        <v>7013</v>
      </c>
      <c r="N4790" s="4" t="s">
        <v>7126</v>
      </c>
      <c r="O4790" s="4" t="s">
        <v>63</v>
      </c>
      <c r="P4790" s="4" t="s">
        <v>64</v>
      </c>
    </row>
    <row r="4791">
      <c r="A4791" s="4" t="s">
        <v>7013</v>
      </c>
      <c r="B4791" s="4" t="s">
        <v>7014</v>
      </c>
      <c r="C4791" s="4">
        <v>740.0</v>
      </c>
      <c r="D4791" s="5" t="str">
        <f t="shared" si="1073"/>
        <v>Open Ad</v>
      </c>
      <c r="E4791" s="4" t="s">
        <v>78</v>
      </c>
      <c r="F4791" s="4" t="s">
        <v>6765</v>
      </c>
      <c r="G4791" s="4" t="s">
        <v>7125</v>
      </c>
      <c r="H4791" s="4" t="s">
        <v>49</v>
      </c>
      <c r="I4791" s="4" t="s">
        <v>7016</v>
      </c>
      <c r="J4791" s="4" t="s">
        <v>78</v>
      </c>
      <c r="K4791" s="7" t="str">
        <f t="shared" si="1074"/>
        <v>View Creative</v>
      </c>
      <c r="L4791" s="4" t="s">
        <v>60</v>
      </c>
      <c r="M4791" s="4" t="s">
        <v>7013</v>
      </c>
      <c r="N4791" s="4" t="s">
        <v>7126</v>
      </c>
      <c r="O4791" s="4" t="s">
        <v>63</v>
      </c>
      <c r="P4791" s="4" t="s">
        <v>64</v>
      </c>
    </row>
    <row r="4792">
      <c r="A4792" s="4" t="s">
        <v>7013</v>
      </c>
      <c r="B4792" s="4" t="s">
        <v>7014</v>
      </c>
      <c r="C4792" s="4">
        <v>741.0</v>
      </c>
      <c r="D4792" s="5" t="str">
        <f t="shared" ref="D4792:D4793" si="1075">HYPERLINK("https://www.linkedin.com/ad-library/detail/916752354","Open Ad")</f>
        <v>Open Ad</v>
      </c>
      <c r="E4792" s="4" t="s">
        <v>78</v>
      </c>
      <c r="F4792" s="4" t="s">
        <v>6765</v>
      </c>
      <c r="G4792" s="4" t="s">
        <v>7125</v>
      </c>
      <c r="H4792" s="4" t="s">
        <v>49</v>
      </c>
      <c r="I4792" s="4" t="s">
        <v>7016</v>
      </c>
      <c r="J4792" s="4" t="s">
        <v>78</v>
      </c>
      <c r="K4792" s="7" t="str">
        <f t="shared" si="1074"/>
        <v>View Creative</v>
      </c>
      <c r="L4792" s="4" t="s">
        <v>60</v>
      </c>
      <c r="M4792" s="4" t="s">
        <v>7013</v>
      </c>
      <c r="N4792" s="4" t="s">
        <v>7126</v>
      </c>
      <c r="O4792" s="4" t="s">
        <v>63</v>
      </c>
      <c r="P4792" s="4" t="s">
        <v>64</v>
      </c>
    </row>
    <row r="4793">
      <c r="A4793" s="4" t="s">
        <v>7013</v>
      </c>
      <c r="B4793" s="4" t="s">
        <v>7014</v>
      </c>
      <c r="C4793" s="4">
        <v>742.0</v>
      </c>
      <c r="D4793" s="5" t="str">
        <f t="shared" si="1075"/>
        <v>Open Ad</v>
      </c>
      <c r="E4793" s="4" t="s">
        <v>78</v>
      </c>
      <c r="F4793" s="4" t="s">
        <v>6765</v>
      </c>
      <c r="G4793" s="4" t="s">
        <v>7125</v>
      </c>
      <c r="H4793" s="4" t="s">
        <v>49</v>
      </c>
      <c r="I4793" s="4" t="s">
        <v>7016</v>
      </c>
      <c r="J4793" s="4" t="s">
        <v>78</v>
      </c>
      <c r="K4793" s="7" t="str">
        <f t="shared" si="1074"/>
        <v>View Creative</v>
      </c>
      <c r="L4793" s="4" t="s">
        <v>60</v>
      </c>
      <c r="M4793" s="4" t="s">
        <v>7013</v>
      </c>
      <c r="N4793" s="4" t="s">
        <v>7126</v>
      </c>
      <c r="O4793" s="4" t="s">
        <v>63</v>
      </c>
      <c r="P4793" s="4" t="s">
        <v>64</v>
      </c>
    </row>
    <row r="4794">
      <c r="A4794" s="4" t="s">
        <v>7013</v>
      </c>
      <c r="B4794" s="4" t="s">
        <v>7014</v>
      </c>
      <c r="C4794" s="4">
        <v>743.0</v>
      </c>
      <c r="D4794" s="5" t="str">
        <f t="shared" ref="D4794:D4795" si="1076">HYPERLINK("https://www.linkedin.com/ad-library/detail/916822144","Open Ad")</f>
        <v>Open Ad</v>
      </c>
      <c r="E4794" s="4" t="s">
        <v>78</v>
      </c>
      <c r="F4794" s="4" t="s">
        <v>6765</v>
      </c>
      <c r="G4794" s="4" t="s">
        <v>7125</v>
      </c>
      <c r="H4794" s="4" t="s">
        <v>49</v>
      </c>
      <c r="I4794" s="4" t="s">
        <v>7016</v>
      </c>
      <c r="J4794" s="4" t="s">
        <v>78</v>
      </c>
      <c r="K4794" s="7" t="str">
        <f t="shared" ref="K4794:K4795" si="1077">HYPERLINK("https://media.licdn.com/dms/image/v2/D4E10AQFyqNp1_XAbUA/image-shrink_1280/B4EZqXlVmuKkAU-/0/1763479739753/2Dark-1jpg?e=2147483647&amp;v=beta&amp;t=iZhl9TBautCZUHYjey6WYaA0RTOMTzCLLARQ6xpquy0","View Creative")</f>
        <v>View Creative</v>
      </c>
      <c r="L4794" s="4" t="s">
        <v>60</v>
      </c>
      <c r="M4794" s="4" t="s">
        <v>7013</v>
      </c>
      <c r="N4794" s="4" t="s">
        <v>7126</v>
      </c>
      <c r="O4794" s="4" t="s">
        <v>63</v>
      </c>
      <c r="P4794" s="4" t="s">
        <v>64</v>
      </c>
    </row>
    <row r="4795">
      <c r="A4795" s="4" t="s">
        <v>7013</v>
      </c>
      <c r="B4795" s="4" t="s">
        <v>7014</v>
      </c>
      <c r="C4795" s="4">
        <v>744.0</v>
      </c>
      <c r="D4795" s="5" t="str">
        <f t="shared" si="1076"/>
        <v>Open Ad</v>
      </c>
      <c r="E4795" s="4" t="s">
        <v>78</v>
      </c>
      <c r="F4795" s="4" t="s">
        <v>6765</v>
      </c>
      <c r="G4795" s="4" t="s">
        <v>7125</v>
      </c>
      <c r="H4795" s="4" t="s">
        <v>49</v>
      </c>
      <c r="I4795" s="4" t="s">
        <v>7016</v>
      </c>
      <c r="J4795" s="4" t="s">
        <v>78</v>
      </c>
      <c r="K4795" s="7" t="str">
        <f t="shared" si="1077"/>
        <v>View Creative</v>
      </c>
      <c r="L4795" s="4" t="s">
        <v>60</v>
      </c>
      <c r="M4795" s="4" t="s">
        <v>7013</v>
      </c>
      <c r="N4795" s="4" t="s">
        <v>7126</v>
      </c>
      <c r="O4795" s="4" t="s">
        <v>63</v>
      </c>
      <c r="P4795" s="4" t="s">
        <v>64</v>
      </c>
    </row>
    <row r="4796">
      <c r="A4796" s="4" t="s">
        <v>7013</v>
      </c>
      <c r="B4796" s="4" t="s">
        <v>7014</v>
      </c>
      <c r="C4796" s="4">
        <v>745.0</v>
      </c>
      <c r="D4796" s="5" t="str">
        <f t="shared" ref="D4796:D4797" si="1078">HYPERLINK("https://www.linkedin.com/ad-library/detail/916733024","Open Ad")</f>
        <v>Open Ad</v>
      </c>
      <c r="E4796" s="4" t="s">
        <v>78</v>
      </c>
      <c r="F4796" s="4" t="s">
        <v>6765</v>
      </c>
      <c r="G4796" s="4" t="s">
        <v>7116</v>
      </c>
      <c r="H4796" s="4" t="s">
        <v>49</v>
      </c>
      <c r="I4796" s="4" t="s">
        <v>7016</v>
      </c>
      <c r="J4796" s="4" t="s">
        <v>78</v>
      </c>
      <c r="K4796" s="7" t="str">
        <f t="shared" ref="K4796:K4797" si="1079">HYPERLINK("https://media.licdn.com/dms/image/v2/D4E10AQF05B5KrIYX3Q/image-shrink_1280/B4EZqXkxnNIUAQ-/0/1763479592401/4Darkjpg?e=2147483647&amp;v=beta&amp;t=lmbPcqoVC_Y-Wlew1o_6c5nMRLgnV8eb3NV3Xney0eU","View Creative")</f>
        <v>View Creative</v>
      </c>
      <c r="L4796" s="4" t="s">
        <v>60</v>
      </c>
      <c r="M4796" s="4" t="s">
        <v>7013</v>
      </c>
      <c r="N4796" s="4"/>
      <c r="O4796" s="4" t="s">
        <v>63</v>
      </c>
      <c r="P4796" s="4" t="s">
        <v>64</v>
      </c>
    </row>
    <row r="4797">
      <c r="A4797" s="4" t="s">
        <v>7013</v>
      </c>
      <c r="B4797" s="4" t="s">
        <v>7014</v>
      </c>
      <c r="C4797" s="4">
        <v>746.0</v>
      </c>
      <c r="D4797" s="5" t="str">
        <f t="shared" si="1078"/>
        <v>Open Ad</v>
      </c>
      <c r="E4797" s="4" t="s">
        <v>78</v>
      </c>
      <c r="F4797" s="4" t="s">
        <v>6765</v>
      </c>
      <c r="G4797" s="4" t="s">
        <v>7116</v>
      </c>
      <c r="H4797" s="4" t="s">
        <v>49</v>
      </c>
      <c r="I4797" s="4" t="s">
        <v>7016</v>
      </c>
      <c r="J4797" s="4" t="s">
        <v>78</v>
      </c>
      <c r="K4797" s="7" t="str">
        <f t="shared" si="1079"/>
        <v>View Creative</v>
      </c>
      <c r="L4797" s="4" t="s">
        <v>60</v>
      </c>
      <c r="M4797" s="4" t="s">
        <v>7013</v>
      </c>
      <c r="N4797" s="4"/>
      <c r="O4797" s="4" t="s">
        <v>63</v>
      </c>
      <c r="P4797" s="4" t="s">
        <v>64</v>
      </c>
    </row>
    <row r="4798">
      <c r="A4798" s="4" t="s">
        <v>7013</v>
      </c>
      <c r="B4798" s="4" t="s">
        <v>7014</v>
      </c>
      <c r="C4798" s="4">
        <v>747.0</v>
      </c>
      <c r="D4798" s="5" t="str">
        <f t="shared" ref="D4798:D4799" si="1080">HYPERLINK("https://www.linkedin.com/ad-library/detail/916881354","Open Ad")</f>
        <v>Open Ad</v>
      </c>
      <c r="E4798" s="4" t="s">
        <v>78</v>
      </c>
      <c r="F4798" s="4" t="s">
        <v>6765</v>
      </c>
      <c r="G4798" s="4" t="s">
        <v>7125</v>
      </c>
      <c r="H4798" s="4" t="s">
        <v>49</v>
      </c>
      <c r="I4798" s="4" t="s">
        <v>7016</v>
      </c>
      <c r="J4798" s="4" t="s">
        <v>78</v>
      </c>
      <c r="K4798" s="7" t="str">
        <f t="shared" ref="K4798:K4799" si="1081">HYPERLINK("https://media.licdn.com/dms/image/v2/D4E10AQFyqNp1_XAbUA/image-shrink_1280/B4EZqXlVmuKkAU-/0/1763479739753/2Dark-1jpg?e=2147483647&amp;v=beta&amp;t=iZhl9TBautCZUHYjey6WYaA0RTOMTzCLLARQ6xpquy0","View Creative")</f>
        <v>View Creative</v>
      </c>
      <c r="L4798" s="4" t="s">
        <v>60</v>
      </c>
      <c r="M4798" s="4" t="s">
        <v>7013</v>
      </c>
      <c r="N4798" s="4" t="s">
        <v>7126</v>
      </c>
      <c r="O4798" s="4" t="s">
        <v>63</v>
      </c>
      <c r="P4798" s="4" t="s">
        <v>64</v>
      </c>
    </row>
    <row r="4799">
      <c r="A4799" s="4" t="s">
        <v>7013</v>
      </c>
      <c r="B4799" s="4" t="s">
        <v>7014</v>
      </c>
      <c r="C4799" s="4">
        <v>748.0</v>
      </c>
      <c r="D4799" s="5" t="str">
        <f t="shared" si="1080"/>
        <v>Open Ad</v>
      </c>
      <c r="E4799" s="4" t="s">
        <v>78</v>
      </c>
      <c r="F4799" s="4" t="s">
        <v>6765</v>
      </c>
      <c r="G4799" s="4" t="s">
        <v>7125</v>
      </c>
      <c r="H4799" s="4" t="s">
        <v>49</v>
      </c>
      <c r="I4799" s="4" t="s">
        <v>7016</v>
      </c>
      <c r="J4799" s="4" t="s">
        <v>78</v>
      </c>
      <c r="K4799" s="7" t="str">
        <f t="shared" si="1081"/>
        <v>View Creative</v>
      </c>
      <c r="L4799" s="4" t="s">
        <v>60</v>
      </c>
      <c r="M4799" s="4" t="s">
        <v>7013</v>
      </c>
      <c r="N4799" s="4" t="s">
        <v>7126</v>
      </c>
      <c r="O4799" s="4" t="s">
        <v>63</v>
      </c>
      <c r="P4799" s="4" t="s">
        <v>64</v>
      </c>
    </row>
    <row r="4800">
      <c r="A4800" s="4" t="s">
        <v>7013</v>
      </c>
      <c r="B4800" s="4" t="s">
        <v>7014</v>
      </c>
      <c r="C4800" s="4">
        <v>749.0</v>
      </c>
      <c r="D4800" s="5" t="str">
        <f t="shared" ref="D4800:D4801" si="1082">HYPERLINK("https://www.linkedin.com/ad-library/detail/916871954","Open Ad")</f>
        <v>Open Ad</v>
      </c>
      <c r="E4800" s="4" t="s">
        <v>78</v>
      </c>
      <c r="F4800" s="4" t="s">
        <v>6765</v>
      </c>
      <c r="G4800" s="4" t="s">
        <v>7116</v>
      </c>
      <c r="H4800" s="4" t="s">
        <v>49</v>
      </c>
      <c r="I4800" s="4" t="s">
        <v>7016</v>
      </c>
      <c r="J4800" s="4" t="s">
        <v>78</v>
      </c>
      <c r="K4800" s="7" t="str">
        <f t="shared" ref="K4800:K4801" si="1083">HYPERLINK("https://media.licdn.com/dms/image/v2/D4E10AQF05B5KrIYX3Q/image-shrink_1280/B4EZqXkxnNIUAQ-/0/1763479592401/4Darkjpg?e=2147483647&amp;v=beta&amp;t=lmbPcqoVC_Y-Wlew1o_6c5nMRLgnV8eb3NV3Xney0eU","View Creative")</f>
        <v>View Creative</v>
      </c>
      <c r="L4800" s="4" t="s">
        <v>60</v>
      </c>
      <c r="M4800" s="4" t="s">
        <v>7013</v>
      </c>
      <c r="N4800" s="4" t="s">
        <v>7126</v>
      </c>
      <c r="O4800" s="4" t="s">
        <v>63</v>
      </c>
      <c r="P4800" s="4" t="s">
        <v>64</v>
      </c>
    </row>
    <row r="4801">
      <c r="A4801" s="4" t="s">
        <v>7013</v>
      </c>
      <c r="B4801" s="4" t="s">
        <v>7014</v>
      </c>
      <c r="C4801" s="4">
        <v>750.0</v>
      </c>
      <c r="D4801" s="5" t="str">
        <f t="shared" si="1082"/>
        <v>Open Ad</v>
      </c>
      <c r="E4801" s="4" t="s">
        <v>78</v>
      </c>
      <c r="F4801" s="4" t="s">
        <v>6765</v>
      </c>
      <c r="G4801" s="4" t="s">
        <v>7116</v>
      </c>
      <c r="H4801" s="4" t="s">
        <v>49</v>
      </c>
      <c r="I4801" s="4" t="s">
        <v>7016</v>
      </c>
      <c r="J4801" s="4" t="s">
        <v>78</v>
      </c>
      <c r="K4801" s="7" t="str">
        <f t="shared" si="1083"/>
        <v>View Creative</v>
      </c>
      <c r="L4801" s="4" t="s">
        <v>60</v>
      </c>
      <c r="M4801" s="4" t="s">
        <v>7013</v>
      </c>
      <c r="N4801" s="4" t="s">
        <v>7126</v>
      </c>
      <c r="O4801" s="4" t="s">
        <v>63</v>
      </c>
      <c r="P4801" s="4" t="s">
        <v>64</v>
      </c>
    </row>
    <row r="4802">
      <c r="A4802" s="4" t="s">
        <v>7013</v>
      </c>
      <c r="B4802" s="4" t="s">
        <v>7014</v>
      </c>
      <c r="C4802" s="4">
        <v>751.0</v>
      </c>
      <c r="D4802" s="5" t="str">
        <f t="shared" ref="D4802:D4803" si="1084">HYPERLINK("https://www.linkedin.com/ad-library/detail/916842034","Open Ad")</f>
        <v>Open Ad</v>
      </c>
      <c r="E4802" s="4" t="s">
        <v>78</v>
      </c>
      <c r="F4802" s="4" t="s">
        <v>6765</v>
      </c>
      <c r="G4802" s="4" t="s">
        <v>7125</v>
      </c>
      <c r="H4802" s="4" t="s">
        <v>49</v>
      </c>
      <c r="I4802" s="4" t="s">
        <v>7016</v>
      </c>
      <c r="J4802" s="4" t="s">
        <v>78</v>
      </c>
      <c r="K4802" s="7" t="str">
        <f t="shared" ref="K4802:K4803" si="1085">HYPERLINK("https://media.licdn.com/dms/image/v2/D4E10AQHvWSvzkkUHcQ/image-shrink_1280/B4EZqXlCzYHoAM-/0/1763479662776/2Light-1jpg?e=2147483647&amp;v=beta&amp;t=meiHpw5G1O5OMvTpODayPLwlALLEza8pvUEsF9Ht2OY","View Creative")</f>
        <v>View Creative</v>
      </c>
      <c r="L4802" s="4" t="s">
        <v>60</v>
      </c>
      <c r="M4802" s="4" t="s">
        <v>7013</v>
      </c>
      <c r="N4802" s="4"/>
      <c r="O4802" s="4" t="s">
        <v>63</v>
      </c>
      <c r="P4802" s="4" t="s">
        <v>64</v>
      </c>
    </row>
    <row r="4803">
      <c r="A4803" s="4" t="s">
        <v>7013</v>
      </c>
      <c r="B4803" s="4" t="s">
        <v>7014</v>
      </c>
      <c r="C4803" s="4">
        <v>752.0</v>
      </c>
      <c r="D4803" s="5" t="str">
        <f t="shared" si="1084"/>
        <v>Open Ad</v>
      </c>
      <c r="E4803" s="4" t="s">
        <v>78</v>
      </c>
      <c r="F4803" s="4" t="s">
        <v>6765</v>
      </c>
      <c r="G4803" s="4" t="s">
        <v>7125</v>
      </c>
      <c r="H4803" s="4" t="s">
        <v>49</v>
      </c>
      <c r="I4803" s="4" t="s">
        <v>7016</v>
      </c>
      <c r="J4803" s="4" t="s">
        <v>78</v>
      </c>
      <c r="K4803" s="7" t="str">
        <f t="shared" si="1085"/>
        <v>View Creative</v>
      </c>
      <c r="L4803" s="4" t="s">
        <v>60</v>
      </c>
      <c r="M4803" s="4" t="s">
        <v>7013</v>
      </c>
      <c r="N4803" s="4"/>
      <c r="O4803" s="4" t="s">
        <v>63</v>
      </c>
      <c r="P4803" s="4" t="s">
        <v>64</v>
      </c>
    </row>
    <row r="4804">
      <c r="A4804" s="4" t="s">
        <v>7013</v>
      </c>
      <c r="B4804" s="4" t="s">
        <v>7014</v>
      </c>
      <c r="C4804" s="4">
        <v>753.0</v>
      </c>
      <c r="D4804" s="5" t="str">
        <f t="shared" ref="D4804:D4805" si="1086">HYPERLINK("https://www.linkedin.com/ad-library/detail/916901584","Open Ad")</f>
        <v>Open Ad</v>
      </c>
      <c r="E4804" s="4" t="s">
        <v>78</v>
      </c>
      <c r="F4804" s="4" t="s">
        <v>6765</v>
      </c>
      <c r="G4804" s="4" t="s">
        <v>7116</v>
      </c>
      <c r="H4804" s="4" t="s">
        <v>49</v>
      </c>
      <c r="I4804" s="4" t="s">
        <v>7016</v>
      </c>
      <c r="J4804" s="4" t="s">
        <v>78</v>
      </c>
      <c r="K4804" s="7" t="str">
        <f t="shared" ref="K4804:K4805" si="1087">HYPERLINK("https://media.licdn.com/dms/image/v2/D4E10AQGhh7LV9F74tQ/image-shrink_1280/B4EZqXkncJKkAM-/0/1763479550620/4Lightjpg?e=2147483647&amp;v=beta&amp;t=eoU5wfrx63QrhrkiifZxdA3k09DXN3GDOWhSCCpQXK8","View Creative")</f>
        <v>View Creative</v>
      </c>
      <c r="L4804" s="4" t="s">
        <v>60</v>
      </c>
      <c r="M4804" s="4" t="s">
        <v>7013</v>
      </c>
      <c r="N4804" s="4" t="s">
        <v>7126</v>
      </c>
      <c r="O4804" s="4" t="s">
        <v>63</v>
      </c>
      <c r="P4804" s="4" t="s">
        <v>64</v>
      </c>
    </row>
    <row r="4805">
      <c r="A4805" s="4" t="s">
        <v>7013</v>
      </c>
      <c r="B4805" s="4" t="s">
        <v>7014</v>
      </c>
      <c r="C4805" s="4">
        <v>754.0</v>
      </c>
      <c r="D4805" s="5" t="str">
        <f t="shared" si="1086"/>
        <v>Open Ad</v>
      </c>
      <c r="E4805" s="4" t="s">
        <v>78</v>
      </c>
      <c r="F4805" s="4" t="s">
        <v>6765</v>
      </c>
      <c r="G4805" s="4" t="s">
        <v>7116</v>
      </c>
      <c r="H4805" s="4" t="s">
        <v>49</v>
      </c>
      <c r="I4805" s="4" t="s">
        <v>7016</v>
      </c>
      <c r="J4805" s="4" t="s">
        <v>78</v>
      </c>
      <c r="K4805" s="7" t="str">
        <f t="shared" si="1087"/>
        <v>View Creative</v>
      </c>
      <c r="L4805" s="4" t="s">
        <v>60</v>
      </c>
      <c r="M4805" s="4" t="s">
        <v>7013</v>
      </c>
      <c r="N4805" s="4" t="s">
        <v>7126</v>
      </c>
      <c r="O4805" s="4" t="s">
        <v>63</v>
      </c>
      <c r="P4805" s="4" t="s">
        <v>64</v>
      </c>
    </row>
    <row r="4806">
      <c r="A4806" s="4" t="s">
        <v>7013</v>
      </c>
      <c r="B4806" s="4" t="s">
        <v>7014</v>
      </c>
      <c r="C4806" s="4">
        <v>755.0</v>
      </c>
      <c r="D4806" s="5" t="str">
        <f t="shared" ref="D4806:D4807" si="1088">HYPERLINK("https://www.linkedin.com/ad-library/detail/916782354","Open Ad")</f>
        <v>Open Ad</v>
      </c>
      <c r="E4806" s="4" t="s">
        <v>78</v>
      </c>
      <c r="F4806" s="4" t="s">
        <v>6765</v>
      </c>
      <c r="G4806" s="4" t="s">
        <v>7106</v>
      </c>
      <c r="H4806" s="4" t="s">
        <v>49</v>
      </c>
      <c r="I4806" s="4" t="s">
        <v>7016</v>
      </c>
      <c r="J4806" s="4" t="s">
        <v>78</v>
      </c>
      <c r="K4806" s="7" t="str">
        <f t="shared" ref="K4806:K4807" si="1089">HYPERLINK("https://media.licdn.com/dms/image/v2/D4E10AQF4bTkTRfa3uA/image-shrink_1280/B4EZqXgd47HMAM-/0/1763478462911/4Light-2jpg?e=2147483647&amp;v=beta&amp;t=uK41TOo8iHj_pufRB7IRs6CRYzq8e8v7tl4rEbNjC4k","View Creative")</f>
        <v>View Creative</v>
      </c>
      <c r="L4806" s="4" t="s">
        <v>60</v>
      </c>
      <c r="M4806" s="4" t="s">
        <v>7013</v>
      </c>
      <c r="N4806" s="4"/>
      <c r="O4806" s="4" t="s">
        <v>63</v>
      </c>
      <c r="P4806" s="4" t="s">
        <v>64</v>
      </c>
    </row>
    <row r="4807">
      <c r="A4807" s="4" t="s">
        <v>7013</v>
      </c>
      <c r="B4807" s="4" t="s">
        <v>7014</v>
      </c>
      <c r="C4807" s="4">
        <v>756.0</v>
      </c>
      <c r="D4807" s="5" t="str">
        <f t="shared" si="1088"/>
        <v>Open Ad</v>
      </c>
      <c r="E4807" s="4" t="s">
        <v>78</v>
      </c>
      <c r="F4807" s="4" t="s">
        <v>6765</v>
      </c>
      <c r="G4807" s="4" t="s">
        <v>7106</v>
      </c>
      <c r="H4807" s="4" t="s">
        <v>49</v>
      </c>
      <c r="I4807" s="4" t="s">
        <v>7016</v>
      </c>
      <c r="J4807" s="4" t="s">
        <v>78</v>
      </c>
      <c r="K4807" s="7" t="str">
        <f t="shared" si="1089"/>
        <v>View Creative</v>
      </c>
      <c r="L4807" s="4" t="s">
        <v>60</v>
      </c>
      <c r="M4807" s="4" t="s">
        <v>7013</v>
      </c>
      <c r="N4807" s="4"/>
      <c r="O4807" s="4" t="s">
        <v>63</v>
      </c>
      <c r="P4807" s="4" t="s">
        <v>64</v>
      </c>
    </row>
    <row r="4808">
      <c r="A4808" s="4" t="s">
        <v>7013</v>
      </c>
      <c r="B4808" s="4" t="s">
        <v>7014</v>
      </c>
      <c r="C4808" s="4">
        <v>757.0</v>
      </c>
      <c r="D4808" s="5" t="str">
        <f t="shared" ref="D4808:D4809" si="1090">HYPERLINK("https://www.linkedin.com/ad-library/detail/916931574","Open Ad")</f>
        <v>Open Ad</v>
      </c>
      <c r="E4808" s="4" t="s">
        <v>78</v>
      </c>
      <c r="F4808" s="4" t="s">
        <v>6765</v>
      </c>
      <c r="G4808" s="4" t="s">
        <v>7106</v>
      </c>
      <c r="H4808" s="4" t="s">
        <v>49</v>
      </c>
      <c r="I4808" s="4" t="s">
        <v>7016</v>
      </c>
      <c r="J4808" s="4" t="s">
        <v>78</v>
      </c>
      <c r="K4808" s="7" t="str">
        <f t="shared" ref="K4808:K4809" si="1091">HYPERLINK("https://media.licdn.com/dms/image/v2/D4E10AQHcSoWO1dYKtQ/image-shrink_1280/B4EZqXi5QAHcAQ-/0/1763479099393/2Dark-2jpg?e=2147483647&amp;v=beta&amp;t=icCzusjbqHqZBG3AQPs0VI2nQANVz543VtPBphg9iAk","View Creative")</f>
        <v>View Creative</v>
      </c>
      <c r="L4808" s="4" t="s">
        <v>60</v>
      </c>
      <c r="M4808" s="4" t="s">
        <v>7013</v>
      </c>
      <c r="N4808" s="4" t="s">
        <v>7126</v>
      </c>
      <c r="O4808" s="4" t="s">
        <v>63</v>
      </c>
      <c r="P4808" s="4" t="s">
        <v>64</v>
      </c>
    </row>
    <row r="4809">
      <c r="A4809" s="4" t="s">
        <v>7013</v>
      </c>
      <c r="B4809" s="4" t="s">
        <v>7014</v>
      </c>
      <c r="C4809" s="4">
        <v>758.0</v>
      </c>
      <c r="D4809" s="5" t="str">
        <f t="shared" si="1090"/>
        <v>Open Ad</v>
      </c>
      <c r="E4809" s="4" t="s">
        <v>78</v>
      </c>
      <c r="F4809" s="4" t="s">
        <v>6765</v>
      </c>
      <c r="G4809" s="4" t="s">
        <v>7106</v>
      </c>
      <c r="H4809" s="4" t="s">
        <v>49</v>
      </c>
      <c r="I4809" s="4" t="s">
        <v>7016</v>
      </c>
      <c r="J4809" s="4" t="s">
        <v>78</v>
      </c>
      <c r="K4809" s="7" t="str">
        <f t="shared" si="1091"/>
        <v>View Creative</v>
      </c>
      <c r="L4809" s="4" t="s">
        <v>60</v>
      </c>
      <c r="M4809" s="4" t="s">
        <v>7013</v>
      </c>
      <c r="N4809" s="4" t="s">
        <v>7126</v>
      </c>
      <c r="O4809" s="4" t="s">
        <v>63</v>
      </c>
      <c r="P4809" s="4" t="s">
        <v>64</v>
      </c>
    </row>
    <row r="4810">
      <c r="A4810" s="4" t="s">
        <v>7013</v>
      </c>
      <c r="B4810" s="4" t="s">
        <v>7014</v>
      </c>
      <c r="C4810" s="4">
        <v>759.0</v>
      </c>
      <c r="D4810" s="5" t="str">
        <f t="shared" ref="D4810:D4811" si="1092">HYPERLINK("https://www.linkedin.com/ad-library/detail/916762134","Open Ad")</f>
        <v>Open Ad</v>
      </c>
      <c r="E4810" s="4" t="s">
        <v>78</v>
      </c>
      <c r="F4810" s="4" t="s">
        <v>6765</v>
      </c>
      <c r="G4810" s="4" t="s">
        <v>7116</v>
      </c>
      <c r="H4810" s="4" t="s">
        <v>49</v>
      </c>
      <c r="I4810" s="4" t="s">
        <v>7016</v>
      </c>
      <c r="J4810" s="4" t="s">
        <v>78</v>
      </c>
      <c r="K4810" s="7" t="str">
        <f t="shared" ref="K4810:K4811" si="1093">HYPERLINK("https://media.licdn.com/dms/image/v2/D4E10AQF45XRPTXtW5A/image-shrink_1280/B4EZqXhpz1GcAM-/0/1763478773949/3Darkjpg?e=2147483647&amp;v=beta&amp;t=4YvB4IIPTWmlveIYFlgySSG_pCTzhVNDBwJvzRQ8cLk","View Creative")</f>
        <v>View Creative</v>
      </c>
      <c r="L4810" s="4" t="s">
        <v>60</v>
      </c>
      <c r="M4810" s="4" t="s">
        <v>7013</v>
      </c>
      <c r="N4810" s="4" t="s">
        <v>7126</v>
      </c>
      <c r="O4810" s="4" t="s">
        <v>63</v>
      </c>
      <c r="P4810" s="4" t="s">
        <v>64</v>
      </c>
    </row>
    <row r="4811">
      <c r="A4811" s="4" t="s">
        <v>7013</v>
      </c>
      <c r="B4811" s="4" t="s">
        <v>7014</v>
      </c>
      <c r="C4811" s="4">
        <v>760.0</v>
      </c>
      <c r="D4811" s="5" t="str">
        <f t="shared" si="1092"/>
        <v>Open Ad</v>
      </c>
      <c r="E4811" s="4" t="s">
        <v>78</v>
      </c>
      <c r="F4811" s="4" t="s">
        <v>6765</v>
      </c>
      <c r="G4811" s="4" t="s">
        <v>7116</v>
      </c>
      <c r="H4811" s="4" t="s">
        <v>49</v>
      </c>
      <c r="I4811" s="4" t="s">
        <v>7016</v>
      </c>
      <c r="J4811" s="4" t="s">
        <v>78</v>
      </c>
      <c r="K4811" s="7" t="str">
        <f t="shared" si="1093"/>
        <v>View Creative</v>
      </c>
      <c r="L4811" s="4" t="s">
        <v>60</v>
      </c>
      <c r="M4811" s="4" t="s">
        <v>7013</v>
      </c>
      <c r="N4811" s="4" t="s">
        <v>7126</v>
      </c>
      <c r="O4811" s="4" t="s">
        <v>63</v>
      </c>
      <c r="P4811" s="4" t="s">
        <v>64</v>
      </c>
    </row>
    <row r="4812">
      <c r="A4812" s="4" t="s">
        <v>7013</v>
      </c>
      <c r="B4812" s="4" t="s">
        <v>7014</v>
      </c>
      <c r="C4812" s="4">
        <v>761.0</v>
      </c>
      <c r="D4812" s="5" t="str">
        <f t="shared" ref="D4812:D4813" si="1094">HYPERLINK("https://www.linkedin.com/ad-library/detail/916891764","Open Ad")</f>
        <v>Open Ad</v>
      </c>
      <c r="E4812" s="4" t="s">
        <v>78</v>
      </c>
      <c r="F4812" s="4" t="s">
        <v>6765</v>
      </c>
      <c r="G4812" s="4" t="s">
        <v>7116</v>
      </c>
      <c r="H4812" s="4" t="s">
        <v>49</v>
      </c>
      <c r="I4812" s="4" t="s">
        <v>7016</v>
      </c>
      <c r="J4812" s="4" t="s">
        <v>78</v>
      </c>
      <c r="K4812" s="7" t="str">
        <f t="shared" ref="K4812:K4813" si="1095">HYPERLINK("https://media.licdn.com/dms/image/v2/D4E10AQFxfjR2dJkNlg/image-shrink_1280/B4EZqXj65yHoAQ-/0/1763479368316/2Lightjpg?e=2147483647&amp;v=beta&amp;t=0BZupskLHGP7TqtfAL-L-mFVlgtE8yz43mAhCvAvz8E","View Creative")</f>
        <v>View Creative</v>
      </c>
      <c r="L4812" s="4" t="s">
        <v>60</v>
      </c>
      <c r="M4812" s="4" t="s">
        <v>7013</v>
      </c>
      <c r="N4812" s="4"/>
      <c r="O4812" s="4" t="s">
        <v>63</v>
      </c>
      <c r="P4812" s="4" t="s">
        <v>64</v>
      </c>
    </row>
    <row r="4813">
      <c r="A4813" s="4" t="s">
        <v>7013</v>
      </c>
      <c r="B4813" s="4" t="s">
        <v>7014</v>
      </c>
      <c r="C4813" s="4">
        <v>762.0</v>
      </c>
      <c r="D4813" s="5" t="str">
        <f t="shared" si="1094"/>
        <v>Open Ad</v>
      </c>
      <c r="E4813" s="4" t="s">
        <v>78</v>
      </c>
      <c r="F4813" s="4" t="s">
        <v>6765</v>
      </c>
      <c r="G4813" s="4" t="s">
        <v>7116</v>
      </c>
      <c r="H4813" s="4" t="s">
        <v>49</v>
      </c>
      <c r="I4813" s="4" t="s">
        <v>7016</v>
      </c>
      <c r="J4813" s="4" t="s">
        <v>78</v>
      </c>
      <c r="K4813" s="7" t="str">
        <f t="shared" si="1095"/>
        <v>View Creative</v>
      </c>
      <c r="L4813" s="4" t="s">
        <v>60</v>
      </c>
      <c r="M4813" s="4" t="s">
        <v>7013</v>
      </c>
      <c r="N4813" s="4"/>
      <c r="O4813" s="4" t="s">
        <v>63</v>
      </c>
      <c r="P4813" s="4" t="s">
        <v>64</v>
      </c>
    </row>
    <row r="4814">
      <c r="A4814" s="4" t="s">
        <v>7013</v>
      </c>
      <c r="B4814" s="4" t="s">
        <v>7014</v>
      </c>
      <c r="C4814" s="4">
        <v>763.0</v>
      </c>
      <c r="D4814" s="5" t="str">
        <f t="shared" ref="D4814:D4815" si="1096">HYPERLINK("https://www.linkedin.com/ad-library/detail/916832154","Open Ad")</f>
        <v>Open Ad</v>
      </c>
      <c r="E4814" s="4" t="s">
        <v>78</v>
      </c>
      <c r="F4814" s="4" t="s">
        <v>6765</v>
      </c>
      <c r="G4814" s="4" t="s">
        <v>7116</v>
      </c>
      <c r="H4814" s="4" t="s">
        <v>49</v>
      </c>
      <c r="I4814" s="4" t="s">
        <v>7016</v>
      </c>
      <c r="J4814" s="4" t="s">
        <v>78</v>
      </c>
      <c r="K4814" s="7" t="str">
        <f t="shared" ref="K4814:K4815" si="1097">HYPERLINK("https://media.licdn.com/dms/image/v2/D4E10AQEGBOzQY5J0Ig/image-shrink_1280/B4EZqXkFQHIIAQ-/0/1763479410773/2Darkjpg?e=2147483647&amp;v=beta&amp;t=erfq82UzNpZu5Zl5UHAnfU9yBixcEf2q-7xjAyGgUQo","View Creative")</f>
        <v>View Creative</v>
      </c>
      <c r="L4814" s="4" t="s">
        <v>60</v>
      </c>
      <c r="M4814" s="4" t="s">
        <v>7013</v>
      </c>
      <c r="N4814" s="4" t="s">
        <v>7126</v>
      </c>
      <c r="O4814" s="4" t="s">
        <v>63</v>
      </c>
      <c r="P4814" s="4" t="s">
        <v>64</v>
      </c>
    </row>
    <row r="4815">
      <c r="A4815" s="4" t="s">
        <v>7013</v>
      </c>
      <c r="B4815" s="4" t="s">
        <v>7014</v>
      </c>
      <c r="C4815" s="4">
        <v>764.0</v>
      </c>
      <c r="D4815" s="5" t="str">
        <f t="shared" si="1096"/>
        <v>Open Ad</v>
      </c>
      <c r="E4815" s="4" t="s">
        <v>78</v>
      </c>
      <c r="F4815" s="4" t="s">
        <v>6765</v>
      </c>
      <c r="G4815" s="4" t="s">
        <v>7116</v>
      </c>
      <c r="H4815" s="4" t="s">
        <v>49</v>
      </c>
      <c r="I4815" s="4" t="s">
        <v>7016</v>
      </c>
      <c r="J4815" s="4" t="s">
        <v>78</v>
      </c>
      <c r="K4815" s="7" t="str">
        <f t="shared" si="1097"/>
        <v>View Creative</v>
      </c>
      <c r="L4815" s="4" t="s">
        <v>60</v>
      </c>
      <c r="M4815" s="4" t="s">
        <v>7013</v>
      </c>
      <c r="N4815" s="4" t="s">
        <v>7126</v>
      </c>
      <c r="O4815" s="4" t="s">
        <v>63</v>
      </c>
      <c r="P4815" s="4" t="s">
        <v>64</v>
      </c>
    </row>
    <row r="4816">
      <c r="A4816" s="4" t="s">
        <v>7013</v>
      </c>
      <c r="B4816" s="4" t="s">
        <v>7014</v>
      </c>
      <c r="C4816" s="4">
        <v>765.0</v>
      </c>
      <c r="D4816" s="5" t="str">
        <f t="shared" ref="D4816:D4817" si="1098">HYPERLINK("https://www.linkedin.com/ad-library/detail/916832164","Open Ad")</f>
        <v>Open Ad</v>
      </c>
      <c r="E4816" s="4" t="s">
        <v>78</v>
      </c>
      <c r="F4816" s="4" t="s">
        <v>6765</v>
      </c>
      <c r="G4816" s="4" t="s">
        <v>7125</v>
      </c>
      <c r="H4816" s="4" t="s">
        <v>49</v>
      </c>
      <c r="I4816" s="4" t="s">
        <v>7016</v>
      </c>
      <c r="J4816" s="4" t="s">
        <v>78</v>
      </c>
      <c r="K4816" s="7" t="str">
        <f t="shared" ref="K4816:K4817" si="1099">HYPERLINK("https://media.licdn.com/dms/image/v2/D4E10AQHnhFdk5erWzw/image-shrink_1280/B4EZqXl1jdHcAQ-/0/1763479870659/4Dark-1jpg?e=2147483647&amp;v=beta&amp;t=wQnFAsjwRWIR2Up9jZTNCEwfUoCUCC6kW19Coj1cMSo","View Creative")</f>
        <v>View Creative</v>
      </c>
      <c r="L4816" s="4" t="s">
        <v>60</v>
      </c>
      <c r="M4816" s="4" t="s">
        <v>7013</v>
      </c>
      <c r="N4816" s="4" t="s">
        <v>7126</v>
      </c>
      <c r="O4816" s="4" t="s">
        <v>63</v>
      </c>
      <c r="P4816" s="4" t="s">
        <v>64</v>
      </c>
    </row>
    <row r="4817">
      <c r="A4817" s="4" t="s">
        <v>7013</v>
      </c>
      <c r="B4817" s="4" t="s">
        <v>7014</v>
      </c>
      <c r="C4817" s="4">
        <v>766.0</v>
      </c>
      <c r="D4817" s="5" t="str">
        <f t="shared" si="1098"/>
        <v>Open Ad</v>
      </c>
      <c r="E4817" s="4" t="s">
        <v>78</v>
      </c>
      <c r="F4817" s="4" t="s">
        <v>6765</v>
      </c>
      <c r="G4817" s="4" t="s">
        <v>7125</v>
      </c>
      <c r="H4817" s="4" t="s">
        <v>49</v>
      </c>
      <c r="I4817" s="4" t="s">
        <v>7016</v>
      </c>
      <c r="J4817" s="4" t="s">
        <v>78</v>
      </c>
      <c r="K4817" s="7" t="str">
        <f t="shared" si="1099"/>
        <v>View Creative</v>
      </c>
      <c r="L4817" s="4" t="s">
        <v>60</v>
      </c>
      <c r="M4817" s="4" t="s">
        <v>7013</v>
      </c>
      <c r="N4817" s="4" t="s">
        <v>7126</v>
      </c>
      <c r="O4817" s="4" t="s">
        <v>63</v>
      </c>
      <c r="P4817" s="4" t="s">
        <v>64</v>
      </c>
    </row>
    <row r="4818">
      <c r="A4818" s="4" t="s">
        <v>7013</v>
      </c>
      <c r="B4818" s="4" t="s">
        <v>7014</v>
      </c>
      <c r="C4818" s="4">
        <v>767.0</v>
      </c>
      <c r="D4818" s="5" t="str">
        <f t="shared" ref="D4818:D4819" si="1100">HYPERLINK("https://www.linkedin.com/ad-library/detail/916832174","Open Ad")</f>
        <v>Open Ad</v>
      </c>
      <c r="E4818" s="4" t="s">
        <v>78</v>
      </c>
      <c r="F4818" s="4" t="s">
        <v>6765</v>
      </c>
      <c r="G4818" s="4" t="s">
        <v>7106</v>
      </c>
      <c r="H4818" s="4" t="s">
        <v>49</v>
      </c>
      <c r="I4818" s="4" t="s">
        <v>7016</v>
      </c>
      <c r="J4818" s="4" t="s">
        <v>78</v>
      </c>
      <c r="K4818" s="7" t="str">
        <f t="shared" ref="K4818:K4819" si="1101">HYPERLINK("https://media.licdn.com/dms/image/v2/D4E10AQHFRHPc9FWrHg/image-shrink_1280/B4EZqXjE10HoAQ-/0/1763479146737/3Light-2jpg?e=2147483647&amp;v=beta&amp;t=rZhguR_gys1_eeccCKD40rY_p2pWztc9kFpk08d6MnM","View Creative")</f>
        <v>View Creative</v>
      </c>
      <c r="L4818" s="4" t="s">
        <v>60</v>
      </c>
      <c r="M4818" s="4" t="s">
        <v>7013</v>
      </c>
      <c r="N4818" s="4" t="s">
        <v>7126</v>
      </c>
      <c r="O4818" s="4" t="s">
        <v>63</v>
      </c>
      <c r="P4818" s="4" t="s">
        <v>64</v>
      </c>
    </row>
    <row r="4819">
      <c r="A4819" s="4" t="s">
        <v>7013</v>
      </c>
      <c r="B4819" s="4" t="s">
        <v>7014</v>
      </c>
      <c r="C4819" s="4">
        <v>768.0</v>
      </c>
      <c r="D4819" s="5" t="str">
        <f t="shared" si="1100"/>
        <v>Open Ad</v>
      </c>
      <c r="E4819" s="4" t="s">
        <v>78</v>
      </c>
      <c r="F4819" s="4" t="s">
        <v>6765</v>
      </c>
      <c r="G4819" s="4" t="s">
        <v>7106</v>
      </c>
      <c r="H4819" s="4" t="s">
        <v>49</v>
      </c>
      <c r="I4819" s="4" t="s">
        <v>7016</v>
      </c>
      <c r="J4819" s="4" t="s">
        <v>78</v>
      </c>
      <c r="K4819" s="7" t="str">
        <f t="shared" si="1101"/>
        <v>View Creative</v>
      </c>
      <c r="L4819" s="4" t="s">
        <v>60</v>
      </c>
      <c r="M4819" s="4" t="s">
        <v>7013</v>
      </c>
      <c r="N4819" s="4" t="s">
        <v>7126</v>
      </c>
      <c r="O4819" s="4" t="s">
        <v>63</v>
      </c>
      <c r="P4819" s="4" t="s">
        <v>64</v>
      </c>
    </row>
    <row r="4820">
      <c r="A4820" s="4" t="s">
        <v>7013</v>
      </c>
      <c r="B4820" s="4" t="s">
        <v>7014</v>
      </c>
      <c r="C4820" s="4">
        <v>769.0</v>
      </c>
      <c r="D4820" s="5" t="str">
        <f t="shared" ref="D4820:D4821" si="1102">HYPERLINK("https://www.linkedin.com/ad-library/detail/916832104","Open Ad")</f>
        <v>Open Ad</v>
      </c>
      <c r="E4820" s="4" t="s">
        <v>78</v>
      </c>
      <c r="F4820" s="4" t="s">
        <v>6765</v>
      </c>
      <c r="G4820" s="4" t="s">
        <v>7116</v>
      </c>
      <c r="H4820" s="4" t="s">
        <v>49</v>
      </c>
      <c r="I4820" s="4" t="s">
        <v>7016</v>
      </c>
      <c r="J4820" s="4" t="s">
        <v>78</v>
      </c>
      <c r="K4820" s="7" t="str">
        <f t="shared" ref="K4820:K4821" si="1103">HYPERLINK("https://media.licdn.com/dms/image/v2/D4E10AQEGBOzQY5J0Ig/image-shrink_1280/B4EZqXkFQHIIAQ-/0/1763479410773/2Darkjpg?e=2147483647&amp;v=beta&amp;t=erfq82UzNpZu5Zl5UHAnfU9yBixcEf2q-7xjAyGgUQo","View Creative")</f>
        <v>View Creative</v>
      </c>
      <c r="L4820" s="4" t="s">
        <v>60</v>
      </c>
      <c r="M4820" s="4" t="s">
        <v>7013</v>
      </c>
      <c r="N4820" s="4" t="s">
        <v>7126</v>
      </c>
      <c r="O4820" s="4" t="s">
        <v>63</v>
      </c>
      <c r="P4820" s="4" t="s">
        <v>64</v>
      </c>
    </row>
    <row r="4821">
      <c r="A4821" s="4" t="s">
        <v>7013</v>
      </c>
      <c r="B4821" s="4" t="s">
        <v>7014</v>
      </c>
      <c r="C4821" s="4">
        <v>770.0</v>
      </c>
      <c r="D4821" s="5" t="str">
        <f t="shared" si="1102"/>
        <v>Open Ad</v>
      </c>
      <c r="E4821" s="4" t="s">
        <v>78</v>
      </c>
      <c r="F4821" s="4" t="s">
        <v>6765</v>
      </c>
      <c r="G4821" s="4" t="s">
        <v>7116</v>
      </c>
      <c r="H4821" s="4" t="s">
        <v>49</v>
      </c>
      <c r="I4821" s="4" t="s">
        <v>7016</v>
      </c>
      <c r="J4821" s="4" t="s">
        <v>78</v>
      </c>
      <c r="K4821" s="7" t="str">
        <f t="shared" si="1103"/>
        <v>View Creative</v>
      </c>
      <c r="L4821" s="4" t="s">
        <v>60</v>
      </c>
      <c r="M4821" s="4" t="s">
        <v>7013</v>
      </c>
      <c r="N4821" s="4" t="s">
        <v>7126</v>
      </c>
      <c r="O4821" s="4" t="s">
        <v>63</v>
      </c>
      <c r="P4821" s="4" t="s">
        <v>64</v>
      </c>
    </row>
    <row r="4822">
      <c r="A4822" s="4" t="s">
        <v>7013</v>
      </c>
      <c r="B4822" s="4" t="s">
        <v>7014</v>
      </c>
      <c r="C4822" s="4">
        <v>771.0</v>
      </c>
      <c r="D4822" s="5" t="str">
        <f t="shared" ref="D4822:D4823" si="1104">HYPERLINK("https://www.linkedin.com/ad-library/detail/916911494","Open Ad")</f>
        <v>Open Ad</v>
      </c>
      <c r="E4822" s="4" t="s">
        <v>78</v>
      </c>
      <c r="F4822" s="4" t="s">
        <v>6765</v>
      </c>
      <c r="G4822" s="4" t="s">
        <v>7116</v>
      </c>
      <c r="H4822" s="4" t="s">
        <v>49</v>
      </c>
      <c r="I4822" s="4" t="s">
        <v>7016</v>
      </c>
      <c r="J4822" s="4" t="s">
        <v>78</v>
      </c>
      <c r="K4822" s="7" t="str">
        <f t="shared" ref="K4822:K4823" si="1105">HYPERLINK("https://media.licdn.com/dms/image/v2/D4E10AQEU0w4UGxx8Ag/image-shrink_1280/B4EZqXkZXlIQAQ-/0/1763479492926/3Lightjpg?e=2147483647&amp;v=beta&amp;t=_jgwspKyqLBBvgvbnQErlUU5Db0lO5w9CIE-CNaO5CA","View Creative")</f>
        <v>View Creative</v>
      </c>
      <c r="L4822" s="4" t="s">
        <v>60</v>
      </c>
      <c r="M4822" s="4" t="s">
        <v>7013</v>
      </c>
      <c r="N4822" s="4" t="s">
        <v>7126</v>
      </c>
      <c r="O4822" s="4" t="s">
        <v>63</v>
      </c>
      <c r="P4822" s="4" t="s">
        <v>64</v>
      </c>
    </row>
    <row r="4823">
      <c r="A4823" s="4" t="s">
        <v>7013</v>
      </c>
      <c r="B4823" s="4" t="s">
        <v>7014</v>
      </c>
      <c r="C4823" s="4">
        <v>772.0</v>
      </c>
      <c r="D4823" s="5" t="str">
        <f t="shared" si="1104"/>
        <v>Open Ad</v>
      </c>
      <c r="E4823" s="4" t="s">
        <v>78</v>
      </c>
      <c r="F4823" s="4" t="s">
        <v>6765</v>
      </c>
      <c r="G4823" s="4" t="s">
        <v>7116</v>
      </c>
      <c r="H4823" s="4" t="s">
        <v>49</v>
      </c>
      <c r="I4823" s="4" t="s">
        <v>7016</v>
      </c>
      <c r="J4823" s="4" t="s">
        <v>78</v>
      </c>
      <c r="K4823" s="7" t="str">
        <f t="shared" si="1105"/>
        <v>View Creative</v>
      </c>
      <c r="L4823" s="4" t="s">
        <v>60</v>
      </c>
      <c r="M4823" s="4" t="s">
        <v>7013</v>
      </c>
      <c r="N4823" s="4" t="s">
        <v>7126</v>
      </c>
      <c r="O4823" s="4" t="s">
        <v>63</v>
      </c>
      <c r="P4823" s="4" t="s">
        <v>64</v>
      </c>
    </row>
    <row r="4824">
      <c r="A4824" s="4" t="s">
        <v>7013</v>
      </c>
      <c r="B4824" s="4" t="s">
        <v>7014</v>
      </c>
      <c r="C4824" s="4">
        <v>773.0</v>
      </c>
      <c r="D4824" s="5" t="str">
        <f t="shared" ref="D4824:D4825" si="1106">HYPERLINK("https://www.linkedin.com/ad-library/detail/916732904","Open Ad")</f>
        <v>Open Ad</v>
      </c>
      <c r="E4824" s="4" t="s">
        <v>78</v>
      </c>
      <c r="F4824" s="4" t="s">
        <v>6765</v>
      </c>
      <c r="G4824" s="4" t="s">
        <v>7116</v>
      </c>
      <c r="H4824" s="4" t="s">
        <v>49</v>
      </c>
      <c r="I4824" s="4" t="s">
        <v>7016</v>
      </c>
      <c r="J4824" s="4" t="s">
        <v>78</v>
      </c>
      <c r="K4824" s="7" t="str">
        <f t="shared" ref="K4824:K4825" si="1107">HYPERLINK("https://media.licdn.com/dms/image/v2/D4E10AQF45XRPTXtW5A/image-shrink_1280/B4EZqXhpz1GcAM-/0/1763478773949/3Darkjpg?e=2147483647&amp;v=beta&amp;t=4YvB4IIPTWmlveIYFlgySSG_pCTzhVNDBwJvzRQ8cLk","View Creative")</f>
        <v>View Creative</v>
      </c>
      <c r="L4824" s="4" t="s">
        <v>60</v>
      </c>
      <c r="M4824" s="4" t="s">
        <v>7013</v>
      </c>
      <c r="N4824" s="4" t="s">
        <v>7126</v>
      </c>
      <c r="O4824" s="4" t="s">
        <v>63</v>
      </c>
      <c r="P4824" s="4" t="s">
        <v>64</v>
      </c>
    </row>
    <row r="4825">
      <c r="A4825" s="4" t="s">
        <v>7013</v>
      </c>
      <c r="B4825" s="4" t="s">
        <v>7014</v>
      </c>
      <c r="C4825" s="4">
        <v>774.0</v>
      </c>
      <c r="D4825" s="5" t="str">
        <f t="shared" si="1106"/>
        <v>Open Ad</v>
      </c>
      <c r="E4825" s="4" t="s">
        <v>78</v>
      </c>
      <c r="F4825" s="4" t="s">
        <v>6765</v>
      </c>
      <c r="G4825" s="4" t="s">
        <v>7116</v>
      </c>
      <c r="H4825" s="4" t="s">
        <v>49</v>
      </c>
      <c r="I4825" s="4" t="s">
        <v>7016</v>
      </c>
      <c r="J4825" s="4" t="s">
        <v>78</v>
      </c>
      <c r="K4825" s="7" t="str">
        <f t="shared" si="1107"/>
        <v>View Creative</v>
      </c>
      <c r="L4825" s="4" t="s">
        <v>60</v>
      </c>
      <c r="M4825" s="4" t="s">
        <v>7013</v>
      </c>
      <c r="N4825" s="4" t="s">
        <v>7126</v>
      </c>
      <c r="O4825" s="4" t="s">
        <v>63</v>
      </c>
      <c r="P4825" s="4" t="s">
        <v>64</v>
      </c>
    </row>
    <row r="4826">
      <c r="A4826" s="4" t="s">
        <v>7013</v>
      </c>
      <c r="B4826" s="4" t="s">
        <v>7014</v>
      </c>
      <c r="C4826" s="4">
        <v>775.0</v>
      </c>
      <c r="D4826" s="5" t="str">
        <f t="shared" ref="D4826:D4827" si="1108">HYPERLINK("https://www.linkedin.com/ad-library/detail/916812314","Open Ad")</f>
        <v>Open Ad</v>
      </c>
      <c r="E4826" s="4" t="s">
        <v>78</v>
      </c>
      <c r="F4826" s="4" t="s">
        <v>6765</v>
      </c>
      <c r="G4826" s="4" t="s">
        <v>7125</v>
      </c>
      <c r="H4826" s="4" t="s">
        <v>49</v>
      </c>
      <c r="I4826" s="4" t="s">
        <v>7016</v>
      </c>
      <c r="J4826" s="4" t="s">
        <v>78</v>
      </c>
      <c r="K4826" s="7" t="str">
        <f t="shared" ref="K4826:K4827" si="1109">HYPERLINK("https://media.licdn.com/dms/image/v2/D4E10AQG-5ahZNFJ0Qw/image-shrink_1280/B4EZqXlcw9J0AQ-/0/1763479769117/3Dark-1jpg?e=2147483647&amp;v=beta&amp;t=4-8BXjQk2Kp5K6WaUT9S6iuqFLEfdncrDe1XCFFXnhA","View Creative")</f>
        <v>View Creative</v>
      </c>
      <c r="L4826" s="4" t="s">
        <v>60</v>
      </c>
      <c r="M4826" s="4" t="s">
        <v>7013</v>
      </c>
      <c r="N4826" s="4" t="s">
        <v>7126</v>
      </c>
      <c r="O4826" s="4" t="s">
        <v>63</v>
      </c>
      <c r="P4826" s="4" t="s">
        <v>64</v>
      </c>
    </row>
    <row r="4827">
      <c r="A4827" s="4" t="s">
        <v>7013</v>
      </c>
      <c r="B4827" s="4" t="s">
        <v>7014</v>
      </c>
      <c r="C4827" s="4">
        <v>776.0</v>
      </c>
      <c r="D4827" s="5" t="str">
        <f t="shared" si="1108"/>
        <v>Open Ad</v>
      </c>
      <c r="E4827" s="4" t="s">
        <v>78</v>
      </c>
      <c r="F4827" s="4" t="s">
        <v>6765</v>
      </c>
      <c r="G4827" s="4" t="s">
        <v>7125</v>
      </c>
      <c r="H4827" s="4" t="s">
        <v>49</v>
      </c>
      <c r="I4827" s="4" t="s">
        <v>7016</v>
      </c>
      <c r="J4827" s="4" t="s">
        <v>78</v>
      </c>
      <c r="K4827" s="7" t="str">
        <f t="shared" si="1109"/>
        <v>View Creative</v>
      </c>
      <c r="L4827" s="4" t="s">
        <v>60</v>
      </c>
      <c r="M4827" s="4" t="s">
        <v>7013</v>
      </c>
      <c r="N4827" s="4" t="s">
        <v>7126</v>
      </c>
      <c r="O4827" s="4" t="s">
        <v>63</v>
      </c>
      <c r="P4827" s="4" t="s">
        <v>64</v>
      </c>
    </row>
    <row r="4828">
      <c r="A4828" s="4" t="s">
        <v>7013</v>
      </c>
      <c r="B4828" s="4" t="s">
        <v>7014</v>
      </c>
      <c r="C4828" s="4">
        <v>777.0</v>
      </c>
      <c r="D4828" s="5" t="str">
        <f t="shared" ref="D4828:D4829" si="1110">HYPERLINK("https://www.linkedin.com/ad-library/detail/916941474","Open Ad")</f>
        <v>Open Ad</v>
      </c>
      <c r="E4828" s="4" t="s">
        <v>78</v>
      </c>
      <c r="F4828" s="4" t="s">
        <v>6765</v>
      </c>
      <c r="G4828" s="4" t="s">
        <v>7106</v>
      </c>
      <c r="H4828" s="4" t="s">
        <v>49</v>
      </c>
      <c r="I4828" s="4" t="s">
        <v>7016</v>
      </c>
      <c r="J4828" s="4" t="s">
        <v>78</v>
      </c>
      <c r="K4828" s="7" t="str">
        <f t="shared" ref="K4828:K4829" si="1111">HYPERLINK("https://media.licdn.com/dms/image/v2/D4E10AQENGaPDx5roqA/image-shrink_1280/B4EZqXim7FKkAM-/0/1763479024318/2Light-2jpg?e=2147483647&amp;v=beta&amp;t=DZept9KGGJUeiMjvlU1rddz-iLlsRJ0i4DTZKOx7IH4","View Creative")</f>
        <v>View Creative</v>
      </c>
      <c r="L4828" s="4" t="s">
        <v>60</v>
      </c>
      <c r="M4828" s="4" t="s">
        <v>7013</v>
      </c>
      <c r="N4828" s="4" t="s">
        <v>7126</v>
      </c>
      <c r="O4828" s="4" t="s">
        <v>63</v>
      </c>
      <c r="P4828" s="4" t="s">
        <v>64</v>
      </c>
    </row>
    <row r="4829">
      <c r="A4829" s="4" t="s">
        <v>7013</v>
      </c>
      <c r="B4829" s="4" t="s">
        <v>7014</v>
      </c>
      <c r="C4829" s="4">
        <v>778.0</v>
      </c>
      <c r="D4829" s="5" t="str">
        <f t="shared" si="1110"/>
        <v>Open Ad</v>
      </c>
      <c r="E4829" s="4" t="s">
        <v>78</v>
      </c>
      <c r="F4829" s="4" t="s">
        <v>6765</v>
      </c>
      <c r="G4829" s="4" t="s">
        <v>7106</v>
      </c>
      <c r="H4829" s="4" t="s">
        <v>49</v>
      </c>
      <c r="I4829" s="4" t="s">
        <v>7016</v>
      </c>
      <c r="J4829" s="4" t="s">
        <v>78</v>
      </c>
      <c r="K4829" s="7" t="str">
        <f t="shared" si="1111"/>
        <v>View Creative</v>
      </c>
      <c r="L4829" s="4" t="s">
        <v>60</v>
      </c>
      <c r="M4829" s="4" t="s">
        <v>7013</v>
      </c>
      <c r="N4829" s="4" t="s">
        <v>7126</v>
      </c>
      <c r="O4829" s="4" t="s">
        <v>63</v>
      </c>
      <c r="P4829" s="4" t="s">
        <v>64</v>
      </c>
    </row>
    <row r="4830">
      <c r="A4830" s="4" t="s">
        <v>7013</v>
      </c>
      <c r="B4830" s="4" t="s">
        <v>7014</v>
      </c>
      <c r="C4830" s="4">
        <v>779.0</v>
      </c>
      <c r="D4830" s="5" t="str">
        <f t="shared" ref="D4830:D4831" si="1112">HYPERLINK("https://www.linkedin.com/ad-library/detail/916792314","Open Ad")</f>
        <v>Open Ad</v>
      </c>
      <c r="E4830" s="4" t="s">
        <v>78</v>
      </c>
      <c r="F4830" s="4" t="s">
        <v>6765</v>
      </c>
      <c r="G4830" s="4" t="s">
        <v>7106</v>
      </c>
      <c r="H4830" s="4" t="s">
        <v>49</v>
      </c>
      <c r="I4830" s="4" t="s">
        <v>7016</v>
      </c>
      <c r="J4830" s="4" t="s">
        <v>78</v>
      </c>
      <c r="K4830" s="7" t="str">
        <f t="shared" ref="K4830:K4831" si="1113">HYPERLINK("https://media.licdn.com/dms/image/v2/D4E10AQHcSoWO1dYKtQ/image-shrink_1280/B4EZqXi5QAHcAQ-/0/1763479099393/2Dark-2jpg?e=2147483647&amp;v=beta&amp;t=icCzusjbqHqZBG3AQPs0VI2nQANVz543VtPBphg9iAk","View Creative")</f>
        <v>View Creative</v>
      </c>
      <c r="L4830" s="4" t="s">
        <v>60</v>
      </c>
      <c r="M4830" s="4" t="s">
        <v>7013</v>
      </c>
      <c r="N4830" s="4" t="s">
        <v>7126</v>
      </c>
      <c r="O4830" s="4" t="s">
        <v>63</v>
      </c>
      <c r="P4830" s="4" t="s">
        <v>64</v>
      </c>
    </row>
    <row r="4831">
      <c r="A4831" s="4" t="s">
        <v>7013</v>
      </c>
      <c r="B4831" s="4" t="s">
        <v>7014</v>
      </c>
      <c r="C4831" s="4">
        <v>780.0</v>
      </c>
      <c r="D4831" s="5" t="str">
        <f t="shared" si="1112"/>
        <v>Open Ad</v>
      </c>
      <c r="E4831" s="4" t="s">
        <v>78</v>
      </c>
      <c r="F4831" s="4" t="s">
        <v>6765</v>
      </c>
      <c r="G4831" s="4" t="s">
        <v>7106</v>
      </c>
      <c r="H4831" s="4" t="s">
        <v>49</v>
      </c>
      <c r="I4831" s="4" t="s">
        <v>7016</v>
      </c>
      <c r="J4831" s="4" t="s">
        <v>78</v>
      </c>
      <c r="K4831" s="7" t="str">
        <f t="shared" si="1113"/>
        <v>View Creative</v>
      </c>
      <c r="L4831" s="4" t="s">
        <v>60</v>
      </c>
      <c r="M4831" s="4" t="s">
        <v>7013</v>
      </c>
      <c r="N4831" s="4" t="s">
        <v>7126</v>
      </c>
      <c r="O4831" s="4" t="s">
        <v>63</v>
      </c>
      <c r="P4831" s="4" t="s">
        <v>64</v>
      </c>
    </row>
    <row r="4832">
      <c r="A4832" s="4" t="s">
        <v>7013</v>
      </c>
      <c r="B4832" s="4" t="s">
        <v>7014</v>
      </c>
      <c r="C4832" s="4">
        <v>781.0</v>
      </c>
      <c r="D4832" s="5" t="str">
        <f t="shared" ref="D4832:D4833" si="1114">HYPERLINK("https://www.linkedin.com/ad-library/detail/916921734","Open Ad")</f>
        <v>Open Ad</v>
      </c>
      <c r="E4832" s="4" t="s">
        <v>78</v>
      </c>
      <c r="F4832" s="4" t="s">
        <v>6765</v>
      </c>
      <c r="G4832" s="4" t="s">
        <v>7106</v>
      </c>
      <c r="H4832" s="4" t="s">
        <v>49</v>
      </c>
      <c r="I4832" s="4" t="s">
        <v>7016</v>
      </c>
      <c r="J4832" s="4" t="s">
        <v>78</v>
      </c>
      <c r="K4832" s="7" t="str">
        <f t="shared" ref="K4832:K4833" si="1115">HYPERLINK("https://media.licdn.com/dms/image/v2/D4E10AQExlvzvwZR9Cw/image-shrink_1280/B4EZqXjO3_JgAQ-/0/1763479187977/3Dark-2jpg?e=2147483647&amp;v=beta&amp;t=hIw8-9_xZmTLDeJdkluPd0WO2TRrUEIgeIYzXYtAh1g","View Creative")</f>
        <v>View Creative</v>
      </c>
      <c r="L4832" s="4" t="s">
        <v>60</v>
      </c>
      <c r="M4832" s="4" t="s">
        <v>7013</v>
      </c>
      <c r="N4832" s="4" t="s">
        <v>7126</v>
      </c>
      <c r="O4832" s="4" t="s">
        <v>63</v>
      </c>
      <c r="P4832" s="4" t="s">
        <v>64</v>
      </c>
    </row>
    <row r="4833">
      <c r="A4833" s="4" t="s">
        <v>7013</v>
      </c>
      <c r="B4833" s="4" t="s">
        <v>7014</v>
      </c>
      <c r="C4833" s="4">
        <v>782.0</v>
      </c>
      <c r="D4833" s="5" t="str">
        <f t="shared" si="1114"/>
        <v>Open Ad</v>
      </c>
      <c r="E4833" s="4" t="s">
        <v>78</v>
      </c>
      <c r="F4833" s="4" t="s">
        <v>6765</v>
      </c>
      <c r="G4833" s="4" t="s">
        <v>7106</v>
      </c>
      <c r="H4833" s="4" t="s">
        <v>49</v>
      </c>
      <c r="I4833" s="4" t="s">
        <v>7016</v>
      </c>
      <c r="J4833" s="4" t="s">
        <v>78</v>
      </c>
      <c r="K4833" s="7" t="str">
        <f t="shared" si="1115"/>
        <v>View Creative</v>
      </c>
      <c r="L4833" s="4" t="s">
        <v>60</v>
      </c>
      <c r="M4833" s="4" t="s">
        <v>7013</v>
      </c>
      <c r="N4833" s="4" t="s">
        <v>7126</v>
      </c>
      <c r="O4833" s="4" t="s">
        <v>63</v>
      </c>
      <c r="P4833" s="4" t="s">
        <v>64</v>
      </c>
    </row>
    <row r="4834">
      <c r="A4834" s="4" t="s">
        <v>7013</v>
      </c>
      <c r="B4834" s="4" t="s">
        <v>7014</v>
      </c>
      <c r="C4834" s="4">
        <v>783.0</v>
      </c>
      <c r="D4834" s="5" t="str">
        <f t="shared" ref="D4834:D4835" si="1116">HYPERLINK("https://www.linkedin.com/ad-library/detail/916732894","Open Ad")</f>
        <v>Open Ad</v>
      </c>
      <c r="E4834" s="4" t="s">
        <v>78</v>
      </c>
      <c r="F4834" s="4" t="s">
        <v>6765</v>
      </c>
      <c r="G4834" s="4" t="s">
        <v>7106</v>
      </c>
      <c r="H4834" s="4" t="s">
        <v>49</v>
      </c>
      <c r="I4834" s="4" t="s">
        <v>7016</v>
      </c>
      <c r="J4834" s="4" t="s">
        <v>78</v>
      </c>
      <c r="K4834" s="7" t="str">
        <f t="shared" ref="K4834:K4835" si="1117">HYPERLINK("https://media.licdn.com/dms/image/v2/D4E10AQHFRHPc9FWrHg/image-shrink_1280/B4EZqXjE10HoAQ-/0/1763479146737/3Light-2jpg?e=2147483647&amp;v=beta&amp;t=rZhguR_gys1_eeccCKD40rY_p2pWztc9kFpk08d6MnM","View Creative")</f>
        <v>View Creative</v>
      </c>
      <c r="L4834" s="4" t="s">
        <v>60</v>
      </c>
      <c r="M4834" s="4" t="s">
        <v>7013</v>
      </c>
      <c r="N4834" s="4" t="s">
        <v>7126</v>
      </c>
      <c r="O4834" s="4" t="s">
        <v>63</v>
      </c>
      <c r="P4834" s="4" t="s">
        <v>64</v>
      </c>
    </row>
    <row r="4835">
      <c r="A4835" s="4" t="s">
        <v>7013</v>
      </c>
      <c r="B4835" s="4" t="s">
        <v>7014</v>
      </c>
      <c r="C4835" s="4">
        <v>784.0</v>
      </c>
      <c r="D4835" s="5" t="str">
        <f t="shared" si="1116"/>
        <v>Open Ad</v>
      </c>
      <c r="E4835" s="4" t="s">
        <v>78</v>
      </c>
      <c r="F4835" s="4" t="s">
        <v>6765</v>
      </c>
      <c r="G4835" s="4" t="s">
        <v>7106</v>
      </c>
      <c r="H4835" s="4" t="s">
        <v>49</v>
      </c>
      <c r="I4835" s="4" t="s">
        <v>7016</v>
      </c>
      <c r="J4835" s="4" t="s">
        <v>78</v>
      </c>
      <c r="K4835" s="7" t="str">
        <f t="shared" si="1117"/>
        <v>View Creative</v>
      </c>
      <c r="L4835" s="4" t="s">
        <v>60</v>
      </c>
      <c r="M4835" s="4" t="s">
        <v>7013</v>
      </c>
      <c r="N4835" s="4" t="s">
        <v>7126</v>
      </c>
      <c r="O4835" s="4" t="s">
        <v>63</v>
      </c>
      <c r="P4835" s="4" t="s">
        <v>64</v>
      </c>
    </row>
    <row r="4836">
      <c r="A4836" s="4" t="s">
        <v>7013</v>
      </c>
      <c r="B4836" s="4" t="s">
        <v>7014</v>
      </c>
      <c r="C4836" s="4">
        <v>785.0</v>
      </c>
      <c r="D4836" s="5" t="str">
        <f t="shared" ref="D4836:D4837" si="1118">HYPERLINK("https://www.linkedin.com/ad-library/detail/916921744","Open Ad")</f>
        <v>Open Ad</v>
      </c>
      <c r="E4836" s="4" t="s">
        <v>78</v>
      </c>
      <c r="F4836" s="4" t="s">
        <v>6765</v>
      </c>
      <c r="G4836" s="4" t="s">
        <v>7106</v>
      </c>
      <c r="H4836" s="4" t="s">
        <v>49</v>
      </c>
      <c r="I4836" s="4" t="s">
        <v>7016</v>
      </c>
      <c r="J4836" s="4" t="s">
        <v>78</v>
      </c>
      <c r="K4836" s="7" t="str">
        <f t="shared" ref="K4836:K4837" si="1119">HYPERLINK("https://media.licdn.com/dms/image/v2/D4E10AQGNSAIQ6QLAQA/image-shrink_1280/B4EZqXjmXGJ0AY-/0/1763479284571/4Dark-2jpg?e=2147483647&amp;v=beta&amp;t=JcZsw5Q4oi5lthxDnppFNw4twgrHMx1erlaYBtQWCPE","View Creative")</f>
        <v>View Creative</v>
      </c>
      <c r="L4836" s="4" t="s">
        <v>60</v>
      </c>
      <c r="M4836" s="4" t="s">
        <v>7013</v>
      </c>
      <c r="N4836" s="4" t="s">
        <v>7126</v>
      </c>
      <c r="O4836" s="4" t="s">
        <v>63</v>
      </c>
      <c r="P4836" s="4" t="s">
        <v>64</v>
      </c>
    </row>
    <row r="4837">
      <c r="A4837" s="4" t="s">
        <v>7013</v>
      </c>
      <c r="B4837" s="4" t="s">
        <v>7014</v>
      </c>
      <c r="C4837" s="4">
        <v>786.0</v>
      </c>
      <c r="D4837" s="5" t="str">
        <f t="shared" si="1118"/>
        <v>Open Ad</v>
      </c>
      <c r="E4837" s="4" t="s">
        <v>78</v>
      </c>
      <c r="F4837" s="4" t="s">
        <v>6765</v>
      </c>
      <c r="G4837" s="4" t="s">
        <v>7106</v>
      </c>
      <c r="H4837" s="4" t="s">
        <v>49</v>
      </c>
      <c r="I4837" s="4" t="s">
        <v>7016</v>
      </c>
      <c r="J4837" s="4" t="s">
        <v>78</v>
      </c>
      <c r="K4837" s="7" t="str">
        <f t="shared" si="1119"/>
        <v>View Creative</v>
      </c>
      <c r="L4837" s="4" t="s">
        <v>60</v>
      </c>
      <c r="M4837" s="4" t="s">
        <v>7013</v>
      </c>
      <c r="N4837" s="4" t="s">
        <v>7126</v>
      </c>
      <c r="O4837" s="4" t="s">
        <v>63</v>
      </c>
      <c r="P4837" s="4" t="s">
        <v>64</v>
      </c>
    </row>
    <row r="4838">
      <c r="A4838" s="4" t="s">
        <v>7013</v>
      </c>
      <c r="B4838" s="4" t="s">
        <v>7014</v>
      </c>
      <c r="C4838" s="4">
        <v>787.0</v>
      </c>
      <c r="D4838" s="5" t="str">
        <f t="shared" ref="D4838:D4839" si="1120">HYPERLINK("https://www.linkedin.com/ad-library/detail/916732884","Open Ad")</f>
        <v>Open Ad</v>
      </c>
      <c r="E4838" s="4" t="s">
        <v>78</v>
      </c>
      <c r="F4838" s="4" t="s">
        <v>6765</v>
      </c>
      <c r="G4838" s="4" t="s">
        <v>7106</v>
      </c>
      <c r="H4838" s="4" t="s">
        <v>49</v>
      </c>
      <c r="I4838" s="4" t="s">
        <v>7016</v>
      </c>
      <c r="J4838" s="4" t="s">
        <v>78</v>
      </c>
      <c r="K4838" s="7" t="str">
        <f t="shared" ref="K4838:K4839" si="1121">HYPERLINK("https://media.licdn.com/dms/image/v2/D4E10AQF4bTkTRfa3uA/image-shrink_1280/B4EZqXgd47HMAM-/0/1763478462911/4Light-2jpg?e=2147483647&amp;v=beta&amp;t=uK41TOo8iHj_pufRB7IRs6CRYzq8e8v7tl4rEbNjC4k","View Creative")</f>
        <v>View Creative</v>
      </c>
      <c r="L4838" s="4" t="s">
        <v>60</v>
      </c>
      <c r="M4838" s="4" t="s">
        <v>7013</v>
      </c>
      <c r="N4838" s="4" t="s">
        <v>7126</v>
      </c>
      <c r="O4838" s="4" t="s">
        <v>63</v>
      </c>
      <c r="P4838" s="4" t="s">
        <v>64</v>
      </c>
    </row>
    <row r="4839">
      <c r="A4839" s="4" t="s">
        <v>7013</v>
      </c>
      <c r="B4839" s="4" t="s">
        <v>7014</v>
      </c>
      <c r="C4839" s="4">
        <v>788.0</v>
      </c>
      <c r="D4839" s="5" t="str">
        <f t="shared" si="1120"/>
        <v>Open Ad</v>
      </c>
      <c r="E4839" s="4" t="s">
        <v>78</v>
      </c>
      <c r="F4839" s="4" t="s">
        <v>6765</v>
      </c>
      <c r="G4839" s="4" t="s">
        <v>7106</v>
      </c>
      <c r="H4839" s="4" t="s">
        <v>49</v>
      </c>
      <c r="I4839" s="4" t="s">
        <v>7016</v>
      </c>
      <c r="J4839" s="4" t="s">
        <v>78</v>
      </c>
      <c r="K4839" s="7" t="str">
        <f t="shared" si="1121"/>
        <v>View Creative</v>
      </c>
      <c r="L4839" s="4" t="s">
        <v>60</v>
      </c>
      <c r="M4839" s="4" t="s">
        <v>7013</v>
      </c>
      <c r="N4839" s="4" t="s">
        <v>7126</v>
      </c>
      <c r="O4839" s="4" t="s">
        <v>63</v>
      </c>
      <c r="P4839" s="4" t="s">
        <v>64</v>
      </c>
    </row>
    <row r="4840">
      <c r="A4840" s="4" t="s">
        <v>7013</v>
      </c>
      <c r="B4840" s="4" t="s">
        <v>7014</v>
      </c>
      <c r="C4840" s="4">
        <v>789.0</v>
      </c>
      <c r="D4840" s="5" t="str">
        <f t="shared" ref="D4840:D4841" si="1122">HYPERLINK("https://www.linkedin.com/ad-library/detail/916921714","Open Ad")</f>
        <v>Open Ad</v>
      </c>
      <c r="E4840" s="4" t="s">
        <v>78</v>
      </c>
      <c r="F4840" s="4" t="s">
        <v>6765</v>
      </c>
      <c r="G4840" s="4" t="s">
        <v>7116</v>
      </c>
      <c r="H4840" s="4" t="s">
        <v>49</v>
      </c>
      <c r="I4840" s="4" t="s">
        <v>7016</v>
      </c>
      <c r="J4840" s="4" t="s">
        <v>78</v>
      </c>
      <c r="K4840" s="7" t="str">
        <f t="shared" ref="K4840:K4841" si="1123">HYPERLINK("https://media.licdn.com/dms/image/v2/D4E10AQF05B5KrIYX3Q/image-shrink_1280/B4EZqXkxnNIUAQ-/0/1763479592401/4Darkjpg?e=2147483647&amp;v=beta&amp;t=lmbPcqoVC_Y-Wlew1o_6c5nMRLgnV8eb3NV3Xney0eU","View Creative")</f>
        <v>View Creative</v>
      </c>
      <c r="L4840" s="4" t="s">
        <v>60</v>
      </c>
      <c r="M4840" s="4" t="s">
        <v>7013</v>
      </c>
      <c r="N4840" s="4" t="s">
        <v>7126</v>
      </c>
      <c r="O4840" s="4" t="s">
        <v>63</v>
      </c>
      <c r="P4840" s="4" t="s">
        <v>64</v>
      </c>
    </row>
    <row r="4841">
      <c r="A4841" s="4" t="s">
        <v>7013</v>
      </c>
      <c r="B4841" s="4" t="s">
        <v>7014</v>
      </c>
      <c r="C4841" s="4">
        <v>790.0</v>
      </c>
      <c r="D4841" s="5" t="str">
        <f t="shared" si="1122"/>
        <v>Open Ad</v>
      </c>
      <c r="E4841" s="4" t="s">
        <v>78</v>
      </c>
      <c r="F4841" s="4" t="s">
        <v>6765</v>
      </c>
      <c r="G4841" s="4" t="s">
        <v>7116</v>
      </c>
      <c r="H4841" s="4" t="s">
        <v>49</v>
      </c>
      <c r="I4841" s="4" t="s">
        <v>7016</v>
      </c>
      <c r="J4841" s="4" t="s">
        <v>78</v>
      </c>
      <c r="K4841" s="7" t="str">
        <f t="shared" si="1123"/>
        <v>View Creative</v>
      </c>
      <c r="L4841" s="4" t="s">
        <v>60</v>
      </c>
      <c r="M4841" s="4" t="s">
        <v>7013</v>
      </c>
      <c r="N4841" s="4" t="s">
        <v>7126</v>
      </c>
      <c r="O4841" s="4" t="s">
        <v>63</v>
      </c>
      <c r="P4841" s="4" t="s">
        <v>64</v>
      </c>
    </row>
    <row r="4842">
      <c r="A4842" s="4" t="s">
        <v>7013</v>
      </c>
      <c r="B4842" s="4" t="s">
        <v>7014</v>
      </c>
      <c r="C4842" s="4">
        <v>791.0</v>
      </c>
      <c r="D4842" s="5" t="str">
        <f t="shared" ref="D4842:D4843" si="1124">HYPERLINK("https://www.linkedin.com/ad-library/detail/916831904","Open Ad")</f>
        <v>Open Ad</v>
      </c>
      <c r="E4842" s="4" t="s">
        <v>78</v>
      </c>
      <c r="F4842" s="4" t="s">
        <v>6765</v>
      </c>
      <c r="G4842" s="4" t="s">
        <v>7116</v>
      </c>
      <c r="H4842" s="4" t="s">
        <v>49</v>
      </c>
      <c r="I4842" s="4" t="s">
        <v>7016</v>
      </c>
      <c r="J4842" s="4" t="s">
        <v>78</v>
      </c>
      <c r="K4842" s="7" t="str">
        <f t="shared" ref="K4842:K4843" si="1125">HYPERLINK("https://media.licdn.com/dms/image/v2/D4E10AQF45XRPTXtW5A/image-shrink_1280/B4EZqXhpz1GcAM-/0/1763478773949/3Darkjpg?e=2147483647&amp;v=beta&amp;t=4YvB4IIPTWmlveIYFlgySSG_pCTzhVNDBwJvzRQ8cLk","View Creative")</f>
        <v>View Creative</v>
      </c>
      <c r="L4842" s="4" t="s">
        <v>60</v>
      </c>
      <c r="M4842" s="4" t="s">
        <v>7013</v>
      </c>
      <c r="N4842" s="4" t="s">
        <v>7126</v>
      </c>
      <c r="O4842" s="4" t="s">
        <v>63</v>
      </c>
      <c r="P4842" s="4" t="s">
        <v>64</v>
      </c>
    </row>
    <row r="4843">
      <c r="A4843" s="4" t="s">
        <v>7013</v>
      </c>
      <c r="B4843" s="4" t="s">
        <v>7014</v>
      </c>
      <c r="C4843" s="4">
        <v>792.0</v>
      </c>
      <c r="D4843" s="5" t="str">
        <f t="shared" si="1124"/>
        <v>Open Ad</v>
      </c>
      <c r="E4843" s="4" t="s">
        <v>78</v>
      </c>
      <c r="F4843" s="4" t="s">
        <v>6765</v>
      </c>
      <c r="G4843" s="4" t="s">
        <v>7116</v>
      </c>
      <c r="H4843" s="4" t="s">
        <v>49</v>
      </c>
      <c r="I4843" s="4" t="s">
        <v>7016</v>
      </c>
      <c r="J4843" s="4" t="s">
        <v>78</v>
      </c>
      <c r="K4843" s="7" t="str">
        <f t="shared" si="1125"/>
        <v>View Creative</v>
      </c>
      <c r="L4843" s="4" t="s">
        <v>60</v>
      </c>
      <c r="M4843" s="4" t="s">
        <v>7013</v>
      </c>
      <c r="N4843" s="4" t="s">
        <v>7126</v>
      </c>
      <c r="O4843" s="4" t="s">
        <v>63</v>
      </c>
      <c r="P4843" s="4" t="s">
        <v>64</v>
      </c>
    </row>
    <row r="4844">
      <c r="A4844" s="4" t="s">
        <v>7013</v>
      </c>
      <c r="B4844" s="4" t="s">
        <v>7014</v>
      </c>
      <c r="C4844" s="4">
        <v>793.0</v>
      </c>
      <c r="D4844" s="5" t="str">
        <f t="shared" ref="D4844:D4845" si="1126">HYPERLINK("https://www.linkedin.com/ad-library/detail/916752124","Open Ad")</f>
        <v>Open Ad</v>
      </c>
      <c r="E4844" s="4" t="s">
        <v>78</v>
      </c>
      <c r="F4844" s="4" t="s">
        <v>6765</v>
      </c>
      <c r="G4844" s="4" t="s">
        <v>7106</v>
      </c>
      <c r="H4844" s="4" t="s">
        <v>49</v>
      </c>
      <c r="I4844" s="4" t="s">
        <v>7016</v>
      </c>
      <c r="J4844" s="4" t="s">
        <v>78</v>
      </c>
      <c r="K4844" s="7" t="str">
        <f t="shared" ref="K4844:K4845" si="1127">HYPERLINK("https://media.licdn.com/dms/image/v2/D4E10AQENGaPDx5roqA/image-shrink_1280/B4EZqXim7FKkAM-/0/1763479024318/2Light-2jpg?e=2147483647&amp;v=beta&amp;t=DZept9KGGJUeiMjvlU1rddz-iLlsRJ0i4DTZKOx7IH4","View Creative")</f>
        <v>View Creative</v>
      </c>
      <c r="L4844" s="4" t="s">
        <v>60</v>
      </c>
      <c r="M4844" s="4" t="s">
        <v>7013</v>
      </c>
      <c r="N4844" s="4" t="s">
        <v>7126</v>
      </c>
      <c r="O4844" s="4" t="s">
        <v>63</v>
      </c>
      <c r="P4844" s="4" t="s">
        <v>64</v>
      </c>
    </row>
    <row r="4845">
      <c r="A4845" s="4" t="s">
        <v>7013</v>
      </c>
      <c r="B4845" s="4" t="s">
        <v>7014</v>
      </c>
      <c r="C4845" s="4">
        <v>794.0</v>
      </c>
      <c r="D4845" s="5" t="str">
        <f t="shared" si="1126"/>
        <v>Open Ad</v>
      </c>
      <c r="E4845" s="4" t="s">
        <v>78</v>
      </c>
      <c r="F4845" s="4" t="s">
        <v>6765</v>
      </c>
      <c r="G4845" s="4" t="s">
        <v>7106</v>
      </c>
      <c r="H4845" s="4" t="s">
        <v>49</v>
      </c>
      <c r="I4845" s="4" t="s">
        <v>7016</v>
      </c>
      <c r="J4845" s="4" t="s">
        <v>78</v>
      </c>
      <c r="K4845" s="7" t="str">
        <f t="shared" si="1127"/>
        <v>View Creative</v>
      </c>
      <c r="L4845" s="4" t="s">
        <v>60</v>
      </c>
      <c r="M4845" s="4" t="s">
        <v>7013</v>
      </c>
      <c r="N4845" s="4" t="s">
        <v>7126</v>
      </c>
      <c r="O4845" s="4" t="s">
        <v>63</v>
      </c>
      <c r="P4845" s="4" t="s">
        <v>64</v>
      </c>
    </row>
    <row r="4846">
      <c r="A4846" s="4" t="s">
        <v>7013</v>
      </c>
      <c r="B4846" s="4" t="s">
        <v>7014</v>
      </c>
      <c r="C4846" s="4">
        <v>795.0</v>
      </c>
      <c r="D4846" s="5" t="str">
        <f t="shared" ref="D4846:D4847" si="1128">HYPERLINK("https://www.linkedin.com/ad-library/detail/916921724","Open Ad")</f>
        <v>Open Ad</v>
      </c>
      <c r="E4846" s="4" t="s">
        <v>78</v>
      </c>
      <c r="F4846" s="4" t="s">
        <v>6765</v>
      </c>
      <c r="G4846" s="4" t="s">
        <v>7116</v>
      </c>
      <c r="H4846" s="4" t="s">
        <v>49</v>
      </c>
      <c r="I4846" s="4" t="s">
        <v>7016</v>
      </c>
      <c r="J4846" s="4" t="s">
        <v>78</v>
      </c>
      <c r="K4846" s="7" t="str">
        <f t="shared" ref="K4846:K4847" si="1129">HYPERLINK("https://media.licdn.com/dms/image/v2/D4E10AQEU0w4UGxx8Ag/image-shrink_1280/B4EZqXkZXlIQAQ-/0/1763479492926/3Lightjpg?e=2147483647&amp;v=beta&amp;t=_jgwspKyqLBBvgvbnQErlUU5Db0lO5w9CIE-CNaO5CA","View Creative")</f>
        <v>View Creative</v>
      </c>
      <c r="L4846" s="4" t="s">
        <v>60</v>
      </c>
      <c r="M4846" s="4" t="s">
        <v>7013</v>
      </c>
      <c r="N4846" s="4" t="s">
        <v>7126</v>
      </c>
      <c r="O4846" s="4" t="s">
        <v>63</v>
      </c>
      <c r="P4846" s="4" t="s">
        <v>64</v>
      </c>
    </row>
    <row r="4847">
      <c r="A4847" s="4" t="s">
        <v>7013</v>
      </c>
      <c r="B4847" s="4" t="s">
        <v>7014</v>
      </c>
      <c r="C4847" s="4">
        <v>796.0</v>
      </c>
      <c r="D4847" s="5" t="str">
        <f t="shared" si="1128"/>
        <v>Open Ad</v>
      </c>
      <c r="E4847" s="4" t="s">
        <v>78</v>
      </c>
      <c r="F4847" s="4" t="s">
        <v>6765</v>
      </c>
      <c r="G4847" s="4" t="s">
        <v>7116</v>
      </c>
      <c r="H4847" s="4" t="s">
        <v>49</v>
      </c>
      <c r="I4847" s="4" t="s">
        <v>7016</v>
      </c>
      <c r="J4847" s="4" t="s">
        <v>78</v>
      </c>
      <c r="K4847" s="7" t="str">
        <f t="shared" si="1129"/>
        <v>View Creative</v>
      </c>
      <c r="L4847" s="4" t="s">
        <v>60</v>
      </c>
      <c r="M4847" s="4" t="s">
        <v>7013</v>
      </c>
      <c r="N4847" s="4" t="s">
        <v>7126</v>
      </c>
      <c r="O4847" s="4" t="s">
        <v>63</v>
      </c>
      <c r="P4847" s="4" t="s">
        <v>64</v>
      </c>
    </row>
    <row r="4848">
      <c r="A4848" s="4" t="s">
        <v>7013</v>
      </c>
      <c r="B4848" s="4" t="s">
        <v>7014</v>
      </c>
      <c r="C4848" s="4">
        <v>797.0</v>
      </c>
      <c r="D4848" s="5" t="str">
        <f t="shared" ref="D4848:D4849" si="1130">HYPERLINK("https://www.linkedin.com/ad-library/detail/916792304","Open Ad")</f>
        <v>Open Ad</v>
      </c>
      <c r="E4848" s="4" t="s">
        <v>78</v>
      </c>
      <c r="F4848" s="4" t="s">
        <v>6765</v>
      </c>
      <c r="G4848" s="4" t="s">
        <v>7116</v>
      </c>
      <c r="H4848" s="4" t="s">
        <v>49</v>
      </c>
      <c r="I4848" s="4" t="s">
        <v>7016</v>
      </c>
      <c r="J4848" s="4" t="s">
        <v>78</v>
      </c>
      <c r="K4848" s="7" t="str">
        <f t="shared" ref="K4848:K4849" si="1131">HYPERLINK("https://media.licdn.com/dms/image/v2/D4E10AQFxfjR2dJkNlg/image-shrink_1280/B4EZqXj65yHoAQ-/0/1763479368316/2Lightjpg?e=2147483647&amp;v=beta&amp;t=0BZupskLHGP7TqtfAL-L-mFVlgtE8yz43mAhCvAvz8E","View Creative")</f>
        <v>View Creative</v>
      </c>
      <c r="L4848" s="4" t="s">
        <v>60</v>
      </c>
      <c r="M4848" s="4" t="s">
        <v>7013</v>
      </c>
      <c r="N4848" s="4" t="s">
        <v>7126</v>
      </c>
      <c r="O4848" s="4" t="s">
        <v>63</v>
      </c>
      <c r="P4848" s="4" t="s">
        <v>64</v>
      </c>
    </row>
    <row r="4849">
      <c r="A4849" s="4" t="s">
        <v>7013</v>
      </c>
      <c r="B4849" s="4" t="s">
        <v>7014</v>
      </c>
      <c r="C4849" s="4">
        <v>798.0</v>
      </c>
      <c r="D4849" s="5" t="str">
        <f t="shared" si="1130"/>
        <v>Open Ad</v>
      </c>
      <c r="E4849" s="4" t="s">
        <v>78</v>
      </c>
      <c r="F4849" s="4" t="s">
        <v>6765</v>
      </c>
      <c r="G4849" s="4" t="s">
        <v>7116</v>
      </c>
      <c r="H4849" s="4" t="s">
        <v>49</v>
      </c>
      <c r="I4849" s="4" t="s">
        <v>7016</v>
      </c>
      <c r="J4849" s="4" t="s">
        <v>78</v>
      </c>
      <c r="K4849" s="7" t="str">
        <f t="shared" si="1131"/>
        <v>View Creative</v>
      </c>
      <c r="L4849" s="4" t="s">
        <v>60</v>
      </c>
      <c r="M4849" s="4" t="s">
        <v>7013</v>
      </c>
      <c r="N4849" s="4" t="s">
        <v>7126</v>
      </c>
      <c r="O4849" s="4" t="s">
        <v>63</v>
      </c>
      <c r="P4849" s="4" t="s">
        <v>64</v>
      </c>
    </row>
    <row r="4850">
      <c r="A4850" s="4" t="s">
        <v>7013</v>
      </c>
      <c r="B4850" s="4" t="s">
        <v>7014</v>
      </c>
      <c r="C4850" s="4">
        <v>799.0</v>
      </c>
      <c r="D4850" s="5" t="str">
        <f t="shared" ref="D4850:D4851" si="1132">HYPERLINK("https://www.linkedin.com/ad-library/detail/916921504","Open Ad")</f>
        <v>Open Ad</v>
      </c>
      <c r="E4850" s="4" t="s">
        <v>78</v>
      </c>
      <c r="F4850" s="4" t="s">
        <v>6765</v>
      </c>
      <c r="G4850" s="4" t="s">
        <v>7125</v>
      </c>
      <c r="H4850" s="4" t="s">
        <v>49</v>
      </c>
      <c r="I4850" s="4" t="s">
        <v>7016</v>
      </c>
      <c r="J4850" s="4" t="s">
        <v>78</v>
      </c>
      <c r="K4850" s="7" t="str">
        <f t="shared" ref="K4850:K4851" si="1133">HYPERLINK("https://media.licdn.com/dms/image/v2/D4E10AQHnhFdk5erWzw/image-shrink_1280/B4EZqXl1jdHcAQ-/0/1763479870659/4Dark-1jpg?e=2147483647&amp;v=beta&amp;t=wQnFAsjwRWIR2Up9jZTNCEwfUoCUCC6kW19Coj1cMSo","View Creative")</f>
        <v>View Creative</v>
      </c>
      <c r="L4850" s="4" t="s">
        <v>60</v>
      </c>
      <c r="M4850" s="4" t="s">
        <v>7013</v>
      </c>
      <c r="N4850" s="4" t="s">
        <v>7126</v>
      </c>
      <c r="O4850" s="4" t="s">
        <v>63</v>
      </c>
      <c r="P4850" s="4" t="s">
        <v>64</v>
      </c>
    </row>
    <row r="4851">
      <c r="A4851" s="4" t="s">
        <v>7013</v>
      </c>
      <c r="B4851" s="4" t="s">
        <v>7014</v>
      </c>
      <c r="C4851" s="4">
        <v>800.0</v>
      </c>
      <c r="D4851" s="5" t="str">
        <f t="shared" si="1132"/>
        <v>Open Ad</v>
      </c>
      <c r="E4851" s="4" t="s">
        <v>78</v>
      </c>
      <c r="F4851" s="4" t="s">
        <v>6765</v>
      </c>
      <c r="G4851" s="4" t="s">
        <v>7125</v>
      </c>
      <c r="H4851" s="4" t="s">
        <v>49</v>
      </c>
      <c r="I4851" s="4" t="s">
        <v>7016</v>
      </c>
      <c r="J4851" s="4" t="s">
        <v>78</v>
      </c>
      <c r="K4851" s="7" t="str">
        <f t="shared" si="1133"/>
        <v>View Creative</v>
      </c>
      <c r="L4851" s="4" t="s">
        <v>60</v>
      </c>
      <c r="M4851" s="4" t="s">
        <v>7013</v>
      </c>
      <c r="N4851" s="4" t="s">
        <v>7126</v>
      </c>
      <c r="O4851" s="4" t="s">
        <v>63</v>
      </c>
      <c r="P4851" s="4" t="s">
        <v>64</v>
      </c>
    </row>
    <row r="4852">
      <c r="A4852" s="4" t="s">
        <v>7013</v>
      </c>
      <c r="B4852" s="4" t="s">
        <v>7014</v>
      </c>
      <c r="C4852" s="4">
        <v>801.0</v>
      </c>
      <c r="D4852" s="5" t="str">
        <f t="shared" ref="D4852:D4853" si="1134">HYPERLINK("https://www.linkedin.com/ad-library/detail/916782254","Open Ad")</f>
        <v>Open Ad</v>
      </c>
      <c r="E4852" s="4" t="s">
        <v>78</v>
      </c>
      <c r="F4852" s="4" t="s">
        <v>6765</v>
      </c>
      <c r="G4852" s="4" t="s">
        <v>7125</v>
      </c>
      <c r="H4852" s="4" t="s">
        <v>49</v>
      </c>
      <c r="I4852" s="4" t="s">
        <v>7016</v>
      </c>
      <c r="J4852" s="4" t="s">
        <v>78</v>
      </c>
      <c r="K4852" s="7" t="str">
        <f t="shared" ref="K4852:K4853" si="1135">HYPERLINK("https://media.licdn.com/dms/image/v2/D4E10AQEibW1Mbh7sqA/image-shrink_1280/B4EZqXls8NJ0AM-/0/1763479835181/4Light-1jpg?e=2147483647&amp;v=beta&amp;t=2hMSkg_WzpI0QH6KbZSxbFIXB8RwAQMadtR6L1vWDAk","View Creative")</f>
        <v>View Creative</v>
      </c>
      <c r="L4852" s="4" t="s">
        <v>60</v>
      </c>
      <c r="M4852" s="4" t="s">
        <v>7013</v>
      </c>
      <c r="N4852" s="4" t="s">
        <v>7126</v>
      </c>
      <c r="O4852" s="4" t="s">
        <v>63</v>
      </c>
      <c r="P4852" s="4" t="s">
        <v>64</v>
      </c>
    </row>
    <row r="4853">
      <c r="A4853" s="4" t="s">
        <v>7013</v>
      </c>
      <c r="B4853" s="4" t="s">
        <v>7014</v>
      </c>
      <c r="C4853" s="4">
        <v>802.0</v>
      </c>
      <c r="D4853" s="5" t="str">
        <f t="shared" si="1134"/>
        <v>Open Ad</v>
      </c>
      <c r="E4853" s="4" t="s">
        <v>78</v>
      </c>
      <c r="F4853" s="4" t="s">
        <v>6765</v>
      </c>
      <c r="G4853" s="4" t="s">
        <v>7125</v>
      </c>
      <c r="H4853" s="4" t="s">
        <v>49</v>
      </c>
      <c r="I4853" s="4" t="s">
        <v>7016</v>
      </c>
      <c r="J4853" s="4" t="s">
        <v>78</v>
      </c>
      <c r="K4853" s="7" t="str">
        <f t="shared" si="1135"/>
        <v>View Creative</v>
      </c>
      <c r="L4853" s="4" t="s">
        <v>60</v>
      </c>
      <c r="M4853" s="4" t="s">
        <v>7013</v>
      </c>
      <c r="N4853" s="4" t="s">
        <v>7126</v>
      </c>
      <c r="O4853" s="4" t="s">
        <v>63</v>
      </c>
      <c r="P4853" s="4" t="s">
        <v>64</v>
      </c>
    </row>
    <row r="4854">
      <c r="A4854" s="4" t="s">
        <v>7013</v>
      </c>
      <c r="B4854" s="4" t="s">
        <v>7014</v>
      </c>
      <c r="C4854" s="4">
        <v>803.0</v>
      </c>
      <c r="D4854" s="5" t="str">
        <f t="shared" ref="D4854:D4855" si="1136">HYPERLINK("https://www.linkedin.com/ad-library/detail/916841784","Open Ad")</f>
        <v>Open Ad</v>
      </c>
      <c r="E4854" s="4" t="s">
        <v>78</v>
      </c>
      <c r="F4854" s="4" t="s">
        <v>6765</v>
      </c>
      <c r="G4854" s="4" t="s">
        <v>7116</v>
      </c>
      <c r="H4854" s="4" t="s">
        <v>49</v>
      </c>
      <c r="I4854" s="4" t="s">
        <v>7016</v>
      </c>
      <c r="J4854" s="4" t="s">
        <v>78</v>
      </c>
      <c r="K4854" s="7" t="str">
        <f t="shared" ref="K4854:K4855" si="1137">HYPERLINK("https://media.licdn.com/dms/image/v2/D4E10AQEGBOzQY5J0Ig/image-shrink_1280/B4EZqXkFQHIIAQ-/0/1763479410773/2Darkjpg?e=2147483647&amp;v=beta&amp;t=erfq82UzNpZu5Zl5UHAnfU9yBixcEf2q-7xjAyGgUQo","View Creative")</f>
        <v>View Creative</v>
      </c>
      <c r="L4854" s="4" t="s">
        <v>60</v>
      </c>
      <c r="M4854" s="4" t="s">
        <v>7013</v>
      </c>
      <c r="N4854" s="4" t="s">
        <v>7126</v>
      </c>
      <c r="O4854" s="4" t="s">
        <v>63</v>
      </c>
      <c r="P4854" s="4" t="s">
        <v>64</v>
      </c>
    </row>
    <row r="4855">
      <c r="A4855" s="4" t="s">
        <v>7013</v>
      </c>
      <c r="B4855" s="4" t="s">
        <v>7014</v>
      </c>
      <c r="C4855" s="4">
        <v>804.0</v>
      </c>
      <c r="D4855" s="5" t="str">
        <f t="shared" si="1136"/>
        <v>Open Ad</v>
      </c>
      <c r="E4855" s="4" t="s">
        <v>78</v>
      </c>
      <c r="F4855" s="4" t="s">
        <v>6765</v>
      </c>
      <c r="G4855" s="4" t="s">
        <v>7116</v>
      </c>
      <c r="H4855" s="4" t="s">
        <v>49</v>
      </c>
      <c r="I4855" s="4" t="s">
        <v>7016</v>
      </c>
      <c r="J4855" s="4" t="s">
        <v>78</v>
      </c>
      <c r="K4855" s="7" t="str">
        <f t="shared" si="1137"/>
        <v>View Creative</v>
      </c>
      <c r="L4855" s="4" t="s">
        <v>60</v>
      </c>
      <c r="M4855" s="4" t="s">
        <v>7013</v>
      </c>
      <c r="N4855" s="4" t="s">
        <v>7126</v>
      </c>
      <c r="O4855" s="4" t="s">
        <v>63</v>
      </c>
      <c r="P4855" s="4" t="s">
        <v>64</v>
      </c>
    </row>
    <row r="4856">
      <c r="A4856" s="4" t="s">
        <v>7013</v>
      </c>
      <c r="B4856" s="4" t="s">
        <v>7014</v>
      </c>
      <c r="C4856" s="4">
        <v>805.0</v>
      </c>
      <c r="D4856" s="5" t="str">
        <f t="shared" ref="D4856:D4857" si="1138">HYPERLINK("https://www.linkedin.com/ad-library/detail/916931544","Open Ad")</f>
        <v>Open Ad</v>
      </c>
      <c r="E4856" s="4" t="s">
        <v>78</v>
      </c>
      <c r="F4856" s="4" t="s">
        <v>6765</v>
      </c>
      <c r="G4856" s="4" t="s">
        <v>7125</v>
      </c>
      <c r="H4856" s="4" t="s">
        <v>49</v>
      </c>
      <c r="I4856" s="4" t="s">
        <v>7016</v>
      </c>
      <c r="J4856" s="4" t="s">
        <v>78</v>
      </c>
      <c r="K4856" s="7" t="str">
        <f t="shared" ref="K4856:K4857" si="1139">HYPERLINK("https://media.licdn.com/dms/image/v2/D4E10AQGFN_P8WCY0jA/image-shrink_1280/B4EZqXllA6IwAQ-/0/1763479802713/3Light-1jpg?e=2147483647&amp;v=beta&amp;t=moKbMnOEBsk-2jZ7gRD3BVAse4I-Gvx4cmQbqTbU_bw","View Creative")</f>
        <v>View Creative</v>
      </c>
      <c r="L4856" s="4" t="s">
        <v>60</v>
      </c>
      <c r="M4856" s="4" t="s">
        <v>7013</v>
      </c>
      <c r="N4856" s="4" t="s">
        <v>7126</v>
      </c>
      <c r="O4856" s="4" t="s">
        <v>63</v>
      </c>
      <c r="P4856" s="4" t="s">
        <v>64</v>
      </c>
    </row>
    <row r="4857">
      <c r="A4857" s="4" t="s">
        <v>7013</v>
      </c>
      <c r="B4857" s="4" t="s">
        <v>7014</v>
      </c>
      <c r="C4857" s="4">
        <v>806.0</v>
      </c>
      <c r="D4857" s="5" t="str">
        <f t="shared" si="1138"/>
        <v>Open Ad</v>
      </c>
      <c r="E4857" s="4" t="s">
        <v>78</v>
      </c>
      <c r="F4857" s="4" t="s">
        <v>6765</v>
      </c>
      <c r="G4857" s="4" t="s">
        <v>7125</v>
      </c>
      <c r="H4857" s="4" t="s">
        <v>49</v>
      </c>
      <c r="I4857" s="4" t="s">
        <v>7016</v>
      </c>
      <c r="J4857" s="4" t="s">
        <v>78</v>
      </c>
      <c r="K4857" s="7" t="str">
        <f t="shared" si="1139"/>
        <v>View Creative</v>
      </c>
      <c r="L4857" s="4" t="s">
        <v>60</v>
      </c>
      <c r="M4857" s="4" t="s">
        <v>7013</v>
      </c>
      <c r="N4857" s="4" t="s">
        <v>7126</v>
      </c>
      <c r="O4857" s="4" t="s">
        <v>63</v>
      </c>
      <c r="P4857" s="4" t="s">
        <v>64</v>
      </c>
    </row>
    <row r="4858">
      <c r="A4858" s="4" t="s">
        <v>7013</v>
      </c>
      <c r="B4858" s="4" t="s">
        <v>7014</v>
      </c>
      <c r="C4858" s="4">
        <v>807.0</v>
      </c>
      <c r="D4858" s="5" t="str">
        <f t="shared" ref="D4858:D4859" si="1140">HYPERLINK("https://www.linkedin.com/ad-library/detail/916871704","Open Ad")</f>
        <v>Open Ad</v>
      </c>
      <c r="E4858" s="4" t="s">
        <v>78</v>
      </c>
      <c r="F4858" s="4" t="s">
        <v>6765</v>
      </c>
      <c r="G4858" s="4" t="s">
        <v>7106</v>
      </c>
      <c r="H4858" s="4" t="s">
        <v>49</v>
      </c>
      <c r="I4858" s="4" t="s">
        <v>7016</v>
      </c>
      <c r="J4858" s="4" t="s">
        <v>78</v>
      </c>
      <c r="K4858" s="7" t="str">
        <f t="shared" ref="K4858:K4859" si="1141">HYPERLINK("https://media.licdn.com/dms/image/v2/D4E10AQExlvzvwZR9Cw/image-shrink_1280/B4EZqXjO3_JgAQ-/0/1763479187977/3Dark-2jpg?e=2147483647&amp;v=beta&amp;t=hIw8-9_xZmTLDeJdkluPd0WO2TRrUEIgeIYzXYtAh1g","View Creative")</f>
        <v>View Creative</v>
      </c>
      <c r="L4858" s="4" t="s">
        <v>60</v>
      </c>
      <c r="M4858" s="4" t="s">
        <v>7013</v>
      </c>
      <c r="N4858" s="4" t="s">
        <v>7126</v>
      </c>
      <c r="O4858" s="4" t="s">
        <v>63</v>
      </c>
      <c r="P4858" s="4" t="s">
        <v>64</v>
      </c>
    </row>
    <row r="4859">
      <c r="A4859" s="4" t="s">
        <v>7013</v>
      </c>
      <c r="B4859" s="4" t="s">
        <v>7014</v>
      </c>
      <c r="C4859" s="4">
        <v>808.0</v>
      </c>
      <c r="D4859" s="5" t="str">
        <f t="shared" si="1140"/>
        <v>Open Ad</v>
      </c>
      <c r="E4859" s="4" t="s">
        <v>78</v>
      </c>
      <c r="F4859" s="4" t="s">
        <v>6765</v>
      </c>
      <c r="G4859" s="4" t="s">
        <v>7106</v>
      </c>
      <c r="H4859" s="4" t="s">
        <v>49</v>
      </c>
      <c r="I4859" s="4" t="s">
        <v>7016</v>
      </c>
      <c r="J4859" s="4" t="s">
        <v>78</v>
      </c>
      <c r="K4859" s="7" t="str">
        <f t="shared" si="1141"/>
        <v>View Creative</v>
      </c>
      <c r="L4859" s="4" t="s">
        <v>60</v>
      </c>
      <c r="M4859" s="4" t="s">
        <v>7013</v>
      </c>
      <c r="N4859" s="4" t="s">
        <v>7126</v>
      </c>
      <c r="O4859" s="4" t="s">
        <v>63</v>
      </c>
      <c r="P4859" s="4" t="s">
        <v>64</v>
      </c>
    </row>
    <row r="4860">
      <c r="A4860" s="4" t="s">
        <v>7013</v>
      </c>
      <c r="B4860" s="4" t="s">
        <v>7014</v>
      </c>
      <c r="C4860" s="4">
        <v>809.0</v>
      </c>
      <c r="D4860" s="5" t="str">
        <f t="shared" ref="D4860:D4861" si="1142">HYPERLINK("https://www.linkedin.com/ad-library/detail/916851954","Open Ad")</f>
        <v>Open Ad</v>
      </c>
      <c r="E4860" s="4" t="s">
        <v>78</v>
      </c>
      <c r="F4860" s="4" t="s">
        <v>6765</v>
      </c>
      <c r="G4860" s="4" t="s">
        <v>7125</v>
      </c>
      <c r="H4860" s="4" t="s">
        <v>49</v>
      </c>
      <c r="I4860" s="4" t="s">
        <v>7016</v>
      </c>
      <c r="J4860" s="4" t="s">
        <v>78</v>
      </c>
      <c r="K4860" s="7" t="str">
        <f t="shared" ref="K4860:K4861" si="1143">HYPERLINK("https://media.licdn.com/dms/image/v2/D4E10AQHnhFdk5erWzw/image-shrink_1280/B4EZqXl1jdHcAQ-/0/1763479870659/4Dark-1jpg?e=2147483647&amp;v=beta&amp;t=wQnFAsjwRWIR2Up9jZTNCEwfUoCUCC6kW19Coj1cMSo","View Creative")</f>
        <v>View Creative</v>
      </c>
      <c r="L4860" s="4" t="s">
        <v>60</v>
      </c>
      <c r="M4860" s="4" t="s">
        <v>7013</v>
      </c>
      <c r="N4860" s="4" t="s">
        <v>7126</v>
      </c>
      <c r="O4860" s="4" t="s">
        <v>63</v>
      </c>
      <c r="P4860" s="4" t="s">
        <v>64</v>
      </c>
    </row>
    <row r="4861">
      <c r="A4861" s="4" t="s">
        <v>7013</v>
      </c>
      <c r="B4861" s="4" t="s">
        <v>7014</v>
      </c>
      <c r="C4861" s="4">
        <v>810.0</v>
      </c>
      <c r="D4861" s="5" t="str">
        <f t="shared" si="1142"/>
        <v>Open Ad</v>
      </c>
      <c r="E4861" s="4" t="s">
        <v>78</v>
      </c>
      <c r="F4861" s="4" t="s">
        <v>6765</v>
      </c>
      <c r="G4861" s="4" t="s">
        <v>7125</v>
      </c>
      <c r="H4861" s="4" t="s">
        <v>49</v>
      </c>
      <c r="I4861" s="4" t="s">
        <v>7016</v>
      </c>
      <c r="J4861" s="4" t="s">
        <v>78</v>
      </c>
      <c r="K4861" s="7" t="str">
        <f t="shared" si="1143"/>
        <v>View Creative</v>
      </c>
      <c r="L4861" s="4" t="s">
        <v>60</v>
      </c>
      <c r="M4861" s="4" t="s">
        <v>7013</v>
      </c>
      <c r="N4861" s="4" t="s">
        <v>7126</v>
      </c>
      <c r="O4861" s="4" t="s">
        <v>63</v>
      </c>
      <c r="P4861" s="4" t="s">
        <v>64</v>
      </c>
    </row>
    <row r="4862">
      <c r="A4862" s="4" t="s">
        <v>7013</v>
      </c>
      <c r="B4862" s="4" t="s">
        <v>7014</v>
      </c>
      <c r="C4862" s="4">
        <v>811.0</v>
      </c>
      <c r="D4862" s="5" t="str">
        <f t="shared" ref="D4862:D4863" si="1144">HYPERLINK("https://www.linkedin.com/ad-library/detail/916762064","Open Ad")</f>
        <v>Open Ad</v>
      </c>
      <c r="E4862" s="4" t="s">
        <v>78</v>
      </c>
      <c r="F4862" s="4" t="s">
        <v>6765</v>
      </c>
      <c r="G4862" s="4" t="s">
        <v>7125</v>
      </c>
      <c r="H4862" s="4" t="s">
        <v>49</v>
      </c>
      <c r="I4862" s="4" t="s">
        <v>7016</v>
      </c>
      <c r="J4862" s="4" t="s">
        <v>78</v>
      </c>
      <c r="K4862" s="7" t="str">
        <f t="shared" ref="K4862:K4863" si="1145">HYPERLINK("https://media.licdn.com/dms/image/v2/D4E10AQHvWSvzkkUHcQ/image-shrink_1280/B4EZqXlCzYHoAM-/0/1763479662776/2Light-1jpg?e=2147483647&amp;v=beta&amp;t=meiHpw5G1O5OMvTpODayPLwlALLEza8pvUEsF9Ht2OY","View Creative")</f>
        <v>View Creative</v>
      </c>
      <c r="L4862" s="4" t="s">
        <v>60</v>
      </c>
      <c r="M4862" s="4" t="s">
        <v>7013</v>
      </c>
      <c r="N4862" s="4" t="s">
        <v>7126</v>
      </c>
      <c r="O4862" s="4" t="s">
        <v>63</v>
      </c>
      <c r="P4862" s="4" t="s">
        <v>64</v>
      </c>
    </row>
    <row r="4863">
      <c r="A4863" s="4" t="s">
        <v>7013</v>
      </c>
      <c r="B4863" s="4" t="s">
        <v>7014</v>
      </c>
      <c r="C4863" s="4">
        <v>812.0</v>
      </c>
      <c r="D4863" s="5" t="str">
        <f t="shared" si="1144"/>
        <v>Open Ad</v>
      </c>
      <c r="E4863" s="4" t="s">
        <v>78</v>
      </c>
      <c r="F4863" s="4" t="s">
        <v>6765</v>
      </c>
      <c r="G4863" s="4" t="s">
        <v>7125</v>
      </c>
      <c r="H4863" s="4" t="s">
        <v>49</v>
      </c>
      <c r="I4863" s="4" t="s">
        <v>7016</v>
      </c>
      <c r="J4863" s="4" t="s">
        <v>78</v>
      </c>
      <c r="K4863" s="7" t="str">
        <f t="shared" si="1145"/>
        <v>View Creative</v>
      </c>
      <c r="L4863" s="4" t="s">
        <v>60</v>
      </c>
      <c r="M4863" s="4" t="s">
        <v>7013</v>
      </c>
      <c r="N4863" s="4" t="s">
        <v>7126</v>
      </c>
      <c r="O4863" s="4" t="s">
        <v>63</v>
      </c>
      <c r="P4863" s="4" t="s">
        <v>64</v>
      </c>
    </row>
    <row r="4864">
      <c r="A4864" s="4" t="s">
        <v>7013</v>
      </c>
      <c r="B4864" s="4" t="s">
        <v>7014</v>
      </c>
      <c r="C4864" s="4">
        <v>813.0</v>
      </c>
      <c r="D4864" s="5" t="str">
        <f t="shared" ref="D4864:D4865" si="1146">HYPERLINK("https://www.linkedin.com/ad-library/detail/916891654","Open Ad")</f>
        <v>Open Ad</v>
      </c>
      <c r="E4864" s="4" t="s">
        <v>78</v>
      </c>
      <c r="F4864" s="4" t="s">
        <v>6765</v>
      </c>
      <c r="G4864" s="4" t="s">
        <v>7125</v>
      </c>
      <c r="H4864" s="4" t="s">
        <v>49</v>
      </c>
      <c r="I4864" s="4" t="s">
        <v>7016</v>
      </c>
      <c r="J4864" s="4" t="s">
        <v>78</v>
      </c>
      <c r="K4864" s="7" t="str">
        <f t="shared" ref="K4864:K4865" si="1147">HYPERLINK("https://media.licdn.com/dms/image/v2/D4E10AQFyqNp1_XAbUA/image-shrink_1280/B4EZqXlVmuKkAU-/0/1763479739753/2Dark-1jpg?e=2147483647&amp;v=beta&amp;t=iZhl9TBautCZUHYjey6WYaA0RTOMTzCLLARQ6xpquy0","View Creative")</f>
        <v>View Creative</v>
      </c>
      <c r="L4864" s="4" t="s">
        <v>60</v>
      </c>
      <c r="M4864" s="4" t="s">
        <v>7013</v>
      </c>
      <c r="N4864" s="4" t="s">
        <v>7126</v>
      </c>
      <c r="O4864" s="4" t="s">
        <v>63</v>
      </c>
      <c r="P4864" s="4" t="s">
        <v>64</v>
      </c>
    </row>
    <row r="4865">
      <c r="A4865" s="4" t="s">
        <v>7013</v>
      </c>
      <c r="B4865" s="4" t="s">
        <v>7014</v>
      </c>
      <c r="C4865" s="4">
        <v>814.0</v>
      </c>
      <c r="D4865" s="5" t="str">
        <f t="shared" si="1146"/>
        <v>Open Ad</v>
      </c>
      <c r="E4865" s="4" t="s">
        <v>78</v>
      </c>
      <c r="F4865" s="4" t="s">
        <v>6765</v>
      </c>
      <c r="G4865" s="4" t="s">
        <v>7125</v>
      </c>
      <c r="H4865" s="4" t="s">
        <v>49</v>
      </c>
      <c r="I4865" s="4" t="s">
        <v>7016</v>
      </c>
      <c r="J4865" s="4" t="s">
        <v>78</v>
      </c>
      <c r="K4865" s="7" t="str">
        <f t="shared" si="1147"/>
        <v>View Creative</v>
      </c>
      <c r="L4865" s="4" t="s">
        <v>60</v>
      </c>
      <c r="M4865" s="4" t="s">
        <v>7013</v>
      </c>
      <c r="N4865" s="4" t="s">
        <v>7126</v>
      </c>
      <c r="O4865" s="4" t="s">
        <v>63</v>
      </c>
      <c r="P4865" s="4" t="s">
        <v>64</v>
      </c>
    </row>
    <row r="4866">
      <c r="A4866" s="4" t="s">
        <v>7013</v>
      </c>
      <c r="B4866" s="4" t="s">
        <v>7014</v>
      </c>
      <c r="C4866" s="4">
        <v>815.0</v>
      </c>
      <c r="D4866" s="5" t="str">
        <f t="shared" ref="D4866:D4867" si="1148">HYPERLINK("https://www.linkedin.com/ad-library/detail/916812284","Open Ad")</f>
        <v>Open Ad</v>
      </c>
      <c r="E4866" s="4" t="s">
        <v>78</v>
      </c>
      <c r="F4866" s="4" t="s">
        <v>6765</v>
      </c>
      <c r="G4866" s="4" t="s">
        <v>7116</v>
      </c>
      <c r="H4866" s="4" t="s">
        <v>49</v>
      </c>
      <c r="I4866" s="4" t="s">
        <v>7016</v>
      </c>
      <c r="J4866" s="4" t="s">
        <v>78</v>
      </c>
      <c r="K4866" s="7" t="str">
        <f t="shared" ref="K4866:K4867" si="1149">HYPERLINK("https://media.licdn.com/dms/image/v2/D4E10AQGhh7LV9F74tQ/image-shrink_1280/B4EZqXkncJKkAM-/0/1763479550620/4Lightjpg?e=2147483647&amp;v=beta&amp;t=eoU5wfrx63QrhrkiifZxdA3k09DXN3GDOWhSCCpQXK8","View Creative")</f>
        <v>View Creative</v>
      </c>
      <c r="L4866" s="4" t="s">
        <v>60</v>
      </c>
      <c r="M4866" s="4" t="s">
        <v>7013</v>
      </c>
      <c r="N4866" s="4" t="s">
        <v>7126</v>
      </c>
      <c r="O4866" s="4" t="s">
        <v>63</v>
      </c>
      <c r="P4866" s="4" t="s">
        <v>64</v>
      </c>
    </row>
    <row r="4867">
      <c r="A4867" s="4" t="s">
        <v>7013</v>
      </c>
      <c r="B4867" s="4" t="s">
        <v>7014</v>
      </c>
      <c r="C4867" s="4">
        <v>816.0</v>
      </c>
      <c r="D4867" s="5" t="str">
        <f t="shared" si="1148"/>
        <v>Open Ad</v>
      </c>
      <c r="E4867" s="4" t="s">
        <v>78</v>
      </c>
      <c r="F4867" s="4" t="s">
        <v>6765</v>
      </c>
      <c r="G4867" s="4" t="s">
        <v>7116</v>
      </c>
      <c r="H4867" s="4" t="s">
        <v>49</v>
      </c>
      <c r="I4867" s="4" t="s">
        <v>7016</v>
      </c>
      <c r="J4867" s="4" t="s">
        <v>78</v>
      </c>
      <c r="K4867" s="7" t="str">
        <f t="shared" si="1149"/>
        <v>View Creative</v>
      </c>
      <c r="L4867" s="4" t="s">
        <v>60</v>
      </c>
      <c r="M4867" s="4" t="s">
        <v>7013</v>
      </c>
      <c r="N4867" s="4" t="s">
        <v>7126</v>
      </c>
      <c r="O4867" s="4" t="s">
        <v>63</v>
      </c>
      <c r="P4867" s="4" t="s">
        <v>64</v>
      </c>
    </row>
    <row r="4868">
      <c r="A4868" s="4" t="s">
        <v>7013</v>
      </c>
      <c r="B4868" s="4" t="s">
        <v>7014</v>
      </c>
      <c r="C4868" s="4">
        <v>817.0</v>
      </c>
      <c r="D4868" s="5" t="str">
        <f t="shared" ref="D4868:D4869" si="1150">HYPERLINK("https://www.linkedin.com/ad-library/detail/916831894","Open Ad")</f>
        <v>Open Ad</v>
      </c>
      <c r="E4868" s="4" t="s">
        <v>78</v>
      </c>
      <c r="F4868" s="4" t="s">
        <v>6765</v>
      </c>
      <c r="G4868" s="4" t="s">
        <v>7125</v>
      </c>
      <c r="H4868" s="4" t="s">
        <v>49</v>
      </c>
      <c r="I4868" s="4" t="s">
        <v>7016</v>
      </c>
      <c r="J4868" s="4" t="s">
        <v>78</v>
      </c>
      <c r="K4868" s="7" t="str">
        <f t="shared" ref="K4868:K4869" si="1151">HYPERLINK("https://media.licdn.com/dms/image/v2/D4E10AQGFN_P8WCY0jA/image-shrink_1280/B4EZqXllA6IwAQ-/0/1763479802713/3Light-1jpg?e=2147483647&amp;v=beta&amp;t=moKbMnOEBsk-2jZ7gRD3BVAse4I-Gvx4cmQbqTbU_bw","View Creative")</f>
        <v>View Creative</v>
      </c>
      <c r="L4868" s="4" t="s">
        <v>60</v>
      </c>
      <c r="M4868" s="4" t="s">
        <v>7013</v>
      </c>
      <c r="N4868" s="4" t="s">
        <v>7126</v>
      </c>
      <c r="O4868" s="4" t="s">
        <v>63</v>
      </c>
      <c r="P4868" s="4" t="s">
        <v>64</v>
      </c>
    </row>
    <row r="4869">
      <c r="A4869" s="4" t="s">
        <v>7013</v>
      </c>
      <c r="B4869" s="4" t="s">
        <v>7014</v>
      </c>
      <c r="C4869" s="4">
        <v>818.0</v>
      </c>
      <c r="D4869" s="5" t="str">
        <f t="shared" si="1150"/>
        <v>Open Ad</v>
      </c>
      <c r="E4869" s="4" t="s">
        <v>78</v>
      </c>
      <c r="F4869" s="4" t="s">
        <v>6765</v>
      </c>
      <c r="G4869" s="4" t="s">
        <v>7125</v>
      </c>
      <c r="H4869" s="4" t="s">
        <v>49</v>
      </c>
      <c r="I4869" s="4" t="s">
        <v>7016</v>
      </c>
      <c r="J4869" s="4" t="s">
        <v>78</v>
      </c>
      <c r="K4869" s="7" t="str">
        <f t="shared" si="1151"/>
        <v>View Creative</v>
      </c>
      <c r="L4869" s="4" t="s">
        <v>60</v>
      </c>
      <c r="M4869" s="4" t="s">
        <v>7013</v>
      </c>
      <c r="N4869" s="4" t="s">
        <v>7126</v>
      </c>
      <c r="O4869" s="4" t="s">
        <v>63</v>
      </c>
      <c r="P4869" s="4" t="s">
        <v>64</v>
      </c>
    </row>
    <row r="4870">
      <c r="A4870" s="4" t="s">
        <v>7013</v>
      </c>
      <c r="B4870" s="4" t="s">
        <v>7014</v>
      </c>
      <c r="C4870" s="4">
        <v>819.0</v>
      </c>
      <c r="D4870" s="5" t="str">
        <f t="shared" ref="D4870:D4871" si="1152">HYPERLINK("https://www.linkedin.com/ad-library/detail/916579454","Open Ad")</f>
        <v>Open Ad</v>
      </c>
      <c r="E4870" s="4" t="s">
        <v>121</v>
      </c>
      <c r="F4870" s="4" t="s">
        <v>6765</v>
      </c>
      <c r="G4870" s="4" t="s">
        <v>7127</v>
      </c>
      <c r="H4870" s="4" t="s">
        <v>49</v>
      </c>
      <c r="I4870" s="4" t="s">
        <v>7016</v>
      </c>
      <c r="J4870" s="4" t="s">
        <v>121</v>
      </c>
      <c r="K4870" s="7" t="str">
        <f t="shared" ref="K4870:K4871" si="1153">HYPERLINK("https://dms.licdn.com/playlist/vid/v2/D4E05AQHXginc-AXwpw/mp4-720p-30fp-crf28/B4EZqWCGqgGcCI-/0/1763453749027?e=2147483647&amp;v=beta&amp;t=I-7i6015R_o2ntcGZMZkT6SWxev8lPRyrjnmzw_W9Ys","View Creative")</f>
        <v>View Creative</v>
      </c>
      <c r="L4870" s="4" t="s">
        <v>60</v>
      </c>
      <c r="M4870" s="4" t="s">
        <v>7013</v>
      </c>
      <c r="N4870" s="4" t="s">
        <v>7118</v>
      </c>
      <c r="O4870" s="4" t="s">
        <v>63</v>
      </c>
      <c r="P4870" s="4" t="s">
        <v>64</v>
      </c>
    </row>
    <row r="4871">
      <c r="A4871" s="4" t="s">
        <v>7013</v>
      </c>
      <c r="B4871" s="4" t="s">
        <v>7014</v>
      </c>
      <c r="C4871" s="4">
        <v>820.0</v>
      </c>
      <c r="D4871" s="5" t="str">
        <f t="shared" si="1152"/>
        <v>Open Ad</v>
      </c>
      <c r="E4871" s="4" t="s">
        <v>121</v>
      </c>
      <c r="F4871" s="4" t="s">
        <v>6765</v>
      </c>
      <c r="G4871" s="4" t="s">
        <v>7127</v>
      </c>
      <c r="H4871" s="4" t="s">
        <v>49</v>
      </c>
      <c r="I4871" s="4" t="s">
        <v>7016</v>
      </c>
      <c r="J4871" s="4" t="s">
        <v>121</v>
      </c>
      <c r="K4871" s="7" t="str">
        <f t="shared" si="1153"/>
        <v>View Creative</v>
      </c>
      <c r="L4871" s="4" t="s">
        <v>60</v>
      </c>
      <c r="M4871" s="4" t="s">
        <v>7013</v>
      </c>
      <c r="N4871" s="4" t="s">
        <v>7118</v>
      </c>
      <c r="O4871" s="4" t="s">
        <v>63</v>
      </c>
      <c r="P4871" s="4" t="s">
        <v>64</v>
      </c>
    </row>
    <row r="4872">
      <c r="A4872" s="4" t="s">
        <v>7013</v>
      </c>
      <c r="B4872" s="4" t="s">
        <v>7014</v>
      </c>
      <c r="C4872" s="4">
        <v>821.0</v>
      </c>
      <c r="D4872" s="5" t="str">
        <f t="shared" ref="D4872:D4873" si="1154">HYPERLINK("https://www.linkedin.com/ad-library/detail/916861524","Open Ad")</f>
        <v>Open Ad</v>
      </c>
      <c r="E4872" s="4" t="s">
        <v>78</v>
      </c>
      <c r="F4872" s="4" t="s">
        <v>6765</v>
      </c>
      <c r="G4872" s="4" t="s">
        <v>7106</v>
      </c>
      <c r="H4872" s="4" t="s">
        <v>49</v>
      </c>
      <c r="I4872" s="4" t="s">
        <v>7016</v>
      </c>
      <c r="J4872" s="4" t="s">
        <v>78</v>
      </c>
      <c r="K4872" s="7" t="str">
        <f t="shared" ref="K4872:K4873" si="1155">HYPERLINK("https://media.licdn.com/dms/image/v2/D4E10AQHcSoWO1dYKtQ/image-shrink_1280/B4EZqXi5QAHcAQ-/0/1763479099393/2Dark-2jpg?e=2147483647&amp;v=beta&amp;t=icCzusjbqHqZBG3AQPs0VI2nQANVz543VtPBphg9iAk","View Creative")</f>
        <v>View Creative</v>
      </c>
      <c r="L4872" s="4" t="s">
        <v>60</v>
      </c>
      <c r="M4872" s="4" t="s">
        <v>7013</v>
      </c>
      <c r="N4872" s="4" t="s">
        <v>7126</v>
      </c>
      <c r="O4872" s="4" t="s">
        <v>63</v>
      </c>
      <c r="P4872" s="4" t="s">
        <v>64</v>
      </c>
    </row>
    <row r="4873">
      <c r="A4873" s="4" t="s">
        <v>7013</v>
      </c>
      <c r="B4873" s="4" t="s">
        <v>7014</v>
      </c>
      <c r="C4873" s="4">
        <v>822.0</v>
      </c>
      <c r="D4873" s="5" t="str">
        <f t="shared" si="1154"/>
        <v>Open Ad</v>
      </c>
      <c r="E4873" s="4" t="s">
        <v>78</v>
      </c>
      <c r="F4873" s="4" t="s">
        <v>6765</v>
      </c>
      <c r="G4873" s="4" t="s">
        <v>7106</v>
      </c>
      <c r="H4873" s="4" t="s">
        <v>49</v>
      </c>
      <c r="I4873" s="4" t="s">
        <v>7016</v>
      </c>
      <c r="J4873" s="4" t="s">
        <v>78</v>
      </c>
      <c r="K4873" s="7" t="str">
        <f t="shared" si="1155"/>
        <v>View Creative</v>
      </c>
      <c r="L4873" s="4" t="s">
        <v>60</v>
      </c>
      <c r="M4873" s="4" t="s">
        <v>7013</v>
      </c>
      <c r="N4873" s="4" t="s">
        <v>7126</v>
      </c>
      <c r="O4873" s="4" t="s">
        <v>63</v>
      </c>
      <c r="P4873" s="4" t="s">
        <v>64</v>
      </c>
    </row>
    <row r="4874">
      <c r="A4874" s="4" t="s">
        <v>7013</v>
      </c>
      <c r="B4874" s="4" t="s">
        <v>7014</v>
      </c>
      <c r="C4874" s="4">
        <v>823.0</v>
      </c>
      <c r="D4874" s="5" t="str">
        <f t="shared" ref="D4874:D4875" si="1156">HYPERLINK("https://www.linkedin.com/ad-library/detail/916781924","Open Ad")</f>
        <v>Open Ad</v>
      </c>
      <c r="E4874" s="4" t="s">
        <v>78</v>
      </c>
      <c r="F4874" s="4" t="s">
        <v>6765</v>
      </c>
      <c r="G4874" s="4" t="s">
        <v>7116</v>
      </c>
      <c r="H4874" s="4" t="s">
        <v>49</v>
      </c>
      <c r="I4874" s="4" t="s">
        <v>7016</v>
      </c>
      <c r="J4874" s="4" t="s">
        <v>78</v>
      </c>
      <c r="K4874" s="7" t="str">
        <f t="shared" ref="K4874:K4875" si="1157">HYPERLINK("https://media.licdn.com/dms/image/v2/D4E10AQFxfjR2dJkNlg/image-shrink_1280/B4EZqXj65yHoAQ-/0/1763479368316/2Lightjpg?e=2147483647&amp;v=beta&amp;t=0BZupskLHGP7TqtfAL-L-mFVlgtE8yz43mAhCvAvz8E","View Creative")</f>
        <v>View Creative</v>
      </c>
      <c r="L4874" s="4" t="s">
        <v>60</v>
      </c>
      <c r="M4874" s="4" t="s">
        <v>7013</v>
      </c>
      <c r="N4874" s="4" t="s">
        <v>7126</v>
      </c>
      <c r="O4874" s="4" t="s">
        <v>63</v>
      </c>
      <c r="P4874" s="4" t="s">
        <v>64</v>
      </c>
    </row>
    <row r="4875">
      <c r="A4875" s="4" t="s">
        <v>7013</v>
      </c>
      <c r="B4875" s="4" t="s">
        <v>7014</v>
      </c>
      <c r="C4875" s="4">
        <v>824.0</v>
      </c>
      <c r="D4875" s="5" t="str">
        <f t="shared" si="1156"/>
        <v>Open Ad</v>
      </c>
      <c r="E4875" s="4" t="s">
        <v>78</v>
      </c>
      <c r="F4875" s="4" t="s">
        <v>6765</v>
      </c>
      <c r="G4875" s="4" t="s">
        <v>7116</v>
      </c>
      <c r="H4875" s="4" t="s">
        <v>49</v>
      </c>
      <c r="I4875" s="4" t="s">
        <v>7016</v>
      </c>
      <c r="J4875" s="4" t="s">
        <v>78</v>
      </c>
      <c r="K4875" s="7" t="str">
        <f t="shared" si="1157"/>
        <v>View Creative</v>
      </c>
      <c r="L4875" s="4" t="s">
        <v>60</v>
      </c>
      <c r="M4875" s="4" t="s">
        <v>7013</v>
      </c>
      <c r="N4875" s="4" t="s">
        <v>7126</v>
      </c>
      <c r="O4875" s="4" t="s">
        <v>63</v>
      </c>
      <c r="P4875" s="4" t="s">
        <v>64</v>
      </c>
    </row>
    <row r="4876">
      <c r="A4876" s="4" t="s">
        <v>7013</v>
      </c>
      <c r="B4876" s="4" t="s">
        <v>7014</v>
      </c>
      <c r="C4876" s="4">
        <v>825.0</v>
      </c>
      <c r="D4876" s="5" t="str">
        <f t="shared" ref="D4876:D4877" si="1158">HYPERLINK("https://www.linkedin.com/ad-library/detail/916772264","Open Ad")</f>
        <v>Open Ad</v>
      </c>
      <c r="E4876" s="4" t="s">
        <v>78</v>
      </c>
      <c r="F4876" s="4" t="s">
        <v>6765</v>
      </c>
      <c r="G4876" s="4" t="s">
        <v>7125</v>
      </c>
      <c r="H4876" s="4" t="s">
        <v>49</v>
      </c>
      <c r="I4876" s="4" t="s">
        <v>7016</v>
      </c>
      <c r="J4876" s="4" t="s">
        <v>78</v>
      </c>
      <c r="K4876" s="7" t="str">
        <f t="shared" ref="K4876:K4877" si="1159">HYPERLINK("https://media.licdn.com/dms/image/v2/D4E10AQHvWSvzkkUHcQ/image-shrink_1280/B4EZqXlCzYHoAM-/0/1763479662776/2Light-1jpg?e=2147483647&amp;v=beta&amp;t=meiHpw5G1O5OMvTpODayPLwlALLEza8pvUEsF9Ht2OY","View Creative")</f>
        <v>View Creative</v>
      </c>
      <c r="L4876" s="4" t="s">
        <v>60</v>
      </c>
      <c r="M4876" s="4" t="s">
        <v>7013</v>
      </c>
      <c r="N4876" s="4" t="s">
        <v>7126</v>
      </c>
      <c r="O4876" s="4" t="s">
        <v>63</v>
      </c>
      <c r="P4876" s="4" t="s">
        <v>64</v>
      </c>
    </row>
    <row r="4877">
      <c r="A4877" s="4" t="s">
        <v>7013</v>
      </c>
      <c r="B4877" s="4" t="s">
        <v>7014</v>
      </c>
      <c r="C4877" s="4">
        <v>826.0</v>
      </c>
      <c r="D4877" s="5" t="str">
        <f t="shared" si="1158"/>
        <v>Open Ad</v>
      </c>
      <c r="E4877" s="4" t="s">
        <v>78</v>
      </c>
      <c r="F4877" s="4" t="s">
        <v>6765</v>
      </c>
      <c r="G4877" s="4" t="s">
        <v>7125</v>
      </c>
      <c r="H4877" s="4" t="s">
        <v>49</v>
      </c>
      <c r="I4877" s="4" t="s">
        <v>7016</v>
      </c>
      <c r="J4877" s="4" t="s">
        <v>78</v>
      </c>
      <c r="K4877" s="7" t="str">
        <f t="shared" si="1159"/>
        <v>View Creative</v>
      </c>
      <c r="L4877" s="4" t="s">
        <v>60</v>
      </c>
      <c r="M4877" s="4" t="s">
        <v>7013</v>
      </c>
      <c r="N4877" s="4" t="s">
        <v>7126</v>
      </c>
      <c r="O4877" s="4" t="s">
        <v>63</v>
      </c>
      <c r="P4877" s="4" t="s">
        <v>64</v>
      </c>
    </row>
    <row r="4878">
      <c r="A4878" s="4" t="s">
        <v>7013</v>
      </c>
      <c r="B4878" s="4" t="s">
        <v>7014</v>
      </c>
      <c r="C4878" s="4">
        <v>827.0</v>
      </c>
      <c r="D4878" s="5" t="str">
        <f t="shared" ref="D4878:D4879" si="1160">HYPERLINK("https://www.linkedin.com/ad-library/detail/916941234","Open Ad")</f>
        <v>Open Ad</v>
      </c>
      <c r="E4878" s="4" t="s">
        <v>78</v>
      </c>
      <c r="F4878" s="4" t="s">
        <v>6765</v>
      </c>
      <c r="G4878" s="4" t="s">
        <v>7116</v>
      </c>
      <c r="H4878" s="4" t="s">
        <v>49</v>
      </c>
      <c r="I4878" s="4" t="s">
        <v>7016</v>
      </c>
      <c r="J4878" s="4" t="s">
        <v>78</v>
      </c>
      <c r="K4878" s="7" t="str">
        <f t="shared" ref="K4878:K4879" si="1161">HYPERLINK("https://media.licdn.com/dms/image/v2/D4E10AQFxfjR2dJkNlg/image-shrink_1280/B4EZqXj65yHoAQ-/0/1763479368316/2Lightjpg?e=2147483647&amp;v=beta&amp;t=0BZupskLHGP7TqtfAL-L-mFVlgtE8yz43mAhCvAvz8E","View Creative")</f>
        <v>View Creative</v>
      </c>
      <c r="L4878" s="4" t="s">
        <v>60</v>
      </c>
      <c r="M4878" s="4" t="s">
        <v>7013</v>
      </c>
      <c r="N4878" s="4" t="s">
        <v>7126</v>
      </c>
      <c r="O4878" s="4" t="s">
        <v>63</v>
      </c>
      <c r="P4878" s="4" t="s">
        <v>64</v>
      </c>
    </row>
    <row r="4879">
      <c r="A4879" s="4" t="s">
        <v>7013</v>
      </c>
      <c r="B4879" s="4" t="s">
        <v>7014</v>
      </c>
      <c r="C4879" s="4">
        <v>828.0</v>
      </c>
      <c r="D4879" s="5" t="str">
        <f t="shared" si="1160"/>
        <v>Open Ad</v>
      </c>
      <c r="E4879" s="4" t="s">
        <v>78</v>
      </c>
      <c r="F4879" s="4" t="s">
        <v>6765</v>
      </c>
      <c r="G4879" s="4" t="s">
        <v>7116</v>
      </c>
      <c r="H4879" s="4" t="s">
        <v>49</v>
      </c>
      <c r="I4879" s="4" t="s">
        <v>7016</v>
      </c>
      <c r="J4879" s="4" t="s">
        <v>78</v>
      </c>
      <c r="K4879" s="7" t="str">
        <f t="shared" si="1161"/>
        <v>View Creative</v>
      </c>
      <c r="L4879" s="4" t="s">
        <v>60</v>
      </c>
      <c r="M4879" s="4" t="s">
        <v>7013</v>
      </c>
      <c r="N4879" s="4" t="s">
        <v>7126</v>
      </c>
      <c r="O4879" s="4" t="s">
        <v>63</v>
      </c>
      <c r="P4879" s="4" t="s">
        <v>64</v>
      </c>
    </row>
    <row r="4880">
      <c r="A4880" s="4" t="s">
        <v>7013</v>
      </c>
      <c r="B4880" s="4" t="s">
        <v>7014</v>
      </c>
      <c r="C4880" s="4">
        <v>829.0</v>
      </c>
      <c r="D4880" s="5" t="str">
        <f t="shared" ref="D4880:D4881" si="1162">HYPERLINK("https://www.linkedin.com/ad-library/detail/916722504","Open Ad")</f>
        <v>Open Ad</v>
      </c>
      <c r="E4880" s="4" t="s">
        <v>78</v>
      </c>
      <c r="F4880" s="4" t="s">
        <v>6765</v>
      </c>
      <c r="G4880" s="4" t="s">
        <v>7106</v>
      </c>
      <c r="H4880" s="4" t="s">
        <v>49</v>
      </c>
      <c r="I4880" s="4" t="s">
        <v>7016</v>
      </c>
      <c r="J4880" s="4" t="s">
        <v>78</v>
      </c>
      <c r="K4880" s="7" t="str">
        <f t="shared" ref="K4880:K4881" si="1163">HYPERLINK("https://media.licdn.com/dms/image/v2/D4E10AQF4bTkTRfa3uA/image-shrink_1280/B4EZqXgd47HMAM-/0/1763478462911/4Light-2jpg?e=2147483647&amp;v=beta&amp;t=uK41TOo8iHj_pufRB7IRs6CRYzq8e8v7tl4rEbNjC4k","View Creative")</f>
        <v>View Creative</v>
      </c>
      <c r="L4880" s="4" t="s">
        <v>60</v>
      </c>
      <c r="M4880" s="4" t="s">
        <v>7013</v>
      </c>
      <c r="N4880" s="4" t="s">
        <v>7126</v>
      </c>
      <c r="O4880" s="4" t="s">
        <v>63</v>
      </c>
      <c r="P4880" s="4" t="s">
        <v>64</v>
      </c>
    </row>
    <row r="4881">
      <c r="A4881" s="4" t="s">
        <v>7013</v>
      </c>
      <c r="B4881" s="4" t="s">
        <v>7014</v>
      </c>
      <c r="C4881" s="4">
        <v>830.0</v>
      </c>
      <c r="D4881" s="5" t="str">
        <f t="shared" si="1162"/>
        <v>Open Ad</v>
      </c>
      <c r="E4881" s="4" t="s">
        <v>78</v>
      </c>
      <c r="F4881" s="4" t="s">
        <v>6765</v>
      </c>
      <c r="G4881" s="4" t="s">
        <v>7106</v>
      </c>
      <c r="H4881" s="4" t="s">
        <v>49</v>
      </c>
      <c r="I4881" s="4" t="s">
        <v>7016</v>
      </c>
      <c r="J4881" s="4" t="s">
        <v>78</v>
      </c>
      <c r="K4881" s="7" t="str">
        <f t="shared" si="1163"/>
        <v>View Creative</v>
      </c>
      <c r="L4881" s="4" t="s">
        <v>60</v>
      </c>
      <c r="M4881" s="4" t="s">
        <v>7013</v>
      </c>
      <c r="N4881" s="4" t="s">
        <v>7126</v>
      </c>
      <c r="O4881" s="4" t="s">
        <v>63</v>
      </c>
      <c r="P4881" s="4" t="s">
        <v>64</v>
      </c>
    </row>
    <row r="4882">
      <c r="A4882" s="4" t="s">
        <v>7013</v>
      </c>
      <c r="B4882" s="4" t="s">
        <v>7014</v>
      </c>
      <c r="C4882" s="4">
        <v>831.0</v>
      </c>
      <c r="D4882" s="5" t="str">
        <f t="shared" ref="D4882:D4883" si="1164">HYPERLINK("https://www.linkedin.com/ad-library/detail/916722604","Open Ad")</f>
        <v>Open Ad</v>
      </c>
      <c r="E4882" s="4" t="s">
        <v>78</v>
      </c>
      <c r="F4882" s="4" t="s">
        <v>6765</v>
      </c>
      <c r="G4882" s="4" t="s">
        <v>7125</v>
      </c>
      <c r="H4882" s="4" t="s">
        <v>49</v>
      </c>
      <c r="I4882" s="4" t="s">
        <v>7016</v>
      </c>
      <c r="J4882" s="4" t="s">
        <v>78</v>
      </c>
      <c r="K4882" s="7" t="str">
        <f t="shared" ref="K4882:K4883" si="1165">HYPERLINK("https://media.licdn.com/dms/image/v2/D4E10AQEibW1Mbh7sqA/image-shrink_1280/B4EZqXls8NJ0AM-/0/1763479835181/4Light-1jpg?e=2147483647&amp;v=beta&amp;t=2hMSkg_WzpI0QH6KbZSxbFIXB8RwAQMadtR6L1vWDAk","View Creative")</f>
        <v>View Creative</v>
      </c>
      <c r="L4882" s="4" t="s">
        <v>60</v>
      </c>
      <c r="M4882" s="4" t="s">
        <v>7013</v>
      </c>
      <c r="N4882" s="4" t="s">
        <v>7126</v>
      </c>
      <c r="O4882" s="4" t="s">
        <v>63</v>
      </c>
      <c r="P4882" s="4" t="s">
        <v>64</v>
      </c>
    </row>
    <row r="4883">
      <c r="A4883" s="4" t="s">
        <v>7013</v>
      </c>
      <c r="B4883" s="4" t="s">
        <v>7014</v>
      </c>
      <c r="C4883" s="4">
        <v>832.0</v>
      </c>
      <c r="D4883" s="5" t="str">
        <f t="shared" si="1164"/>
        <v>Open Ad</v>
      </c>
      <c r="E4883" s="4" t="s">
        <v>78</v>
      </c>
      <c r="F4883" s="4" t="s">
        <v>6765</v>
      </c>
      <c r="G4883" s="4" t="s">
        <v>7125</v>
      </c>
      <c r="H4883" s="4" t="s">
        <v>49</v>
      </c>
      <c r="I4883" s="4" t="s">
        <v>7016</v>
      </c>
      <c r="J4883" s="4" t="s">
        <v>78</v>
      </c>
      <c r="K4883" s="7" t="str">
        <f t="shared" si="1165"/>
        <v>View Creative</v>
      </c>
      <c r="L4883" s="4" t="s">
        <v>60</v>
      </c>
      <c r="M4883" s="4" t="s">
        <v>7013</v>
      </c>
      <c r="N4883" s="4" t="s">
        <v>7126</v>
      </c>
      <c r="O4883" s="4" t="s">
        <v>63</v>
      </c>
      <c r="P4883" s="4" t="s">
        <v>64</v>
      </c>
    </row>
    <row r="4884">
      <c r="A4884" s="4" t="s">
        <v>7013</v>
      </c>
      <c r="B4884" s="4" t="s">
        <v>7014</v>
      </c>
      <c r="C4884" s="4">
        <v>833.0</v>
      </c>
      <c r="D4884" s="5" t="str">
        <f t="shared" ref="D4884:D4885" si="1166">HYPERLINK("https://www.linkedin.com/ad-library/detail/916771824","Open Ad")</f>
        <v>Open Ad</v>
      </c>
      <c r="E4884" s="4" t="s">
        <v>78</v>
      </c>
      <c r="F4884" s="4" t="s">
        <v>6765</v>
      </c>
      <c r="G4884" s="4" t="s">
        <v>7106</v>
      </c>
      <c r="H4884" s="4" t="s">
        <v>49</v>
      </c>
      <c r="I4884" s="4" t="s">
        <v>7016</v>
      </c>
      <c r="J4884" s="4" t="s">
        <v>78</v>
      </c>
      <c r="K4884" s="7" t="str">
        <f t="shared" ref="K4884:K4885" si="1167">HYPERLINK("https://media.licdn.com/dms/image/v2/D4E10AQENGaPDx5roqA/image-shrink_1280/B4EZqXim7FKkAM-/0/1763479024318/2Light-2jpg?e=2147483647&amp;v=beta&amp;t=DZept9KGGJUeiMjvlU1rddz-iLlsRJ0i4DTZKOx7IH4","View Creative")</f>
        <v>View Creative</v>
      </c>
      <c r="L4884" s="4" t="s">
        <v>60</v>
      </c>
      <c r="M4884" s="4" t="s">
        <v>7013</v>
      </c>
      <c r="N4884" s="4" t="s">
        <v>7126</v>
      </c>
      <c r="O4884" s="4" t="s">
        <v>63</v>
      </c>
      <c r="P4884" s="4" t="s">
        <v>64</v>
      </c>
    </row>
    <row r="4885">
      <c r="A4885" s="4" t="s">
        <v>7013</v>
      </c>
      <c r="B4885" s="4" t="s">
        <v>7014</v>
      </c>
      <c r="C4885" s="4">
        <v>834.0</v>
      </c>
      <c r="D4885" s="5" t="str">
        <f t="shared" si="1166"/>
        <v>Open Ad</v>
      </c>
      <c r="E4885" s="4" t="s">
        <v>78</v>
      </c>
      <c r="F4885" s="4" t="s">
        <v>6765</v>
      </c>
      <c r="G4885" s="4" t="s">
        <v>7106</v>
      </c>
      <c r="H4885" s="4" t="s">
        <v>49</v>
      </c>
      <c r="I4885" s="4" t="s">
        <v>7016</v>
      </c>
      <c r="J4885" s="4" t="s">
        <v>78</v>
      </c>
      <c r="K4885" s="7" t="str">
        <f t="shared" si="1167"/>
        <v>View Creative</v>
      </c>
      <c r="L4885" s="4" t="s">
        <v>60</v>
      </c>
      <c r="M4885" s="4" t="s">
        <v>7013</v>
      </c>
      <c r="N4885" s="4" t="s">
        <v>7126</v>
      </c>
      <c r="O4885" s="4" t="s">
        <v>63</v>
      </c>
      <c r="P4885" s="4" t="s">
        <v>64</v>
      </c>
    </row>
    <row r="4886">
      <c r="A4886" s="4" t="s">
        <v>7013</v>
      </c>
      <c r="B4886" s="4" t="s">
        <v>7014</v>
      </c>
      <c r="C4886" s="4">
        <v>835.0</v>
      </c>
      <c r="D4886" s="5" t="str">
        <f t="shared" ref="D4886:D4887" si="1168">HYPERLINK("https://www.linkedin.com/ad-library/detail/916831824","Open Ad")</f>
        <v>Open Ad</v>
      </c>
      <c r="E4886" s="4" t="s">
        <v>78</v>
      </c>
      <c r="F4886" s="4" t="s">
        <v>6765</v>
      </c>
      <c r="G4886" s="4" t="s">
        <v>7125</v>
      </c>
      <c r="H4886" s="4" t="s">
        <v>49</v>
      </c>
      <c r="I4886" s="4" t="s">
        <v>7016</v>
      </c>
      <c r="J4886" s="4" t="s">
        <v>78</v>
      </c>
      <c r="K4886" s="7" t="str">
        <f t="shared" ref="K4886:K4887" si="1169">HYPERLINK("https://media.licdn.com/dms/image/v2/D4E10AQHnhFdk5erWzw/image-shrink_1280/B4EZqXl1jdHcAQ-/0/1763479870659/4Dark-1jpg?e=2147483647&amp;v=beta&amp;t=wQnFAsjwRWIR2Up9jZTNCEwfUoCUCC6kW19Coj1cMSo","View Creative")</f>
        <v>View Creative</v>
      </c>
      <c r="L4886" s="4" t="s">
        <v>60</v>
      </c>
      <c r="M4886" s="4" t="s">
        <v>7013</v>
      </c>
      <c r="N4886" s="4" t="s">
        <v>7126</v>
      </c>
      <c r="O4886" s="4" t="s">
        <v>63</v>
      </c>
      <c r="P4886" s="4" t="s">
        <v>64</v>
      </c>
    </row>
    <row r="4887">
      <c r="A4887" s="4" t="s">
        <v>7013</v>
      </c>
      <c r="B4887" s="4" t="s">
        <v>7014</v>
      </c>
      <c r="C4887" s="4">
        <v>836.0</v>
      </c>
      <c r="D4887" s="5" t="str">
        <f t="shared" si="1168"/>
        <v>Open Ad</v>
      </c>
      <c r="E4887" s="4" t="s">
        <v>78</v>
      </c>
      <c r="F4887" s="4" t="s">
        <v>6765</v>
      </c>
      <c r="G4887" s="4" t="s">
        <v>7125</v>
      </c>
      <c r="H4887" s="4" t="s">
        <v>49</v>
      </c>
      <c r="I4887" s="4" t="s">
        <v>7016</v>
      </c>
      <c r="J4887" s="4" t="s">
        <v>78</v>
      </c>
      <c r="K4887" s="7" t="str">
        <f t="shared" si="1169"/>
        <v>View Creative</v>
      </c>
      <c r="L4887" s="4" t="s">
        <v>60</v>
      </c>
      <c r="M4887" s="4" t="s">
        <v>7013</v>
      </c>
      <c r="N4887" s="4" t="s">
        <v>7126</v>
      </c>
      <c r="O4887" s="4" t="s">
        <v>63</v>
      </c>
      <c r="P4887" s="4" t="s">
        <v>64</v>
      </c>
    </row>
    <row r="4888">
      <c r="A4888" s="4" t="s">
        <v>7013</v>
      </c>
      <c r="B4888" s="4" t="s">
        <v>7014</v>
      </c>
      <c r="C4888" s="4">
        <v>837.0</v>
      </c>
      <c r="D4888" s="5" t="str">
        <f t="shared" ref="D4888:D4889" si="1170">HYPERLINK("https://www.linkedin.com/ad-library/detail/916861444","Open Ad")</f>
        <v>Open Ad</v>
      </c>
      <c r="E4888" s="4" t="s">
        <v>78</v>
      </c>
      <c r="F4888" s="4" t="s">
        <v>6765</v>
      </c>
      <c r="G4888" s="4" t="s">
        <v>7116</v>
      </c>
      <c r="H4888" s="4" t="s">
        <v>49</v>
      </c>
      <c r="I4888" s="4" t="s">
        <v>7016</v>
      </c>
      <c r="J4888" s="4" t="s">
        <v>78</v>
      </c>
      <c r="K4888" s="7" t="str">
        <f t="shared" ref="K4888:K4889" si="1171">HYPERLINK("https://media.licdn.com/dms/image/v2/D4E10AQF05B5KrIYX3Q/image-shrink_1280/B4EZqXkxnNIUAQ-/0/1763479592401/4Darkjpg?e=2147483647&amp;v=beta&amp;t=lmbPcqoVC_Y-Wlew1o_6c5nMRLgnV8eb3NV3Xney0eU","View Creative")</f>
        <v>View Creative</v>
      </c>
      <c r="L4888" s="4" t="s">
        <v>60</v>
      </c>
      <c r="M4888" s="4" t="s">
        <v>7013</v>
      </c>
      <c r="N4888" s="4" t="s">
        <v>7126</v>
      </c>
      <c r="O4888" s="4" t="s">
        <v>63</v>
      </c>
      <c r="P4888" s="4" t="s">
        <v>64</v>
      </c>
    </row>
    <row r="4889">
      <c r="A4889" s="4" t="s">
        <v>7013</v>
      </c>
      <c r="B4889" s="4" t="s">
        <v>7014</v>
      </c>
      <c r="C4889" s="4">
        <v>838.0</v>
      </c>
      <c r="D4889" s="5" t="str">
        <f t="shared" si="1170"/>
        <v>Open Ad</v>
      </c>
      <c r="E4889" s="4" t="s">
        <v>78</v>
      </c>
      <c r="F4889" s="4" t="s">
        <v>6765</v>
      </c>
      <c r="G4889" s="4" t="s">
        <v>7116</v>
      </c>
      <c r="H4889" s="4" t="s">
        <v>49</v>
      </c>
      <c r="I4889" s="4" t="s">
        <v>7016</v>
      </c>
      <c r="J4889" s="4" t="s">
        <v>78</v>
      </c>
      <c r="K4889" s="7" t="str">
        <f t="shared" si="1171"/>
        <v>View Creative</v>
      </c>
      <c r="L4889" s="4" t="s">
        <v>60</v>
      </c>
      <c r="M4889" s="4" t="s">
        <v>7013</v>
      </c>
      <c r="N4889" s="4" t="s">
        <v>7126</v>
      </c>
      <c r="O4889" s="4" t="s">
        <v>63</v>
      </c>
      <c r="P4889" s="4" t="s">
        <v>64</v>
      </c>
    </row>
    <row r="4890">
      <c r="A4890" s="4" t="s">
        <v>7013</v>
      </c>
      <c r="B4890" s="4" t="s">
        <v>7014</v>
      </c>
      <c r="C4890" s="4">
        <v>839.0</v>
      </c>
      <c r="D4890" s="5" t="str">
        <f t="shared" ref="D4890:D4891" si="1172">HYPERLINK("https://www.linkedin.com/ad-library/detail/916732674","Open Ad")</f>
        <v>Open Ad</v>
      </c>
      <c r="E4890" s="4" t="s">
        <v>78</v>
      </c>
      <c r="F4890" s="4" t="s">
        <v>6765</v>
      </c>
      <c r="G4890" s="4" t="s">
        <v>7125</v>
      </c>
      <c r="H4890" s="4" t="s">
        <v>49</v>
      </c>
      <c r="I4890" s="4" t="s">
        <v>7016</v>
      </c>
      <c r="J4890" s="4" t="s">
        <v>78</v>
      </c>
      <c r="K4890" s="7" t="str">
        <f t="shared" ref="K4890:K4891" si="1173">HYPERLINK("https://media.licdn.com/dms/image/v2/D4E10AQHvWSvzkkUHcQ/image-shrink_1280/B4EZqXlCzYHoAM-/0/1763479662776/2Light-1jpg?e=2147483647&amp;v=beta&amp;t=meiHpw5G1O5OMvTpODayPLwlALLEza8pvUEsF9Ht2OY","View Creative")</f>
        <v>View Creative</v>
      </c>
      <c r="L4890" s="4" t="s">
        <v>60</v>
      </c>
      <c r="M4890" s="4" t="s">
        <v>7013</v>
      </c>
      <c r="N4890" s="4" t="s">
        <v>7126</v>
      </c>
      <c r="O4890" s="4" t="s">
        <v>63</v>
      </c>
      <c r="P4890" s="4" t="s">
        <v>64</v>
      </c>
    </row>
    <row r="4891">
      <c r="A4891" s="4" t="s">
        <v>7013</v>
      </c>
      <c r="B4891" s="4" t="s">
        <v>7014</v>
      </c>
      <c r="C4891" s="4">
        <v>840.0</v>
      </c>
      <c r="D4891" s="5" t="str">
        <f t="shared" si="1172"/>
        <v>Open Ad</v>
      </c>
      <c r="E4891" s="4" t="s">
        <v>78</v>
      </c>
      <c r="F4891" s="4" t="s">
        <v>6765</v>
      </c>
      <c r="G4891" s="4" t="s">
        <v>7125</v>
      </c>
      <c r="H4891" s="4" t="s">
        <v>49</v>
      </c>
      <c r="I4891" s="4" t="s">
        <v>7016</v>
      </c>
      <c r="J4891" s="4" t="s">
        <v>78</v>
      </c>
      <c r="K4891" s="7" t="str">
        <f t="shared" si="1173"/>
        <v>View Creative</v>
      </c>
      <c r="L4891" s="4" t="s">
        <v>60</v>
      </c>
      <c r="M4891" s="4" t="s">
        <v>7013</v>
      </c>
      <c r="N4891" s="4" t="s">
        <v>7126</v>
      </c>
      <c r="O4891" s="4" t="s">
        <v>63</v>
      </c>
      <c r="P4891" s="4" t="s">
        <v>64</v>
      </c>
    </row>
    <row r="4892">
      <c r="A4892" s="4" t="s">
        <v>7013</v>
      </c>
      <c r="B4892" s="4" t="s">
        <v>7014</v>
      </c>
      <c r="C4892" s="4">
        <v>841.0</v>
      </c>
      <c r="D4892" s="5" t="str">
        <f t="shared" ref="D4892:D4893" si="1174">HYPERLINK("https://www.linkedin.com/ad-library/detail/916871544","Open Ad")</f>
        <v>Open Ad</v>
      </c>
      <c r="E4892" s="4" t="s">
        <v>78</v>
      </c>
      <c r="F4892" s="4" t="s">
        <v>6765</v>
      </c>
      <c r="G4892" s="4" t="s">
        <v>7106</v>
      </c>
      <c r="H4892" s="4" t="s">
        <v>49</v>
      </c>
      <c r="I4892" s="4" t="s">
        <v>7016</v>
      </c>
      <c r="J4892" s="4" t="s">
        <v>78</v>
      </c>
      <c r="K4892" s="7" t="str">
        <f t="shared" ref="K4892:K4893" si="1175">HYPERLINK("https://media.licdn.com/dms/image/v2/D4E10AQGNSAIQ6QLAQA/image-shrink_1280/B4EZqXjmXGJ0AY-/0/1763479284571/4Dark-2jpg?e=2147483647&amp;v=beta&amp;t=JcZsw5Q4oi5lthxDnppFNw4twgrHMx1erlaYBtQWCPE","View Creative")</f>
        <v>View Creative</v>
      </c>
      <c r="L4892" s="4" t="s">
        <v>60</v>
      </c>
      <c r="M4892" s="4" t="s">
        <v>7013</v>
      </c>
      <c r="N4892" s="4" t="s">
        <v>7126</v>
      </c>
      <c r="O4892" s="4" t="s">
        <v>63</v>
      </c>
      <c r="P4892" s="4" t="s">
        <v>64</v>
      </c>
    </row>
    <row r="4893">
      <c r="A4893" s="4" t="s">
        <v>7013</v>
      </c>
      <c r="B4893" s="4" t="s">
        <v>7014</v>
      </c>
      <c r="C4893" s="4">
        <v>842.0</v>
      </c>
      <c r="D4893" s="5" t="str">
        <f t="shared" si="1174"/>
        <v>Open Ad</v>
      </c>
      <c r="E4893" s="4" t="s">
        <v>78</v>
      </c>
      <c r="F4893" s="4" t="s">
        <v>6765</v>
      </c>
      <c r="G4893" s="4" t="s">
        <v>7106</v>
      </c>
      <c r="H4893" s="4" t="s">
        <v>49</v>
      </c>
      <c r="I4893" s="4" t="s">
        <v>7016</v>
      </c>
      <c r="J4893" s="4" t="s">
        <v>78</v>
      </c>
      <c r="K4893" s="7" t="str">
        <f t="shared" si="1175"/>
        <v>View Creative</v>
      </c>
      <c r="L4893" s="4" t="s">
        <v>60</v>
      </c>
      <c r="M4893" s="4" t="s">
        <v>7013</v>
      </c>
      <c r="N4893" s="4" t="s">
        <v>7126</v>
      </c>
      <c r="O4893" s="4" t="s">
        <v>63</v>
      </c>
      <c r="P4893" s="4" t="s">
        <v>64</v>
      </c>
    </row>
    <row r="4894">
      <c r="A4894" s="4" t="s">
        <v>7013</v>
      </c>
      <c r="B4894" s="4" t="s">
        <v>7014</v>
      </c>
      <c r="C4894" s="4">
        <v>843.0</v>
      </c>
      <c r="D4894" s="5" t="str">
        <f t="shared" ref="D4894:D4895" si="1176">HYPERLINK("https://www.linkedin.com/ad-library/detail/916742614","Open Ad")</f>
        <v>Open Ad</v>
      </c>
      <c r="E4894" s="4" t="s">
        <v>78</v>
      </c>
      <c r="F4894" s="4" t="s">
        <v>6765</v>
      </c>
      <c r="G4894" s="4" t="s">
        <v>7106</v>
      </c>
      <c r="H4894" s="4" t="s">
        <v>49</v>
      </c>
      <c r="I4894" s="4" t="s">
        <v>7016</v>
      </c>
      <c r="J4894" s="4" t="s">
        <v>78</v>
      </c>
      <c r="K4894" s="7" t="str">
        <f t="shared" ref="K4894:K4895" si="1177">HYPERLINK("https://media.licdn.com/dms/image/v2/D4E10AQF4bTkTRfa3uA/image-shrink_1280/B4EZqXgd47HMAM-/0/1763478462911/4Light-2jpg?e=2147483647&amp;v=beta&amp;t=uK41TOo8iHj_pufRB7IRs6CRYzq8e8v7tl4rEbNjC4k","View Creative")</f>
        <v>View Creative</v>
      </c>
      <c r="L4894" s="4" t="s">
        <v>60</v>
      </c>
      <c r="M4894" s="4" t="s">
        <v>7013</v>
      </c>
      <c r="N4894" s="4" t="s">
        <v>7126</v>
      </c>
      <c r="O4894" s="4" t="s">
        <v>63</v>
      </c>
      <c r="P4894" s="4" t="s">
        <v>64</v>
      </c>
    </row>
    <row r="4895">
      <c r="A4895" s="4" t="s">
        <v>7013</v>
      </c>
      <c r="B4895" s="4" t="s">
        <v>7014</v>
      </c>
      <c r="C4895" s="4">
        <v>844.0</v>
      </c>
      <c r="D4895" s="5" t="str">
        <f t="shared" si="1176"/>
        <v>Open Ad</v>
      </c>
      <c r="E4895" s="4" t="s">
        <v>78</v>
      </c>
      <c r="F4895" s="4" t="s">
        <v>6765</v>
      </c>
      <c r="G4895" s="4" t="s">
        <v>7106</v>
      </c>
      <c r="H4895" s="4" t="s">
        <v>49</v>
      </c>
      <c r="I4895" s="4" t="s">
        <v>7016</v>
      </c>
      <c r="J4895" s="4" t="s">
        <v>78</v>
      </c>
      <c r="K4895" s="7" t="str">
        <f t="shared" si="1177"/>
        <v>View Creative</v>
      </c>
      <c r="L4895" s="4" t="s">
        <v>60</v>
      </c>
      <c r="M4895" s="4" t="s">
        <v>7013</v>
      </c>
      <c r="N4895" s="4" t="s">
        <v>7126</v>
      </c>
      <c r="O4895" s="4" t="s">
        <v>63</v>
      </c>
      <c r="P4895" s="4" t="s">
        <v>64</v>
      </c>
    </row>
    <row r="4896">
      <c r="A4896" s="4" t="s">
        <v>7013</v>
      </c>
      <c r="B4896" s="4" t="s">
        <v>7014</v>
      </c>
      <c r="C4896" s="4">
        <v>845.0</v>
      </c>
      <c r="D4896" s="5" t="str">
        <f t="shared" ref="D4896:D4897" si="1178">HYPERLINK("https://www.linkedin.com/ad-library/detail/916761924","Open Ad")</f>
        <v>Open Ad</v>
      </c>
      <c r="E4896" s="4" t="s">
        <v>78</v>
      </c>
      <c r="F4896" s="4" t="s">
        <v>6765</v>
      </c>
      <c r="G4896" s="4" t="s">
        <v>7125</v>
      </c>
      <c r="H4896" s="4" t="s">
        <v>49</v>
      </c>
      <c r="I4896" s="4" t="s">
        <v>7016</v>
      </c>
      <c r="J4896" s="4" t="s">
        <v>78</v>
      </c>
      <c r="K4896" s="7" t="str">
        <f t="shared" ref="K4896:K4897" si="1179">HYPERLINK("https://media.licdn.com/dms/image/v2/D4E10AQGFN_P8WCY0jA/image-shrink_1280/B4EZqXllA6IwAQ-/0/1763479802713/3Light-1jpg?e=2147483647&amp;v=beta&amp;t=moKbMnOEBsk-2jZ7gRD3BVAse4I-Gvx4cmQbqTbU_bw","View Creative")</f>
        <v>View Creative</v>
      </c>
      <c r="L4896" s="4" t="s">
        <v>60</v>
      </c>
      <c r="M4896" s="4" t="s">
        <v>7013</v>
      </c>
      <c r="N4896" s="4" t="s">
        <v>7126</v>
      </c>
      <c r="O4896" s="4" t="s">
        <v>63</v>
      </c>
      <c r="P4896" s="4" t="s">
        <v>64</v>
      </c>
    </row>
    <row r="4897">
      <c r="A4897" s="4" t="s">
        <v>7013</v>
      </c>
      <c r="B4897" s="4" t="s">
        <v>7014</v>
      </c>
      <c r="C4897" s="4">
        <v>846.0</v>
      </c>
      <c r="D4897" s="5" t="str">
        <f t="shared" si="1178"/>
        <v>Open Ad</v>
      </c>
      <c r="E4897" s="4" t="s">
        <v>78</v>
      </c>
      <c r="F4897" s="4" t="s">
        <v>6765</v>
      </c>
      <c r="G4897" s="4" t="s">
        <v>7125</v>
      </c>
      <c r="H4897" s="4" t="s">
        <v>49</v>
      </c>
      <c r="I4897" s="4" t="s">
        <v>7016</v>
      </c>
      <c r="J4897" s="4" t="s">
        <v>78</v>
      </c>
      <c r="K4897" s="7" t="str">
        <f t="shared" si="1179"/>
        <v>View Creative</v>
      </c>
      <c r="L4897" s="4" t="s">
        <v>60</v>
      </c>
      <c r="M4897" s="4" t="s">
        <v>7013</v>
      </c>
      <c r="N4897" s="4" t="s">
        <v>7126</v>
      </c>
      <c r="O4897" s="4" t="s">
        <v>63</v>
      </c>
      <c r="P4897" s="4" t="s">
        <v>64</v>
      </c>
    </row>
    <row r="4898">
      <c r="A4898" s="4" t="s">
        <v>7013</v>
      </c>
      <c r="B4898" s="4" t="s">
        <v>7014</v>
      </c>
      <c r="C4898" s="4">
        <v>847.0</v>
      </c>
      <c r="D4898" s="5" t="str">
        <f t="shared" ref="D4898:D4899" si="1180">HYPERLINK("https://www.linkedin.com/ad-library/detail/916851734","Open Ad")</f>
        <v>Open Ad</v>
      </c>
      <c r="E4898" s="4" t="s">
        <v>78</v>
      </c>
      <c r="F4898" s="4" t="s">
        <v>6765</v>
      </c>
      <c r="G4898" s="4" t="s">
        <v>7116</v>
      </c>
      <c r="H4898" s="4" t="s">
        <v>49</v>
      </c>
      <c r="I4898" s="4" t="s">
        <v>7016</v>
      </c>
      <c r="J4898" s="4" t="s">
        <v>78</v>
      </c>
      <c r="K4898" s="7" t="str">
        <f t="shared" ref="K4898:K4899" si="1181">HYPERLINK("https://media.licdn.com/dms/image/v2/D4E10AQGhh7LV9F74tQ/image-shrink_1280/B4EZqXkncJKkAM-/0/1763479550620/4Lightjpg?e=2147483647&amp;v=beta&amp;t=eoU5wfrx63QrhrkiifZxdA3k09DXN3GDOWhSCCpQXK8","View Creative")</f>
        <v>View Creative</v>
      </c>
      <c r="L4898" s="4" t="s">
        <v>60</v>
      </c>
      <c r="M4898" s="4" t="s">
        <v>7013</v>
      </c>
      <c r="N4898" s="4" t="s">
        <v>7126</v>
      </c>
      <c r="O4898" s="4" t="s">
        <v>63</v>
      </c>
      <c r="P4898" s="4" t="s">
        <v>64</v>
      </c>
    </row>
    <row r="4899">
      <c r="A4899" s="4" t="s">
        <v>7013</v>
      </c>
      <c r="B4899" s="4" t="s">
        <v>7014</v>
      </c>
      <c r="C4899" s="4">
        <v>848.0</v>
      </c>
      <c r="D4899" s="5" t="str">
        <f t="shared" si="1180"/>
        <v>Open Ad</v>
      </c>
      <c r="E4899" s="4" t="s">
        <v>78</v>
      </c>
      <c r="F4899" s="4" t="s">
        <v>6765</v>
      </c>
      <c r="G4899" s="4" t="s">
        <v>7116</v>
      </c>
      <c r="H4899" s="4" t="s">
        <v>49</v>
      </c>
      <c r="I4899" s="4" t="s">
        <v>7016</v>
      </c>
      <c r="J4899" s="4" t="s">
        <v>78</v>
      </c>
      <c r="K4899" s="7" t="str">
        <f t="shared" si="1181"/>
        <v>View Creative</v>
      </c>
      <c r="L4899" s="4" t="s">
        <v>60</v>
      </c>
      <c r="M4899" s="4" t="s">
        <v>7013</v>
      </c>
      <c r="N4899" s="4" t="s">
        <v>7126</v>
      </c>
      <c r="O4899" s="4" t="s">
        <v>63</v>
      </c>
      <c r="P4899" s="4" t="s">
        <v>64</v>
      </c>
    </row>
    <row r="4900">
      <c r="A4900" s="4" t="s">
        <v>7013</v>
      </c>
      <c r="B4900" s="4" t="s">
        <v>7014</v>
      </c>
      <c r="C4900" s="4">
        <v>849.0</v>
      </c>
      <c r="D4900" s="5" t="str">
        <f t="shared" ref="D4900:D4901" si="1182">HYPERLINK("https://www.linkedin.com/ad-library/detail/916821774","Open Ad")</f>
        <v>Open Ad</v>
      </c>
      <c r="E4900" s="4" t="s">
        <v>78</v>
      </c>
      <c r="F4900" s="4" t="s">
        <v>6765</v>
      </c>
      <c r="G4900" s="4" t="s">
        <v>7106</v>
      </c>
      <c r="H4900" s="4" t="s">
        <v>49</v>
      </c>
      <c r="I4900" s="4" t="s">
        <v>7016</v>
      </c>
      <c r="J4900" s="4" t="s">
        <v>78</v>
      </c>
      <c r="K4900" s="7" t="str">
        <f t="shared" ref="K4900:K4901" si="1183">HYPERLINK("https://media.licdn.com/dms/image/v2/D4E10AQHFRHPc9FWrHg/image-shrink_1280/B4EZqXjE10HoAQ-/0/1763479146737/3Light-2jpg?e=2147483647&amp;v=beta&amp;t=rZhguR_gys1_eeccCKD40rY_p2pWztc9kFpk08d6MnM","View Creative")</f>
        <v>View Creative</v>
      </c>
      <c r="L4900" s="4" t="s">
        <v>60</v>
      </c>
      <c r="M4900" s="4" t="s">
        <v>7013</v>
      </c>
      <c r="N4900" s="4" t="s">
        <v>7126</v>
      </c>
      <c r="O4900" s="4" t="s">
        <v>63</v>
      </c>
      <c r="P4900" s="4" t="s">
        <v>64</v>
      </c>
    </row>
    <row r="4901">
      <c r="A4901" s="4" t="s">
        <v>7013</v>
      </c>
      <c r="B4901" s="4" t="s">
        <v>7014</v>
      </c>
      <c r="C4901" s="4">
        <v>850.0</v>
      </c>
      <c r="D4901" s="5" t="str">
        <f t="shared" si="1182"/>
        <v>Open Ad</v>
      </c>
      <c r="E4901" s="4" t="s">
        <v>78</v>
      </c>
      <c r="F4901" s="4" t="s">
        <v>6765</v>
      </c>
      <c r="G4901" s="4" t="s">
        <v>7106</v>
      </c>
      <c r="H4901" s="4" t="s">
        <v>49</v>
      </c>
      <c r="I4901" s="4" t="s">
        <v>7016</v>
      </c>
      <c r="J4901" s="4" t="s">
        <v>78</v>
      </c>
      <c r="K4901" s="7" t="str">
        <f t="shared" si="1183"/>
        <v>View Creative</v>
      </c>
      <c r="L4901" s="4" t="s">
        <v>60</v>
      </c>
      <c r="M4901" s="4" t="s">
        <v>7013</v>
      </c>
      <c r="N4901" s="4" t="s">
        <v>7126</v>
      </c>
      <c r="O4901" s="4" t="s">
        <v>63</v>
      </c>
      <c r="P4901" s="4" t="s">
        <v>64</v>
      </c>
    </row>
    <row r="4902">
      <c r="A4902" s="4" t="s">
        <v>7013</v>
      </c>
      <c r="B4902" s="4" t="s">
        <v>7014</v>
      </c>
      <c r="C4902" s="4">
        <v>851.0</v>
      </c>
      <c r="D4902" s="5" t="str">
        <f t="shared" ref="D4902:D4903" si="1184">HYPERLINK("https://www.linkedin.com/ad-library/detail/916772094","Open Ad")</f>
        <v>Open Ad</v>
      </c>
      <c r="E4902" s="4" t="s">
        <v>78</v>
      </c>
      <c r="F4902" s="4" t="s">
        <v>6765</v>
      </c>
      <c r="G4902" s="4" t="s">
        <v>7106</v>
      </c>
      <c r="H4902" s="4" t="s">
        <v>49</v>
      </c>
      <c r="I4902" s="4" t="s">
        <v>7016</v>
      </c>
      <c r="J4902" s="4" t="s">
        <v>78</v>
      </c>
      <c r="K4902" s="7" t="str">
        <f t="shared" ref="K4902:K4903" si="1185">HYPERLINK("https://media.licdn.com/dms/image/v2/D4E10AQExlvzvwZR9Cw/image-shrink_1280/B4EZqXjO3_JgAQ-/0/1763479187977/3Dark-2jpg?e=2147483647&amp;v=beta&amp;t=hIw8-9_xZmTLDeJdkluPd0WO2TRrUEIgeIYzXYtAh1g","View Creative")</f>
        <v>View Creative</v>
      </c>
      <c r="L4902" s="4" t="s">
        <v>60</v>
      </c>
      <c r="M4902" s="4" t="s">
        <v>7013</v>
      </c>
      <c r="N4902" s="4" t="s">
        <v>7126</v>
      </c>
      <c r="O4902" s="4" t="s">
        <v>63</v>
      </c>
      <c r="P4902" s="4" t="s">
        <v>64</v>
      </c>
    </row>
    <row r="4903">
      <c r="A4903" s="4" t="s">
        <v>7013</v>
      </c>
      <c r="B4903" s="4" t="s">
        <v>7014</v>
      </c>
      <c r="C4903" s="4">
        <v>852.0</v>
      </c>
      <c r="D4903" s="5" t="str">
        <f t="shared" si="1184"/>
        <v>Open Ad</v>
      </c>
      <c r="E4903" s="4" t="s">
        <v>78</v>
      </c>
      <c r="F4903" s="4" t="s">
        <v>6765</v>
      </c>
      <c r="G4903" s="4" t="s">
        <v>7106</v>
      </c>
      <c r="H4903" s="4" t="s">
        <v>49</v>
      </c>
      <c r="I4903" s="4" t="s">
        <v>7016</v>
      </c>
      <c r="J4903" s="4" t="s">
        <v>78</v>
      </c>
      <c r="K4903" s="7" t="str">
        <f t="shared" si="1185"/>
        <v>View Creative</v>
      </c>
      <c r="L4903" s="4" t="s">
        <v>60</v>
      </c>
      <c r="M4903" s="4" t="s">
        <v>7013</v>
      </c>
      <c r="N4903" s="4" t="s">
        <v>7126</v>
      </c>
      <c r="O4903" s="4" t="s">
        <v>63</v>
      </c>
      <c r="P4903" s="4" t="s">
        <v>64</v>
      </c>
    </row>
    <row r="4904">
      <c r="A4904" s="4" t="s">
        <v>7013</v>
      </c>
      <c r="B4904" s="4" t="s">
        <v>7014</v>
      </c>
      <c r="C4904" s="4">
        <v>853.0</v>
      </c>
      <c r="D4904" s="5" t="str">
        <f t="shared" ref="D4904:D4905" si="1186">HYPERLINK("https://www.linkedin.com/ad-library/detail/916742544","Open Ad")</f>
        <v>Open Ad</v>
      </c>
      <c r="E4904" s="4" t="s">
        <v>78</v>
      </c>
      <c r="F4904" s="4" t="s">
        <v>6765</v>
      </c>
      <c r="G4904" s="4" t="s">
        <v>7116</v>
      </c>
      <c r="H4904" s="4" t="s">
        <v>49</v>
      </c>
      <c r="I4904" s="4" t="s">
        <v>7016</v>
      </c>
      <c r="J4904" s="4" t="s">
        <v>78</v>
      </c>
      <c r="K4904" s="7" t="str">
        <f t="shared" ref="K4904:K4905" si="1187">HYPERLINK("https://media.licdn.com/dms/image/v2/D4E10AQEU0w4UGxx8Ag/image-shrink_1280/B4EZqXkZXlIQAQ-/0/1763479492926/3Lightjpg?e=2147483647&amp;v=beta&amp;t=_jgwspKyqLBBvgvbnQErlUU5Db0lO5w9CIE-CNaO5CA","View Creative")</f>
        <v>View Creative</v>
      </c>
      <c r="L4904" s="4" t="s">
        <v>60</v>
      </c>
      <c r="M4904" s="4" t="s">
        <v>7013</v>
      </c>
      <c r="N4904" s="4" t="s">
        <v>7126</v>
      </c>
      <c r="O4904" s="4" t="s">
        <v>63</v>
      </c>
      <c r="P4904" s="4" t="s">
        <v>64</v>
      </c>
    </row>
    <row r="4905">
      <c r="A4905" s="4" t="s">
        <v>7013</v>
      </c>
      <c r="B4905" s="4" t="s">
        <v>7014</v>
      </c>
      <c r="C4905" s="4">
        <v>854.0</v>
      </c>
      <c r="D4905" s="5" t="str">
        <f t="shared" si="1186"/>
        <v>Open Ad</v>
      </c>
      <c r="E4905" s="4" t="s">
        <v>78</v>
      </c>
      <c r="F4905" s="4" t="s">
        <v>6765</v>
      </c>
      <c r="G4905" s="4" t="s">
        <v>7116</v>
      </c>
      <c r="H4905" s="4" t="s">
        <v>49</v>
      </c>
      <c r="I4905" s="4" t="s">
        <v>7016</v>
      </c>
      <c r="J4905" s="4" t="s">
        <v>78</v>
      </c>
      <c r="K4905" s="7" t="str">
        <f t="shared" si="1187"/>
        <v>View Creative</v>
      </c>
      <c r="L4905" s="4" t="s">
        <v>60</v>
      </c>
      <c r="M4905" s="4" t="s">
        <v>7013</v>
      </c>
      <c r="N4905" s="4" t="s">
        <v>7126</v>
      </c>
      <c r="O4905" s="4" t="s">
        <v>63</v>
      </c>
      <c r="P4905" s="4" t="s">
        <v>64</v>
      </c>
    </row>
    <row r="4906">
      <c r="A4906" s="4" t="s">
        <v>7013</v>
      </c>
      <c r="B4906" s="4" t="s">
        <v>7014</v>
      </c>
      <c r="C4906" s="4">
        <v>855.0</v>
      </c>
      <c r="D4906" s="5" t="str">
        <f t="shared" ref="D4906:D4907" si="1188">HYPERLINK("https://www.linkedin.com/ad-library/detail/916851654","Open Ad")</f>
        <v>Open Ad</v>
      </c>
      <c r="E4906" s="4" t="s">
        <v>78</v>
      </c>
      <c r="F4906" s="4" t="s">
        <v>6765</v>
      </c>
      <c r="G4906" s="4" t="s">
        <v>7106</v>
      </c>
      <c r="H4906" s="4" t="s">
        <v>49</v>
      </c>
      <c r="I4906" s="4" t="s">
        <v>7016</v>
      </c>
      <c r="J4906" s="4" t="s">
        <v>78</v>
      </c>
      <c r="K4906" s="7" t="str">
        <f t="shared" ref="K4906:K4907" si="1189">HYPERLINK("https://media.licdn.com/dms/image/v2/D4E10AQHcSoWO1dYKtQ/image-shrink_1280/B4EZqXi5QAHcAQ-/0/1763479099393/2Dark-2jpg?e=2147483647&amp;v=beta&amp;t=icCzusjbqHqZBG3AQPs0VI2nQANVz543VtPBphg9iAk","View Creative")</f>
        <v>View Creative</v>
      </c>
      <c r="L4906" s="4" t="s">
        <v>60</v>
      </c>
      <c r="M4906" s="4" t="s">
        <v>7013</v>
      </c>
      <c r="N4906" s="4" t="s">
        <v>7126</v>
      </c>
      <c r="O4906" s="4" t="s">
        <v>63</v>
      </c>
      <c r="P4906" s="4" t="s">
        <v>64</v>
      </c>
    </row>
    <row r="4907">
      <c r="A4907" s="4" t="s">
        <v>7013</v>
      </c>
      <c r="B4907" s="4" t="s">
        <v>7014</v>
      </c>
      <c r="C4907" s="4">
        <v>856.0</v>
      </c>
      <c r="D4907" s="5" t="str">
        <f t="shared" si="1188"/>
        <v>Open Ad</v>
      </c>
      <c r="E4907" s="4" t="s">
        <v>78</v>
      </c>
      <c r="F4907" s="4" t="s">
        <v>6765</v>
      </c>
      <c r="G4907" s="4" t="s">
        <v>7106</v>
      </c>
      <c r="H4907" s="4" t="s">
        <v>49</v>
      </c>
      <c r="I4907" s="4" t="s">
        <v>7016</v>
      </c>
      <c r="J4907" s="4" t="s">
        <v>78</v>
      </c>
      <c r="K4907" s="7" t="str">
        <f t="shared" si="1189"/>
        <v>View Creative</v>
      </c>
      <c r="L4907" s="4" t="s">
        <v>60</v>
      </c>
      <c r="M4907" s="4" t="s">
        <v>7013</v>
      </c>
      <c r="N4907" s="4" t="s">
        <v>7126</v>
      </c>
      <c r="O4907" s="4" t="s">
        <v>63</v>
      </c>
      <c r="P4907" s="4" t="s">
        <v>64</v>
      </c>
    </row>
    <row r="4908">
      <c r="A4908" s="4" t="s">
        <v>7013</v>
      </c>
      <c r="B4908" s="4" t="s">
        <v>7014</v>
      </c>
      <c r="C4908" s="4">
        <v>857.0</v>
      </c>
      <c r="D4908" s="5" t="str">
        <f t="shared" ref="D4908:D4909" si="1190">HYPERLINK("https://www.linkedin.com/ad-library/detail/916841714","Open Ad")</f>
        <v>Open Ad</v>
      </c>
      <c r="E4908" s="4" t="s">
        <v>78</v>
      </c>
      <c r="F4908" s="4" t="s">
        <v>6765</v>
      </c>
      <c r="G4908" s="4" t="s">
        <v>7116</v>
      </c>
      <c r="H4908" s="4" t="s">
        <v>49</v>
      </c>
      <c r="I4908" s="4" t="s">
        <v>7016</v>
      </c>
      <c r="J4908" s="4" t="s">
        <v>78</v>
      </c>
      <c r="K4908" s="7" t="str">
        <f t="shared" ref="K4908:K4909" si="1191">HYPERLINK("https://media.licdn.com/dms/image/v2/D4E10AQEGBOzQY5J0Ig/image-shrink_1280/B4EZqXkFQHIIAQ-/0/1763479410773/2Darkjpg?e=2147483647&amp;v=beta&amp;t=erfq82UzNpZu5Zl5UHAnfU9yBixcEf2q-7xjAyGgUQo","View Creative")</f>
        <v>View Creative</v>
      </c>
      <c r="L4908" s="4" t="s">
        <v>60</v>
      </c>
      <c r="M4908" s="4" t="s">
        <v>7013</v>
      </c>
      <c r="N4908" s="4" t="s">
        <v>7126</v>
      </c>
      <c r="O4908" s="4" t="s">
        <v>63</v>
      </c>
      <c r="P4908" s="4" t="s">
        <v>64</v>
      </c>
    </row>
    <row r="4909">
      <c r="A4909" s="4" t="s">
        <v>7013</v>
      </c>
      <c r="B4909" s="4" t="s">
        <v>7014</v>
      </c>
      <c r="C4909" s="4">
        <v>858.0</v>
      </c>
      <c r="D4909" s="5" t="str">
        <f t="shared" si="1190"/>
        <v>Open Ad</v>
      </c>
      <c r="E4909" s="4" t="s">
        <v>78</v>
      </c>
      <c r="F4909" s="4" t="s">
        <v>6765</v>
      </c>
      <c r="G4909" s="4" t="s">
        <v>7116</v>
      </c>
      <c r="H4909" s="4" t="s">
        <v>49</v>
      </c>
      <c r="I4909" s="4" t="s">
        <v>7016</v>
      </c>
      <c r="J4909" s="4" t="s">
        <v>78</v>
      </c>
      <c r="K4909" s="7" t="str">
        <f t="shared" si="1191"/>
        <v>View Creative</v>
      </c>
      <c r="L4909" s="4" t="s">
        <v>60</v>
      </c>
      <c r="M4909" s="4" t="s">
        <v>7013</v>
      </c>
      <c r="N4909" s="4" t="s">
        <v>7126</v>
      </c>
      <c r="O4909" s="4" t="s">
        <v>63</v>
      </c>
      <c r="P4909" s="4" t="s">
        <v>64</v>
      </c>
    </row>
    <row r="4910">
      <c r="A4910" s="4" t="s">
        <v>7013</v>
      </c>
      <c r="B4910" s="4" t="s">
        <v>7014</v>
      </c>
      <c r="C4910" s="4">
        <v>859.0</v>
      </c>
      <c r="D4910" s="5" t="str">
        <f t="shared" ref="D4910:D4911" si="1192">HYPERLINK("https://www.linkedin.com/ad-library/detail/916821924","Open Ad")</f>
        <v>Open Ad</v>
      </c>
      <c r="E4910" s="4" t="s">
        <v>78</v>
      </c>
      <c r="F4910" s="4" t="s">
        <v>6765</v>
      </c>
      <c r="G4910" s="4" t="s">
        <v>7106</v>
      </c>
      <c r="H4910" s="4" t="s">
        <v>49</v>
      </c>
      <c r="I4910" s="4" t="s">
        <v>7016</v>
      </c>
      <c r="J4910" s="4" t="s">
        <v>78</v>
      </c>
      <c r="K4910" s="7" t="str">
        <f t="shared" ref="K4910:K4911" si="1193">HYPERLINK("https://media.licdn.com/dms/image/v2/D4E10AQHFRHPc9FWrHg/image-shrink_1280/B4EZqXjE10HoAQ-/0/1763479146737/3Light-2jpg?e=2147483647&amp;v=beta&amp;t=rZhguR_gys1_eeccCKD40rY_p2pWztc9kFpk08d6MnM","View Creative")</f>
        <v>View Creative</v>
      </c>
      <c r="L4910" s="4" t="s">
        <v>60</v>
      </c>
      <c r="M4910" s="4" t="s">
        <v>7013</v>
      </c>
      <c r="N4910" s="4" t="s">
        <v>7126</v>
      </c>
      <c r="O4910" s="4" t="s">
        <v>63</v>
      </c>
      <c r="P4910" s="4" t="s">
        <v>64</v>
      </c>
    </row>
    <row r="4911">
      <c r="A4911" s="4" t="s">
        <v>7013</v>
      </c>
      <c r="B4911" s="4" t="s">
        <v>7014</v>
      </c>
      <c r="C4911" s="4">
        <v>860.0</v>
      </c>
      <c r="D4911" s="5" t="str">
        <f t="shared" si="1192"/>
        <v>Open Ad</v>
      </c>
      <c r="E4911" s="4" t="s">
        <v>78</v>
      </c>
      <c r="F4911" s="4" t="s">
        <v>6765</v>
      </c>
      <c r="G4911" s="4" t="s">
        <v>7106</v>
      </c>
      <c r="H4911" s="4" t="s">
        <v>49</v>
      </c>
      <c r="I4911" s="4" t="s">
        <v>7016</v>
      </c>
      <c r="J4911" s="4" t="s">
        <v>78</v>
      </c>
      <c r="K4911" s="7" t="str">
        <f t="shared" si="1193"/>
        <v>View Creative</v>
      </c>
      <c r="L4911" s="4" t="s">
        <v>60</v>
      </c>
      <c r="M4911" s="4" t="s">
        <v>7013</v>
      </c>
      <c r="N4911" s="4" t="s">
        <v>7126</v>
      </c>
      <c r="O4911" s="4" t="s">
        <v>63</v>
      </c>
      <c r="P4911" s="4" t="s">
        <v>64</v>
      </c>
    </row>
    <row r="4912">
      <c r="A4912" s="4" t="s">
        <v>7013</v>
      </c>
      <c r="B4912" s="4" t="s">
        <v>7014</v>
      </c>
      <c r="C4912" s="4">
        <v>861.0</v>
      </c>
      <c r="D4912" s="5" t="str">
        <f t="shared" ref="D4912:D4913" si="1194">HYPERLINK("https://www.linkedin.com/ad-library/detail/916891434","Open Ad")</f>
        <v>Open Ad</v>
      </c>
      <c r="E4912" s="4" t="s">
        <v>78</v>
      </c>
      <c r="F4912" s="4" t="s">
        <v>6765</v>
      </c>
      <c r="G4912" s="4" t="s">
        <v>7125</v>
      </c>
      <c r="H4912" s="4" t="s">
        <v>49</v>
      </c>
      <c r="I4912" s="4" t="s">
        <v>7016</v>
      </c>
      <c r="J4912" s="4" t="s">
        <v>78</v>
      </c>
      <c r="K4912" s="7" t="str">
        <f t="shared" ref="K4912:K4913" si="1195">HYPERLINK("https://media.licdn.com/dms/image/v2/D4E10AQG-5ahZNFJ0Qw/image-shrink_1280/B4EZqXlcw9J0AQ-/0/1763479769117/3Dark-1jpg?e=2147483647&amp;v=beta&amp;t=4-8BXjQk2Kp5K6WaUT9S6iuqFLEfdncrDe1XCFFXnhA","View Creative")</f>
        <v>View Creative</v>
      </c>
      <c r="L4912" s="4" t="s">
        <v>60</v>
      </c>
      <c r="M4912" s="4" t="s">
        <v>7013</v>
      </c>
      <c r="N4912" s="4" t="s">
        <v>7126</v>
      </c>
      <c r="O4912" s="4" t="s">
        <v>63</v>
      </c>
      <c r="P4912" s="4" t="s">
        <v>64</v>
      </c>
    </row>
    <row r="4913">
      <c r="A4913" s="4" t="s">
        <v>7013</v>
      </c>
      <c r="B4913" s="4" t="s">
        <v>7014</v>
      </c>
      <c r="C4913" s="4">
        <v>862.0</v>
      </c>
      <c r="D4913" s="5" t="str">
        <f t="shared" si="1194"/>
        <v>Open Ad</v>
      </c>
      <c r="E4913" s="4" t="s">
        <v>78</v>
      </c>
      <c r="F4913" s="4" t="s">
        <v>6765</v>
      </c>
      <c r="G4913" s="4" t="s">
        <v>7125</v>
      </c>
      <c r="H4913" s="4" t="s">
        <v>49</v>
      </c>
      <c r="I4913" s="4" t="s">
        <v>7016</v>
      </c>
      <c r="J4913" s="4" t="s">
        <v>78</v>
      </c>
      <c r="K4913" s="7" t="str">
        <f t="shared" si="1195"/>
        <v>View Creative</v>
      </c>
      <c r="L4913" s="4" t="s">
        <v>60</v>
      </c>
      <c r="M4913" s="4" t="s">
        <v>7013</v>
      </c>
      <c r="N4913" s="4" t="s">
        <v>7126</v>
      </c>
      <c r="O4913" s="4" t="s">
        <v>63</v>
      </c>
      <c r="P4913" s="4" t="s">
        <v>64</v>
      </c>
    </row>
    <row r="4914">
      <c r="A4914" s="4" t="s">
        <v>7013</v>
      </c>
      <c r="B4914" s="4" t="s">
        <v>7014</v>
      </c>
      <c r="C4914" s="4">
        <v>863.0</v>
      </c>
      <c r="D4914" s="5" t="str">
        <f t="shared" ref="D4914:D4915" si="1196">HYPERLINK("https://www.linkedin.com/ad-library/detail/916761884","Open Ad")</f>
        <v>Open Ad</v>
      </c>
      <c r="E4914" s="4" t="s">
        <v>78</v>
      </c>
      <c r="F4914" s="4" t="s">
        <v>6765</v>
      </c>
      <c r="G4914" s="4" t="s">
        <v>7116</v>
      </c>
      <c r="H4914" s="4" t="s">
        <v>49</v>
      </c>
      <c r="I4914" s="4" t="s">
        <v>7016</v>
      </c>
      <c r="J4914" s="4" t="s">
        <v>78</v>
      </c>
      <c r="K4914" s="7" t="str">
        <f t="shared" ref="K4914:K4915" si="1197">HYPERLINK("https://media.licdn.com/dms/image/v2/D4E10AQF45XRPTXtW5A/image-shrink_1280/B4EZqXhpz1GcAM-/0/1763478773949/3Darkjpg?e=2147483647&amp;v=beta&amp;t=4YvB4IIPTWmlveIYFlgySSG_pCTzhVNDBwJvzRQ8cLk","View Creative")</f>
        <v>View Creative</v>
      </c>
      <c r="L4914" s="4" t="s">
        <v>60</v>
      </c>
      <c r="M4914" s="4" t="s">
        <v>7013</v>
      </c>
      <c r="N4914" s="4" t="s">
        <v>7126</v>
      </c>
      <c r="O4914" s="4" t="s">
        <v>63</v>
      </c>
      <c r="P4914" s="4" t="s">
        <v>64</v>
      </c>
    </row>
    <row r="4915">
      <c r="A4915" s="4" t="s">
        <v>7013</v>
      </c>
      <c r="B4915" s="4" t="s">
        <v>7014</v>
      </c>
      <c r="C4915" s="4">
        <v>864.0</v>
      </c>
      <c r="D4915" s="5" t="str">
        <f t="shared" si="1196"/>
        <v>Open Ad</v>
      </c>
      <c r="E4915" s="4" t="s">
        <v>78</v>
      </c>
      <c r="F4915" s="4" t="s">
        <v>6765</v>
      </c>
      <c r="G4915" s="4" t="s">
        <v>7116</v>
      </c>
      <c r="H4915" s="4" t="s">
        <v>49</v>
      </c>
      <c r="I4915" s="4" t="s">
        <v>7016</v>
      </c>
      <c r="J4915" s="4" t="s">
        <v>78</v>
      </c>
      <c r="K4915" s="7" t="str">
        <f t="shared" si="1197"/>
        <v>View Creative</v>
      </c>
      <c r="L4915" s="4" t="s">
        <v>60</v>
      </c>
      <c r="M4915" s="4" t="s">
        <v>7013</v>
      </c>
      <c r="N4915" s="4" t="s">
        <v>7126</v>
      </c>
      <c r="O4915" s="4" t="s">
        <v>63</v>
      </c>
      <c r="P4915" s="4" t="s">
        <v>64</v>
      </c>
    </row>
    <row r="4916">
      <c r="A4916" s="4" t="s">
        <v>7013</v>
      </c>
      <c r="B4916" s="4" t="s">
        <v>7014</v>
      </c>
      <c r="C4916" s="4">
        <v>865.0</v>
      </c>
      <c r="D4916" s="5" t="str">
        <f t="shared" ref="D4916:D4917" si="1198">HYPERLINK("https://www.linkedin.com/ad-library/detail/913325454","Open Ad")</f>
        <v>Open Ad</v>
      </c>
      <c r="E4916" s="4" t="s">
        <v>78</v>
      </c>
      <c r="F4916" s="4" t="s">
        <v>6765</v>
      </c>
      <c r="G4916" s="4" t="s">
        <v>7116</v>
      </c>
      <c r="H4916" s="4" t="s">
        <v>49</v>
      </c>
      <c r="I4916" s="4" t="s">
        <v>7016</v>
      </c>
      <c r="J4916" s="4" t="s">
        <v>78</v>
      </c>
      <c r="K4916" s="7" t="str">
        <f t="shared" ref="K4916:K4917" si="1199">HYPERLINK("https://media.licdn.com/dms/image/v2/D4E10AQFvKvCCCsOtdQ/image-shrink_1280/B4EZqC.6_vKgAM-/0/1763134124978/03_DarkMode_BlackFriday_2025?e=2147483647&amp;v=beta&amp;t=nrK_vpHeevxb-24dY9crEv__P_SJKfxN51Ug_PIU1mY","View Creative")</f>
        <v>View Creative</v>
      </c>
      <c r="L4916" s="4" t="s">
        <v>60</v>
      </c>
      <c r="M4916" s="4" t="s">
        <v>7013</v>
      </c>
      <c r="N4916" s="4"/>
      <c r="O4916" s="4" t="s">
        <v>63</v>
      </c>
      <c r="P4916" s="4" t="s">
        <v>64</v>
      </c>
    </row>
    <row r="4917">
      <c r="A4917" s="4" t="s">
        <v>7013</v>
      </c>
      <c r="B4917" s="4" t="s">
        <v>7014</v>
      </c>
      <c r="C4917" s="4">
        <v>866.0</v>
      </c>
      <c r="D4917" s="5" t="str">
        <f t="shared" si="1198"/>
        <v>Open Ad</v>
      </c>
      <c r="E4917" s="4" t="s">
        <v>78</v>
      </c>
      <c r="F4917" s="4" t="s">
        <v>6765</v>
      </c>
      <c r="G4917" s="4" t="s">
        <v>7116</v>
      </c>
      <c r="H4917" s="4" t="s">
        <v>49</v>
      </c>
      <c r="I4917" s="4" t="s">
        <v>7016</v>
      </c>
      <c r="J4917" s="4" t="s">
        <v>78</v>
      </c>
      <c r="K4917" s="7" t="str">
        <f t="shared" si="1199"/>
        <v>View Creative</v>
      </c>
      <c r="L4917" s="4" t="s">
        <v>60</v>
      </c>
      <c r="M4917" s="4" t="s">
        <v>7013</v>
      </c>
      <c r="N4917" s="4"/>
      <c r="O4917" s="4" t="s">
        <v>63</v>
      </c>
      <c r="P4917" s="4" t="s">
        <v>64</v>
      </c>
    </row>
    <row r="4918">
      <c r="A4918" s="4" t="s">
        <v>7013</v>
      </c>
      <c r="B4918" s="4" t="s">
        <v>7014</v>
      </c>
      <c r="C4918" s="4">
        <v>867.0</v>
      </c>
      <c r="D4918" s="5" t="str">
        <f t="shared" ref="D4918:D4919" si="1200">HYPERLINK("https://www.linkedin.com/ad-library/detail/913295614","Open Ad")</f>
        <v>Open Ad</v>
      </c>
      <c r="E4918" s="4" t="s">
        <v>78</v>
      </c>
      <c r="F4918" s="4" t="s">
        <v>6765</v>
      </c>
      <c r="G4918" s="4" t="s">
        <v>7106</v>
      </c>
      <c r="H4918" s="4" t="s">
        <v>49</v>
      </c>
      <c r="I4918" s="4" t="s">
        <v>7016</v>
      </c>
      <c r="J4918" s="4" t="s">
        <v>78</v>
      </c>
      <c r="K4918" s="7" t="str">
        <f t="shared" ref="K4918:K4919" si="1201">HYPERLINK("https://media.licdn.com/dms/image/v2/D4E10AQEKGerJblQZtQ/image-shrink_1280/B4EZqC4qbTHgAM-/0/1763132484063/01_LightMode_BF_2025?e=2147483647&amp;v=beta&amp;t=BYRBuTv9G2TDFiwenmckUQPfsShbEby7_m0ZQnM1TMQ","View Creative")</f>
        <v>View Creative</v>
      </c>
      <c r="L4918" s="4" t="s">
        <v>60</v>
      </c>
      <c r="M4918" s="4" t="s">
        <v>7013</v>
      </c>
      <c r="N4918" s="4"/>
      <c r="O4918" s="4" t="s">
        <v>63</v>
      </c>
      <c r="P4918" s="4" t="s">
        <v>64</v>
      </c>
    </row>
    <row r="4919">
      <c r="A4919" s="4" t="s">
        <v>7013</v>
      </c>
      <c r="B4919" s="4" t="s">
        <v>7014</v>
      </c>
      <c r="C4919" s="4">
        <v>868.0</v>
      </c>
      <c r="D4919" s="5" t="str">
        <f t="shared" si="1200"/>
        <v>Open Ad</v>
      </c>
      <c r="E4919" s="4" t="s">
        <v>78</v>
      </c>
      <c r="F4919" s="4" t="s">
        <v>6765</v>
      </c>
      <c r="G4919" s="4" t="s">
        <v>7106</v>
      </c>
      <c r="H4919" s="4" t="s">
        <v>49</v>
      </c>
      <c r="I4919" s="4" t="s">
        <v>7016</v>
      </c>
      <c r="J4919" s="4" t="s">
        <v>78</v>
      </c>
      <c r="K4919" s="7" t="str">
        <f t="shared" si="1201"/>
        <v>View Creative</v>
      </c>
      <c r="L4919" s="4" t="s">
        <v>60</v>
      </c>
      <c r="M4919" s="4" t="s">
        <v>7013</v>
      </c>
      <c r="N4919" s="4"/>
      <c r="O4919" s="4" t="s">
        <v>63</v>
      </c>
      <c r="P4919" s="4" t="s">
        <v>64</v>
      </c>
    </row>
    <row r="4920">
      <c r="A4920" s="4" t="s">
        <v>7013</v>
      </c>
      <c r="B4920" s="4" t="s">
        <v>7014</v>
      </c>
      <c r="C4920" s="4">
        <v>869.0</v>
      </c>
      <c r="D4920" s="5" t="str">
        <f t="shared" ref="D4920:D4921" si="1202">HYPERLINK("https://www.linkedin.com/ad-library/detail/913295624","Open Ad")</f>
        <v>Open Ad</v>
      </c>
      <c r="E4920" s="4" t="s">
        <v>78</v>
      </c>
      <c r="F4920" s="4" t="s">
        <v>6765</v>
      </c>
      <c r="G4920" s="4" t="s">
        <v>7116</v>
      </c>
      <c r="H4920" s="4" t="s">
        <v>49</v>
      </c>
      <c r="I4920" s="4" t="s">
        <v>7016</v>
      </c>
      <c r="J4920" s="4" t="s">
        <v>78</v>
      </c>
      <c r="K4920" s="7" t="str">
        <f t="shared" ref="K4920:K4921" si="1203">HYPERLINK("https://media.licdn.com/dms/image/v2/D4E10AQH4KbJnron-hg/image-shrink_1280/B4EZqC5azGIoAQ-/0/1763132682276/03_LightMode_BF_2025?e=2147483647&amp;v=beta&amp;t=2fD2NHgMBWscabGamUhK9kIggk9EgVdJ7at1LyNyAdY","View Creative")</f>
        <v>View Creative</v>
      </c>
      <c r="L4920" s="4" t="s">
        <v>60</v>
      </c>
      <c r="M4920" s="4" t="s">
        <v>7013</v>
      </c>
      <c r="N4920" s="4"/>
      <c r="O4920" s="4" t="s">
        <v>63</v>
      </c>
      <c r="P4920" s="4" t="s">
        <v>64</v>
      </c>
    </row>
    <row r="4921">
      <c r="A4921" s="4" t="s">
        <v>7013</v>
      </c>
      <c r="B4921" s="4" t="s">
        <v>7014</v>
      </c>
      <c r="C4921" s="4">
        <v>870.0</v>
      </c>
      <c r="D4921" s="5" t="str">
        <f t="shared" si="1202"/>
        <v>Open Ad</v>
      </c>
      <c r="E4921" s="4" t="s">
        <v>78</v>
      </c>
      <c r="F4921" s="4" t="s">
        <v>6765</v>
      </c>
      <c r="G4921" s="4" t="s">
        <v>7116</v>
      </c>
      <c r="H4921" s="4" t="s">
        <v>49</v>
      </c>
      <c r="I4921" s="4" t="s">
        <v>7016</v>
      </c>
      <c r="J4921" s="4" t="s">
        <v>78</v>
      </c>
      <c r="K4921" s="7" t="str">
        <f t="shared" si="1203"/>
        <v>View Creative</v>
      </c>
      <c r="L4921" s="4" t="s">
        <v>60</v>
      </c>
      <c r="M4921" s="4" t="s">
        <v>7013</v>
      </c>
      <c r="N4921" s="4"/>
      <c r="O4921" s="4" t="s">
        <v>63</v>
      </c>
      <c r="P4921" s="4" t="s">
        <v>64</v>
      </c>
    </row>
    <row r="4922">
      <c r="A4922" s="4" t="s">
        <v>7013</v>
      </c>
      <c r="B4922" s="4" t="s">
        <v>7014</v>
      </c>
      <c r="C4922" s="4">
        <v>871.0</v>
      </c>
      <c r="D4922" s="5" t="str">
        <f t="shared" ref="D4922:D4923" si="1204">HYPERLINK("https://www.linkedin.com/ad-library/detail/913384634","Open Ad")</f>
        <v>Open Ad</v>
      </c>
      <c r="E4922" s="4" t="s">
        <v>78</v>
      </c>
      <c r="F4922" s="4" t="s">
        <v>6765</v>
      </c>
      <c r="G4922" s="4" t="s">
        <v>7128</v>
      </c>
      <c r="H4922" s="4" t="s">
        <v>49</v>
      </c>
      <c r="I4922" s="4" t="s">
        <v>7016</v>
      </c>
      <c r="J4922" s="4" t="s">
        <v>78</v>
      </c>
      <c r="K4922" s="7" t="str">
        <f t="shared" ref="K4922:K4923" si="1205">HYPERLINK("https://media.licdn.com/dms/image/v2/D4E10AQH5LV07JtBuaQ/image-shrink_1280/B4EZqC6R8nKMAQ-/0/1763132908157/04_Image_LightMode_BF_2025?e=2147483647&amp;v=beta&amp;t=0LIBL9DELBXLrwDrF_u1qNBjgAc35mM-OPOwvdYz4ds","View Creative")</f>
        <v>View Creative</v>
      </c>
      <c r="L4922" s="4" t="s">
        <v>60</v>
      </c>
      <c r="M4922" s="4" t="s">
        <v>7013</v>
      </c>
      <c r="N4922" s="4"/>
      <c r="O4922" s="4" t="s">
        <v>63</v>
      </c>
      <c r="P4922" s="4" t="s">
        <v>64</v>
      </c>
    </row>
    <row r="4923">
      <c r="A4923" s="4" t="s">
        <v>7013</v>
      </c>
      <c r="B4923" s="4" t="s">
        <v>7014</v>
      </c>
      <c r="C4923" s="4">
        <v>872.0</v>
      </c>
      <c r="D4923" s="5" t="str">
        <f t="shared" si="1204"/>
        <v>Open Ad</v>
      </c>
      <c r="E4923" s="4" t="s">
        <v>78</v>
      </c>
      <c r="F4923" s="4" t="s">
        <v>6765</v>
      </c>
      <c r="G4923" s="4" t="s">
        <v>7128</v>
      </c>
      <c r="H4923" s="4" t="s">
        <v>49</v>
      </c>
      <c r="I4923" s="4" t="s">
        <v>7016</v>
      </c>
      <c r="J4923" s="4" t="s">
        <v>78</v>
      </c>
      <c r="K4923" s="7" t="str">
        <f t="shared" si="1205"/>
        <v>View Creative</v>
      </c>
      <c r="L4923" s="4" t="s">
        <v>60</v>
      </c>
      <c r="M4923" s="4" t="s">
        <v>7013</v>
      </c>
      <c r="N4923" s="4"/>
      <c r="O4923" s="4" t="s">
        <v>63</v>
      </c>
      <c r="P4923" s="4" t="s">
        <v>64</v>
      </c>
    </row>
    <row r="4924">
      <c r="A4924" s="4" t="s">
        <v>7013</v>
      </c>
      <c r="B4924" s="4" t="s">
        <v>7014</v>
      </c>
      <c r="C4924" s="4">
        <v>873.0</v>
      </c>
      <c r="D4924" s="5" t="str">
        <f t="shared" ref="D4924:D4925" si="1206">HYPERLINK("https://www.linkedin.com/ad-library/detail/913404474","Open Ad")</f>
        <v>Open Ad</v>
      </c>
      <c r="E4924" s="4" t="s">
        <v>78</v>
      </c>
      <c r="F4924" s="4" t="s">
        <v>6765</v>
      </c>
      <c r="G4924" s="4" t="s">
        <v>7128</v>
      </c>
      <c r="H4924" s="4" t="s">
        <v>49</v>
      </c>
      <c r="I4924" s="4" t="s">
        <v>7016</v>
      </c>
      <c r="J4924" s="4" t="s">
        <v>78</v>
      </c>
      <c r="K4924" s="7" t="str">
        <f t="shared" ref="K4924:K4925" si="1207">HYPERLINK("https://media.licdn.com/dms/image/v2/D4E10AQHNqKZuZJ-Kcw/image-shrink_1280/B4EZqC_GxQJgAM-/0/1763134173013/04_DarkMode_BlackFriday_2025?e=2147483647&amp;v=beta&amp;t=98YDnUQABZ9RILH9tTs1mPH8w_5i4cDy_RtMAaJfCGE","View Creative")</f>
        <v>View Creative</v>
      </c>
      <c r="L4924" s="4" t="s">
        <v>60</v>
      </c>
      <c r="M4924" s="4" t="s">
        <v>7013</v>
      </c>
      <c r="N4924" s="4"/>
      <c r="O4924" s="4" t="s">
        <v>63</v>
      </c>
      <c r="P4924" s="4" t="s">
        <v>64</v>
      </c>
    </row>
    <row r="4925">
      <c r="A4925" s="4" t="s">
        <v>7013</v>
      </c>
      <c r="B4925" s="4" t="s">
        <v>7014</v>
      </c>
      <c r="C4925" s="4">
        <v>874.0</v>
      </c>
      <c r="D4925" s="5" t="str">
        <f t="shared" si="1206"/>
        <v>Open Ad</v>
      </c>
      <c r="E4925" s="4" t="s">
        <v>78</v>
      </c>
      <c r="F4925" s="4" t="s">
        <v>6765</v>
      </c>
      <c r="G4925" s="4" t="s">
        <v>7128</v>
      </c>
      <c r="H4925" s="4" t="s">
        <v>49</v>
      </c>
      <c r="I4925" s="4" t="s">
        <v>7016</v>
      </c>
      <c r="J4925" s="4" t="s">
        <v>78</v>
      </c>
      <c r="K4925" s="7" t="str">
        <f t="shared" si="1207"/>
        <v>View Creative</v>
      </c>
      <c r="L4925" s="4" t="s">
        <v>60</v>
      </c>
      <c r="M4925" s="4" t="s">
        <v>7013</v>
      </c>
      <c r="N4925" s="4"/>
      <c r="O4925" s="4" t="s">
        <v>63</v>
      </c>
      <c r="P4925" s="4" t="s">
        <v>64</v>
      </c>
    </row>
    <row r="4926">
      <c r="A4926" s="4" t="s">
        <v>7013</v>
      </c>
      <c r="B4926" s="4" t="s">
        <v>7014</v>
      </c>
      <c r="C4926" s="4">
        <v>875.0</v>
      </c>
      <c r="D4926" s="5" t="str">
        <f t="shared" ref="D4926:D4927" si="1208">HYPERLINK("https://www.linkedin.com/ad-library/detail/913315824","Open Ad")</f>
        <v>Open Ad</v>
      </c>
      <c r="E4926" s="4" t="s">
        <v>78</v>
      </c>
      <c r="F4926" s="4" t="s">
        <v>6765</v>
      </c>
      <c r="G4926" s="4" t="s">
        <v>7128</v>
      </c>
      <c r="H4926" s="4" t="s">
        <v>49</v>
      </c>
      <c r="I4926" s="4" t="s">
        <v>7016</v>
      </c>
      <c r="J4926" s="4" t="s">
        <v>78</v>
      </c>
      <c r="K4926" s="7" t="str">
        <f t="shared" ref="K4926:K4927" si="1209">HYPERLINK("https://media.licdn.com/dms/image/v2/D4E10AQH5LV07JtBuaQ/image-shrink_1280/B4EZqC6R8nKMAQ-/0/1763132908157/04_Image_LightMode_BF_2025?e=2147483647&amp;v=beta&amp;t=0LIBL9DELBXLrwDrF_u1qNBjgAc35mM-OPOwvdYz4ds","View Creative")</f>
        <v>View Creative</v>
      </c>
      <c r="L4926" s="4" t="s">
        <v>60</v>
      </c>
      <c r="M4926" s="4" t="s">
        <v>7013</v>
      </c>
      <c r="N4926" s="4"/>
      <c r="O4926" s="4" t="s">
        <v>63</v>
      </c>
      <c r="P4926" s="4" t="s">
        <v>64</v>
      </c>
    </row>
    <row r="4927">
      <c r="A4927" s="4" t="s">
        <v>7013</v>
      </c>
      <c r="B4927" s="4" t="s">
        <v>7014</v>
      </c>
      <c r="C4927" s="4">
        <v>876.0</v>
      </c>
      <c r="D4927" s="5" t="str">
        <f t="shared" si="1208"/>
        <v>Open Ad</v>
      </c>
      <c r="E4927" s="4" t="s">
        <v>78</v>
      </c>
      <c r="F4927" s="4" t="s">
        <v>6765</v>
      </c>
      <c r="G4927" s="4" t="s">
        <v>7128</v>
      </c>
      <c r="H4927" s="4" t="s">
        <v>49</v>
      </c>
      <c r="I4927" s="4" t="s">
        <v>7016</v>
      </c>
      <c r="J4927" s="4" t="s">
        <v>78</v>
      </c>
      <c r="K4927" s="7" t="str">
        <f t="shared" si="1209"/>
        <v>View Creative</v>
      </c>
      <c r="L4927" s="4" t="s">
        <v>60</v>
      </c>
      <c r="M4927" s="4" t="s">
        <v>7013</v>
      </c>
      <c r="N4927" s="4"/>
      <c r="O4927" s="4" t="s">
        <v>63</v>
      </c>
      <c r="P4927" s="4" t="s">
        <v>64</v>
      </c>
    </row>
    <row r="4928">
      <c r="A4928" s="4" t="s">
        <v>7013</v>
      </c>
      <c r="B4928" s="4" t="s">
        <v>7014</v>
      </c>
      <c r="C4928" s="4">
        <v>877.0</v>
      </c>
      <c r="D4928" s="5" t="str">
        <f t="shared" ref="D4928:D4929" si="1210">HYPERLINK("https://www.linkedin.com/ad-library/detail/913404434","Open Ad")</f>
        <v>Open Ad</v>
      </c>
      <c r="E4928" s="4" t="s">
        <v>78</v>
      </c>
      <c r="F4928" s="4" t="s">
        <v>6765</v>
      </c>
      <c r="G4928" s="4" t="s">
        <v>7106</v>
      </c>
      <c r="H4928" s="4" t="s">
        <v>49</v>
      </c>
      <c r="I4928" s="4" t="s">
        <v>7016</v>
      </c>
      <c r="J4928" s="4" t="s">
        <v>78</v>
      </c>
      <c r="K4928" s="7" t="str">
        <f t="shared" ref="K4928:K4929" si="1211">HYPERLINK("https://media.licdn.com/dms/image/v2/D4E10AQFexWlh0MX-gA/image-shrink_1280/B4EZqC_cRHKcAM-/0/1763134261281/01_DarkMode_BlackFriday_2025?e=2147483647&amp;v=beta&amp;t=uSZ5rrxoO0HNeiPSoheV2lqfeveTwcg1El6k2WfkDAM","View Creative")</f>
        <v>View Creative</v>
      </c>
      <c r="L4928" s="4" t="s">
        <v>60</v>
      </c>
      <c r="M4928" s="4" t="s">
        <v>7013</v>
      </c>
      <c r="N4928" s="4" t="s">
        <v>7129</v>
      </c>
      <c r="O4928" s="4" t="s">
        <v>63</v>
      </c>
      <c r="P4928" s="4" t="s">
        <v>64</v>
      </c>
    </row>
    <row r="4929">
      <c r="A4929" s="4" t="s">
        <v>7013</v>
      </c>
      <c r="B4929" s="4" t="s">
        <v>7014</v>
      </c>
      <c r="C4929" s="4">
        <v>878.0</v>
      </c>
      <c r="D4929" s="5" t="str">
        <f t="shared" si="1210"/>
        <v>Open Ad</v>
      </c>
      <c r="E4929" s="4" t="s">
        <v>78</v>
      </c>
      <c r="F4929" s="4" t="s">
        <v>6765</v>
      </c>
      <c r="G4929" s="4" t="s">
        <v>7106</v>
      </c>
      <c r="H4929" s="4" t="s">
        <v>49</v>
      </c>
      <c r="I4929" s="4" t="s">
        <v>7016</v>
      </c>
      <c r="J4929" s="4" t="s">
        <v>78</v>
      </c>
      <c r="K4929" s="7" t="str">
        <f t="shared" si="1211"/>
        <v>View Creative</v>
      </c>
      <c r="L4929" s="4" t="s">
        <v>60</v>
      </c>
      <c r="M4929" s="4" t="s">
        <v>7013</v>
      </c>
      <c r="N4929" s="4" t="s">
        <v>7129</v>
      </c>
      <c r="O4929" s="4" t="s">
        <v>63</v>
      </c>
      <c r="P4929" s="4" t="s">
        <v>64</v>
      </c>
    </row>
    <row r="4930">
      <c r="A4930" s="4" t="s">
        <v>7013</v>
      </c>
      <c r="B4930" s="4" t="s">
        <v>7014</v>
      </c>
      <c r="C4930" s="4">
        <v>879.0</v>
      </c>
      <c r="D4930" s="5" t="str">
        <f t="shared" ref="D4930:D4931" si="1212">HYPERLINK("https://www.linkedin.com/ad-library/detail/913444004","Open Ad")</f>
        <v>Open Ad</v>
      </c>
      <c r="E4930" s="4" t="s">
        <v>78</v>
      </c>
      <c r="F4930" s="4" t="s">
        <v>6765</v>
      </c>
      <c r="G4930" s="4" t="s">
        <v>7125</v>
      </c>
      <c r="H4930" s="4" t="s">
        <v>49</v>
      </c>
      <c r="I4930" s="4" t="s">
        <v>7016</v>
      </c>
      <c r="J4930" s="4" t="s">
        <v>78</v>
      </c>
      <c r="K4930" s="7" t="str">
        <f t="shared" ref="K4930:K4931" si="1213">HYPERLINK("https://media.licdn.com/dms/image/v2/D4E10AQGCEicWihyXBg/image-shrink_1280/B4EZqC_RgBKcAM-/0/1763134217156/02_DarkMode_BlackFriday_2025?e=2147483647&amp;v=beta&amp;t=DWqHNXUw-Qvi6BwVitajcVLKefJKn0rH1xGu0yHXy6I","View Creative")</f>
        <v>View Creative</v>
      </c>
      <c r="L4930" s="4" t="s">
        <v>60</v>
      </c>
      <c r="M4930" s="4" t="s">
        <v>7013</v>
      </c>
      <c r="N4930" s="4"/>
      <c r="O4930" s="4" t="s">
        <v>63</v>
      </c>
      <c r="P4930" s="4" t="s">
        <v>64</v>
      </c>
    </row>
    <row r="4931">
      <c r="A4931" s="4" t="s">
        <v>7013</v>
      </c>
      <c r="B4931" s="4" t="s">
        <v>7014</v>
      </c>
      <c r="C4931" s="4">
        <v>880.0</v>
      </c>
      <c r="D4931" s="5" t="str">
        <f t="shared" si="1212"/>
        <v>Open Ad</v>
      </c>
      <c r="E4931" s="4" t="s">
        <v>78</v>
      </c>
      <c r="F4931" s="4" t="s">
        <v>6765</v>
      </c>
      <c r="G4931" s="4" t="s">
        <v>7125</v>
      </c>
      <c r="H4931" s="4" t="s">
        <v>49</v>
      </c>
      <c r="I4931" s="4" t="s">
        <v>7016</v>
      </c>
      <c r="J4931" s="4" t="s">
        <v>78</v>
      </c>
      <c r="K4931" s="7" t="str">
        <f t="shared" si="1213"/>
        <v>View Creative</v>
      </c>
      <c r="L4931" s="4" t="s">
        <v>60</v>
      </c>
      <c r="M4931" s="4" t="s">
        <v>7013</v>
      </c>
      <c r="N4931" s="4"/>
      <c r="O4931" s="4" t="s">
        <v>63</v>
      </c>
      <c r="P4931" s="4" t="s">
        <v>64</v>
      </c>
    </row>
    <row r="4932">
      <c r="A4932" s="4" t="s">
        <v>7013</v>
      </c>
      <c r="B4932" s="4" t="s">
        <v>7014</v>
      </c>
      <c r="C4932" s="4">
        <v>881.0</v>
      </c>
      <c r="D4932" s="5" t="str">
        <f t="shared" ref="D4932:D4933" si="1214">HYPERLINK("https://www.linkedin.com/ad-library/detail/913443984","Open Ad")</f>
        <v>Open Ad</v>
      </c>
      <c r="E4932" s="4" t="s">
        <v>78</v>
      </c>
      <c r="F4932" s="4" t="s">
        <v>6765</v>
      </c>
      <c r="G4932" s="4" t="s">
        <v>7106</v>
      </c>
      <c r="H4932" s="4" t="s">
        <v>49</v>
      </c>
      <c r="I4932" s="4" t="s">
        <v>7016</v>
      </c>
      <c r="J4932" s="4" t="s">
        <v>78</v>
      </c>
      <c r="K4932" s="7" t="str">
        <f t="shared" ref="K4932:K4933" si="1215">HYPERLINK("https://media.licdn.com/dms/image/v2/D4E10AQFexWlh0MX-gA/image-shrink_1280/B4EZqC_cRHKcAM-/0/1763134261281/01_DarkMode_BlackFriday_2025?e=2147483647&amp;v=beta&amp;t=uSZ5rrxoO0HNeiPSoheV2lqfeveTwcg1El6k2WfkDAM","View Creative")</f>
        <v>View Creative</v>
      </c>
      <c r="L4932" s="4" t="s">
        <v>60</v>
      </c>
      <c r="M4932" s="4" t="s">
        <v>7013</v>
      </c>
      <c r="N4932" s="4"/>
      <c r="O4932" s="4" t="s">
        <v>63</v>
      </c>
      <c r="P4932" s="4" t="s">
        <v>64</v>
      </c>
    </row>
    <row r="4933">
      <c r="A4933" s="4" t="s">
        <v>7013</v>
      </c>
      <c r="B4933" s="4" t="s">
        <v>7014</v>
      </c>
      <c r="C4933" s="4">
        <v>882.0</v>
      </c>
      <c r="D4933" s="5" t="str">
        <f t="shared" si="1214"/>
        <v>Open Ad</v>
      </c>
      <c r="E4933" s="4" t="s">
        <v>78</v>
      </c>
      <c r="F4933" s="4" t="s">
        <v>6765</v>
      </c>
      <c r="G4933" s="4" t="s">
        <v>7106</v>
      </c>
      <c r="H4933" s="4" t="s">
        <v>49</v>
      </c>
      <c r="I4933" s="4" t="s">
        <v>7016</v>
      </c>
      <c r="J4933" s="4" t="s">
        <v>78</v>
      </c>
      <c r="K4933" s="7" t="str">
        <f t="shared" si="1215"/>
        <v>View Creative</v>
      </c>
      <c r="L4933" s="4" t="s">
        <v>60</v>
      </c>
      <c r="M4933" s="4" t="s">
        <v>7013</v>
      </c>
      <c r="N4933" s="4"/>
      <c r="O4933" s="4" t="s">
        <v>63</v>
      </c>
      <c r="P4933" s="4" t="s">
        <v>64</v>
      </c>
    </row>
    <row r="4934">
      <c r="A4934" s="4" t="s">
        <v>7013</v>
      </c>
      <c r="B4934" s="4" t="s">
        <v>7014</v>
      </c>
      <c r="C4934" s="4">
        <v>883.0</v>
      </c>
      <c r="D4934" s="5" t="str">
        <f t="shared" ref="D4934:D4935" si="1216">HYPERLINK("https://www.linkedin.com/ad-library/detail/913473444","Open Ad")</f>
        <v>Open Ad</v>
      </c>
      <c r="E4934" s="4" t="s">
        <v>78</v>
      </c>
      <c r="F4934" s="4" t="s">
        <v>6765</v>
      </c>
      <c r="G4934" s="4" t="s">
        <v>7128</v>
      </c>
      <c r="H4934" s="4" t="s">
        <v>49</v>
      </c>
      <c r="I4934" s="4" t="s">
        <v>7016</v>
      </c>
      <c r="J4934" s="4" t="s">
        <v>78</v>
      </c>
      <c r="K4934" s="7" t="str">
        <f t="shared" ref="K4934:K4935" si="1217">HYPERLINK("https://media.licdn.com/dms/image/v2/D4E10AQH5LV07JtBuaQ/image-shrink_1280/B4EZqC6R8nKMAQ-/0/1763132908157/04_Image_LightMode_BF_2025?e=2147483647&amp;v=beta&amp;t=0LIBL9DELBXLrwDrF_u1qNBjgAc35mM-OPOwvdYz4ds","View Creative")</f>
        <v>View Creative</v>
      </c>
      <c r="L4934" s="4" t="s">
        <v>60</v>
      </c>
      <c r="M4934" s="4" t="s">
        <v>7013</v>
      </c>
      <c r="N4934" s="4" t="s">
        <v>7129</v>
      </c>
      <c r="O4934" s="4" t="s">
        <v>63</v>
      </c>
      <c r="P4934" s="4" t="s">
        <v>64</v>
      </c>
    </row>
    <row r="4935">
      <c r="A4935" s="4" t="s">
        <v>7013</v>
      </c>
      <c r="B4935" s="4" t="s">
        <v>7014</v>
      </c>
      <c r="C4935" s="4">
        <v>884.0</v>
      </c>
      <c r="D4935" s="5" t="str">
        <f t="shared" si="1216"/>
        <v>Open Ad</v>
      </c>
      <c r="E4935" s="4" t="s">
        <v>78</v>
      </c>
      <c r="F4935" s="4" t="s">
        <v>6765</v>
      </c>
      <c r="G4935" s="4" t="s">
        <v>7128</v>
      </c>
      <c r="H4935" s="4" t="s">
        <v>49</v>
      </c>
      <c r="I4935" s="4" t="s">
        <v>7016</v>
      </c>
      <c r="J4935" s="4" t="s">
        <v>78</v>
      </c>
      <c r="K4935" s="7" t="str">
        <f t="shared" si="1217"/>
        <v>View Creative</v>
      </c>
      <c r="L4935" s="4" t="s">
        <v>60</v>
      </c>
      <c r="M4935" s="4" t="s">
        <v>7013</v>
      </c>
      <c r="N4935" s="4" t="s">
        <v>7129</v>
      </c>
      <c r="O4935" s="4" t="s">
        <v>63</v>
      </c>
      <c r="P4935" s="4" t="s">
        <v>64</v>
      </c>
    </row>
    <row r="4936">
      <c r="A4936" s="4" t="s">
        <v>7013</v>
      </c>
      <c r="B4936" s="4" t="s">
        <v>7014</v>
      </c>
      <c r="C4936" s="4">
        <v>885.0</v>
      </c>
      <c r="D4936" s="5" t="str">
        <f t="shared" ref="D4936:D4937" si="1218">HYPERLINK("https://www.linkedin.com/ad-library/detail/913394844","Open Ad")</f>
        <v>Open Ad</v>
      </c>
      <c r="E4936" s="4" t="s">
        <v>78</v>
      </c>
      <c r="F4936" s="4" t="s">
        <v>6765</v>
      </c>
      <c r="G4936" s="4" t="s">
        <v>7125</v>
      </c>
      <c r="H4936" s="4" t="s">
        <v>49</v>
      </c>
      <c r="I4936" s="4" t="s">
        <v>7016</v>
      </c>
      <c r="J4936" s="4" t="s">
        <v>78</v>
      </c>
      <c r="K4936" s="7" t="str">
        <f t="shared" ref="K4936:K4937" si="1219">HYPERLINK("https://media.licdn.com/dms/image/v2/D4E10AQExygu8AmuOmw/image-shrink_1280/B4EZqC5GOmGUAM-/0/1763132598114/02_LightMode_BF_2025?e=2147483647&amp;v=beta&amp;t=huCdzTSSBLgvS1PKW4ETHCc_90K74NHn2-dpejqxOG8","View Creative")</f>
        <v>View Creative</v>
      </c>
      <c r="L4936" s="4" t="s">
        <v>60</v>
      </c>
      <c r="M4936" s="4" t="s">
        <v>7013</v>
      </c>
      <c r="N4936" s="4"/>
      <c r="O4936" s="4" t="s">
        <v>63</v>
      </c>
      <c r="P4936" s="4" t="s">
        <v>64</v>
      </c>
    </row>
    <row r="4937">
      <c r="A4937" s="4" t="s">
        <v>7013</v>
      </c>
      <c r="B4937" s="4" t="s">
        <v>7014</v>
      </c>
      <c r="C4937" s="4">
        <v>886.0</v>
      </c>
      <c r="D4937" s="5" t="str">
        <f t="shared" si="1218"/>
        <v>Open Ad</v>
      </c>
      <c r="E4937" s="4" t="s">
        <v>78</v>
      </c>
      <c r="F4937" s="4" t="s">
        <v>6765</v>
      </c>
      <c r="G4937" s="4" t="s">
        <v>7125</v>
      </c>
      <c r="H4937" s="4" t="s">
        <v>49</v>
      </c>
      <c r="I4937" s="4" t="s">
        <v>7016</v>
      </c>
      <c r="J4937" s="4" t="s">
        <v>78</v>
      </c>
      <c r="K4937" s="7" t="str">
        <f t="shared" si="1219"/>
        <v>View Creative</v>
      </c>
      <c r="L4937" s="4" t="s">
        <v>60</v>
      </c>
      <c r="M4937" s="4" t="s">
        <v>7013</v>
      </c>
      <c r="N4937" s="4"/>
      <c r="O4937" s="4" t="s">
        <v>63</v>
      </c>
      <c r="P4937" s="4" t="s">
        <v>64</v>
      </c>
    </row>
    <row r="4938">
      <c r="A4938" s="4" t="s">
        <v>7013</v>
      </c>
      <c r="B4938" s="4" t="s">
        <v>7014</v>
      </c>
      <c r="C4938" s="4">
        <v>887.0</v>
      </c>
      <c r="D4938" s="5" t="str">
        <f t="shared" ref="D4938:D4939" si="1220">HYPERLINK("https://www.linkedin.com/ad-library/detail/913473434","Open Ad")</f>
        <v>Open Ad</v>
      </c>
      <c r="E4938" s="4" t="s">
        <v>78</v>
      </c>
      <c r="F4938" s="4" t="s">
        <v>6765</v>
      </c>
      <c r="G4938" s="4" t="s">
        <v>7106</v>
      </c>
      <c r="H4938" s="4" t="s">
        <v>49</v>
      </c>
      <c r="I4938" s="4" t="s">
        <v>7016</v>
      </c>
      <c r="J4938" s="4" t="s">
        <v>78</v>
      </c>
      <c r="K4938" s="7" t="str">
        <f t="shared" ref="K4938:K4939" si="1221">HYPERLINK("https://media.licdn.com/dms/image/v2/D4E10AQEKGerJblQZtQ/image-shrink_1280/B4EZqC4qbTHgAM-/0/1763132484063/01_LightMode_BF_2025?e=2147483647&amp;v=beta&amp;t=BYRBuTv9G2TDFiwenmckUQPfsShbEby7_m0ZQnM1TMQ","View Creative")</f>
        <v>View Creative</v>
      </c>
      <c r="L4938" s="4" t="s">
        <v>60</v>
      </c>
      <c r="M4938" s="4" t="s">
        <v>7013</v>
      </c>
      <c r="N4938" s="4" t="s">
        <v>7129</v>
      </c>
      <c r="O4938" s="4" t="s">
        <v>63</v>
      </c>
      <c r="P4938" s="4" t="s">
        <v>64</v>
      </c>
    </row>
    <row r="4939">
      <c r="A4939" s="4" t="s">
        <v>7013</v>
      </c>
      <c r="B4939" s="4" t="s">
        <v>7014</v>
      </c>
      <c r="C4939" s="4">
        <v>888.0</v>
      </c>
      <c r="D4939" s="5" t="str">
        <f t="shared" si="1220"/>
        <v>Open Ad</v>
      </c>
      <c r="E4939" s="4" t="s">
        <v>78</v>
      </c>
      <c r="F4939" s="4" t="s">
        <v>6765</v>
      </c>
      <c r="G4939" s="4" t="s">
        <v>7106</v>
      </c>
      <c r="H4939" s="4" t="s">
        <v>49</v>
      </c>
      <c r="I4939" s="4" t="s">
        <v>7016</v>
      </c>
      <c r="J4939" s="4" t="s">
        <v>78</v>
      </c>
      <c r="K4939" s="7" t="str">
        <f t="shared" si="1221"/>
        <v>View Creative</v>
      </c>
      <c r="L4939" s="4" t="s">
        <v>60</v>
      </c>
      <c r="M4939" s="4" t="s">
        <v>7013</v>
      </c>
      <c r="N4939" s="4" t="s">
        <v>7129</v>
      </c>
      <c r="O4939" s="4" t="s">
        <v>63</v>
      </c>
      <c r="P4939" s="4" t="s">
        <v>64</v>
      </c>
    </row>
    <row r="4940">
      <c r="A4940" s="4" t="s">
        <v>7013</v>
      </c>
      <c r="B4940" s="4" t="s">
        <v>7014</v>
      </c>
      <c r="C4940" s="4">
        <v>889.0</v>
      </c>
      <c r="D4940" s="5" t="str">
        <f t="shared" ref="D4940:D4941" si="1222">HYPERLINK("https://www.linkedin.com/ad-library/detail/913473454","Open Ad")</f>
        <v>Open Ad</v>
      </c>
      <c r="E4940" s="4" t="s">
        <v>78</v>
      </c>
      <c r="F4940" s="4" t="s">
        <v>6765</v>
      </c>
      <c r="G4940" s="4" t="s">
        <v>7116</v>
      </c>
      <c r="H4940" s="4" t="s">
        <v>49</v>
      </c>
      <c r="I4940" s="4" t="s">
        <v>7016</v>
      </c>
      <c r="J4940" s="4" t="s">
        <v>78</v>
      </c>
      <c r="K4940" s="7" t="str">
        <f t="shared" ref="K4940:K4941" si="1223">HYPERLINK("https://media.licdn.com/dms/image/v2/D4E10AQH4KbJnron-hg/image-shrink_1280/B4EZqC5azGIoAQ-/0/1763132682276/03_LightMode_BF_2025?e=2147483647&amp;v=beta&amp;t=2fD2NHgMBWscabGamUhK9kIggk9EgVdJ7at1LyNyAdY","View Creative")</f>
        <v>View Creative</v>
      </c>
      <c r="L4940" s="4" t="s">
        <v>60</v>
      </c>
      <c r="M4940" s="4" t="s">
        <v>7013</v>
      </c>
      <c r="N4940" s="4"/>
      <c r="O4940" s="4" t="s">
        <v>63</v>
      </c>
      <c r="P4940" s="4" t="s">
        <v>64</v>
      </c>
    </row>
    <row r="4941">
      <c r="A4941" s="4" t="s">
        <v>7013</v>
      </c>
      <c r="B4941" s="4" t="s">
        <v>7014</v>
      </c>
      <c r="C4941" s="4">
        <v>890.0</v>
      </c>
      <c r="D4941" s="5" t="str">
        <f t="shared" si="1222"/>
        <v>Open Ad</v>
      </c>
      <c r="E4941" s="4" t="s">
        <v>78</v>
      </c>
      <c r="F4941" s="4" t="s">
        <v>6765</v>
      </c>
      <c r="G4941" s="4" t="s">
        <v>7116</v>
      </c>
      <c r="H4941" s="4" t="s">
        <v>49</v>
      </c>
      <c r="I4941" s="4" t="s">
        <v>7016</v>
      </c>
      <c r="J4941" s="4" t="s">
        <v>78</v>
      </c>
      <c r="K4941" s="7" t="str">
        <f t="shared" si="1223"/>
        <v>View Creative</v>
      </c>
      <c r="L4941" s="4" t="s">
        <v>60</v>
      </c>
      <c r="M4941" s="4" t="s">
        <v>7013</v>
      </c>
      <c r="N4941" s="4"/>
      <c r="O4941" s="4" t="s">
        <v>63</v>
      </c>
      <c r="P4941" s="4" t="s">
        <v>64</v>
      </c>
    </row>
    <row r="4942">
      <c r="A4942" s="4" t="s">
        <v>7013</v>
      </c>
      <c r="B4942" s="4" t="s">
        <v>7014</v>
      </c>
      <c r="C4942" s="4">
        <v>891.0</v>
      </c>
      <c r="D4942" s="5" t="str">
        <f t="shared" ref="D4942:D4943" si="1224">HYPERLINK("https://www.linkedin.com/ad-library/detail/913493074","Open Ad")</f>
        <v>Open Ad</v>
      </c>
      <c r="E4942" s="4" t="s">
        <v>78</v>
      </c>
      <c r="F4942" s="4" t="s">
        <v>6765</v>
      </c>
      <c r="G4942" s="4" t="s">
        <v>7116</v>
      </c>
      <c r="H4942" s="4" t="s">
        <v>49</v>
      </c>
      <c r="I4942" s="4" t="s">
        <v>7016</v>
      </c>
      <c r="J4942" s="4" t="s">
        <v>78</v>
      </c>
      <c r="K4942" s="7" t="str">
        <f t="shared" ref="K4942:K4943" si="1225">HYPERLINK("https://media.licdn.com/dms/image/v2/D4E10AQFvKvCCCsOtdQ/image-shrink_1280/B4EZqC.6_vKgAM-/0/1763134124978/03_DarkMode_BlackFriday_2025?e=2147483647&amp;v=beta&amp;t=nrK_vpHeevxb-24dY9crEv__P_SJKfxN51Ug_PIU1mY","View Creative")</f>
        <v>View Creative</v>
      </c>
      <c r="L4942" s="4" t="s">
        <v>60</v>
      </c>
      <c r="M4942" s="4" t="s">
        <v>7013</v>
      </c>
      <c r="N4942" s="4"/>
      <c r="O4942" s="4" t="s">
        <v>63</v>
      </c>
      <c r="P4942" s="4" t="s">
        <v>64</v>
      </c>
    </row>
    <row r="4943">
      <c r="A4943" s="4" t="s">
        <v>7013</v>
      </c>
      <c r="B4943" s="4" t="s">
        <v>7014</v>
      </c>
      <c r="C4943" s="4">
        <v>892.0</v>
      </c>
      <c r="D4943" s="5" t="str">
        <f t="shared" si="1224"/>
        <v>Open Ad</v>
      </c>
      <c r="E4943" s="4" t="s">
        <v>78</v>
      </c>
      <c r="F4943" s="4" t="s">
        <v>6765</v>
      </c>
      <c r="G4943" s="4" t="s">
        <v>7116</v>
      </c>
      <c r="H4943" s="4" t="s">
        <v>49</v>
      </c>
      <c r="I4943" s="4" t="s">
        <v>7016</v>
      </c>
      <c r="J4943" s="4" t="s">
        <v>78</v>
      </c>
      <c r="K4943" s="7" t="str">
        <f t="shared" si="1225"/>
        <v>View Creative</v>
      </c>
      <c r="L4943" s="4" t="s">
        <v>60</v>
      </c>
      <c r="M4943" s="4" t="s">
        <v>7013</v>
      </c>
      <c r="N4943" s="4"/>
      <c r="O4943" s="4" t="s">
        <v>63</v>
      </c>
      <c r="P4943" s="4" t="s">
        <v>64</v>
      </c>
    </row>
    <row r="4944">
      <c r="A4944" s="4" t="s">
        <v>7013</v>
      </c>
      <c r="B4944" s="4" t="s">
        <v>7014</v>
      </c>
      <c r="C4944" s="4">
        <v>893.0</v>
      </c>
      <c r="D4944" s="5" t="str">
        <f t="shared" ref="D4944:D4945" si="1226">HYPERLINK("https://www.linkedin.com/ad-library/detail/913404424","Open Ad")</f>
        <v>Open Ad</v>
      </c>
      <c r="E4944" s="4" t="s">
        <v>78</v>
      </c>
      <c r="F4944" s="4" t="s">
        <v>6765</v>
      </c>
      <c r="G4944" s="4" t="s">
        <v>7116</v>
      </c>
      <c r="H4944" s="4" t="s">
        <v>49</v>
      </c>
      <c r="I4944" s="4" t="s">
        <v>7016</v>
      </c>
      <c r="J4944" s="4" t="s">
        <v>78</v>
      </c>
      <c r="K4944" s="7" t="str">
        <f t="shared" ref="K4944:K4945" si="1227">HYPERLINK("https://media.licdn.com/dms/image/v2/D4E10AQH4KbJnron-hg/image-shrink_1280/B4EZqC5azGIoAQ-/0/1763132682276/03_LightMode_BF_2025?e=2147483647&amp;v=beta&amp;t=2fD2NHgMBWscabGamUhK9kIggk9EgVdJ7at1LyNyAdY","View Creative")</f>
        <v>View Creative</v>
      </c>
      <c r="L4944" s="4" t="s">
        <v>60</v>
      </c>
      <c r="M4944" s="4" t="s">
        <v>7013</v>
      </c>
      <c r="N4944" s="4" t="s">
        <v>7129</v>
      </c>
      <c r="O4944" s="4" t="s">
        <v>63</v>
      </c>
      <c r="P4944" s="4" t="s">
        <v>64</v>
      </c>
    </row>
    <row r="4945">
      <c r="A4945" s="4" t="s">
        <v>7013</v>
      </c>
      <c r="B4945" s="4" t="s">
        <v>7014</v>
      </c>
      <c r="C4945" s="4">
        <v>894.0</v>
      </c>
      <c r="D4945" s="5" t="str">
        <f t="shared" si="1226"/>
        <v>Open Ad</v>
      </c>
      <c r="E4945" s="4" t="s">
        <v>78</v>
      </c>
      <c r="F4945" s="4" t="s">
        <v>6765</v>
      </c>
      <c r="G4945" s="4" t="s">
        <v>7116</v>
      </c>
      <c r="H4945" s="4" t="s">
        <v>49</v>
      </c>
      <c r="I4945" s="4" t="s">
        <v>7016</v>
      </c>
      <c r="J4945" s="4" t="s">
        <v>78</v>
      </c>
      <c r="K4945" s="7" t="str">
        <f t="shared" si="1227"/>
        <v>View Creative</v>
      </c>
      <c r="L4945" s="4" t="s">
        <v>60</v>
      </c>
      <c r="M4945" s="4" t="s">
        <v>7013</v>
      </c>
      <c r="N4945" s="4" t="s">
        <v>7129</v>
      </c>
      <c r="O4945" s="4" t="s">
        <v>63</v>
      </c>
      <c r="P4945" s="4" t="s">
        <v>64</v>
      </c>
    </row>
    <row r="4946">
      <c r="A4946" s="4" t="s">
        <v>7013</v>
      </c>
      <c r="B4946" s="4" t="s">
        <v>7014</v>
      </c>
      <c r="C4946" s="4">
        <v>895.0</v>
      </c>
      <c r="D4946" s="5" t="str">
        <f t="shared" ref="D4946:D4947" si="1228">HYPERLINK("https://www.linkedin.com/ad-library/detail/913394824","Open Ad")</f>
        <v>Open Ad</v>
      </c>
      <c r="E4946" s="4" t="s">
        <v>78</v>
      </c>
      <c r="F4946" s="4" t="s">
        <v>6765</v>
      </c>
      <c r="G4946" s="4" t="s">
        <v>7116</v>
      </c>
      <c r="H4946" s="4" t="s">
        <v>49</v>
      </c>
      <c r="I4946" s="4" t="s">
        <v>7016</v>
      </c>
      <c r="J4946" s="4" t="s">
        <v>78</v>
      </c>
      <c r="K4946" s="7" t="str">
        <f t="shared" ref="K4946:K4947" si="1229">HYPERLINK("https://media.licdn.com/dms/image/v2/D4E10AQFvKvCCCsOtdQ/image-shrink_1280/B4EZqC.6_vKgAM-/0/1763134124978/03_DarkMode_BlackFriday_2025?e=2147483647&amp;v=beta&amp;t=nrK_vpHeevxb-24dY9crEv__P_SJKfxN51Ug_PIU1mY","View Creative")</f>
        <v>View Creative</v>
      </c>
      <c r="L4946" s="4" t="s">
        <v>60</v>
      </c>
      <c r="M4946" s="4" t="s">
        <v>7013</v>
      </c>
      <c r="N4946" s="4" t="s">
        <v>7129</v>
      </c>
      <c r="O4946" s="4" t="s">
        <v>63</v>
      </c>
      <c r="P4946" s="4" t="s">
        <v>64</v>
      </c>
    </row>
    <row r="4947">
      <c r="A4947" s="4" t="s">
        <v>7013</v>
      </c>
      <c r="B4947" s="4" t="s">
        <v>7014</v>
      </c>
      <c r="C4947" s="4">
        <v>896.0</v>
      </c>
      <c r="D4947" s="5" t="str">
        <f t="shared" si="1228"/>
        <v>Open Ad</v>
      </c>
      <c r="E4947" s="4" t="s">
        <v>78</v>
      </c>
      <c r="F4947" s="4" t="s">
        <v>6765</v>
      </c>
      <c r="G4947" s="4" t="s">
        <v>7116</v>
      </c>
      <c r="H4947" s="4" t="s">
        <v>49</v>
      </c>
      <c r="I4947" s="4" t="s">
        <v>7016</v>
      </c>
      <c r="J4947" s="4" t="s">
        <v>78</v>
      </c>
      <c r="K4947" s="7" t="str">
        <f t="shared" si="1229"/>
        <v>View Creative</v>
      </c>
      <c r="L4947" s="4" t="s">
        <v>60</v>
      </c>
      <c r="M4947" s="4" t="s">
        <v>7013</v>
      </c>
      <c r="N4947" s="4" t="s">
        <v>7129</v>
      </c>
      <c r="O4947" s="4" t="s">
        <v>63</v>
      </c>
      <c r="P4947" s="4" t="s">
        <v>64</v>
      </c>
    </row>
    <row r="4948">
      <c r="A4948" s="4" t="s">
        <v>7013</v>
      </c>
      <c r="B4948" s="4" t="s">
        <v>7014</v>
      </c>
      <c r="C4948" s="4">
        <v>897.0</v>
      </c>
      <c r="D4948" s="5" t="str">
        <f t="shared" ref="D4948:D4949" si="1230">HYPERLINK("https://www.linkedin.com/ad-library/detail/913424404","Open Ad")</f>
        <v>Open Ad</v>
      </c>
      <c r="E4948" s="4" t="s">
        <v>78</v>
      </c>
      <c r="F4948" s="4" t="s">
        <v>6765</v>
      </c>
      <c r="G4948" s="4" t="s">
        <v>7125</v>
      </c>
      <c r="H4948" s="4" t="s">
        <v>49</v>
      </c>
      <c r="I4948" s="4" t="s">
        <v>7016</v>
      </c>
      <c r="J4948" s="4" t="s">
        <v>78</v>
      </c>
      <c r="K4948" s="7" t="str">
        <f t="shared" ref="K4948:K4949" si="1231">HYPERLINK("https://media.licdn.com/dms/image/v2/D4E10AQExygu8AmuOmw/image-shrink_1280/B4EZqC5GOmGUAM-/0/1763132598114/02_LightMode_BF_2025?e=2147483647&amp;v=beta&amp;t=huCdzTSSBLgvS1PKW4ETHCc_90K74NHn2-dpejqxOG8","View Creative")</f>
        <v>View Creative</v>
      </c>
      <c r="L4948" s="4" t="s">
        <v>60</v>
      </c>
      <c r="M4948" s="4" t="s">
        <v>7013</v>
      </c>
      <c r="N4948" s="4"/>
      <c r="O4948" s="4" t="s">
        <v>63</v>
      </c>
      <c r="P4948" s="4" t="s">
        <v>64</v>
      </c>
    </row>
    <row r="4949">
      <c r="A4949" s="4" t="s">
        <v>7013</v>
      </c>
      <c r="B4949" s="4" t="s">
        <v>7014</v>
      </c>
      <c r="C4949" s="4">
        <v>898.0</v>
      </c>
      <c r="D4949" s="5" t="str">
        <f t="shared" si="1230"/>
        <v>Open Ad</v>
      </c>
      <c r="E4949" s="4" t="s">
        <v>78</v>
      </c>
      <c r="F4949" s="4" t="s">
        <v>6765</v>
      </c>
      <c r="G4949" s="4" t="s">
        <v>7125</v>
      </c>
      <c r="H4949" s="4" t="s">
        <v>49</v>
      </c>
      <c r="I4949" s="4" t="s">
        <v>7016</v>
      </c>
      <c r="J4949" s="4" t="s">
        <v>78</v>
      </c>
      <c r="K4949" s="7" t="str">
        <f t="shared" si="1231"/>
        <v>View Creative</v>
      </c>
      <c r="L4949" s="4" t="s">
        <v>60</v>
      </c>
      <c r="M4949" s="4" t="s">
        <v>7013</v>
      </c>
      <c r="N4949" s="4"/>
      <c r="O4949" s="4" t="s">
        <v>63</v>
      </c>
      <c r="P4949" s="4" t="s">
        <v>64</v>
      </c>
    </row>
    <row r="4950">
      <c r="A4950" s="4" t="s">
        <v>7013</v>
      </c>
      <c r="B4950" s="4" t="s">
        <v>7014</v>
      </c>
      <c r="C4950" s="4">
        <v>899.0</v>
      </c>
      <c r="D4950" s="5" t="str">
        <f t="shared" ref="D4950:D4951" si="1232">HYPERLINK("https://www.linkedin.com/ad-library/detail/913286604","Open Ad")</f>
        <v>Open Ad</v>
      </c>
      <c r="E4950" s="4" t="s">
        <v>78</v>
      </c>
      <c r="F4950" s="4" t="s">
        <v>6765</v>
      </c>
      <c r="G4950" s="4" t="s">
        <v>7125</v>
      </c>
      <c r="H4950" s="4" t="s">
        <v>49</v>
      </c>
      <c r="I4950" s="4" t="s">
        <v>7016</v>
      </c>
      <c r="J4950" s="4" t="s">
        <v>78</v>
      </c>
      <c r="K4950" s="7" t="str">
        <f t="shared" ref="K4950:K4953" si="1233">HYPERLINK("https://media.licdn.com/dms/image/v2/D4E10AQGCEicWihyXBg/image-shrink_1280/B4EZqC_RgBKcAM-/0/1763134217156/02_DarkMode_BlackFriday_2025?e=2147483647&amp;v=beta&amp;t=DWqHNXUw-Qvi6BwVitajcVLKefJKn0rH1xGu0yHXy6I","View Creative")</f>
        <v>View Creative</v>
      </c>
      <c r="L4950" s="4" t="s">
        <v>60</v>
      </c>
      <c r="M4950" s="4" t="s">
        <v>7013</v>
      </c>
      <c r="N4950" s="4" t="s">
        <v>7129</v>
      </c>
      <c r="O4950" s="4" t="s">
        <v>63</v>
      </c>
      <c r="P4950" s="4" t="s">
        <v>64</v>
      </c>
    </row>
    <row r="4951">
      <c r="A4951" s="4" t="s">
        <v>7013</v>
      </c>
      <c r="B4951" s="4" t="s">
        <v>7014</v>
      </c>
      <c r="C4951" s="4">
        <v>900.0</v>
      </c>
      <c r="D4951" s="5" t="str">
        <f t="shared" si="1232"/>
        <v>Open Ad</v>
      </c>
      <c r="E4951" s="4" t="s">
        <v>78</v>
      </c>
      <c r="F4951" s="4" t="s">
        <v>6765</v>
      </c>
      <c r="G4951" s="4" t="s">
        <v>7125</v>
      </c>
      <c r="H4951" s="4" t="s">
        <v>49</v>
      </c>
      <c r="I4951" s="4" t="s">
        <v>7016</v>
      </c>
      <c r="J4951" s="4" t="s">
        <v>78</v>
      </c>
      <c r="K4951" s="7" t="str">
        <f t="shared" si="1233"/>
        <v>View Creative</v>
      </c>
      <c r="L4951" s="4" t="s">
        <v>60</v>
      </c>
      <c r="M4951" s="4" t="s">
        <v>7013</v>
      </c>
      <c r="N4951" s="4" t="s">
        <v>7129</v>
      </c>
      <c r="O4951" s="4" t="s">
        <v>63</v>
      </c>
      <c r="P4951" s="4" t="s">
        <v>64</v>
      </c>
    </row>
    <row r="4952">
      <c r="A4952" s="4" t="s">
        <v>7013</v>
      </c>
      <c r="B4952" s="4" t="s">
        <v>7014</v>
      </c>
      <c r="C4952" s="4">
        <v>901.0</v>
      </c>
      <c r="D4952" s="5" t="str">
        <f t="shared" ref="D4952:D4953" si="1234">HYPERLINK("https://www.linkedin.com/ad-library/detail/913502554","Open Ad")</f>
        <v>Open Ad</v>
      </c>
      <c r="E4952" s="4" t="s">
        <v>78</v>
      </c>
      <c r="F4952" s="4" t="s">
        <v>6765</v>
      </c>
      <c r="G4952" s="4" t="s">
        <v>7125</v>
      </c>
      <c r="H4952" s="4" t="s">
        <v>49</v>
      </c>
      <c r="I4952" s="4" t="s">
        <v>7016</v>
      </c>
      <c r="J4952" s="4" t="s">
        <v>78</v>
      </c>
      <c r="K4952" s="7" t="str">
        <f t="shared" si="1233"/>
        <v>View Creative</v>
      </c>
      <c r="L4952" s="4" t="s">
        <v>60</v>
      </c>
      <c r="M4952" s="4" t="s">
        <v>7013</v>
      </c>
      <c r="N4952" s="4"/>
      <c r="O4952" s="4" t="s">
        <v>63</v>
      </c>
      <c r="P4952" s="4" t="s">
        <v>64</v>
      </c>
    </row>
    <row r="4953">
      <c r="A4953" s="4" t="s">
        <v>7013</v>
      </c>
      <c r="B4953" s="4" t="s">
        <v>7014</v>
      </c>
      <c r="C4953" s="4">
        <v>902.0</v>
      </c>
      <c r="D4953" s="5" t="str">
        <f t="shared" si="1234"/>
        <v>Open Ad</v>
      </c>
      <c r="E4953" s="4" t="s">
        <v>78</v>
      </c>
      <c r="F4953" s="4" t="s">
        <v>6765</v>
      </c>
      <c r="G4953" s="4" t="s">
        <v>7125</v>
      </c>
      <c r="H4953" s="4" t="s">
        <v>49</v>
      </c>
      <c r="I4953" s="4" t="s">
        <v>7016</v>
      </c>
      <c r="J4953" s="4" t="s">
        <v>78</v>
      </c>
      <c r="K4953" s="7" t="str">
        <f t="shared" si="1233"/>
        <v>View Creative</v>
      </c>
      <c r="L4953" s="4" t="s">
        <v>60</v>
      </c>
      <c r="M4953" s="4" t="s">
        <v>7013</v>
      </c>
      <c r="N4953" s="4"/>
      <c r="O4953" s="4" t="s">
        <v>63</v>
      </c>
      <c r="P4953" s="4" t="s">
        <v>64</v>
      </c>
    </row>
    <row r="4954">
      <c r="A4954" s="4" t="s">
        <v>7013</v>
      </c>
      <c r="B4954" s="4" t="s">
        <v>7014</v>
      </c>
      <c r="C4954" s="4">
        <v>903.0</v>
      </c>
      <c r="D4954" s="5" t="str">
        <f t="shared" ref="D4954:D4955" si="1235">HYPERLINK("https://www.linkedin.com/ad-library/detail/913364834","Open Ad")</f>
        <v>Open Ad</v>
      </c>
      <c r="E4954" s="4" t="s">
        <v>78</v>
      </c>
      <c r="F4954" s="4" t="s">
        <v>6765</v>
      </c>
      <c r="G4954" s="4" t="s">
        <v>7106</v>
      </c>
      <c r="H4954" s="4" t="s">
        <v>49</v>
      </c>
      <c r="I4954" s="4" t="s">
        <v>7016</v>
      </c>
      <c r="J4954" s="4" t="s">
        <v>78</v>
      </c>
      <c r="K4954" s="7" t="str">
        <f t="shared" ref="K4954:K4955" si="1236">HYPERLINK("https://media.licdn.com/dms/image/v2/D4E10AQFexWlh0MX-gA/image-shrink_1280/B4EZqC_cRHKcAM-/0/1763134261281/01_DarkMode_BlackFriday_2025?e=2147483647&amp;v=beta&amp;t=uSZ5rrxoO0HNeiPSoheV2lqfeveTwcg1El6k2WfkDAM","View Creative")</f>
        <v>View Creative</v>
      </c>
      <c r="L4954" s="4" t="s">
        <v>60</v>
      </c>
      <c r="M4954" s="4" t="s">
        <v>7013</v>
      </c>
      <c r="N4954" s="4"/>
      <c r="O4954" s="4" t="s">
        <v>63</v>
      </c>
      <c r="P4954" s="4" t="s">
        <v>64</v>
      </c>
    </row>
    <row r="4955">
      <c r="A4955" s="4" t="s">
        <v>7013</v>
      </c>
      <c r="B4955" s="4" t="s">
        <v>7014</v>
      </c>
      <c r="C4955" s="4">
        <v>904.0</v>
      </c>
      <c r="D4955" s="5" t="str">
        <f t="shared" si="1235"/>
        <v>Open Ad</v>
      </c>
      <c r="E4955" s="4" t="s">
        <v>78</v>
      </c>
      <c r="F4955" s="4" t="s">
        <v>6765</v>
      </c>
      <c r="G4955" s="4" t="s">
        <v>7106</v>
      </c>
      <c r="H4955" s="4" t="s">
        <v>49</v>
      </c>
      <c r="I4955" s="4" t="s">
        <v>7016</v>
      </c>
      <c r="J4955" s="4" t="s">
        <v>78</v>
      </c>
      <c r="K4955" s="7" t="str">
        <f t="shared" si="1236"/>
        <v>View Creative</v>
      </c>
      <c r="L4955" s="4" t="s">
        <v>60</v>
      </c>
      <c r="M4955" s="4" t="s">
        <v>7013</v>
      </c>
      <c r="N4955" s="4"/>
      <c r="O4955" s="4" t="s">
        <v>63</v>
      </c>
      <c r="P4955" s="4" t="s">
        <v>64</v>
      </c>
    </row>
    <row r="4956">
      <c r="A4956" s="4" t="s">
        <v>7013</v>
      </c>
      <c r="B4956" s="4" t="s">
        <v>7014</v>
      </c>
      <c r="C4956" s="4">
        <v>905.0</v>
      </c>
      <c r="D4956" s="5" t="str">
        <f t="shared" ref="D4956:D4957" si="1237">HYPERLINK("https://www.linkedin.com/ad-library/detail/913325424","Open Ad")</f>
        <v>Open Ad</v>
      </c>
      <c r="E4956" s="4" t="s">
        <v>78</v>
      </c>
      <c r="F4956" s="4" t="s">
        <v>6765</v>
      </c>
      <c r="G4956" s="4" t="s">
        <v>7125</v>
      </c>
      <c r="H4956" s="4" t="s">
        <v>49</v>
      </c>
      <c r="I4956" s="4" t="s">
        <v>7016</v>
      </c>
      <c r="J4956" s="4" t="s">
        <v>78</v>
      </c>
      <c r="K4956" s="7" t="str">
        <f t="shared" ref="K4956:K4957" si="1238">HYPERLINK("https://media.licdn.com/dms/image/v2/D4E10AQExygu8AmuOmw/image-shrink_1280/B4EZqC5GOmGUAM-/0/1763132598114/02_LightMode_BF_2025?e=2147483647&amp;v=beta&amp;t=huCdzTSSBLgvS1PKW4ETHCc_90K74NHn2-dpejqxOG8","View Creative")</f>
        <v>View Creative</v>
      </c>
      <c r="L4956" s="4" t="s">
        <v>60</v>
      </c>
      <c r="M4956" s="4" t="s">
        <v>7013</v>
      </c>
      <c r="N4956" s="4" t="s">
        <v>7129</v>
      </c>
      <c r="O4956" s="4" t="s">
        <v>63</v>
      </c>
      <c r="P4956" s="4" t="s">
        <v>64</v>
      </c>
    </row>
    <row r="4957">
      <c r="A4957" s="4" t="s">
        <v>7013</v>
      </c>
      <c r="B4957" s="4" t="s">
        <v>7014</v>
      </c>
      <c r="C4957" s="4">
        <v>906.0</v>
      </c>
      <c r="D4957" s="5" t="str">
        <f t="shared" si="1237"/>
        <v>Open Ad</v>
      </c>
      <c r="E4957" s="4" t="s">
        <v>78</v>
      </c>
      <c r="F4957" s="4" t="s">
        <v>6765</v>
      </c>
      <c r="G4957" s="4" t="s">
        <v>7125</v>
      </c>
      <c r="H4957" s="4" t="s">
        <v>49</v>
      </c>
      <c r="I4957" s="4" t="s">
        <v>7016</v>
      </c>
      <c r="J4957" s="4" t="s">
        <v>78</v>
      </c>
      <c r="K4957" s="7" t="str">
        <f t="shared" si="1238"/>
        <v>View Creative</v>
      </c>
      <c r="L4957" s="4" t="s">
        <v>60</v>
      </c>
      <c r="M4957" s="4" t="s">
        <v>7013</v>
      </c>
      <c r="N4957" s="4" t="s">
        <v>7129</v>
      </c>
      <c r="O4957" s="4" t="s">
        <v>63</v>
      </c>
      <c r="P4957" s="4" t="s">
        <v>64</v>
      </c>
    </row>
    <row r="4958">
      <c r="A4958" s="4" t="s">
        <v>7013</v>
      </c>
      <c r="B4958" s="4" t="s">
        <v>7014</v>
      </c>
      <c r="C4958" s="4">
        <v>907.0</v>
      </c>
      <c r="D4958" s="5" t="str">
        <f t="shared" ref="D4958:D4959" si="1239">HYPERLINK("https://www.linkedin.com/ad-library/detail/913325444","Open Ad")</f>
        <v>Open Ad</v>
      </c>
      <c r="E4958" s="4" t="s">
        <v>78</v>
      </c>
      <c r="F4958" s="4" t="s">
        <v>6765</v>
      </c>
      <c r="G4958" s="4" t="s">
        <v>7106</v>
      </c>
      <c r="H4958" s="4" t="s">
        <v>49</v>
      </c>
      <c r="I4958" s="4" t="s">
        <v>7016</v>
      </c>
      <c r="J4958" s="4" t="s">
        <v>78</v>
      </c>
      <c r="K4958" s="7" t="str">
        <f t="shared" ref="K4958:K4959" si="1240">HYPERLINK("https://media.licdn.com/dms/image/v2/D4E10AQEKGerJblQZtQ/image-shrink_1280/B4EZqC4qbTHgAM-/0/1763132484063/01_LightMode_BF_2025?e=2147483647&amp;v=beta&amp;t=BYRBuTv9G2TDFiwenmckUQPfsShbEby7_m0ZQnM1TMQ","View Creative")</f>
        <v>View Creative</v>
      </c>
      <c r="L4958" s="4" t="s">
        <v>60</v>
      </c>
      <c r="M4958" s="4" t="s">
        <v>7013</v>
      </c>
      <c r="N4958" s="4"/>
      <c r="O4958" s="4" t="s">
        <v>63</v>
      </c>
      <c r="P4958" s="4" t="s">
        <v>64</v>
      </c>
    </row>
    <row r="4959">
      <c r="A4959" s="4" t="s">
        <v>7013</v>
      </c>
      <c r="B4959" s="4" t="s">
        <v>7014</v>
      </c>
      <c r="C4959" s="4">
        <v>908.0</v>
      </c>
      <c r="D4959" s="5" t="str">
        <f t="shared" si="1239"/>
        <v>Open Ad</v>
      </c>
      <c r="E4959" s="4" t="s">
        <v>78</v>
      </c>
      <c r="F4959" s="4" t="s">
        <v>6765</v>
      </c>
      <c r="G4959" s="4" t="s">
        <v>7106</v>
      </c>
      <c r="H4959" s="4" t="s">
        <v>49</v>
      </c>
      <c r="I4959" s="4" t="s">
        <v>7016</v>
      </c>
      <c r="J4959" s="4" t="s">
        <v>78</v>
      </c>
      <c r="K4959" s="7" t="str">
        <f t="shared" si="1240"/>
        <v>View Creative</v>
      </c>
      <c r="L4959" s="4" t="s">
        <v>60</v>
      </c>
      <c r="M4959" s="4" t="s">
        <v>7013</v>
      </c>
      <c r="N4959" s="4"/>
      <c r="O4959" s="4" t="s">
        <v>63</v>
      </c>
      <c r="P4959" s="4" t="s">
        <v>64</v>
      </c>
    </row>
    <row r="4960">
      <c r="A4960" s="4" t="s">
        <v>7013</v>
      </c>
      <c r="B4960" s="4" t="s">
        <v>7014</v>
      </c>
      <c r="C4960" s="4">
        <v>909.0</v>
      </c>
      <c r="D4960" s="5" t="str">
        <f t="shared" ref="D4960:D4961" si="1241">HYPERLINK("https://www.linkedin.com/ad-library/detail/913305424","Open Ad")</f>
        <v>Open Ad</v>
      </c>
      <c r="E4960" s="4" t="s">
        <v>78</v>
      </c>
      <c r="F4960" s="4" t="s">
        <v>6765</v>
      </c>
      <c r="G4960" s="4" t="s">
        <v>7128</v>
      </c>
      <c r="H4960" s="4" t="s">
        <v>49</v>
      </c>
      <c r="I4960" s="4" t="s">
        <v>7016</v>
      </c>
      <c r="J4960" s="4" t="s">
        <v>78</v>
      </c>
      <c r="K4960" s="7" t="str">
        <f t="shared" ref="K4960:K4965" si="1242">HYPERLINK("https://media.licdn.com/dms/image/v2/D4E10AQHNqKZuZJ-Kcw/image-shrink_1280/B4EZqC_GxQJgAM-/0/1763134173013/04_DarkMode_BlackFriday_2025?e=2147483647&amp;v=beta&amp;t=98YDnUQABZ9RILH9tTs1mPH8w_5i4cDy_RtMAaJfCGE","View Creative")</f>
        <v>View Creative</v>
      </c>
      <c r="L4960" s="4" t="s">
        <v>60</v>
      </c>
      <c r="M4960" s="4" t="s">
        <v>7013</v>
      </c>
      <c r="N4960" s="4"/>
      <c r="O4960" s="4" t="s">
        <v>63</v>
      </c>
      <c r="P4960" s="4" t="s">
        <v>64</v>
      </c>
    </row>
    <row r="4961">
      <c r="A4961" s="4" t="s">
        <v>7013</v>
      </c>
      <c r="B4961" s="4" t="s">
        <v>7014</v>
      </c>
      <c r="C4961" s="4">
        <v>910.0</v>
      </c>
      <c r="D4961" s="5" t="str">
        <f t="shared" si="1241"/>
        <v>Open Ad</v>
      </c>
      <c r="E4961" s="4" t="s">
        <v>78</v>
      </c>
      <c r="F4961" s="4" t="s">
        <v>6765</v>
      </c>
      <c r="G4961" s="4" t="s">
        <v>7128</v>
      </c>
      <c r="H4961" s="4" t="s">
        <v>49</v>
      </c>
      <c r="I4961" s="4" t="s">
        <v>7016</v>
      </c>
      <c r="J4961" s="4" t="s">
        <v>78</v>
      </c>
      <c r="K4961" s="7" t="str">
        <f t="shared" si="1242"/>
        <v>View Creative</v>
      </c>
      <c r="L4961" s="4" t="s">
        <v>60</v>
      </c>
      <c r="M4961" s="4" t="s">
        <v>7013</v>
      </c>
      <c r="N4961" s="4"/>
      <c r="O4961" s="4" t="s">
        <v>63</v>
      </c>
      <c r="P4961" s="4" t="s">
        <v>64</v>
      </c>
    </row>
    <row r="4962">
      <c r="A4962" s="4" t="s">
        <v>7013</v>
      </c>
      <c r="B4962" s="4" t="s">
        <v>7014</v>
      </c>
      <c r="C4962" s="4">
        <v>911.0</v>
      </c>
      <c r="D4962" s="5" t="str">
        <f t="shared" ref="D4962:D4963" si="1243">HYPERLINK("https://www.linkedin.com/ad-library/detail/913364814","Open Ad")</f>
        <v>Open Ad</v>
      </c>
      <c r="E4962" s="4" t="s">
        <v>78</v>
      </c>
      <c r="F4962" s="4" t="s">
        <v>6765</v>
      </c>
      <c r="G4962" s="4" t="s">
        <v>7128</v>
      </c>
      <c r="H4962" s="4" t="s">
        <v>49</v>
      </c>
      <c r="I4962" s="4" t="s">
        <v>7016</v>
      </c>
      <c r="J4962" s="4" t="s">
        <v>78</v>
      </c>
      <c r="K4962" s="7" t="str">
        <f t="shared" si="1242"/>
        <v>View Creative</v>
      </c>
      <c r="L4962" s="4" t="s">
        <v>60</v>
      </c>
      <c r="M4962" s="4" t="s">
        <v>7013</v>
      </c>
      <c r="N4962" s="4" t="s">
        <v>7129</v>
      </c>
      <c r="O4962" s="4" t="s">
        <v>63</v>
      </c>
      <c r="P4962" s="4" t="s">
        <v>64</v>
      </c>
    </row>
    <row r="4963">
      <c r="A4963" s="4" t="s">
        <v>7013</v>
      </c>
      <c r="B4963" s="4" t="s">
        <v>7014</v>
      </c>
      <c r="C4963" s="4">
        <v>912.0</v>
      </c>
      <c r="D4963" s="5" t="str">
        <f t="shared" si="1243"/>
        <v>Open Ad</v>
      </c>
      <c r="E4963" s="4" t="s">
        <v>78</v>
      </c>
      <c r="F4963" s="4" t="s">
        <v>6765</v>
      </c>
      <c r="G4963" s="4" t="s">
        <v>7128</v>
      </c>
      <c r="H4963" s="4" t="s">
        <v>49</v>
      </c>
      <c r="I4963" s="4" t="s">
        <v>7016</v>
      </c>
      <c r="J4963" s="4" t="s">
        <v>78</v>
      </c>
      <c r="K4963" s="7" t="str">
        <f t="shared" si="1242"/>
        <v>View Creative</v>
      </c>
      <c r="L4963" s="4" t="s">
        <v>60</v>
      </c>
      <c r="M4963" s="4" t="s">
        <v>7013</v>
      </c>
      <c r="N4963" s="4" t="s">
        <v>7129</v>
      </c>
      <c r="O4963" s="4" t="s">
        <v>63</v>
      </c>
      <c r="P4963" s="4" t="s">
        <v>64</v>
      </c>
    </row>
    <row r="4964">
      <c r="A4964" s="4" t="s">
        <v>7013</v>
      </c>
      <c r="B4964" s="4" t="s">
        <v>7014</v>
      </c>
      <c r="C4964" s="4">
        <v>913.0</v>
      </c>
      <c r="D4964" s="5" t="str">
        <f t="shared" ref="D4964:D4965" si="1244">HYPERLINK("https://www.linkedin.com/ad-library/detail/913334704","Open Ad")</f>
        <v>Open Ad</v>
      </c>
      <c r="E4964" s="4" t="s">
        <v>78</v>
      </c>
      <c r="F4964" s="4" t="s">
        <v>6765</v>
      </c>
      <c r="G4964" s="4" t="s">
        <v>7128</v>
      </c>
      <c r="H4964" s="4" t="s">
        <v>49</v>
      </c>
      <c r="I4964" s="4" t="s">
        <v>7016</v>
      </c>
      <c r="J4964" s="4" t="s">
        <v>78</v>
      </c>
      <c r="K4964" s="7" t="str">
        <f t="shared" si="1242"/>
        <v>View Creative</v>
      </c>
      <c r="L4964" s="4" t="s">
        <v>60</v>
      </c>
      <c r="M4964" s="4" t="s">
        <v>7013</v>
      </c>
      <c r="N4964" s="4" t="s">
        <v>7129</v>
      </c>
      <c r="O4964" s="4" t="s">
        <v>63</v>
      </c>
      <c r="P4964" s="4" t="s">
        <v>64</v>
      </c>
    </row>
    <row r="4965">
      <c r="A4965" s="4" t="s">
        <v>7013</v>
      </c>
      <c r="B4965" s="4" t="s">
        <v>7014</v>
      </c>
      <c r="C4965" s="4">
        <v>914.0</v>
      </c>
      <c r="D4965" s="5" t="str">
        <f t="shared" si="1244"/>
        <v>Open Ad</v>
      </c>
      <c r="E4965" s="4" t="s">
        <v>78</v>
      </c>
      <c r="F4965" s="4" t="s">
        <v>6765</v>
      </c>
      <c r="G4965" s="4" t="s">
        <v>7128</v>
      </c>
      <c r="H4965" s="4" t="s">
        <v>49</v>
      </c>
      <c r="I4965" s="4" t="s">
        <v>7016</v>
      </c>
      <c r="J4965" s="4" t="s">
        <v>78</v>
      </c>
      <c r="K4965" s="7" t="str">
        <f t="shared" si="1242"/>
        <v>View Creative</v>
      </c>
      <c r="L4965" s="4" t="s">
        <v>60</v>
      </c>
      <c r="M4965" s="4" t="s">
        <v>7013</v>
      </c>
      <c r="N4965" s="4" t="s">
        <v>7129</v>
      </c>
      <c r="O4965" s="4" t="s">
        <v>63</v>
      </c>
      <c r="P4965" s="4" t="s">
        <v>64</v>
      </c>
    </row>
    <row r="4966">
      <c r="A4966" s="4" t="s">
        <v>7013</v>
      </c>
      <c r="B4966" s="4" t="s">
        <v>7014</v>
      </c>
      <c r="C4966" s="4">
        <v>915.0</v>
      </c>
      <c r="D4966" s="5" t="str">
        <f t="shared" ref="D4966:D4967" si="1245">HYPERLINK("https://www.linkedin.com/ad-library/detail/913414324","Open Ad")</f>
        <v>Open Ad</v>
      </c>
      <c r="E4966" s="4" t="s">
        <v>78</v>
      </c>
      <c r="F4966" s="4" t="s">
        <v>6765</v>
      </c>
      <c r="G4966" s="4" t="s">
        <v>7106</v>
      </c>
      <c r="H4966" s="4" t="s">
        <v>49</v>
      </c>
      <c r="I4966" s="4" t="s">
        <v>7016</v>
      </c>
      <c r="J4966" s="4" t="s">
        <v>78</v>
      </c>
      <c r="K4966" s="7" t="str">
        <f t="shared" ref="K4966:K4967" si="1246">HYPERLINK("https://media.licdn.com/dms/image/v2/D4E10AQFexWlh0MX-gA/image-shrink_1280/B4EZqC_cRHKcAM-/0/1763134261281/01_DarkMode_BlackFriday_2025?e=2147483647&amp;v=beta&amp;t=uSZ5rrxoO0HNeiPSoheV2lqfeveTwcg1El6k2WfkDAM","View Creative")</f>
        <v>View Creative</v>
      </c>
      <c r="L4966" s="4" t="s">
        <v>60</v>
      </c>
      <c r="M4966" s="4" t="s">
        <v>7013</v>
      </c>
      <c r="N4966" s="4" t="s">
        <v>7130</v>
      </c>
      <c r="O4966" s="4" t="s">
        <v>63</v>
      </c>
      <c r="P4966" s="4" t="s">
        <v>64</v>
      </c>
    </row>
    <row r="4967">
      <c r="A4967" s="4" t="s">
        <v>7013</v>
      </c>
      <c r="B4967" s="4" t="s">
        <v>7014</v>
      </c>
      <c r="C4967" s="4">
        <v>916.0</v>
      </c>
      <c r="D4967" s="5" t="str">
        <f t="shared" si="1245"/>
        <v>Open Ad</v>
      </c>
      <c r="E4967" s="4" t="s">
        <v>78</v>
      </c>
      <c r="F4967" s="4" t="s">
        <v>6765</v>
      </c>
      <c r="G4967" s="4" t="s">
        <v>7106</v>
      </c>
      <c r="H4967" s="4" t="s">
        <v>49</v>
      </c>
      <c r="I4967" s="4" t="s">
        <v>7016</v>
      </c>
      <c r="J4967" s="4" t="s">
        <v>78</v>
      </c>
      <c r="K4967" s="7" t="str">
        <f t="shared" si="1246"/>
        <v>View Creative</v>
      </c>
      <c r="L4967" s="4" t="s">
        <v>60</v>
      </c>
      <c r="M4967" s="4" t="s">
        <v>7013</v>
      </c>
      <c r="N4967" s="4" t="s">
        <v>7130</v>
      </c>
      <c r="O4967" s="4" t="s">
        <v>63</v>
      </c>
      <c r="P4967" s="4" t="s">
        <v>64</v>
      </c>
    </row>
    <row r="4968">
      <c r="A4968" s="4" t="s">
        <v>7013</v>
      </c>
      <c r="B4968" s="4" t="s">
        <v>7014</v>
      </c>
      <c r="C4968" s="4">
        <v>917.0</v>
      </c>
      <c r="D4968" s="5" t="str">
        <f t="shared" ref="D4968:D4969" si="1247">HYPERLINK("https://www.linkedin.com/ad-library/detail/913443814","Open Ad")</f>
        <v>Open Ad</v>
      </c>
      <c r="E4968" s="4" t="s">
        <v>78</v>
      </c>
      <c r="F4968" s="4" t="s">
        <v>6765</v>
      </c>
      <c r="G4968" s="4" t="s">
        <v>7128</v>
      </c>
      <c r="H4968" s="4" t="s">
        <v>49</v>
      </c>
      <c r="I4968" s="4" t="s">
        <v>7016</v>
      </c>
      <c r="J4968" s="4" t="s">
        <v>78</v>
      </c>
      <c r="K4968" s="7" t="str">
        <f t="shared" ref="K4968:K4969" si="1248">HYPERLINK("https://media.licdn.com/dms/image/v2/D4E10AQH5LV07JtBuaQ/image-shrink_1280/B4EZqC6R8nKMAQ-/0/1763132908157/04_Image_LightMode_BF_2025?e=2147483647&amp;v=beta&amp;t=0LIBL9DELBXLrwDrF_u1qNBjgAc35mM-OPOwvdYz4ds","View Creative")</f>
        <v>View Creative</v>
      </c>
      <c r="L4968" s="4" t="s">
        <v>60</v>
      </c>
      <c r="M4968" s="4" t="s">
        <v>7013</v>
      </c>
      <c r="N4968" s="4" t="s">
        <v>7130</v>
      </c>
      <c r="O4968" s="4" t="s">
        <v>63</v>
      </c>
      <c r="P4968" s="4" t="s">
        <v>64</v>
      </c>
    </row>
    <row r="4969">
      <c r="A4969" s="4" t="s">
        <v>7013</v>
      </c>
      <c r="B4969" s="4" t="s">
        <v>7014</v>
      </c>
      <c r="C4969" s="4">
        <v>918.0</v>
      </c>
      <c r="D4969" s="5" t="str">
        <f t="shared" si="1247"/>
        <v>Open Ad</v>
      </c>
      <c r="E4969" s="4" t="s">
        <v>78</v>
      </c>
      <c r="F4969" s="4" t="s">
        <v>6765</v>
      </c>
      <c r="G4969" s="4" t="s">
        <v>7128</v>
      </c>
      <c r="H4969" s="4" t="s">
        <v>49</v>
      </c>
      <c r="I4969" s="4" t="s">
        <v>7016</v>
      </c>
      <c r="J4969" s="4" t="s">
        <v>78</v>
      </c>
      <c r="K4969" s="7" t="str">
        <f t="shared" si="1248"/>
        <v>View Creative</v>
      </c>
      <c r="L4969" s="4" t="s">
        <v>60</v>
      </c>
      <c r="M4969" s="4" t="s">
        <v>7013</v>
      </c>
      <c r="N4969" s="4" t="s">
        <v>7130</v>
      </c>
      <c r="O4969" s="4" t="s">
        <v>63</v>
      </c>
      <c r="P4969" s="4" t="s">
        <v>64</v>
      </c>
    </row>
    <row r="4970">
      <c r="A4970" s="4" t="s">
        <v>7013</v>
      </c>
      <c r="B4970" s="4" t="s">
        <v>7014</v>
      </c>
      <c r="C4970" s="4">
        <v>919.0</v>
      </c>
      <c r="D4970" s="5" t="str">
        <f t="shared" ref="D4970:D4971" si="1249">HYPERLINK("https://www.linkedin.com/ad-library/detail/895597014","Open Ad")</f>
        <v>Open Ad</v>
      </c>
      <c r="E4970" s="4" t="s">
        <v>121</v>
      </c>
      <c r="F4970" s="4" t="s">
        <v>6765</v>
      </c>
      <c r="G4970" s="4" t="s">
        <v>7131</v>
      </c>
      <c r="H4970" s="4" t="s">
        <v>49</v>
      </c>
      <c r="I4970" s="4" t="s">
        <v>7016</v>
      </c>
      <c r="J4970" s="4" t="s">
        <v>121</v>
      </c>
      <c r="K4970" s="7" t="str">
        <f t="shared" ref="K4970:K4971" si="1250">HYPERLINK("https://dms.licdn.com/playlist/vid/v2/D4E05AQGX_e-MtNIRRw/mp4-720p-30fp-crf28/B4EZpYnMrWHcCI-/0/1762423266199?e=2147483647&amp;v=beta&amp;t=Qi-izbAQT2yIzQelILnqH5YdnU2BDGnpOtv5nV4ha5Y","View Creative")</f>
        <v>View Creative</v>
      </c>
      <c r="L4970" s="4" t="s">
        <v>60</v>
      </c>
      <c r="M4970" s="4" t="s">
        <v>7013</v>
      </c>
      <c r="N4970" s="4" t="s">
        <v>7132</v>
      </c>
      <c r="O4970" s="4" t="s">
        <v>63</v>
      </c>
      <c r="P4970" s="4" t="s">
        <v>64</v>
      </c>
    </row>
    <row r="4971">
      <c r="A4971" s="4" t="s">
        <v>7013</v>
      </c>
      <c r="B4971" s="4" t="s">
        <v>7014</v>
      </c>
      <c r="C4971" s="4">
        <v>920.0</v>
      </c>
      <c r="D4971" s="5" t="str">
        <f t="shared" si="1249"/>
        <v>Open Ad</v>
      </c>
      <c r="E4971" s="4" t="s">
        <v>121</v>
      </c>
      <c r="F4971" s="4" t="s">
        <v>6765</v>
      </c>
      <c r="G4971" s="4" t="s">
        <v>7131</v>
      </c>
      <c r="H4971" s="4" t="s">
        <v>49</v>
      </c>
      <c r="I4971" s="4" t="s">
        <v>7016</v>
      </c>
      <c r="J4971" s="4" t="s">
        <v>121</v>
      </c>
      <c r="K4971" s="7" t="str">
        <f t="shared" si="1250"/>
        <v>View Creative</v>
      </c>
      <c r="L4971" s="4" t="s">
        <v>60</v>
      </c>
      <c r="M4971" s="4" t="s">
        <v>7013</v>
      </c>
      <c r="N4971" s="4" t="s">
        <v>7132</v>
      </c>
      <c r="O4971" s="4" t="s">
        <v>63</v>
      </c>
      <c r="P4971" s="4" t="s">
        <v>64</v>
      </c>
    </row>
    <row r="4972">
      <c r="A4972" s="4" t="s">
        <v>7013</v>
      </c>
      <c r="B4972" s="4" t="s">
        <v>7014</v>
      </c>
      <c r="C4972" s="4">
        <v>921.0</v>
      </c>
      <c r="D4972" s="5" t="str">
        <f t="shared" ref="D4972:D4973" si="1251">HYPERLINK("https://www.linkedin.com/ad-library/detail/913443824","Open Ad")</f>
        <v>Open Ad</v>
      </c>
      <c r="E4972" s="4" t="s">
        <v>78</v>
      </c>
      <c r="F4972" s="4" t="s">
        <v>6765</v>
      </c>
      <c r="G4972" s="4" t="s">
        <v>7125</v>
      </c>
      <c r="H4972" s="4" t="s">
        <v>49</v>
      </c>
      <c r="I4972" s="4" t="s">
        <v>7016</v>
      </c>
      <c r="J4972" s="4" t="s">
        <v>78</v>
      </c>
      <c r="K4972" s="7" t="str">
        <f t="shared" ref="K4972:K4973" si="1252">HYPERLINK("https://media.licdn.com/dms/image/v2/D4E10AQExygu8AmuOmw/image-shrink_1280/B4EZqC5GOmGUAM-/0/1763132598114/02_LightMode_BF_2025?e=2147483647&amp;v=beta&amp;t=huCdzTSSBLgvS1PKW4ETHCc_90K74NHn2-dpejqxOG8","View Creative")</f>
        <v>View Creative</v>
      </c>
      <c r="L4972" s="4" t="s">
        <v>60</v>
      </c>
      <c r="M4972" s="4" t="s">
        <v>7013</v>
      </c>
      <c r="N4972" s="4" t="s">
        <v>7130</v>
      </c>
      <c r="O4972" s="4" t="s">
        <v>63</v>
      </c>
      <c r="P4972" s="4" t="s">
        <v>64</v>
      </c>
    </row>
    <row r="4973">
      <c r="A4973" s="4" t="s">
        <v>7013</v>
      </c>
      <c r="B4973" s="4" t="s">
        <v>7014</v>
      </c>
      <c r="C4973" s="4">
        <v>922.0</v>
      </c>
      <c r="D4973" s="5" t="str">
        <f t="shared" si="1251"/>
        <v>Open Ad</v>
      </c>
      <c r="E4973" s="4" t="s">
        <v>78</v>
      </c>
      <c r="F4973" s="4" t="s">
        <v>6765</v>
      </c>
      <c r="G4973" s="4" t="s">
        <v>7125</v>
      </c>
      <c r="H4973" s="4" t="s">
        <v>49</v>
      </c>
      <c r="I4973" s="4" t="s">
        <v>7016</v>
      </c>
      <c r="J4973" s="4" t="s">
        <v>78</v>
      </c>
      <c r="K4973" s="7" t="str">
        <f t="shared" si="1252"/>
        <v>View Creative</v>
      </c>
      <c r="L4973" s="4" t="s">
        <v>60</v>
      </c>
      <c r="M4973" s="4" t="s">
        <v>7013</v>
      </c>
      <c r="N4973" s="4" t="s">
        <v>7130</v>
      </c>
      <c r="O4973" s="4" t="s">
        <v>63</v>
      </c>
      <c r="P4973" s="4" t="s">
        <v>64</v>
      </c>
    </row>
    <row r="4974">
      <c r="A4974" s="4" t="s">
        <v>7013</v>
      </c>
      <c r="B4974" s="4" t="s">
        <v>7014</v>
      </c>
      <c r="C4974" s="4">
        <v>923.0</v>
      </c>
      <c r="D4974" s="5" t="str">
        <f t="shared" ref="D4974:D4975" si="1253">HYPERLINK("https://www.linkedin.com/ad-library/detail/913354754","Open Ad")</f>
        <v>Open Ad</v>
      </c>
      <c r="E4974" s="4" t="s">
        <v>78</v>
      </c>
      <c r="F4974" s="4" t="s">
        <v>6765</v>
      </c>
      <c r="G4974" s="4" t="s">
        <v>7125</v>
      </c>
      <c r="H4974" s="4" t="s">
        <v>49</v>
      </c>
      <c r="I4974" s="4" t="s">
        <v>7016</v>
      </c>
      <c r="J4974" s="4" t="s">
        <v>78</v>
      </c>
      <c r="K4974" s="7" t="str">
        <f t="shared" ref="K4974:K4975" si="1254">HYPERLINK("https://media.licdn.com/dms/image/v2/D4E10AQGCEicWihyXBg/image-shrink_1280/B4EZqC_RgBKcAM-/0/1763134217156/02_DarkMode_BlackFriday_2025?e=2147483647&amp;v=beta&amp;t=DWqHNXUw-Qvi6BwVitajcVLKefJKn0rH1xGu0yHXy6I","View Creative")</f>
        <v>View Creative</v>
      </c>
      <c r="L4974" s="4" t="s">
        <v>60</v>
      </c>
      <c r="M4974" s="4" t="s">
        <v>7013</v>
      </c>
      <c r="N4974" s="4" t="s">
        <v>7130</v>
      </c>
      <c r="O4974" s="4" t="s">
        <v>63</v>
      </c>
      <c r="P4974" s="4" t="s">
        <v>64</v>
      </c>
    </row>
    <row r="4975">
      <c r="A4975" s="4" t="s">
        <v>7013</v>
      </c>
      <c r="B4975" s="4" t="s">
        <v>7014</v>
      </c>
      <c r="C4975" s="4">
        <v>924.0</v>
      </c>
      <c r="D4975" s="5" t="str">
        <f t="shared" si="1253"/>
        <v>Open Ad</v>
      </c>
      <c r="E4975" s="4" t="s">
        <v>78</v>
      </c>
      <c r="F4975" s="4" t="s">
        <v>6765</v>
      </c>
      <c r="G4975" s="4" t="s">
        <v>7125</v>
      </c>
      <c r="H4975" s="4" t="s">
        <v>49</v>
      </c>
      <c r="I4975" s="4" t="s">
        <v>7016</v>
      </c>
      <c r="J4975" s="4" t="s">
        <v>78</v>
      </c>
      <c r="K4975" s="7" t="str">
        <f t="shared" si="1254"/>
        <v>View Creative</v>
      </c>
      <c r="L4975" s="4" t="s">
        <v>60</v>
      </c>
      <c r="M4975" s="4" t="s">
        <v>7013</v>
      </c>
      <c r="N4975" s="4" t="s">
        <v>7130</v>
      </c>
      <c r="O4975" s="4" t="s">
        <v>63</v>
      </c>
      <c r="P4975" s="4" t="s">
        <v>64</v>
      </c>
    </row>
    <row r="4976">
      <c r="A4976" s="4" t="s">
        <v>7013</v>
      </c>
      <c r="B4976" s="4" t="s">
        <v>7014</v>
      </c>
      <c r="C4976" s="4">
        <v>925.0</v>
      </c>
      <c r="D4976" s="5" t="str">
        <f t="shared" ref="D4976:D4977" si="1255">HYPERLINK("https://www.linkedin.com/ad-library/detail/913295314","Open Ad")</f>
        <v>Open Ad</v>
      </c>
      <c r="E4976" s="4" t="s">
        <v>78</v>
      </c>
      <c r="F4976" s="4" t="s">
        <v>6765</v>
      </c>
      <c r="G4976" s="4" t="s">
        <v>7116</v>
      </c>
      <c r="H4976" s="4" t="s">
        <v>49</v>
      </c>
      <c r="I4976" s="4" t="s">
        <v>7016</v>
      </c>
      <c r="J4976" s="4" t="s">
        <v>78</v>
      </c>
      <c r="K4976" s="7" t="str">
        <f t="shared" ref="K4976:K4977" si="1256">HYPERLINK("https://media.licdn.com/dms/image/v2/D4E10AQH4KbJnron-hg/image-shrink_1280/B4EZqC5azGIoAQ-/0/1763132682276/03_LightMode_BF_2025?e=2147483647&amp;v=beta&amp;t=2fD2NHgMBWscabGamUhK9kIggk9EgVdJ7at1LyNyAdY","View Creative")</f>
        <v>View Creative</v>
      </c>
      <c r="L4976" s="4" t="s">
        <v>60</v>
      </c>
      <c r="M4976" s="4" t="s">
        <v>7013</v>
      </c>
      <c r="N4976" s="4" t="s">
        <v>7130</v>
      </c>
      <c r="O4976" s="4" t="s">
        <v>63</v>
      </c>
      <c r="P4976" s="4" t="s">
        <v>64</v>
      </c>
    </row>
    <row r="4977">
      <c r="A4977" s="4" t="s">
        <v>7013</v>
      </c>
      <c r="B4977" s="4" t="s">
        <v>7014</v>
      </c>
      <c r="C4977" s="4">
        <v>926.0</v>
      </c>
      <c r="D4977" s="5" t="str">
        <f t="shared" si="1255"/>
        <v>Open Ad</v>
      </c>
      <c r="E4977" s="4" t="s">
        <v>78</v>
      </c>
      <c r="F4977" s="4" t="s">
        <v>6765</v>
      </c>
      <c r="G4977" s="4" t="s">
        <v>7116</v>
      </c>
      <c r="H4977" s="4" t="s">
        <v>49</v>
      </c>
      <c r="I4977" s="4" t="s">
        <v>7016</v>
      </c>
      <c r="J4977" s="4" t="s">
        <v>78</v>
      </c>
      <c r="K4977" s="7" t="str">
        <f t="shared" si="1256"/>
        <v>View Creative</v>
      </c>
      <c r="L4977" s="4" t="s">
        <v>60</v>
      </c>
      <c r="M4977" s="4" t="s">
        <v>7013</v>
      </c>
      <c r="N4977" s="4" t="s">
        <v>7130</v>
      </c>
      <c r="O4977" s="4" t="s">
        <v>63</v>
      </c>
      <c r="P4977" s="4" t="s">
        <v>64</v>
      </c>
    </row>
    <row r="4978">
      <c r="A4978" s="4" t="s">
        <v>7013</v>
      </c>
      <c r="B4978" s="4" t="s">
        <v>7014</v>
      </c>
      <c r="C4978" s="4">
        <v>927.0</v>
      </c>
      <c r="D4978" s="5" t="str">
        <f t="shared" ref="D4978:D4979" si="1257">HYPERLINK("https://www.linkedin.com/ad-library/detail/913276954","Open Ad")</f>
        <v>Open Ad</v>
      </c>
      <c r="E4978" s="4" t="s">
        <v>78</v>
      </c>
      <c r="F4978" s="4" t="s">
        <v>6765</v>
      </c>
      <c r="G4978" s="4" t="s">
        <v>7106</v>
      </c>
      <c r="H4978" s="4" t="s">
        <v>49</v>
      </c>
      <c r="I4978" s="4" t="s">
        <v>7016</v>
      </c>
      <c r="J4978" s="4" t="s">
        <v>78</v>
      </c>
      <c r="K4978" s="7" t="str">
        <f t="shared" ref="K4978:K4979" si="1258">HYPERLINK("https://media.licdn.com/dms/image/v2/D4E10AQEKGerJblQZtQ/image-shrink_1280/B4EZqC4qbTHgAM-/0/1763132484063/01_LightMode_BF_2025?e=2147483647&amp;v=beta&amp;t=BYRBuTv9G2TDFiwenmckUQPfsShbEby7_m0ZQnM1TMQ","View Creative")</f>
        <v>View Creative</v>
      </c>
      <c r="L4978" s="4" t="s">
        <v>60</v>
      </c>
      <c r="M4978" s="4" t="s">
        <v>7013</v>
      </c>
      <c r="N4978" s="4" t="s">
        <v>7129</v>
      </c>
      <c r="O4978" s="4" t="s">
        <v>63</v>
      </c>
      <c r="P4978" s="4" t="s">
        <v>64</v>
      </c>
    </row>
    <row r="4979">
      <c r="A4979" s="4" t="s">
        <v>7013</v>
      </c>
      <c r="B4979" s="4" t="s">
        <v>7014</v>
      </c>
      <c r="C4979" s="4">
        <v>928.0</v>
      </c>
      <c r="D4979" s="5" t="str">
        <f t="shared" si="1257"/>
        <v>Open Ad</v>
      </c>
      <c r="E4979" s="4" t="s">
        <v>78</v>
      </c>
      <c r="F4979" s="4" t="s">
        <v>6765</v>
      </c>
      <c r="G4979" s="4" t="s">
        <v>7106</v>
      </c>
      <c r="H4979" s="4" t="s">
        <v>49</v>
      </c>
      <c r="I4979" s="4" t="s">
        <v>7016</v>
      </c>
      <c r="J4979" s="4" t="s">
        <v>78</v>
      </c>
      <c r="K4979" s="7" t="str">
        <f t="shared" si="1258"/>
        <v>View Creative</v>
      </c>
      <c r="L4979" s="4" t="s">
        <v>60</v>
      </c>
      <c r="M4979" s="4" t="s">
        <v>7013</v>
      </c>
      <c r="N4979" s="4" t="s">
        <v>7129</v>
      </c>
      <c r="O4979" s="4" t="s">
        <v>63</v>
      </c>
      <c r="P4979" s="4" t="s">
        <v>64</v>
      </c>
    </row>
    <row r="4980">
      <c r="A4980" s="4" t="s">
        <v>7013</v>
      </c>
      <c r="B4980" s="4" t="s">
        <v>7014</v>
      </c>
      <c r="C4980" s="4">
        <v>929.0</v>
      </c>
      <c r="D4980" s="5" t="str">
        <f t="shared" ref="D4980:D4981" si="1259">HYPERLINK("https://www.linkedin.com/ad-library/detail/913325124","Open Ad")</f>
        <v>Open Ad</v>
      </c>
      <c r="E4980" s="4" t="s">
        <v>78</v>
      </c>
      <c r="F4980" s="4" t="s">
        <v>6765</v>
      </c>
      <c r="G4980" s="4" t="s">
        <v>7128</v>
      </c>
      <c r="H4980" s="4" t="s">
        <v>49</v>
      </c>
      <c r="I4980" s="4" t="s">
        <v>7016</v>
      </c>
      <c r="J4980" s="4" t="s">
        <v>78</v>
      </c>
      <c r="K4980" s="7" t="str">
        <f t="shared" ref="K4980:K4981" si="1260">HYPERLINK("https://media.licdn.com/dms/image/v2/D4E10AQH5LV07JtBuaQ/image-shrink_1280/B4EZqC6R8nKMAQ-/0/1763132908157/04_Image_LightMode_BF_2025?e=2147483647&amp;v=beta&amp;t=0LIBL9DELBXLrwDrF_u1qNBjgAc35mM-OPOwvdYz4ds","View Creative")</f>
        <v>View Creative</v>
      </c>
      <c r="L4980" s="4" t="s">
        <v>60</v>
      </c>
      <c r="M4980" s="4" t="s">
        <v>7013</v>
      </c>
      <c r="N4980" s="4" t="s">
        <v>7130</v>
      </c>
      <c r="O4980" s="4" t="s">
        <v>63</v>
      </c>
      <c r="P4980" s="4" t="s">
        <v>64</v>
      </c>
    </row>
    <row r="4981">
      <c r="A4981" s="4" t="s">
        <v>7013</v>
      </c>
      <c r="B4981" s="4" t="s">
        <v>7014</v>
      </c>
      <c r="C4981" s="4">
        <v>930.0</v>
      </c>
      <c r="D4981" s="5" t="str">
        <f t="shared" si="1259"/>
        <v>Open Ad</v>
      </c>
      <c r="E4981" s="4" t="s">
        <v>78</v>
      </c>
      <c r="F4981" s="4" t="s">
        <v>6765</v>
      </c>
      <c r="G4981" s="4" t="s">
        <v>7128</v>
      </c>
      <c r="H4981" s="4" t="s">
        <v>49</v>
      </c>
      <c r="I4981" s="4" t="s">
        <v>7016</v>
      </c>
      <c r="J4981" s="4" t="s">
        <v>78</v>
      </c>
      <c r="K4981" s="7" t="str">
        <f t="shared" si="1260"/>
        <v>View Creative</v>
      </c>
      <c r="L4981" s="4" t="s">
        <v>60</v>
      </c>
      <c r="M4981" s="4" t="s">
        <v>7013</v>
      </c>
      <c r="N4981" s="4" t="s">
        <v>7130</v>
      </c>
      <c r="O4981" s="4" t="s">
        <v>63</v>
      </c>
      <c r="P4981" s="4" t="s">
        <v>64</v>
      </c>
    </row>
    <row r="4982">
      <c r="A4982" s="4" t="s">
        <v>7013</v>
      </c>
      <c r="B4982" s="4" t="s">
        <v>7014</v>
      </c>
      <c r="C4982" s="4">
        <v>931.0</v>
      </c>
      <c r="D4982" s="5" t="str">
        <f t="shared" ref="D4982:D4983" si="1261">HYPERLINK("https://www.linkedin.com/ad-library/detail/913463464","Open Ad")</f>
        <v>Open Ad</v>
      </c>
      <c r="E4982" s="4" t="s">
        <v>78</v>
      </c>
      <c r="F4982" s="4" t="s">
        <v>6765</v>
      </c>
      <c r="G4982" s="4" t="s">
        <v>7125</v>
      </c>
      <c r="H4982" s="4" t="s">
        <v>49</v>
      </c>
      <c r="I4982" s="4" t="s">
        <v>7016</v>
      </c>
      <c r="J4982" s="4" t="s">
        <v>78</v>
      </c>
      <c r="K4982" s="7" t="str">
        <f t="shared" ref="K4982:K4985" si="1262">HYPERLINK("https://media.licdn.com/dms/image/v2/D4E10AQExygu8AmuOmw/image-shrink_1280/B4EZqC5GOmGUAM-/0/1763132598114/02_LightMode_BF_2025?e=2147483647&amp;v=beta&amp;t=huCdzTSSBLgvS1PKW4ETHCc_90K74NHn2-dpejqxOG8","View Creative")</f>
        <v>View Creative</v>
      </c>
      <c r="L4982" s="4" t="s">
        <v>60</v>
      </c>
      <c r="M4982" s="4" t="s">
        <v>7013</v>
      </c>
      <c r="N4982" s="4" t="s">
        <v>7130</v>
      </c>
      <c r="O4982" s="4" t="s">
        <v>63</v>
      </c>
      <c r="P4982" s="4" t="s">
        <v>64</v>
      </c>
    </row>
    <row r="4983">
      <c r="A4983" s="4" t="s">
        <v>7013</v>
      </c>
      <c r="B4983" s="4" t="s">
        <v>7014</v>
      </c>
      <c r="C4983" s="4">
        <v>932.0</v>
      </c>
      <c r="D4983" s="5" t="str">
        <f t="shared" si="1261"/>
        <v>Open Ad</v>
      </c>
      <c r="E4983" s="4" t="s">
        <v>78</v>
      </c>
      <c r="F4983" s="4" t="s">
        <v>6765</v>
      </c>
      <c r="G4983" s="4" t="s">
        <v>7125</v>
      </c>
      <c r="H4983" s="4" t="s">
        <v>49</v>
      </c>
      <c r="I4983" s="4" t="s">
        <v>7016</v>
      </c>
      <c r="J4983" s="4" t="s">
        <v>78</v>
      </c>
      <c r="K4983" s="7" t="str">
        <f t="shared" si="1262"/>
        <v>View Creative</v>
      </c>
      <c r="L4983" s="4" t="s">
        <v>60</v>
      </c>
      <c r="M4983" s="4" t="s">
        <v>7013</v>
      </c>
      <c r="N4983" s="4" t="s">
        <v>7130</v>
      </c>
      <c r="O4983" s="4" t="s">
        <v>63</v>
      </c>
      <c r="P4983" s="4" t="s">
        <v>64</v>
      </c>
    </row>
    <row r="4984">
      <c r="A4984" s="4" t="s">
        <v>7013</v>
      </c>
      <c r="B4984" s="4" t="s">
        <v>7014</v>
      </c>
      <c r="C4984" s="4">
        <v>933.0</v>
      </c>
      <c r="D4984" s="5" t="str">
        <f t="shared" ref="D4984:D4985" si="1263">HYPERLINK("https://www.linkedin.com/ad-library/detail/913502524","Open Ad")</f>
        <v>Open Ad</v>
      </c>
      <c r="E4984" s="4" t="s">
        <v>78</v>
      </c>
      <c r="F4984" s="4" t="s">
        <v>6765</v>
      </c>
      <c r="G4984" s="4" t="s">
        <v>7125</v>
      </c>
      <c r="H4984" s="4" t="s">
        <v>49</v>
      </c>
      <c r="I4984" s="4" t="s">
        <v>7016</v>
      </c>
      <c r="J4984" s="4" t="s">
        <v>78</v>
      </c>
      <c r="K4984" s="7" t="str">
        <f t="shared" si="1262"/>
        <v>View Creative</v>
      </c>
      <c r="L4984" s="4" t="s">
        <v>60</v>
      </c>
      <c r="M4984" s="4" t="s">
        <v>7013</v>
      </c>
      <c r="N4984" s="4" t="s">
        <v>7129</v>
      </c>
      <c r="O4984" s="4" t="s">
        <v>63</v>
      </c>
      <c r="P4984" s="4" t="s">
        <v>64</v>
      </c>
    </row>
    <row r="4985">
      <c r="A4985" s="4" t="s">
        <v>7013</v>
      </c>
      <c r="B4985" s="4" t="s">
        <v>7014</v>
      </c>
      <c r="C4985" s="4">
        <v>934.0</v>
      </c>
      <c r="D4985" s="5" t="str">
        <f t="shared" si="1263"/>
        <v>Open Ad</v>
      </c>
      <c r="E4985" s="4" t="s">
        <v>78</v>
      </c>
      <c r="F4985" s="4" t="s">
        <v>6765</v>
      </c>
      <c r="G4985" s="4" t="s">
        <v>7125</v>
      </c>
      <c r="H4985" s="4" t="s">
        <v>49</v>
      </c>
      <c r="I4985" s="4" t="s">
        <v>7016</v>
      </c>
      <c r="J4985" s="4" t="s">
        <v>78</v>
      </c>
      <c r="K4985" s="7" t="str">
        <f t="shared" si="1262"/>
        <v>View Creative</v>
      </c>
      <c r="L4985" s="4" t="s">
        <v>60</v>
      </c>
      <c r="M4985" s="4" t="s">
        <v>7013</v>
      </c>
      <c r="N4985" s="4" t="s">
        <v>7129</v>
      </c>
      <c r="O4985" s="4" t="s">
        <v>63</v>
      </c>
      <c r="P4985" s="4" t="s">
        <v>64</v>
      </c>
    </row>
    <row r="4986">
      <c r="A4986" s="4" t="s">
        <v>7013</v>
      </c>
      <c r="B4986" s="4" t="s">
        <v>7014</v>
      </c>
      <c r="C4986" s="4">
        <v>935.0</v>
      </c>
      <c r="D4986" s="5" t="str">
        <f t="shared" ref="D4986:D4987" si="1264">HYPERLINK("https://www.linkedin.com/ad-library/detail/913374464","Open Ad")</f>
        <v>Open Ad</v>
      </c>
      <c r="E4986" s="4" t="s">
        <v>78</v>
      </c>
      <c r="F4986" s="4" t="s">
        <v>6765</v>
      </c>
      <c r="G4986" s="4" t="s">
        <v>7106</v>
      </c>
      <c r="H4986" s="4" t="s">
        <v>49</v>
      </c>
      <c r="I4986" s="4" t="s">
        <v>7016</v>
      </c>
      <c r="J4986" s="4" t="s">
        <v>78</v>
      </c>
      <c r="K4986" s="7" t="str">
        <f t="shared" ref="K4986:K4987" si="1265">HYPERLINK("https://media.licdn.com/dms/image/v2/D4E10AQEKGerJblQZtQ/image-shrink_1280/B4EZqC4qbTHgAM-/0/1763132484063/01_LightMode_BF_2025?e=2147483647&amp;v=beta&amp;t=BYRBuTv9G2TDFiwenmckUQPfsShbEby7_m0ZQnM1TMQ","View Creative")</f>
        <v>View Creative</v>
      </c>
      <c r="L4986" s="4" t="s">
        <v>60</v>
      </c>
      <c r="M4986" s="4" t="s">
        <v>7013</v>
      </c>
      <c r="N4986" s="4" t="s">
        <v>7130</v>
      </c>
      <c r="O4986" s="4" t="s">
        <v>63</v>
      </c>
      <c r="P4986" s="4" t="s">
        <v>64</v>
      </c>
    </row>
    <row r="4987">
      <c r="A4987" s="4" t="s">
        <v>7013</v>
      </c>
      <c r="B4987" s="4" t="s">
        <v>7014</v>
      </c>
      <c r="C4987" s="4">
        <v>936.0</v>
      </c>
      <c r="D4987" s="5" t="str">
        <f t="shared" si="1264"/>
        <v>Open Ad</v>
      </c>
      <c r="E4987" s="4" t="s">
        <v>78</v>
      </c>
      <c r="F4987" s="4" t="s">
        <v>6765</v>
      </c>
      <c r="G4987" s="4" t="s">
        <v>7106</v>
      </c>
      <c r="H4987" s="4" t="s">
        <v>49</v>
      </c>
      <c r="I4987" s="4" t="s">
        <v>7016</v>
      </c>
      <c r="J4987" s="4" t="s">
        <v>78</v>
      </c>
      <c r="K4987" s="7" t="str">
        <f t="shared" si="1265"/>
        <v>View Creative</v>
      </c>
      <c r="L4987" s="4" t="s">
        <v>60</v>
      </c>
      <c r="M4987" s="4" t="s">
        <v>7013</v>
      </c>
      <c r="N4987" s="4" t="s">
        <v>7130</v>
      </c>
      <c r="O4987" s="4" t="s">
        <v>63</v>
      </c>
      <c r="P4987" s="4" t="s">
        <v>64</v>
      </c>
    </row>
    <row r="4988">
      <c r="A4988" s="4" t="s">
        <v>7013</v>
      </c>
      <c r="B4988" s="4" t="s">
        <v>7014</v>
      </c>
      <c r="C4988" s="4">
        <v>937.0</v>
      </c>
      <c r="D4988" s="5" t="str">
        <f t="shared" ref="D4988:D4989" si="1266">HYPERLINK("https://www.linkedin.com/ad-library/detail/913305384","Open Ad")</f>
        <v>Open Ad</v>
      </c>
      <c r="E4988" s="4" t="s">
        <v>78</v>
      </c>
      <c r="F4988" s="4" t="s">
        <v>6765</v>
      </c>
      <c r="G4988" s="4" t="s">
        <v>7128</v>
      </c>
      <c r="H4988" s="4" t="s">
        <v>49</v>
      </c>
      <c r="I4988" s="4" t="s">
        <v>7016</v>
      </c>
      <c r="J4988" s="4" t="s">
        <v>78</v>
      </c>
      <c r="K4988" s="7" t="str">
        <f t="shared" ref="K4988:K4989" si="1267">HYPERLINK("https://media.licdn.com/dms/image/v2/D4E10AQHNqKZuZJ-Kcw/image-shrink_1280/B4EZqC_GxQJgAM-/0/1763134173013/04_DarkMode_BlackFriday_2025?e=2147483647&amp;v=beta&amp;t=98YDnUQABZ9RILH9tTs1mPH8w_5i4cDy_RtMAaJfCGE","View Creative")</f>
        <v>View Creative</v>
      </c>
      <c r="L4988" s="4" t="s">
        <v>60</v>
      </c>
      <c r="M4988" s="4" t="s">
        <v>7013</v>
      </c>
      <c r="N4988" s="4" t="s">
        <v>7130</v>
      </c>
      <c r="O4988" s="4" t="s">
        <v>63</v>
      </c>
      <c r="P4988" s="4" t="s">
        <v>64</v>
      </c>
    </row>
    <row r="4989">
      <c r="A4989" s="4" t="s">
        <v>7013</v>
      </c>
      <c r="B4989" s="4" t="s">
        <v>7014</v>
      </c>
      <c r="C4989" s="4">
        <v>938.0</v>
      </c>
      <c r="D4989" s="5" t="str">
        <f t="shared" si="1266"/>
        <v>Open Ad</v>
      </c>
      <c r="E4989" s="4" t="s">
        <v>78</v>
      </c>
      <c r="F4989" s="4" t="s">
        <v>6765</v>
      </c>
      <c r="G4989" s="4" t="s">
        <v>7128</v>
      </c>
      <c r="H4989" s="4" t="s">
        <v>49</v>
      </c>
      <c r="I4989" s="4" t="s">
        <v>7016</v>
      </c>
      <c r="J4989" s="4" t="s">
        <v>78</v>
      </c>
      <c r="K4989" s="7" t="str">
        <f t="shared" si="1267"/>
        <v>View Creative</v>
      </c>
      <c r="L4989" s="4" t="s">
        <v>60</v>
      </c>
      <c r="M4989" s="4" t="s">
        <v>7013</v>
      </c>
      <c r="N4989" s="4" t="s">
        <v>7130</v>
      </c>
      <c r="O4989" s="4" t="s">
        <v>63</v>
      </c>
      <c r="P4989" s="4" t="s">
        <v>64</v>
      </c>
    </row>
    <row r="4990">
      <c r="A4990" s="4" t="s">
        <v>7013</v>
      </c>
      <c r="B4990" s="4" t="s">
        <v>7014</v>
      </c>
      <c r="C4990" s="4">
        <v>939.0</v>
      </c>
      <c r="D4990" s="5" t="str">
        <f t="shared" ref="D4990:D4991" si="1268">HYPERLINK("https://www.linkedin.com/ad-library/detail/913305274","Open Ad")</f>
        <v>Open Ad</v>
      </c>
      <c r="E4990" s="4" t="s">
        <v>78</v>
      </c>
      <c r="F4990" s="4" t="s">
        <v>6765</v>
      </c>
      <c r="G4990" s="4" t="s">
        <v>7116</v>
      </c>
      <c r="H4990" s="4" t="s">
        <v>49</v>
      </c>
      <c r="I4990" s="4" t="s">
        <v>7016</v>
      </c>
      <c r="J4990" s="4" t="s">
        <v>78</v>
      </c>
      <c r="K4990" s="7" t="str">
        <f t="shared" ref="K4990:K4991" si="1269">HYPERLINK("https://media.licdn.com/dms/image/v2/D4E10AQH4KbJnron-hg/image-shrink_1280/B4EZqC5azGIoAQ-/0/1763132682276/03_LightMode_BF_2025?e=2147483647&amp;v=beta&amp;t=2fD2NHgMBWscabGamUhK9kIggk9EgVdJ7at1LyNyAdY","View Creative")</f>
        <v>View Creative</v>
      </c>
      <c r="L4990" s="4" t="s">
        <v>60</v>
      </c>
      <c r="M4990" s="4" t="s">
        <v>7013</v>
      </c>
      <c r="N4990" s="4" t="s">
        <v>7130</v>
      </c>
      <c r="O4990" s="4" t="s">
        <v>63</v>
      </c>
      <c r="P4990" s="4" t="s">
        <v>64</v>
      </c>
    </row>
    <row r="4991">
      <c r="A4991" s="4" t="s">
        <v>7013</v>
      </c>
      <c r="B4991" s="4" t="s">
        <v>7014</v>
      </c>
      <c r="C4991" s="4">
        <v>940.0</v>
      </c>
      <c r="D4991" s="5" t="str">
        <f t="shared" si="1268"/>
        <v>Open Ad</v>
      </c>
      <c r="E4991" s="4" t="s">
        <v>78</v>
      </c>
      <c r="F4991" s="4" t="s">
        <v>6765</v>
      </c>
      <c r="G4991" s="4" t="s">
        <v>7116</v>
      </c>
      <c r="H4991" s="4" t="s">
        <v>49</v>
      </c>
      <c r="I4991" s="4" t="s">
        <v>7016</v>
      </c>
      <c r="J4991" s="4" t="s">
        <v>78</v>
      </c>
      <c r="K4991" s="7" t="str">
        <f t="shared" si="1269"/>
        <v>View Creative</v>
      </c>
      <c r="L4991" s="4" t="s">
        <v>60</v>
      </c>
      <c r="M4991" s="4" t="s">
        <v>7013</v>
      </c>
      <c r="N4991" s="4" t="s">
        <v>7130</v>
      </c>
      <c r="O4991" s="4" t="s">
        <v>63</v>
      </c>
      <c r="P4991" s="4" t="s">
        <v>64</v>
      </c>
    </row>
    <row r="4992">
      <c r="A4992" s="4" t="s">
        <v>7013</v>
      </c>
      <c r="B4992" s="4" t="s">
        <v>7014</v>
      </c>
      <c r="C4992" s="4">
        <v>941.0</v>
      </c>
      <c r="D4992" s="5" t="str">
        <f t="shared" ref="D4992:D4993" si="1270">HYPERLINK("https://www.linkedin.com/ad-library/detail/913384434","Open Ad")</f>
        <v>Open Ad</v>
      </c>
      <c r="E4992" s="4" t="s">
        <v>78</v>
      </c>
      <c r="F4992" s="4" t="s">
        <v>6765</v>
      </c>
      <c r="G4992" s="4" t="s">
        <v>7106</v>
      </c>
      <c r="H4992" s="4" t="s">
        <v>49</v>
      </c>
      <c r="I4992" s="4" t="s">
        <v>7016</v>
      </c>
      <c r="J4992" s="4" t="s">
        <v>78</v>
      </c>
      <c r="K4992" s="7" t="str">
        <f t="shared" ref="K4992:K4993" si="1271">HYPERLINK("https://media.licdn.com/dms/image/v2/D4E10AQEKGerJblQZtQ/image-shrink_1280/B4EZqC4qbTHgAM-/0/1763132484063/01_LightMode_BF_2025?e=2147483647&amp;v=beta&amp;t=BYRBuTv9G2TDFiwenmckUQPfsShbEby7_m0ZQnM1TMQ","View Creative")</f>
        <v>View Creative</v>
      </c>
      <c r="L4992" s="4" t="s">
        <v>60</v>
      </c>
      <c r="M4992" s="4" t="s">
        <v>7013</v>
      </c>
      <c r="N4992" s="4" t="s">
        <v>7130</v>
      </c>
      <c r="O4992" s="4" t="s">
        <v>63</v>
      </c>
      <c r="P4992" s="4" t="s">
        <v>64</v>
      </c>
    </row>
    <row r="4993">
      <c r="A4993" s="4" t="s">
        <v>7013</v>
      </c>
      <c r="B4993" s="4" t="s">
        <v>7014</v>
      </c>
      <c r="C4993" s="4">
        <v>942.0</v>
      </c>
      <c r="D4993" s="5" t="str">
        <f t="shared" si="1270"/>
        <v>Open Ad</v>
      </c>
      <c r="E4993" s="4" t="s">
        <v>78</v>
      </c>
      <c r="F4993" s="4" t="s">
        <v>6765</v>
      </c>
      <c r="G4993" s="4" t="s">
        <v>7106</v>
      </c>
      <c r="H4993" s="4" t="s">
        <v>49</v>
      </c>
      <c r="I4993" s="4" t="s">
        <v>7016</v>
      </c>
      <c r="J4993" s="4" t="s">
        <v>78</v>
      </c>
      <c r="K4993" s="7" t="str">
        <f t="shared" si="1271"/>
        <v>View Creative</v>
      </c>
      <c r="L4993" s="4" t="s">
        <v>60</v>
      </c>
      <c r="M4993" s="4" t="s">
        <v>7013</v>
      </c>
      <c r="N4993" s="4" t="s">
        <v>7130</v>
      </c>
      <c r="O4993" s="4" t="s">
        <v>63</v>
      </c>
      <c r="P4993" s="4" t="s">
        <v>64</v>
      </c>
    </row>
    <row r="4994">
      <c r="A4994" s="4" t="s">
        <v>7013</v>
      </c>
      <c r="B4994" s="4" t="s">
        <v>7014</v>
      </c>
      <c r="C4994" s="4">
        <v>943.0</v>
      </c>
      <c r="D4994" s="5" t="str">
        <f t="shared" ref="D4994:D4995" si="1272">HYPERLINK("https://www.linkedin.com/ad-library/detail/913384554","Open Ad")</f>
        <v>Open Ad</v>
      </c>
      <c r="E4994" s="4" t="s">
        <v>78</v>
      </c>
      <c r="F4994" s="4" t="s">
        <v>6765</v>
      </c>
      <c r="G4994" s="4" t="s">
        <v>7116</v>
      </c>
      <c r="H4994" s="4" t="s">
        <v>49</v>
      </c>
      <c r="I4994" s="4" t="s">
        <v>7016</v>
      </c>
      <c r="J4994" s="4" t="s">
        <v>78</v>
      </c>
      <c r="K4994" s="7" t="str">
        <f t="shared" ref="K4994:K4995" si="1273">HYPERLINK("https://media.licdn.com/dms/image/v2/D4E10AQH4KbJnron-hg/image-shrink_1280/B4EZqC5azGIoAQ-/0/1763132682276/03_LightMode_BF_2025?e=2147483647&amp;v=beta&amp;t=2fD2NHgMBWscabGamUhK9kIggk9EgVdJ7at1LyNyAdY","View Creative")</f>
        <v>View Creative</v>
      </c>
      <c r="L4994" s="4" t="s">
        <v>60</v>
      </c>
      <c r="M4994" s="4" t="s">
        <v>7013</v>
      </c>
      <c r="N4994" s="4" t="s">
        <v>7129</v>
      </c>
      <c r="O4994" s="4" t="s">
        <v>63</v>
      </c>
      <c r="P4994" s="4" t="s">
        <v>64</v>
      </c>
    </row>
    <row r="4995">
      <c r="A4995" s="4" t="s">
        <v>7013</v>
      </c>
      <c r="B4995" s="4" t="s">
        <v>7014</v>
      </c>
      <c r="C4995" s="4">
        <v>944.0</v>
      </c>
      <c r="D4995" s="5" t="str">
        <f t="shared" si="1272"/>
        <v>Open Ad</v>
      </c>
      <c r="E4995" s="4" t="s">
        <v>78</v>
      </c>
      <c r="F4995" s="4" t="s">
        <v>6765</v>
      </c>
      <c r="G4995" s="4" t="s">
        <v>7116</v>
      </c>
      <c r="H4995" s="4" t="s">
        <v>49</v>
      </c>
      <c r="I4995" s="4" t="s">
        <v>7016</v>
      </c>
      <c r="J4995" s="4" t="s">
        <v>78</v>
      </c>
      <c r="K4995" s="7" t="str">
        <f t="shared" si="1273"/>
        <v>View Creative</v>
      </c>
      <c r="L4995" s="4" t="s">
        <v>60</v>
      </c>
      <c r="M4995" s="4" t="s">
        <v>7013</v>
      </c>
      <c r="N4995" s="4" t="s">
        <v>7129</v>
      </c>
      <c r="O4995" s="4" t="s">
        <v>63</v>
      </c>
      <c r="P4995" s="4" t="s">
        <v>64</v>
      </c>
    </row>
    <row r="4996">
      <c r="A4996" s="4" t="s">
        <v>7013</v>
      </c>
      <c r="B4996" s="4" t="s">
        <v>7014</v>
      </c>
      <c r="C4996" s="4">
        <v>945.0</v>
      </c>
      <c r="D4996" s="5" t="str">
        <f t="shared" ref="D4996:D4997" si="1274">HYPERLINK("https://www.linkedin.com/ad-library/detail/913374734","Open Ad")</f>
        <v>Open Ad</v>
      </c>
      <c r="E4996" s="4" t="s">
        <v>78</v>
      </c>
      <c r="F4996" s="4" t="s">
        <v>6765</v>
      </c>
      <c r="G4996" s="4" t="s">
        <v>7106</v>
      </c>
      <c r="H4996" s="4" t="s">
        <v>49</v>
      </c>
      <c r="I4996" s="4" t="s">
        <v>7016</v>
      </c>
      <c r="J4996" s="4" t="s">
        <v>78</v>
      </c>
      <c r="K4996" s="7" t="str">
        <f t="shared" ref="K4996:K4997" si="1275">HYPERLINK("https://media.licdn.com/dms/image/v2/D4E10AQFexWlh0MX-gA/image-shrink_1280/B4EZqC_cRHKcAM-/0/1763134261281/01_DarkMode_BlackFriday_2025?e=2147483647&amp;v=beta&amp;t=uSZ5rrxoO0HNeiPSoheV2lqfeveTwcg1El6k2WfkDAM","View Creative")</f>
        <v>View Creative</v>
      </c>
      <c r="L4996" s="4" t="s">
        <v>60</v>
      </c>
      <c r="M4996" s="4" t="s">
        <v>7013</v>
      </c>
      <c r="N4996" s="4" t="s">
        <v>7130</v>
      </c>
      <c r="O4996" s="4" t="s">
        <v>63</v>
      </c>
      <c r="P4996" s="4" t="s">
        <v>64</v>
      </c>
    </row>
    <row r="4997">
      <c r="A4997" s="4" t="s">
        <v>7013</v>
      </c>
      <c r="B4997" s="4" t="s">
        <v>7014</v>
      </c>
      <c r="C4997" s="4">
        <v>946.0</v>
      </c>
      <c r="D4997" s="5" t="str">
        <f t="shared" si="1274"/>
        <v>Open Ad</v>
      </c>
      <c r="E4997" s="4" t="s">
        <v>78</v>
      </c>
      <c r="F4997" s="4" t="s">
        <v>6765</v>
      </c>
      <c r="G4997" s="4" t="s">
        <v>7106</v>
      </c>
      <c r="H4997" s="4" t="s">
        <v>49</v>
      </c>
      <c r="I4997" s="4" t="s">
        <v>7016</v>
      </c>
      <c r="J4997" s="4" t="s">
        <v>78</v>
      </c>
      <c r="K4997" s="7" t="str">
        <f t="shared" si="1275"/>
        <v>View Creative</v>
      </c>
      <c r="L4997" s="4" t="s">
        <v>60</v>
      </c>
      <c r="M4997" s="4" t="s">
        <v>7013</v>
      </c>
      <c r="N4997" s="4" t="s">
        <v>7130</v>
      </c>
      <c r="O4997" s="4" t="s">
        <v>63</v>
      </c>
      <c r="P4997" s="4" t="s">
        <v>64</v>
      </c>
    </row>
    <row r="4998">
      <c r="A4998" s="4" t="s">
        <v>7013</v>
      </c>
      <c r="B4998" s="4" t="s">
        <v>7014</v>
      </c>
      <c r="C4998" s="4">
        <v>947.0</v>
      </c>
      <c r="D4998" s="5" t="str">
        <f t="shared" ref="D4998:D4999" si="1276">HYPERLINK("https://www.linkedin.com/ad-library/detail/913404394","Open Ad")</f>
        <v>Open Ad</v>
      </c>
      <c r="E4998" s="4" t="s">
        <v>78</v>
      </c>
      <c r="F4998" s="4" t="s">
        <v>6765</v>
      </c>
      <c r="G4998" s="4" t="s">
        <v>7128</v>
      </c>
      <c r="H4998" s="4" t="s">
        <v>49</v>
      </c>
      <c r="I4998" s="4" t="s">
        <v>7016</v>
      </c>
      <c r="J4998" s="4" t="s">
        <v>78</v>
      </c>
      <c r="K4998" s="7" t="str">
        <f t="shared" ref="K4998:K4999" si="1277">HYPERLINK("https://media.licdn.com/dms/image/v2/D4E10AQHNqKZuZJ-Kcw/image-shrink_1280/B4EZqC_GxQJgAM-/0/1763134173013/04_DarkMode_BlackFriday_2025?e=2147483647&amp;v=beta&amp;t=98YDnUQABZ9RILH9tTs1mPH8w_5i4cDy_RtMAaJfCGE","View Creative")</f>
        <v>View Creative</v>
      </c>
      <c r="L4998" s="4" t="s">
        <v>60</v>
      </c>
      <c r="M4998" s="4" t="s">
        <v>7013</v>
      </c>
      <c r="N4998" s="4" t="s">
        <v>7130</v>
      </c>
      <c r="O4998" s="4" t="s">
        <v>63</v>
      </c>
      <c r="P4998" s="4" t="s">
        <v>64</v>
      </c>
    </row>
    <row r="4999">
      <c r="A4999" s="4" t="s">
        <v>7013</v>
      </c>
      <c r="B4999" s="4" t="s">
        <v>7014</v>
      </c>
      <c r="C4999" s="4">
        <v>948.0</v>
      </c>
      <c r="D4999" s="5" t="str">
        <f t="shared" si="1276"/>
        <v>Open Ad</v>
      </c>
      <c r="E4999" s="4" t="s">
        <v>78</v>
      </c>
      <c r="F4999" s="4" t="s">
        <v>6765</v>
      </c>
      <c r="G4999" s="4" t="s">
        <v>7128</v>
      </c>
      <c r="H4999" s="4" t="s">
        <v>49</v>
      </c>
      <c r="I4999" s="4" t="s">
        <v>7016</v>
      </c>
      <c r="J4999" s="4" t="s">
        <v>78</v>
      </c>
      <c r="K4999" s="7" t="str">
        <f t="shared" si="1277"/>
        <v>View Creative</v>
      </c>
      <c r="L4999" s="4" t="s">
        <v>60</v>
      </c>
      <c r="M4999" s="4" t="s">
        <v>7013</v>
      </c>
      <c r="N4999" s="4" t="s">
        <v>7130</v>
      </c>
      <c r="O4999" s="4" t="s">
        <v>63</v>
      </c>
      <c r="P4999" s="4" t="s">
        <v>64</v>
      </c>
    </row>
    <row r="5000">
      <c r="A5000" s="4" t="s">
        <v>7013</v>
      </c>
      <c r="B5000" s="4" t="s">
        <v>7014</v>
      </c>
      <c r="C5000" s="4">
        <v>949.0</v>
      </c>
      <c r="D5000" s="5" t="str">
        <f t="shared" ref="D5000:D5001" si="1278">HYPERLINK("https://www.linkedin.com/ad-library/detail/913394804","Open Ad")</f>
        <v>Open Ad</v>
      </c>
      <c r="E5000" s="4" t="s">
        <v>78</v>
      </c>
      <c r="F5000" s="4" t="s">
        <v>6765</v>
      </c>
      <c r="G5000" s="4" t="s">
        <v>7106</v>
      </c>
      <c r="H5000" s="4" t="s">
        <v>49</v>
      </c>
      <c r="I5000" s="4" t="s">
        <v>7016</v>
      </c>
      <c r="J5000" s="4" t="s">
        <v>78</v>
      </c>
      <c r="K5000" s="7" t="str">
        <f t="shared" ref="K5000:K5001" si="1279">HYPERLINK("https://media.licdn.com/dms/image/v2/D4E10AQFexWlh0MX-gA/image-shrink_1280/B4EZqC_cRHKcAM-/0/1763134261281/01_DarkMode_BlackFriday_2025?e=2147483647&amp;v=beta&amp;t=uSZ5rrxoO0HNeiPSoheV2lqfeveTwcg1El6k2WfkDAM","View Creative")</f>
        <v>View Creative</v>
      </c>
      <c r="L5000" s="4" t="s">
        <v>60</v>
      </c>
      <c r="M5000" s="4" t="s">
        <v>7013</v>
      </c>
      <c r="N5000" s="4" t="s">
        <v>7129</v>
      </c>
      <c r="O5000" s="4" t="s">
        <v>63</v>
      </c>
      <c r="P5000" s="4" t="s">
        <v>64</v>
      </c>
    </row>
    <row r="5001">
      <c r="A5001" s="4" t="s">
        <v>7013</v>
      </c>
      <c r="B5001" s="4" t="s">
        <v>7014</v>
      </c>
      <c r="C5001" s="4">
        <v>950.0</v>
      </c>
      <c r="D5001" s="5" t="str">
        <f t="shared" si="1278"/>
        <v>Open Ad</v>
      </c>
      <c r="E5001" s="4" t="s">
        <v>78</v>
      </c>
      <c r="F5001" s="4" t="s">
        <v>6765</v>
      </c>
      <c r="G5001" s="4" t="s">
        <v>7106</v>
      </c>
      <c r="H5001" s="4" t="s">
        <v>49</v>
      </c>
      <c r="I5001" s="4" t="s">
        <v>7016</v>
      </c>
      <c r="J5001" s="4" t="s">
        <v>78</v>
      </c>
      <c r="K5001" s="7" t="str">
        <f t="shared" si="1279"/>
        <v>View Creative</v>
      </c>
      <c r="L5001" s="4" t="s">
        <v>60</v>
      </c>
      <c r="M5001" s="4" t="s">
        <v>7013</v>
      </c>
      <c r="N5001" s="4" t="s">
        <v>7129</v>
      </c>
      <c r="O5001" s="4" t="s">
        <v>63</v>
      </c>
      <c r="P5001" s="4" t="s">
        <v>64</v>
      </c>
    </row>
    <row r="5002">
      <c r="A5002" s="4" t="s">
        <v>7013</v>
      </c>
      <c r="B5002" s="4" t="s">
        <v>7014</v>
      </c>
      <c r="C5002" s="4">
        <v>951.0</v>
      </c>
      <c r="D5002" s="5" t="str">
        <f t="shared" ref="D5002:D5003" si="1280">HYPERLINK("https://www.linkedin.com/ad-library/detail/913424354","Open Ad")</f>
        <v>Open Ad</v>
      </c>
      <c r="E5002" s="4" t="s">
        <v>78</v>
      </c>
      <c r="F5002" s="4" t="s">
        <v>6765</v>
      </c>
      <c r="G5002" s="4" t="s">
        <v>7125</v>
      </c>
      <c r="H5002" s="4" t="s">
        <v>49</v>
      </c>
      <c r="I5002" s="4" t="s">
        <v>7016</v>
      </c>
      <c r="J5002" s="4" t="s">
        <v>78</v>
      </c>
      <c r="K5002" s="7" t="str">
        <f t="shared" ref="K5002:K5005" si="1281">HYPERLINK("https://media.licdn.com/dms/image/v2/D4E10AQGCEicWihyXBg/image-shrink_1280/B4EZqC_RgBKcAM-/0/1763134217156/02_DarkMode_BlackFriday_2025?e=2147483647&amp;v=beta&amp;t=DWqHNXUw-Qvi6BwVitajcVLKefJKn0rH1xGu0yHXy6I","View Creative")</f>
        <v>View Creative</v>
      </c>
      <c r="L5002" s="4" t="s">
        <v>60</v>
      </c>
      <c r="M5002" s="4" t="s">
        <v>7013</v>
      </c>
      <c r="N5002" s="4" t="s">
        <v>7130</v>
      </c>
      <c r="O5002" s="4" t="s">
        <v>63</v>
      </c>
      <c r="P5002" s="4" t="s">
        <v>64</v>
      </c>
    </row>
    <row r="5003">
      <c r="A5003" s="4" t="s">
        <v>7013</v>
      </c>
      <c r="B5003" s="4" t="s">
        <v>7014</v>
      </c>
      <c r="C5003" s="4">
        <v>952.0</v>
      </c>
      <c r="D5003" s="5" t="str">
        <f t="shared" si="1280"/>
        <v>Open Ad</v>
      </c>
      <c r="E5003" s="4" t="s">
        <v>78</v>
      </c>
      <c r="F5003" s="4" t="s">
        <v>6765</v>
      </c>
      <c r="G5003" s="4" t="s">
        <v>7125</v>
      </c>
      <c r="H5003" s="4" t="s">
        <v>49</v>
      </c>
      <c r="I5003" s="4" t="s">
        <v>7016</v>
      </c>
      <c r="J5003" s="4" t="s">
        <v>78</v>
      </c>
      <c r="K5003" s="7" t="str">
        <f t="shared" si="1281"/>
        <v>View Creative</v>
      </c>
      <c r="L5003" s="4" t="s">
        <v>60</v>
      </c>
      <c r="M5003" s="4" t="s">
        <v>7013</v>
      </c>
      <c r="N5003" s="4" t="s">
        <v>7130</v>
      </c>
      <c r="O5003" s="4" t="s">
        <v>63</v>
      </c>
      <c r="P5003" s="4" t="s">
        <v>64</v>
      </c>
    </row>
    <row r="5004">
      <c r="A5004" s="4" t="s">
        <v>7013</v>
      </c>
      <c r="B5004" s="4" t="s">
        <v>7014</v>
      </c>
      <c r="C5004" s="4">
        <v>953.0</v>
      </c>
      <c r="D5004" s="5" t="str">
        <f t="shared" ref="D5004:D5005" si="1282">HYPERLINK("https://www.linkedin.com/ad-library/detail/913493054","Open Ad")</f>
        <v>Open Ad</v>
      </c>
      <c r="E5004" s="4" t="s">
        <v>78</v>
      </c>
      <c r="F5004" s="4" t="s">
        <v>6765</v>
      </c>
      <c r="G5004" s="4" t="s">
        <v>7125</v>
      </c>
      <c r="H5004" s="4" t="s">
        <v>49</v>
      </c>
      <c r="I5004" s="4" t="s">
        <v>7016</v>
      </c>
      <c r="J5004" s="4" t="s">
        <v>78</v>
      </c>
      <c r="K5004" s="7" t="str">
        <f t="shared" si="1281"/>
        <v>View Creative</v>
      </c>
      <c r="L5004" s="4" t="s">
        <v>60</v>
      </c>
      <c r="M5004" s="4" t="s">
        <v>7013</v>
      </c>
      <c r="N5004" s="4" t="s">
        <v>7129</v>
      </c>
      <c r="O5004" s="4" t="s">
        <v>63</v>
      </c>
      <c r="P5004" s="4" t="s">
        <v>64</v>
      </c>
    </row>
    <row r="5005">
      <c r="A5005" s="4" t="s">
        <v>7013</v>
      </c>
      <c r="B5005" s="4" t="s">
        <v>7014</v>
      </c>
      <c r="C5005" s="4">
        <v>954.0</v>
      </c>
      <c r="D5005" s="5" t="str">
        <f t="shared" si="1282"/>
        <v>Open Ad</v>
      </c>
      <c r="E5005" s="4" t="s">
        <v>78</v>
      </c>
      <c r="F5005" s="4" t="s">
        <v>6765</v>
      </c>
      <c r="G5005" s="4" t="s">
        <v>7125</v>
      </c>
      <c r="H5005" s="4" t="s">
        <v>49</v>
      </c>
      <c r="I5005" s="4" t="s">
        <v>7016</v>
      </c>
      <c r="J5005" s="4" t="s">
        <v>78</v>
      </c>
      <c r="K5005" s="7" t="str">
        <f t="shared" si="1281"/>
        <v>View Creative</v>
      </c>
      <c r="L5005" s="4" t="s">
        <v>60</v>
      </c>
      <c r="M5005" s="4" t="s">
        <v>7013</v>
      </c>
      <c r="N5005" s="4" t="s">
        <v>7129</v>
      </c>
      <c r="O5005" s="4" t="s">
        <v>63</v>
      </c>
      <c r="P5005" s="4" t="s">
        <v>64</v>
      </c>
    </row>
    <row r="5006">
      <c r="A5006" s="4" t="s">
        <v>7013</v>
      </c>
      <c r="B5006" s="4" t="s">
        <v>7014</v>
      </c>
      <c r="C5006" s="4">
        <v>955.0</v>
      </c>
      <c r="D5006" s="5" t="str">
        <f t="shared" ref="D5006:D5007" si="1283">HYPERLINK("https://www.linkedin.com/ad-library/detail/913433804","Open Ad")</f>
        <v>Open Ad</v>
      </c>
      <c r="E5006" s="4" t="s">
        <v>78</v>
      </c>
      <c r="F5006" s="4" t="s">
        <v>6765</v>
      </c>
      <c r="G5006" s="4" t="s">
        <v>7116</v>
      </c>
      <c r="H5006" s="4" t="s">
        <v>49</v>
      </c>
      <c r="I5006" s="4" t="s">
        <v>7016</v>
      </c>
      <c r="J5006" s="4" t="s">
        <v>78</v>
      </c>
      <c r="K5006" s="7" t="str">
        <f t="shared" ref="K5006:K5009" si="1284">HYPERLINK("https://media.licdn.com/dms/image/v2/D4E10AQFvKvCCCsOtdQ/image-shrink_1280/B4EZqC.6_vKgAM-/0/1763134124978/03_DarkMode_BlackFriday_2025?e=2147483647&amp;v=beta&amp;t=nrK_vpHeevxb-24dY9crEv__P_SJKfxN51Ug_PIU1mY","View Creative")</f>
        <v>View Creative</v>
      </c>
      <c r="L5006" s="4" t="s">
        <v>60</v>
      </c>
      <c r="M5006" s="4" t="s">
        <v>7013</v>
      </c>
      <c r="N5006" s="4" t="s">
        <v>7130</v>
      </c>
      <c r="O5006" s="4" t="s">
        <v>63</v>
      </c>
      <c r="P5006" s="4" t="s">
        <v>64</v>
      </c>
    </row>
    <row r="5007">
      <c r="A5007" s="4" t="s">
        <v>7013</v>
      </c>
      <c r="B5007" s="4" t="s">
        <v>7014</v>
      </c>
      <c r="C5007" s="4">
        <v>956.0</v>
      </c>
      <c r="D5007" s="5" t="str">
        <f t="shared" si="1283"/>
        <v>Open Ad</v>
      </c>
      <c r="E5007" s="4" t="s">
        <v>78</v>
      </c>
      <c r="F5007" s="4" t="s">
        <v>6765</v>
      </c>
      <c r="G5007" s="4" t="s">
        <v>7116</v>
      </c>
      <c r="H5007" s="4" t="s">
        <v>49</v>
      </c>
      <c r="I5007" s="4" t="s">
        <v>7016</v>
      </c>
      <c r="J5007" s="4" t="s">
        <v>78</v>
      </c>
      <c r="K5007" s="7" t="str">
        <f t="shared" si="1284"/>
        <v>View Creative</v>
      </c>
      <c r="L5007" s="4" t="s">
        <v>60</v>
      </c>
      <c r="M5007" s="4" t="s">
        <v>7013</v>
      </c>
      <c r="N5007" s="4" t="s">
        <v>7130</v>
      </c>
      <c r="O5007" s="4" t="s">
        <v>63</v>
      </c>
      <c r="P5007" s="4" t="s">
        <v>64</v>
      </c>
    </row>
    <row r="5008">
      <c r="A5008" s="4" t="s">
        <v>7013</v>
      </c>
      <c r="B5008" s="4" t="s">
        <v>7014</v>
      </c>
      <c r="C5008" s="4">
        <v>957.0</v>
      </c>
      <c r="D5008" s="5" t="str">
        <f t="shared" ref="D5008:D5009" si="1285">HYPERLINK("https://www.linkedin.com/ad-library/detail/913454014","Open Ad")</f>
        <v>Open Ad</v>
      </c>
      <c r="E5008" s="4" t="s">
        <v>78</v>
      </c>
      <c r="F5008" s="4" t="s">
        <v>6765</v>
      </c>
      <c r="G5008" s="4" t="s">
        <v>7116</v>
      </c>
      <c r="H5008" s="4" t="s">
        <v>49</v>
      </c>
      <c r="I5008" s="4" t="s">
        <v>7016</v>
      </c>
      <c r="J5008" s="4" t="s">
        <v>78</v>
      </c>
      <c r="K5008" s="7" t="str">
        <f t="shared" si="1284"/>
        <v>View Creative</v>
      </c>
      <c r="L5008" s="4" t="s">
        <v>60</v>
      </c>
      <c r="M5008" s="4" t="s">
        <v>7013</v>
      </c>
      <c r="N5008" s="4" t="s">
        <v>7129</v>
      </c>
      <c r="O5008" s="4" t="s">
        <v>63</v>
      </c>
      <c r="P5008" s="4" t="s">
        <v>64</v>
      </c>
    </row>
    <row r="5009">
      <c r="A5009" s="4" t="s">
        <v>7013</v>
      </c>
      <c r="B5009" s="4" t="s">
        <v>7014</v>
      </c>
      <c r="C5009" s="4">
        <v>958.0</v>
      </c>
      <c r="D5009" s="5" t="str">
        <f t="shared" si="1285"/>
        <v>Open Ad</v>
      </c>
      <c r="E5009" s="4" t="s">
        <v>78</v>
      </c>
      <c r="F5009" s="4" t="s">
        <v>6765</v>
      </c>
      <c r="G5009" s="4" t="s">
        <v>7116</v>
      </c>
      <c r="H5009" s="4" t="s">
        <v>49</v>
      </c>
      <c r="I5009" s="4" t="s">
        <v>7016</v>
      </c>
      <c r="J5009" s="4" t="s">
        <v>78</v>
      </c>
      <c r="K5009" s="7" t="str">
        <f t="shared" si="1284"/>
        <v>View Creative</v>
      </c>
      <c r="L5009" s="4" t="s">
        <v>60</v>
      </c>
      <c r="M5009" s="4" t="s">
        <v>7013</v>
      </c>
      <c r="N5009" s="4" t="s">
        <v>7129</v>
      </c>
      <c r="O5009" s="4" t="s">
        <v>63</v>
      </c>
      <c r="P5009" s="4" t="s">
        <v>64</v>
      </c>
    </row>
    <row r="5010">
      <c r="A5010" s="4" t="s">
        <v>7013</v>
      </c>
      <c r="B5010" s="4" t="s">
        <v>7014</v>
      </c>
      <c r="C5010" s="4">
        <v>959.0</v>
      </c>
      <c r="D5010" s="5" t="str">
        <f t="shared" ref="D5010:D5011" si="1286">HYPERLINK("https://www.linkedin.com/ad-library/detail/913286594","Open Ad")</f>
        <v>Open Ad</v>
      </c>
      <c r="E5010" s="4" t="s">
        <v>78</v>
      </c>
      <c r="F5010" s="4" t="s">
        <v>6765</v>
      </c>
      <c r="G5010" s="4" t="s">
        <v>7128</v>
      </c>
      <c r="H5010" s="4" t="s">
        <v>49</v>
      </c>
      <c r="I5010" s="4" t="s">
        <v>7016</v>
      </c>
      <c r="J5010" s="4" t="s">
        <v>78</v>
      </c>
      <c r="K5010" s="7" t="str">
        <f t="shared" ref="K5010:K5011" si="1287">HYPERLINK("https://media.licdn.com/dms/image/v2/D4E10AQH5LV07JtBuaQ/image-shrink_1280/B4EZqC6R8nKMAQ-/0/1763132908157/04_Image_LightMode_BF_2025?e=2147483647&amp;v=beta&amp;t=0LIBL9DELBXLrwDrF_u1qNBjgAc35mM-OPOwvdYz4ds","View Creative")</f>
        <v>View Creative</v>
      </c>
      <c r="L5010" s="4" t="s">
        <v>60</v>
      </c>
      <c r="M5010" s="4" t="s">
        <v>7013</v>
      </c>
      <c r="N5010" s="4" t="s">
        <v>7129</v>
      </c>
      <c r="O5010" s="4" t="s">
        <v>63</v>
      </c>
      <c r="P5010" s="4" t="s">
        <v>64</v>
      </c>
    </row>
    <row r="5011">
      <c r="A5011" s="4" t="s">
        <v>7013</v>
      </c>
      <c r="B5011" s="4" t="s">
        <v>7014</v>
      </c>
      <c r="C5011" s="4">
        <v>960.0</v>
      </c>
      <c r="D5011" s="5" t="str">
        <f t="shared" si="1286"/>
        <v>Open Ad</v>
      </c>
      <c r="E5011" s="4" t="s">
        <v>78</v>
      </c>
      <c r="F5011" s="4" t="s">
        <v>6765</v>
      </c>
      <c r="G5011" s="4" t="s">
        <v>7128</v>
      </c>
      <c r="H5011" s="4" t="s">
        <v>49</v>
      </c>
      <c r="I5011" s="4" t="s">
        <v>7016</v>
      </c>
      <c r="J5011" s="4" t="s">
        <v>78</v>
      </c>
      <c r="K5011" s="7" t="str">
        <f t="shared" si="1287"/>
        <v>View Creative</v>
      </c>
      <c r="L5011" s="4" t="s">
        <v>60</v>
      </c>
      <c r="M5011" s="4" t="s">
        <v>7013</v>
      </c>
      <c r="N5011" s="4" t="s">
        <v>7129</v>
      </c>
      <c r="O5011" s="4" t="s">
        <v>63</v>
      </c>
      <c r="P5011" s="4" t="s">
        <v>64</v>
      </c>
    </row>
    <row r="5012">
      <c r="A5012" s="4" t="s">
        <v>7013</v>
      </c>
      <c r="B5012" s="4" t="s">
        <v>7014</v>
      </c>
      <c r="C5012" s="4">
        <v>961.0</v>
      </c>
      <c r="D5012" s="5" t="str">
        <f t="shared" ref="D5012:D5013" si="1288">HYPERLINK("https://www.linkedin.com/ad-library/detail/268341254","Open Ad")</f>
        <v>Open Ad</v>
      </c>
      <c r="E5012" s="4" t="s">
        <v>78</v>
      </c>
      <c r="F5012" s="4" t="s">
        <v>6765</v>
      </c>
      <c r="G5012" s="4" t="s">
        <v>7133</v>
      </c>
      <c r="H5012" s="4" t="s">
        <v>49</v>
      </c>
      <c r="I5012" s="4" t="s">
        <v>7016</v>
      </c>
      <c r="J5012" s="4" t="s">
        <v>78</v>
      </c>
      <c r="K5012" s="7" t="str">
        <f t="shared" ref="K5012:K5013" si="1289">HYPERLINK("https://media.licdn.com/dms/image/v2/D4E22AQERbyEIbyaUXw/feedshare-shrink_1280/B4EZpJGzEFHoAs-/0/1762163113107?e=2147483647&amp;v=beta&amp;t=gwcW8874cmtFx5kqhip7Y4BA9kiJygT54khxBH7WM8k","View Creative")</f>
        <v>View Creative</v>
      </c>
      <c r="L5012" s="4" t="s">
        <v>60</v>
      </c>
      <c r="M5012" s="4" t="s">
        <v>7013</v>
      </c>
      <c r="N5012" s="4" t="s">
        <v>7134</v>
      </c>
      <c r="O5012" s="4" t="s">
        <v>63</v>
      </c>
      <c r="P5012" s="4" t="s">
        <v>64</v>
      </c>
    </row>
    <row r="5013">
      <c r="A5013" s="4" t="s">
        <v>7013</v>
      </c>
      <c r="B5013" s="4" t="s">
        <v>7014</v>
      </c>
      <c r="C5013" s="4">
        <v>962.0</v>
      </c>
      <c r="D5013" s="5" t="str">
        <f t="shared" si="1288"/>
        <v>Open Ad</v>
      </c>
      <c r="E5013" s="4" t="s">
        <v>78</v>
      </c>
      <c r="F5013" s="4" t="s">
        <v>6765</v>
      </c>
      <c r="G5013" s="4" t="s">
        <v>7133</v>
      </c>
      <c r="H5013" s="4" t="s">
        <v>49</v>
      </c>
      <c r="I5013" s="4" t="s">
        <v>7016</v>
      </c>
      <c r="J5013" s="4" t="s">
        <v>78</v>
      </c>
      <c r="K5013" s="7" t="str">
        <f t="shared" si="1289"/>
        <v>View Creative</v>
      </c>
      <c r="L5013" s="4" t="s">
        <v>60</v>
      </c>
      <c r="M5013" s="4" t="s">
        <v>7013</v>
      </c>
      <c r="N5013" s="4" t="s">
        <v>7134</v>
      </c>
      <c r="O5013" s="4" t="s">
        <v>63</v>
      </c>
      <c r="P5013" s="4" t="s">
        <v>64</v>
      </c>
    </row>
    <row r="5014">
      <c r="A5014" s="4" t="s">
        <v>7013</v>
      </c>
      <c r="B5014" s="4" t="s">
        <v>7014</v>
      </c>
      <c r="C5014" s="4">
        <v>963.0</v>
      </c>
      <c r="D5014" s="5" t="str">
        <f t="shared" ref="D5014:D5015" si="1290">HYPERLINK("https://www.linkedin.com/ad-library/detail/895131134","Open Ad")</f>
        <v>Open Ad</v>
      </c>
      <c r="E5014" s="4" t="s">
        <v>78</v>
      </c>
      <c r="F5014" s="4" t="s">
        <v>6765</v>
      </c>
      <c r="G5014" s="4" t="s">
        <v>7135</v>
      </c>
      <c r="H5014" s="4" t="s">
        <v>49</v>
      </c>
      <c r="I5014" s="4" t="s">
        <v>7016</v>
      </c>
      <c r="J5014" s="4" t="s">
        <v>78</v>
      </c>
      <c r="K5014" s="7" t="str">
        <f t="shared" ref="K5014:K5015" si="1291">HYPERLINK("https://media.licdn.com/dms/image/v2/D4E10AQHfazS8RTA1xA/image-shrink_1280/B4EZpTyubtJ0AQ-/0/1762342398896/4x5-3png?e=2147483647&amp;v=beta&amp;t=b6_kLHACIsvjiEeFNoJS1z_7ViWx7OlIgIu2IwYKtJ4","View Creative")</f>
        <v>View Creative</v>
      </c>
      <c r="L5014" s="4" t="s">
        <v>60</v>
      </c>
      <c r="M5014" s="4" t="s">
        <v>7013</v>
      </c>
      <c r="N5014" s="4" t="s">
        <v>7136</v>
      </c>
      <c r="O5014" s="4" t="s">
        <v>63</v>
      </c>
      <c r="P5014" s="4" t="s">
        <v>64</v>
      </c>
    </row>
    <row r="5015">
      <c r="A5015" s="4" t="s">
        <v>7013</v>
      </c>
      <c r="B5015" s="4" t="s">
        <v>7014</v>
      </c>
      <c r="C5015" s="4">
        <v>964.0</v>
      </c>
      <c r="D5015" s="5" t="str">
        <f t="shared" si="1290"/>
        <v>Open Ad</v>
      </c>
      <c r="E5015" s="4" t="s">
        <v>78</v>
      </c>
      <c r="F5015" s="4" t="s">
        <v>6765</v>
      </c>
      <c r="G5015" s="4" t="s">
        <v>7135</v>
      </c>
      <c r="H5015" s="4" t="s">
        <v>49</v>
      </c>
      <c r="I5015" s="4" t="s">
        <v>7016</v>
      </c>
      <c r="J5015" s="4" t="s">
        <v>78</v>
      </c>
      <c r="K5015" s="7" t="str">
        <f t="shared" si="1291"/>
        <v>View Creative</v>
      </c>
      <c r="L5015" s="4" t="s">
        <v>60</v>
      </c>
      <c r="M5015" s="4" t="s">
        <v>7013</v>
      </c>
      <c r="N5015" s="4" t="s">
        <v>7136</v>
      </c>
      <c r="O5015" s="4" t="s">
        <v>63</v>
      </c>
      <c r="P5015" s="4" t="s">
        <v>64</v>
      </c>
    </row>
    <row r="5016">
      <c r="A5016" s="4" t="s">
        <v>7013</v>
      </c>
      <c r="B5016" s="4" t="s">
        <v>7014</v>
      </c>
      <c r="C5016" s="4">
        <v>965.0</v>
      </c>
      <c r="D5016" s="5" t="str">
        <f t="shared" ref="D5016:D5017" si="1292">HYPERLINK("https://www.linkedin.com/ad-library/detail/895072004","Open Ad")</f>
        <v>Open Ad</v>
      </c>
      <c r="E5016" s="4" t="s">
        <v>78</v>
      </c>
      <c r="F5016" s="4" t="s">
        <v>6765</v>
      </c>
      <c r="G5016" s="4" t="s">
        <v>7137</v>
      </c>
      <c r="H5016" s="4" t="s">
        <v>49</v>
      </c>
      <c r="I5016" s="4" t="s">
        <v>7016</v>
      </c>
      <c r="J5016" s="4" t="s">
        <v>78</v>
      </c>
      <c r="K5016" s="7" t="str">
        <f t="shared" ref="K5016:K5017" si="1293">HYPERLINK("https://media.licdn.com/dms/image/v2/D4E10AQFaH_MsoJQIkg/image-shrink_1280/B4EZpTyrkSGYAM-/0/1762342387147/AdCreative275png?e=2147483647&amp;v=beta&amp;t=jjir9E0Hm3oEoK25EHZIDQJ-csRuQXJ1Nk861d2FXkc","View Creative")</f>
        <v>View Creative</v>
      </c>
      <c r="L5016" s="4" t="s">
        <v>60</v>
      </c>
      <c r="M5016" s="4" t="s">
        <v>7013</v>
      </c>
      <c r="N5016" s="4" t="s">
        <v>7136</v>
      </c>
      <c r="O5016" s="4" t="s">
        <v>63</v>
      </c>
      <c r="P5016" s="4" t="s">
        <v>64</v>
      </c>
    </row>
    <row r="5017">
      <c r="A5017" s="4" t="s">
        <v>7013</v>
      </c>
      <c r="B5017" s="4" t="s">
        <v>7014</v>
      </c>
      <c r="C5017" s="4">
        <v>966.0</v>
      </c>
      <c r="D5017" s="5" t="str">
        <f t="shared" si="1292"/>
        <v>Open Ad</v>
      </c>
      <c r="E5017" s="4" t="s">
        <v>78</v>
      </c>
      <c r="F5017" s="4" t="s">
        <v>6765</v>
      </c>
      <c r="G5017" s="4" t="s">
        <v>7137</v>
      </c>
      <c r="H5017" s="4" t="s">
        <v>49</v>
      </c>
      <c r="I5017" s="4" t="s">
        <v>7016</v>
      </c>
      <c r="J5017" s="4" t="s">
        <v>78</v>
      </c>
      <c r="K5017" s="7" t="str">
        <f t="shared" si="1293"/>
        <v>View Creative</v>
      </c>
      <c r="L5017" s="4" t="s">
        <v>60</v>
      </c>
      <c r="M5017" s="4" t="s">
        <v>7013</v>
      </c>
      <c r="N5017" s="4" t="s">
        <v>7136</v>
      </c>
      <c r="O5017" s="4" t="s">
        <v>63</v>
      </c>
      <c r="P5017" s="4" t="s">
        <v>64</v>
      </c>
    </row>
    <row r="5018">
      <c r="A5018" s="4"/>
      <c r="B5018" s="4"/>
      <c r="C5018" s="4"/>
      <c r="E5018" s="4"/>
      <c r="F5018" s="4"/>
      <c r="G5018" s="4"/>
      <c r="H5018" s="4"/>
      <c r="I5018" s="4"/>
      <c r="J5018" s="4"/>
      <c r="K5018" s="4"/>
      <c r="L5018" s="4"/>
      <c r="M5018" s="4"/>
      <c r="N5018" s="4"/>
      <c r="O5018" s="4"/>
      <c r="P5018" s="4"/>
    </row>
    <row r="5019">
      <c r="A5019" s="4" t="s">
        <v>1446</v>
      </c>
      <c r="B5019" s="4" t="s">
        <v>7138</v>
      </c>
      <c r="C5019" s="4">
        <v>1.0</v>
      </c>
      <c r="D5019" s="5" t="str">
        <f t="shared" ref="D5019:D5020" si="1294">HYPERLINK("https://www.linkedin.com/ad-library/detail/1514196824","Open Ad")</f>
        <v>Open Ad</v>
      </c>
      <c r="E5019" s="4" t="s">
        <v>78</v>
      </c>
      <c r="F5019" s="4" t="s">
        <v>6765</v>
      </c>
      <c r="G5019" s="4" t="s">
        <v>7139</v>
      </c>
      <c r="H5019" s="4" t="s">
        <v>49</v>
      </c>
      <c r="I5019" s="4" t="s">
        <v>7140</v>
      </c>
      <c r="J5019" s="4" t="s">
        <v>78</v>
      </c>
      <c r="K5019" s="7" t="str">
        <f t="shared" ref="K5019:K5020" si="1295">HYPERLINK("https://media.licdn.com/dms/image/v2/D4E10AQHLRjWfUZ0m2A/image-shrink_1280/B4EaAbKFe9G8Ac-/0/1787162024648/scrunch-AIGuide-1080x10803xpng?e=2147483647&amp;v=beta&amp;t=wxvc-PBtfbjb2CF6aPyH5ZpwJfkpjWGbei-sGWTtnSQ","View Creative")</f>
        <v>View Creative</v>
      </c>
      <c r="L5019" s="4" t="s">
        <v>60</v>
      </c>
      <c r="M5019" s="4" t="s">
        <v>1446</v>
      </c>
      <c r="N5019" s="4"/>
      <c r="O5019" s="4" t="s">
        <v>63</v>
      </c>
      <c r="P5019" s="4" t="s">
        <v>64</v>
      </c>
    </row>
    <row r="5020">
      <c r="A5020" s="4" t="s">
        <v>1446</v>
      </c>
      <c r="B5020" s="4" t="s">
        <v>7138</v>
      </c>
      <c r="C5020" s="4">
        <v>2.0</v>
      </c>
      <c r="D5020" s="5" t="str">
        <f t="shared" si="1294"/>
        <v>Open Ad</v>
      </c>
      <c r="E5020" s="4" t="s">
        <v>78</v>
      </c>
      <c r="F5020" s="4" t="s">
        <v>6765</v>
      </c>
      <c r="G5020" s="4" t="s">
        <v>7139</v>
      </c>
      <c r="H5020" s="4" t="s">
        <v>49</v>
      </c>
      <c r="I5020" s="4" t="s">
        <v>7140</v>
      </c>
      <c r="J5020" s="4" t="s">
        <v>78</v>
      </c>
      <c r="K5020" s="7" t="str">
        <f t="shared" si="1295"/>
        <v>View Creative</v>
      </c>
      <c r="L5020" s="4" t="s">
        <v>60</v>
      </c>
      <c r="M5020" s="4" t="s">
        <v>1446</v>
      </c>
      <c r="N5020" s="4"/>
      <c r="O5020" s="4" t="s">
        <v>63</v>
      </c>
      <c r="P5020" s="4" t="s">
        <v>64</v>
      </c>
    </row>
    <row r="5021">
      <c r="A5021" s="4" t="s">
        <v>1446</v>
      </c>
      <c r="B5021" s="4" t="s">
        <v>7138</v>
      </c>
      <c r="C5021" s="4">
        <v>3.0</v>
      </c>
      <c r="D5021" s="5" t="str">
        <f>HYPERLINK("https://www.linkedin.com/ad-library/detail/1487040414","Open Ad")</f>
        <v>Open Ad</v>
      </c>
      <c r="E5021" s="4" t="s">
        <v>52</v>
      </c>
      <c r="F5021" s="4" t="s">
        <v>6765</v>
      </c>
      <c r="G5021" s="4" t="s">
        <v>7141</v>
      </c>
      <c r="H5021" s="4" t="s">
        <v>49</v>
      </c>
      <c r="I5021" s="4" t="s">
        <v>7140</v>
      </c>
      <c r="J5021" s="4" t="s">
        <v>52</v>
      </c>
      <c r="K5021" s="4" t="s">
        <v>59</v>
      </c>
      <c r="L5021" s="4" t="s">
        <v>60</v>
      </c>
      <c r="M5021" s="4" t="s">
        <v>1446</v>
      </c>
      <c r="N5021" s="4"/>
      <c r="O5021" s="4" t="s">
        <v>63</v>
      </c>
      <c r="P5021" s="4" t="s">
        <v>64</v>
      </c>
    </row>
    <row r="5022">
      <c r="A5022" s="4" t="s">
        <v>1446</v>
      </c>
      <c r="B5022" s="4" t="s">
        <v>7138</v>
      </c>
      <c r="C5022" s="4">
        <v>4.0</v>
      </c>
      <c r="D5022" s="5" t="str">
        <f>HYPERLINK("https://www.linkedin.com/ad-library/detail/1508921814","Open Ad")</f>
        <v>Open Ad</v>
      </c>
      <c r="E5022" s="4" t="s">
        <v>52</v>
      </c>
      <c r="F5022" s="4" t="s">
        <v>6765</v>
      </c>
      <c r="G5022" s="4" t="s">
        <v>7142</v>
      </c>
      <c r="H5022" s="4" t="s">
        <v>49</v>
      </c>
      <c r="I5022" s="4" t="s">
        <v>7140</v>
      </c>
      <c r="J5022" s="4" t="s">
        <v>52</v>
      </c>
      <c r="K5022" s="4" t="s">
        <v>59</v>
      </c>
      <c r="L5022" s="4" t="s">
        <v>60</v>
      </c>
      <c r="M5022" s="4" t="s">
        <v>1446</v>
      </c>
      <c r="N5022" s="4"/>
      <c r="O5022" s="4" t="s">
        <v>63</v>
      </c>
      <c r="P5022" s="4" t="s">
        <v>64</v>
      </c>
    </row>
    <row r="5023">
      <c r="A5023" s="4" t="s">
        <v>1446</v>
      </c>
      <c r="B5023" s="4" t="s">
        <v>7138</v>
      </c>
      <c r="C5023" s="4">
        <v>5.0</v>
      </c>
      <c r="D5023" s="5" t="str">
        <f t="shared" ref="D5023:D5024" si="1296">HYPERLINK("https://www.linkedin.com/ad-library/detail/1504507954","Open Ad")</f>
        <v>Open Ad</v>
      </c>
      <c r="E5023" s="4" t="s">
        <v>78</v>
      </c>
      <c r="F5023" s="4" t="s">
        <v>6765</v>
      </c>
      <c r="G5023" s="4" t="s">
        <v>7143</v>
      </c>
      <c r="H5023" s="4" t="s">
        <v>49</v>
      </c>
      <c r="I5023" s="4" t="s">
        <v>7140</v>
      </c>
      <c r="J5023" s="4" t="s">
        <v>78</v>
      </c>
      <c r="K5023" s="7" t="str">
        <f t="shared" ref="K5023:K5024" si="1297">HYPERLINK("https://media.licdn.com/dms/image/v2/D5622AQFn3U1aVCYcIg/feedshare-image-high-res/B56Z_7rUMsKkAU-/0/1786633864474?e=2147483647&amp;v=beta&amp;t=GSbsUfbR9gZzfck1aj9FaQ677NszNemgGmywBI60ITg","View Creative")</f>
        <v>View Creative</v>
      </c>
      <c r="L5023" s="4" t="s">
        <v>60</v>
      </c>
      <c r="M5023" s="4" t="s">
        <v>1446</v>
      </c>
      <c r="N5023" s="4"/>
      <c r="O5023" s="4" t="s">
        <v>63</v>
      </c>
      <c r="P5023" s="4" t="s">
        <v>64</v>
      </c>
    </row>
    <row r="5024">
      <c r="A5024" s="4" t="s">
        <v>1446</v>
      </c>
      <c r="B5024" s="4" t="s">
        <v>7138</v>
      </c>
      <c r="C5024" s="4">
        <v>6.0</v>
      </c>
      <c r="D5024" s="5" t="str">
        <f t="shared" si="1296"/>
        <v>Open Ad</v>
      </c>
      <c r="E5024" s="4" t="s">
        <v>78</v>
      </c>
      <c r="F5024" s="4" t="s">
        <v>6765</v>
      </c>
      <c r="G5024" s="4" t="s">
        <v>7143</v>
      </c>
      <c r="H5024" s="4" t="s">
        <v>49</v>
      </c>
      <c r="I5024" s="4" t="s">
        <v>7140</v>
      </c>
      <c r="J5024" s="4" t="s">
        <v>78</v>
      </c>
      <c r="K5024" s="7" t="str">
        <f t="shared" si="1297"/>
        <v>View Creative</v>
      </c>
      <c r="L5024" s="4" t="s">
        <v>60</v>
      </c>
      <c r="M5024" s="4" t="s">
        <v>1446</v>
      </c>
      <c r="N5024" s="4"/>
      <c r="O5024" s="4" t="s">
        <v>63</v>
      </c>
      <c r="P5024" s="4" t="s">
        <v>64</v>
      </c>
    </row>
    <row r="5025">
      <c r="A5025" s="4" t="s">
        <v>1446</v>
      </c>
      <c r="B5025" s="4" t="s">
        <v>7138</v>
      </c>
      <c r="C5025" s="4">
        <v>7.0</v>
      </c>
      <c r="D5025" s="5" t="str">
        <f>HYPERLINK("https://www.linkedin.com/ad-library/detail/1486991004","Open Ad")</f>
        <v>Open Ad</v>
      </c>
      <c r="E5025" s="4" t="s">
        <v>52</v>
      </c>
      <c r="F5025" s="4" t="s">
        <v>6765</v>
      </c>
      <c r="G5025" s="4" t="s">
        <v>7144</v>
      </c>
      <c r="H5025" s="4" t="s">
        <v>49</v>
      </c>
      <c r="I5025" s="4" t="s">
        <v>7140</v>
      </c>
      <c r="J5025" s="4" t="s">
        <v>52</v>
      </c>
      <c r="K5025" s="4" t="s">
        <v>59</v>
      </c>
      <c r="L5025" s="4" t="s">
        <v>60</v>
      </c>
      <c r="M5025" s="4" t="s">
        <v>1446</v>
      </c>
      <c r="N5025" s="4"/>
      <c r="O5025" s="4" t="s">
        <v>63</v>
      </c>
      <c r="P5025" s="4" t="s">
        <v>64</v>
      </c>
    </row>
    <row r="5026">
      <c r="A5026" s="4" t="s">
        <v>1446</v>
      </c>
      <c r="B5026" s="4" t="s">
        <v>7138</v>
      </c>
      <c r="C5026" s="4">
        <v>8.0</v>
      </c>
      <c r="D5026" s="5" t="str">
        <f>HYPERLINK("https://www.linkedin.com/ad-library/detail/1530580664","Open Ad")</f>
        <v>Open Ad</v>
      </c>
      <c r="E5026" s="4" t="s">
        <v>52</v>
      </c>
      <c r="F5026" s="4" t="s">
        <v>6765</v>
      </c>
      <c r="G5026" s="4" t="s">
        <v>7141</v>
      </c>
      <c r="H5026" s="4" t="s">
        <v>49</v>
      </c>
      <c r="I5026" s="4" t="s">
        <v>7140</v>
      </c>
      <c r="J5026" s="4" t="s">
        <v>52</v>
      </c>
      <c r="K5026" s="4" t="s">
        <v>59</v>
      </c>
      <c r="L5026" s="4" t="s">
        <v>60</v>
      </c>
      <c r="M5026" s="4" t="s">
        <v>1446</v>
      </c>
      <c r="N5026" s="4"/>
      <c r="O5026" s="4" t="s">
        <v>63</v>
      </c>
      <c r="P5026" s="4" t="s">
        <v>64</v>
      </c>
    </row>
    <row r="5027">
      <c r="A5027" s="4" t="s">
        <v>1446</v>
      </c>
      <c r="B5027" s="4" t="s">
        <v>7138</v>
      </c>
      <c r="C5027" s="4">
        <v>9.0</v>
      </c>
      <c r="D5027" s="5" t="str">
        <f>HYPERLINK("https://www.linkedin.com/ad-library/detail/1486869484","Open Ad")</f>
        <v>Open Ad</v>
      </c>
      <c r="E5027" s="4" t="s">
        <v>52</v>
      </c>
      <c r="F5027" s="4" t="s">
        <v>6765</v>
      </c>
      <c r="G5027" s="4" t="s">
        <v>7141</v>
      </c>
      <c r="H5027" s="4" t="s">
        <v>49</v>
      </c>
      <c r="I5027" s="4" t="s">
        <v>7140</v>
      </c>
      <c r="J5027" s="4" t="s">
        <v>52</v>
      </c>
      <c r="K5027" s="4" t="s">
        <v>59</v>
      </c>
      <c r="L5027" s="4" t="s">
        <v>60</v>
      </c>
      <c r="M5027" s="4" t="s">
        <v>1446</v>
      </c>
      <c r="N5027" s="4"/>
      <c r="O5027" s="4" t="s">
        <v>63</v>
      </c>
      <c r="P5027" s="4" t="s">
        <v>64</v>
      </c>
    </row>
    <row r="5028">
      <c r="A5028" s="4" t="s">
        <v>1446</v>
      </c>
      <c r="B5028" s="4" t="s">
        <v>7138</v>
      </c>
      <c r="C5028" s="4">
        <v>10.0</v>
      </c>
      <c r="D5028" s="5" t="str">
        <f>HYPERLINK("https://www.linkedin.com/ad-library/detail/1530430494","Open Ad")</f>
        <v>Open Ad</v>
      </c>
      <c r="E5028" s="4" t="s">
        <v>52</v>
      </c>
      <c r="F5028" s="4" t="s">
        <v>6765</v>
      </c>
      <c r="G5028" s="4" t="s">
        <v>7145</v>
      </c>
      <c r="H5028" s="4" t="s">
        <v>49</v>
      </c>
      <c r="I5028" s="4" t="s">
        <v>7140</v>
      </c>
      <c r="J5028" s="4" t="s">
        <v>52</v>
      </c>
      <c r="K5028" s="4" t="s">
        <v>59</v>
      </c>
      <c r="L5028" s="4" t="s">
        <v>60</v>
      </c>
      <c r="M5028" s="4" t="s">
        <v>1446</v>
      </c>
      <c r="N5028" s="4"/>
      <c r="O5028" s="4" t="s">
        <v>63</v>
      </c>
      <c r="P5028" s="4" t="s">
        <v>64</v>
      </c>
    </row>
    <row r="5029">
      <c r="A5029" s="4" t="s">
        <v>1446</v>
      </c>
      <c r="B5029" s="4" t="s">
        <v>7138</v>
      </c>
      <c r="C5029" s="4">
        <v>11.0</v>
      </c>
      <c r="D5029" s="5" t="str">
        <f>HYPERLINK("https://www.linkedin.com/ad-library/detail/1530430484","Open Ad")</f>
        <v>Open Ad</v>
      </c>
      <c r="E5029" s="4" t="s">
        <v>52</v>
      </c>
      <c r="F5029" s="4" t="s">
        <v>6765</v>
      </c>
      <c r="G5029" s="4" t="s">
        <v>7144</v>
      </c>
      <c r="H5029" s="4" t="s">
        <v>49</v>
      </c>
      <c r="I5029" s="4" t="s">
        <v>7140</v>
      </c>
      <c r="J5029" s="4" t="s">
        <v>52</v>
      </c>
      <c r="K5029" s="4" t="s">
        <v>59</v>
      </c>
      <c r="L5029" s="4" t="s">
        <v>60</v>
      </c>
      <c r="M5029" s="4" t="s">
        <v>1446</v>
      </c>
      <c r="N5029" s="4"/>
      <c r="O5029" s="4" t="s">
        <v>63</v>
      </c>
      <c r="P5029" s="4" t="s">
        <v>64</v>
      </c>
    </row>
    <row r="5030">
      <c r="A5030" s="4" t="s">
        <v>1446</v>
      </c>
      <c r="B5030" s="4" t="s">
        <v>7138</v>
      </c>
      <c r="C5030" s="4">
        <v>12.0</v>
      </c>
      <c r="D5030" s="5" t="str">
        <f>HYPERLINK("https://www.linkedin.com/ad-library/detail/1508824954","Open Ad")</f>
        <v>Open Ad</v>
      </c>
      <c r="E5030" s="4" t="s">
        <v>52</v>
      </c>
      <c r="F5030" s="4" t="s">
        <v>6765</v>
      </c>
      <c r="G5030" s="4" t="s">
        <v>7141</v>
      </c>
      <c r="H5030" s="4" t="s">
        <v>49</v>
      </c>
      <c r="I5030" s="4" t="s">
        <v>7140</v>
      </c>
      <c r="J5030" s="4" t="s">
        <v>52</v>
      </c>
      <c r="K5030" s="4" t="s">
        <v>59</v>
      </c>
      <c r="L5030" s="4" t="s">
        <v>60</v>
      </c>
      <c r="M5030" s="4" t="s">
        <v>1446</v>
      </c>
      <c r="N5030" s="4"/>
      <c r="O5030" s="4" t="s">
        <v>63</v>
      </c>
      <c r="P5030" s="4" t="s">
        <v>64</v>
      </c>
    </row>
    <row r="5031">
      <c r="A5031" s="4" t="s">
        <v>1446</v>
      </c>
      <c r="B5031" s="4" t="s">
        <v>7138</v>
      </c>
      <c r="C5031" s="4">
        <v>13.0</v>
      </c>
      <c r="D5031" s="5" t="str">
        <f>HYPERLINK("https://www.linkedin.com/ad-library/detail/1530609894","Open Ad")</f>
        <v>Open Ad</v>
      </c>
      <c r="E5031" s="4" t="s">
        <v>52</v>
      </c>
      <c r="F5031" s="4" t="s">
        <v>6765</v>
      </c>
      <c r="G5031" s="4" t="s">
        <v>7146</v>
      </c>
      <c r="H5031" s="4" t="s">
        <v>49</v>
      </c>
      <c r="I5031" s="4" t="s">
        <v>7140</v>
      </c>
      <c r="J5031" s="4" t="s">
        <v>52</v>
      </c>
      <c r="K5031" s="4" t="s">
        <v>59</v>
      </c>
      <c r="L5031" s="4" t="s">
        <v>60</v>
      </c>
      <c r="M5031" s="4" t="s">
        <v>1446</v>
      </c>
      <c r="N5031" s="4"/>
      <c r="O5031" s="4" t="s">
        <v>63</v>
      </c>
      <c r="P5031" s="4" t="s">
        <v>64</v>
      </c>
    </row>
    <row r="5032">
      <c r="A5032" s="4" t="s">
        <v>1446</v>
      </c>
      <c r="B5032" s="4" t="s">
        <v>7138</v>
      </c>
      <c r="C5032" s="4">
        <v>14.0</v>
      </c>
      <c r="D5032" s="5" t="str">
        <f>HYPERLINK("https://www.linkedin.com/ad-library/detail/1487000374","Open Ad")</f>
        <v>Open Ad</v>
      </c>
      <c r="E5032" s="4" t="s">
        <v>52</v>
      </c>
      <c r="F5032" s="4" t="s">
        <v>6765</v>
      </c>
      <c r="G5032" s="4" t="s">
        <v>7144</v>
      </c>
      <c r="H5032" s="4" t="s">
        <v>49</v>
      </c>
      <c r="I5032" s="4" t="s">
        <v>7140</v>
      </c>
      <c r="J5032" s="4" t="s">
        <v>52</v>
      </c>
      <c r="K5032" s="4" t="s">
        <v>59</v>
      </c>
      <c r="L5032" s="4" t="s">
        <v>60</v>
      </c>
      <c r="M5032" s="4" t="s">
        <v>1446</v>
      </c>
      <c r="N5032" s="4"/>
      <c r="O5032" s="4" t="s">
        <v>63</v>
      </c>
      <c r="P5032" s="4" t="s">
        <v>64</v>
      </c>
    </row>
    <row r="5033">
      <c r="A5033" s="4" t="s">
        <v>1446</v>
      </c>
      <c r="B5033" s="4" t="s">
        <v>7138</v>
      </c>
      <c r="C5033" s="4">
        <v>15.0</v>
      </c>
      <c r="D5033" s="5" t="str">
        <f t="shared" ref="D5033:D5036" si="1298">HYPERLINK("https://www.linkedin.com/ad-library/detail/1504377984","Open Ad")</f>
        <v>Open Ad</v>
      </c>
      <c r="E5033" s="4" t="s">
        <v>52</v>
      </c>
      <c r="F5033" s="4" t="s">
        <v>6765</v>
      </c>
      <c r="G5033" s="4" t="s">
        <v>7147</v>
      </c>
      <c r="H5033" s="4" t="s">
        <v>49</v>
      </c>
      <c r="I5033" s="4" t="s">
        <v>7140</v>
      </c>
      <c r="J5033" s="4" t="s">
        <v>52</v>
      </c>
      <c r="K5033" s="4" t="s">
        <v>59</v>
      </c>
      <c r="L5033" s="4" t="s">
        <v>60</v>
      </c>
      <c r="M5033" s="4" t="s">
        <v>1446</v>
      </c>
      <c r="N5033" s="4"/>
      <c r="O5033" s="4" t="s">
        <v>63</v>
      </c>
      <c r="P5033" s="4" t="s">
        <v>64</v>
      </c>
    </row>
    <row r="5034">
      <c r="A5034" s="4" t="s">
        <v>1446</v>
      </c>
      <c r="B5034" s="4" t="s">
        <v>7138</v>
      </c>
      <c r="C5034" s="4">
        <v>16.0</v>
      </c>
      <c r="D5034" s="5" t="str">
        <f t="shared" si="1298"/>
        <v>Open Ad</v>
      </c>
      <c r="E5034" s="4" t="s">
        <v>52</v>
      </c>
      <c r="F5034" s="4" t="s">
        <v>6765</v>
      </c>
      <c r="G5034" s="4" t="s">
        <v>7147</v>
      </c>
      <c r="H5034" s="4" t="s">
        <v>49</v>
      </c>
      <c r="I5034" s="4" t="s">
        <v>7140</v>
      </c>
      <c r="J5034" s="4" t="s">
        <v>52</v>
      </c>
      <c r="K5034" s="4" t="s">
        <v>59</v>
      </c>
      <c r="L5034" s="4" t="s">
        <v>60</v>
      </c>
      <c r="M5034" s="4" t="s">
        <v>1446</v>
      </c>
      <c r="N5034" s="4"/>
      <c r="O5034" s="4" t="s">
        <v>63</v>
      </c>
      <c r="P5034" s="4" t="s">
        <v>64</v>
      </c>
    </row>
    <row r="5035">
      <c r="A5035" s="4" t="s">
        <v>1446</v>
      </c>
      <c r="B5035" s="4" t="s">
        <v>7138</v>
      </c>
      <c r="C5035" s="4">
        <v>17.0</v>
      </c>
      <c r="D5035" s="5" t="str">
        <f t="shared" si="1298"/>
        <v>Open Ad</v>
      </c>
      <c r="E5035" s="4" t="s">
        <v>52</v>
      </c>
      <c r="F5035" s="4" t="s">
        <v>6765</v>
      </c>
      <c r="G5035" s="4" t="s">
        <v>7147</v>
      </c>
      <c r="H5035" s="4" t="s">
        <v>49</v>
      </c>
      <c r="I5035" s="4" t="s">
        <v>7140</v>
      </c>
      <c r="J5035" s="4" t="s">
        <v>52</v>
      </c>
      <c r="K5035" s="4" t="s">
        <v>59</v>
      </c>
      <c r="L5035" s="4" t="s">
        <v>60</v>
      </c>
      <c r="M5035" s="4" t="s">
        <v>1446</v>
      </c>
      <c r="N5035" s="4"/>
      <c r="O5035" s="4" t="s">
        <v>63</v>
      </c>
      <c r="P5035" s="4" t="s">
        <v>64</v>
      </c>
    </row>
    <row r="5036">
      <c r="A5036" s="4" t="s">
        <v>1446</v>
      </c>
      <c r="B5036" s="4" t="s">
        <v>7138</v>
      </c>
      <c r="C5036" s="4">
        <v>18.0</v>
      </c>
      <c r="D5036" s="5" t="str">
        <f t="shared" si="1298"/>
        <v>Open Ad</v>
      </c>
      <c r="E5036" s="4" t="s">
        <v>52</v>
      </c>
      <c r="F5036" s="4" t="s">
        <v>6765</v>
      </c>
      <c r="G5036" s="4" t="s">
        <v>7147</v>
      </c>
      <c r="H5036" s="4" t="s">
        <v>49</v>
      </c>
      <c r="I5036" s="4" t="s">
        <v>7140</v>
      </c>
      <c r="J5036" s="4" t="s">
        <v>52</v>
      </c>
      <c r="K5036" s="4" t="s">
        <v>59</v>
      </c>
      <c r="L5036" s="4" t="s">
        <v>60</v>
      </c>
      <c r="M5036" s="4" t="s">
        <v>1446</v>
      </c>
      <c r="N5036" s="4"/>
      <c r="O5036" s="4" t="s">
        <v>63</v>
      </c>
      <c r="P5036" s="4" t="s">
        <v>64</v>
      </c>
    </row>
    <row r="5037">
      <c r="A5037" s="4" t="s">
        <v>1446</v>
      </c>
      <c r="B5037" s="4" t="s">
        <v>7138</v>
      </c>
      <c r="C5037" s="4">
        <v>19.0</v>
      </c>
      <c r="D5037" s="5" t="str">
        <f t="shared" ref="D5037:D5038" si="1299">HYPERLINK("https://www.linkedin.com/ad-library/detail/1500986394","Open Ad")</f>
        <v>Open Ad</v>
      </c>
      <c r="E5037" s="4" t="s">
        <v>121</v>
      </c>
      <c r="F5037" s="4" t="s">
        <v>6765</v>
      </c>
      <c r="G5037" s="4" t="s">
        <v>7148</v>
      </c>
      <c r="H5037" s="4" t="s">
        <v>49</v>
      </c>
      <c r="I5037" s="4" t="s">
        <v>7140</v>
      </c>
      <c r="J5037" s="4" t="s">
        <v>121</v>
      </c>
      <c r="K5037" s="7" t="str">
        <f t="shared" ref="K5037:K5038" si="1300">HYPERLINK("https://dms.licdn.com/playlist/vid/v2/D4E10AQGKQ8n7wITebg/mp4-1080p-30fp-crf28/B4EZ6zHsO_KMA0-/0/1781121601720?e=2147483647&amp;v=beta&amp;t=mev76czSqB28fnMAFUD9mT4iXWFs-uBQvt_4leydJwY","View Creative")</f>
        <v>View Creative</v>
      </c>
      <c r="L5037" s="4" t="s">
        <v>60</v>
      </c>
      <c r="M5037" s="4" t="s">
        <v>1446</v>
      </c>
      <c r="N5037" s="4"/>
      <c r="O5037" s="4" t="s">
        <v>63</v>
      </c>
      <c r="P5037" s="4" t="s">
        <v>64</v>
      </c>
    </row>
    <row r="5038">
      <c r="A5038" s="4" t="s">
        <v>1446</v>
      </c>
      <c r="B5038" s="4" t="s">
        <v>7138</v>
      </c>
      <c r="C5038" s="4">
        <v>20.0</v>
      </c>
      <c r="D5038" s="5" t="str">
        <f t="shared" si="1299"/>
        <v>Open Ad</v>
      </c>
      <c r="E5038" s="4" t="s">
        <v>121</v>
      </c>
      <c r="F5038" s="4" t="s">
        <v>6765</v>
      </c>
      <c r="G5038" s="4" t="s">
        <v>7148</v>
      </c>
      <c r="H5038" s="4" t="s">
        <v>49</v>
      </c>
      <c r="I5038" s="4" t="s">
        <v>7140</v>
      </c>
      <c r="J5038" s="4" t="s">
        <v>121</v>
      </c>
      <c r="K5038" s="7" t="str">
        <f t="shared" si="1300"/>
        <v>View Creative</v>
      </c>
      <c r="L5038" s="4" t="s">
        <v>60</v>
      </c>
      <c r="M5038" s="4" t="s">
        <v>1446</v>
      </c>
      <c r="N5038" s="4"/>
      <c r="O5038" s="4" t="s">
        <v>63</v>
      </c>
      <c r="P5038" s="4" t="s">
        <v>64</v>
      </c>
    </row>
    <row r="5039">
      <c r="A5039" s="4" t="s">
        <v>1446</v>
      </c>
      <c r="B5039" s="4" t="s">
        <v>7138</v>
      </c>
      <c r="C5039" s="4">
        <v>21.0</v>
      </c>
      <c r="D5039" s="5" t="str">
        <f t="shared" ref="D5039:D5040" si="1301">HYPERLINK("https://www.linkedin.com/ad-library/detail/1530360184","Open Ad")</f>
        <v>Open Ad</v>
      </c>
      <c r="E5039" s="4" t="s">
        <v>78</v>
      </c>
      <c r="F5039" s="4" t="s">
        <v>6765</v>
      </c>
      <c r="G5039" s="4" t="s">
        <v>7149</v>
      </c>
      <c r="H5039" s="4" t="s">
        <v>49</v>
      </c>
      <c r="I5039" s="4" t="s">
        <v>7140</v>
      </c>
      <c r="J5039" s="4" t="s">
        <v>78</v>
      </c>
      <c r="K5039" s="7" t="str">
        <f t="shared" ref="K5039:K5040" si="1302">HYPERLINK("https://media.licdn.com/dms/image/v2/D5622AQEoKy6SbULfsw/feedshare-shrink_1280/B56aA5lVCZJAAM-/0/1787672482262?e=2147483647&amp;v=beta&amp;t=87MHkh0Jf_JhWfi6titWefllefmvZaGPXRZhgkE0cpE","View Creative")</f>
        <v>View Creative</v>
      </c>
      <c r="L5039" s="4" t="s">
        <v>60</v>
      </c>
      <c r="M5039" s="4" t="s">
        <v>1446</v>
      </c>
      <c r="N5039" s="4"/>
      <c r="O5039" s="4" t="s">
        <v>63</v>
      </c>
      <c r="P5039" s="4" t="s">
        <v>64</v>
      </c>
    </row>
    <row r="5040">
      <c r="A5040" s="4" t="s">
        <v>1446</v>
      </c>
      <c r="B5040" s="4" t="s">
        <v>7138</v>
      </c>
      <c r="C5040" s="4">
        <v>22.0</v>
      </c>
      <c r="D5040" s="5" t="str">
        <f t="shared" si="1301"/>
        <v>Open Ad</v>
      </c>
      <c r="E5040" s="4" t="s">
        <v>78</v>
      </c>
      <c r="F5040" s="4" t="s">
        <v>6765</v>
      </c>
      <c r="G5040" s="4" t="s">
        <v>7149</v>
      </c>
      <c r="H5040" s="4" t="s">
        <v>49</v>
      </c>
      <c r="I5040" s="4" t="s">
        <v>7140</v>
      </c>
      <c r="J5040" s="4" t="s">
        <v>78</v>
      </c>
      <c r="K5040" s="7" t="str">
        <f t="shared" si="1302"/>
        <v>View Creative</v>
      </c>
      <c r="L5040" s="4" t="s">
        <v>60</v>
      </c>
      <c r="M5040" s="4" t="s">
        <v>1446</v>
      </c>
      <c r="N5040" s="4"/>
      <c r="O5040" s="4" t="s">
        <v>63</v>
      </c>
      <c r="P5040" s="4" t="s">
        <v>64</v>
      </c>
    </row>
    <row r="5041">
      <c r="A5041" s="4" t="s">
        <v>1446</v>
      </c>
      <c r="B5041" s="4" t="s">
        <v>7138</v>
      </c>
      <c r="C5041" s="4">
        <v>23.0</v>
      </c>
      <c r="D5041" s="5" t="str">
        <f>HYPERLINK("https://www.linkedin.com/ad-library/detail/1486699354","Open Ad")</f>
        <v>Open Ad</v>
      </c>
      <c r="E5041" s="4" t="s">
        <v>52</v>
      </c>
      <c r="F5041" s="4" t="s">
        <v>6765</v>
      </c>
      <c r="G5041" s="4" t="s">
        <v>7145</v>
      </c>
      <c r="H5041" s="4" t="s">
        <v>49</v>
      </c>
      <c r="I5041" s="4" t="s">
        <v>7140</v>
      </c>
      <c r="J5041" s="4" t="s">
        <v>52</v>
      </c>
      <c r="K5041" s="4" t="s">
        <v>59</v>
      </c>
      <c r="L5041" s="4" t="s">
        <v>60</v>
      </c>
      <c r="M5041" s="4" t="s">
        <v>1446</v>
      </c>
      <c r="N5041" s="4"/>
      <c r="O5041" s="4" t="s">
        <v>63</v>
      </c>
      <c r="P5041" s="4" t="s">
        <v>64</v>
      </c>
    </row>
    <row r="5042">
      <c r="A5042" s="4" t="s">
        <v>1446</v>
      </c>
      <c r="B5042" s="4" t="s">
        <v>7138</v>
      </c>
      <c r="C5042" s="4">
        <v>24.0</v>
      </c>
      <c r="D5042" s="5" t="str">
        <f>HYPERLINK("https://www.linkedin.com/ad-library/detail/1486867734","Open Ad")</f>
        <v>Open Ad</v>
      </c>
      <c r="E5042" s="4" t="s">
        <v>52</v>
      </c>
      <c r="F5042" s="4" t="s">
        <v>6765</v>
      </c>
      <c r="G5042" s="4" t="s">
        <v>7146</v>
      </c>
      <c r="H5042" s="4" t="s">
        <v>49</v>
      </c>
      <c r="I5042" s="4" t="s">
        <v>7140</v>
      </c>
      <c r="J5042" s="4" t="s">
        <v>52</v>
      </c>
      <c r="K5042" s="4" t="s">
        <v>59</v>
      </c>
      <c r="L5042" s="4" t="s">
        <v>60</v>
      </c>
      <c r="M5042" s="4" t="s">
        <v>1446</v>
      </c>
      <c r="N5042" s="4"/>
      <c r="O5042" s="4" t="s">
        <v>63</v>
      </c>
      <c r="P5042" s="4" t="s">
        <v>64</v>
      </c>
    </row>
    <row r="5043">
      <c r="A5043" s="4" t="s">
        <v>1446</v>
      </c>
      <c r="B5043" s="4" t="s">
        <v>7138</v>
      </c>
      <c r="C5043" s="4">
        <v>25.0</v>
      </c>
      <c r="D5043" s="5" t="str">
        <f>HYPERLINK("https://www.linkedin.com/ad-library/detail/1508818224","Open Ad")</f>
        <v>Open Ad</v>
      </c>
      <c r="E5043" s="4" t="s">
        <v>52</v>
      </c>
      <c r="F5043" s="4" t="s">
        <v>6765</v>
      </c>
      <c r="G5043" s="4" t="s">
        <v>7144</v>
      </c>
      <c r="H5043" s="4" t="s">
        <v>49</v>
      </c>
      <c r="I5043" s="4" t="s">
        <v>7140</v>
      </c>
      <c r="J5043" s="4" t="s">
        <v>52</v>
      </c>
      <c r="K5043" s="4" t="s">
        <v>59</v>
      </c>
      <c r="L5043" s="4" t="s">
        <v>60</v>
      </c>
      <c r="M5043" s="4" t="s">
        <v>1446</v>
      </c>
      <c r="N5043" s="4"/>
      <c r="O5043" s="4" t="s">
        <v>63</v>
      </c>
      <c r="P5043" s="4" t="s">
        <v>64</v>
      </c>
    </row>
    <row r="5044">
      <c r="A5044" s="4" t="s">
        <v>1446</v>
      </c>
      <c r="B5044" s="4" t="s">
        <v>7138</v>
      </c>
      <c r="C5044" s="4">
        <v>26.0</v>
      </c>
      <c r="D5044" s="5" t="str">
        <f>HYPERLINK("https://www.linkedin.com/ad-library/detail/1518551224","Open Ad")</f>
        <v>Open Ad</v>
      </c>
      <c r="E5044" s="4" t="s">
        <v>52</v>
      </c>
      <c r="F5044" s="4" t="s">
        <v>6765</v>
      </c>
      <c r="G5044" s="4" t="s">
        <v>7150</v>
      </c>
      <c r="H5044" s="4" t="s">
        <v>49</v>
      </c>
      <c r="I5044" s="4" t="s">
        <v>7140</v>
      </c>
      <c r="J5044" s="4" t="s">
        <v>52</v>
      </c>
      <c r="K5044" s="4" t="s">
        <v>59</v>
      </c>
      <c r="L5044" s="4" t="s">
        <v>60</v>
      </c>
      <c r="M5044" s="4" t="s">
        <v>1446</v>
      </c>
      <c r="N5044" s="4"/>
      <c r="O5044" s="4" t="s">
        <v>63</v>
      </c>
      <c r="P5044" s="4" t="s">
        <v>64</v>
      </c>
    </row>
    <row r="5045">
      <c r="A5045" s="4" t="s">
        <v>1446</v>
      </c>
      <c r="B5045" s="4" t="s">
        <v>7138</v>
      </c>
      <c r="C5045" s="4">
        <v>27.0</v>
      </c>
      <c r="D5045" s="5" t="str">
        <f t="shared" ref="D5045:D5046" si="1303">HYPERLINK("https://www.linkedin.com/ad-library/detail/1504297694","Open Ad")</f>
        <v>Open Ad</v>
      </c>
      <c r="E5045" s="4" t="s">
        <v>78</v>
      </c>
      <c r="F5045" s="4" t="s">
        <v>6765</v>
      </c>
      <c r="G5045" s="4" t="s">
        <v>7151</v>
      </c>
      <c r="H5045" s="4" t="s">
        <v>49</v>
      </c>
      <c r="I5045" s="4" t="s">
        <v>7140</v>
      </c>
      <c r="J5045" s="4" t="s">
        <v>78</v>
      </c>
      <c r="K5045" s="7" t="str">
        <f t="shared" ref="K5045:K5046" si="1304">HYPERLINK("https://media.licdn.com/dms/image/v2/D5622AQFiDcRUYW4zlw/feedshare-image-high-res/B56Z_7go8NKkAU-/0/1786631066064?e=2147483647&amp;v=beta&amp;t=QD9berra8cNEU631yLca4xJRMOzDDWnDnJ6LGHBq8iI","View Creative")</f>
        <v>View Creative</v>
      </c>
      <c r="L5045" s="4" t="s">
        <v>60</v>
      </c>
      <c r="M5045" s="4" t="s">
        <v>1446</v>
      </c>
      <c r="N5045" s="4"/>
      <c r="O5045" s="4" t="s">
        <v>63</v>
      </c>
      <c r="P5045" s="4" t="s">
        <v>64</v>
      </c>
    </row>
    <row r="5046">
      <c r="A5046" s="4" t="s">
        <v>1446</v>
      </c>
      <c r="B5046" s="4" t="s">
        <v>7138</v>
      </c>
      <c r="C5046" s="4">
        <v>28.0</v>
      </c>
      <c r="D5046" s="5" t="str">
        <f t="shared" si="1303"/>
        <v>Open Ad</v>
      </c>
      <c r="E5046" s="4" t="s">
        <v>78</v>
      </c>
      <c r="F5046" s="4" t="s">
        <v>6765</v>
      </c>
      <c r="G5046" s="4" t="s">
        <v>7151</v>
      </c>
      <c r="H5046" s="4" t="s">
        <v>49</v>
      </c>
      <c r="I5046" s="4" t="s">
        <v>7140</v>
      </c>
      <c r="J5046" s="4" t="s">
        <v>78</v>
      </c>
      <c r="K5046" s="7" t="str">
        <f t="shared" si="1304"/>
        <v>View Creative</v>
      </c>
      <c r="L5046" s="4" t="s">
        <v>60</v>
      </c>
      <c r="M5046" s="4" t="s">
        <v>1446</v>
      </c>
      <c r="N5046" s="4"/>
      <c r="O5046" s="4" t="s">
        <v>63</v>
      </c>
      <c r="P5046" s="4" t="s">
        <v>64</v>
      </c>
    </row>
    <row r="5047">
      <c r="A5047" s="4" t="s">
        <v>1446</v>
      </c>
      <c r="B5047" s="4" t="s">
        <v>7138</v>
      </c>
      <c r="C5047" s="4">
        <v>29.0</v>
      </c>
      <c r="D5047" s="5" t="str">
        <f t="shared" ref="D5047:D5048" si="1305">HYPERLINK("https://www.linkedin.com/ad-library/detail/1523554954","Open Ad")</f>
        <v>Open Ad</v>
      </c>
      <c r="E5047" s="4" t="s">
        <v>78</v>
      </c>
      <c r="F5047" s="4" t="s">
        <v>6765</v>
      </c>
      <c r="G5047" s="4" t="s">
        <v>7152</v>
      </c>
      <c r="H5047" s="4" t="s">
        <v>49</v>
      </c>
      <c r="I5047" s="4" t="s">
        <v>7140</v>
      </c>
      <c r="J5047" s="4" t="s">
        <v>78</v>
      </c>
      <c r="K5047" s="7" t="str">
        <f t="shared" ref="K5047:K5048" si="1306">HYPERLINK("https://media.licdn.com/dms/image/v2/D4E10AQEHcD7r81mA7w/image-shrink_1280/B4EaA2Kj8XJcAc-/0/1787615134233/scrunch-1920x10802xpng?e=2147483647&amp;v=beta&amp;t=EX_EFnNqsOzTzUaW_D4l2fMmRtkrMbq-SIRXNr6DyIM","View Creative")</f>
        <v>View Creative</v>
      </c>
      <c r="L5047" s="4" t="s">
        <v>60</v>
      </c>
      <c r="M5047" s="4" t="s">
        <v>1446</v>
      </c>
      <c r="N5047" s="4"/>
      <c r="O5047" s="4" t="s">
        <v>63</v>
      </c>
      <c r="P5047" s="4" t="s">
        <v>64</v>
      </c>
    </row>
    <row r="5048">
      <c r="A5048" s="4" t="s">
        <v>1446</v>
      </c>
      <c r="B5048" s="4" t="s">
        <v>7138</v>
      </c>
      <c r="C5048" s="4">
        <v>30.0</v>
      </c>
      <c r="D5048" s="5" t="str">
        <f t="shared" si="1305"/>
        <v>Open Ad</v>
      </c>
      <c r="E5048" s="4" t="s">
        <v>78</v>
      </c>
      <c r="F5048" s="4" t="s">
        <v>6765</v>
      </c>
      <c r="G5048" s="4" t="s">
        <v>7152</v>
      </c>
      <c r="H5048" s="4" t="s">
        <v>49</v>
      </c>
      <c r="I5048" s="4" t="s">
        <v>7140</v>
      </c>
      <c r="J5048" s="4" t="s">
        <v>78</v>
      </c>
      <c r="K5048" s="7" t="str">
        <f t="shared" si="1306"/>
        <v>View Creative</v>
      </c>
      <c r="L5048" s="4" t="s">
        <v>60</v>
      </c>
      <c r="M5048" s="4" t="s">
        <v>1446</v>
      </c>
      <c r="N5048" s="4"/>
      <c r="O5048" s="4" t="s">
        <v>63</v>
      </c>
      <c r="P5048" s="4" t="s">
        <v>64</v>
      </c>
    </row>
    <row r="5049">
      <c r="A5049" s="4" t="s">
        <v>1446</v>
      </c>
      <c r="B5049" s="4" t="s">
        <v>7138</v>
      </c>
      <c r="C5049" s="4">
        <v>31.0</v>
      </c>
      <c r="D5049" s="5" t="str">
        <f t="shared" ref="D5049:D5050" si="1307">HYPERLINK("https://www.linkedin.com/ad-library/detail/1518629254","Open Ad")</f>
        <v>Open Ad</v>
      </c>
      <c r="E5049" s="4" t="s">
        <v>121</v>
      </c>
      <c r="F5049" s="4" t="s">
        <v>6765</v>
      </c>
      <c r="G5049" s="4" t="s">
        <v>7153</v>
      </c>
      <c r="H5049" s="4" t="s">
        <v>49</v>
      </c>
      <c r="I5049" s="4" t="s">
        <v>7140</v>
      </c>
      <c r="J5049" s="4" t="s">
        <v>121</v>
      </c>
      <c r="K5049" s="7" t="str">
        <f t="shared" ref="K5049:K5050" si="1308">HYPERLINK("https://dms.licdn.com/playlist/vid/v2/D5605AQGBe5p2dAxg4A/mp4-720p-30fp-crf28/B56aAaa63_KMCA-/0/1787149677251?e=2147483647&amp;v=beta&amp;t=6Vqr9hpsB-xyhseKkFi4JDBOTB0CZJG8tqRLJF65ui0","View Creative")</f>
        <v>View Creative</v>
      </c>
      <c r="L5049" s="4" t="s">
        <v>60</v>
      </c>
      <c r="M5049" s="4" t="s">
        <v>1446</v>
      </c>
      <c r="N5049" s="4"/>
      <c r="O5049" s="4" t="s">
        <v>63</v>
      </c>
      <c r="P5049" s="4" t="s">
        <v>64</v>
      </c>
    </row>
    <row r="5050">
      <c r="A5050" s="4" t="s">
        <v>1446</v>
      </c>
      <c r="B5050" s="4" t="s">
        <v>7138</v>
      </c>
      <c r="C5050" s="4">
        <v>32.0</v>
      </c>
      <c r="D5050" s="5" t="str">
        <f t="shared" si="1307"/>
        <v>Open Ad</v>
      </c>
      <c r="E5050" s="4" t="s">
        <v>121</v>
      </c>
      <c r="F5050" s="4" t="s">
        <v>6765</v>
      </c>
      <c r="G5050" s="4" t="s">
        <v>7153</v>
      </c>
      <c r="H5050" s="4" t="s">
        <v>49</v>
      </c>
      <c r="I5050" s="4" t="s">
        <v>7140</v>
      </c>
      <c r="J5050" s="4" t="s">
        <v>121</v>
      </c>
      <c r="K5050" s="7" t="str">
        <f t="shared" si="1308"/>
        <v>View Creative</v>
      </c>
      <c r="L5050" s="4" t="s">
        <v>60</v>
      </c>
      <c r="M5050" s="4" t="s">
        <v>1446</v>
      </c>
      <c r="N5050" s="4"/>
      <c r="O5050" s="4" t="s">
        <v>63</v>
      </c>
      <c r="P5050" s="4" t="s">
        <v>64</v>
      </c>
    </row>
    <row r="5051">
      <c r="A5051" s="4" t="s">
        <v>1446</v>
      </c>
      <c r="B5051" s="4" t="s">
        <v>7138</v>
      </c>
      <c r="C5051" s="4">
        <v>33.0</v>
      </c>
      <c r="D5051" s="5" t="str">
        <f>HYPERLINK("https://www.linkedin.com/ad-library/detail/1508862094","Open Ad")</f>
        <v>Open Ad</v>
      </c>
      <c r="E5051" s="4" t="s">
        <v>52</v>
      </c>
      <c r="F5051" s="4" t="s">
        <v>6765</v>
      </c>
      <c r="G5051" s="4" t="s">
        <v>7154</v>
      </c>
      <c r="H5051" s="4" t="s">
        <v>49</v>
      </c>
      <c r="I5051" s="4" t="s">
        <v>7140</v>
      </c>
      <c r="J5051" s="4" t="s">
        <v>52</v>
      </c>
      <c r="K5051" s="4" t="s">
        <v>59</v>
      </c>
      <c r="L5051" s="4" t="s">
        <v>60</v>
      </c>
      <c r="M5051" s="4" t="s">
        <v>1446</v>
      </c>
      <c r="N5051" s="4"/>
      <c r="O5051" s="4" t="s">
        <v>63</v>
      </c>
      <c r="P5051" s="4" t="s">
        <v>64</v>
      </c>
    </row>
    <row r="5052">
      <c r="A5052" s="4" t="s">
        <v>1446</v>
      </c>
      <c r="B5052" s="4" t="s">
        <v>7138</v>
      </c>
      <c r="C5052" s="4">
        <v>34.0</v>
      </c>
      <c r="D5052" s="5" t="str">
        <f t="shared" ref="D5052:D5053" si="1309">HYPERLINK("https://www.linkedin.com/ad-library/detail/1505002934","Open Ad")</f>
        <v>Open Ad</v>
      </c>
      <c r="E5052" s="4" t="s">
        <v>121</v>
      </c>
      <c r="F5052" s="4" t="s">
        <v>6765</v>
      </c>
      <c r="G5052" s="4" t="s">
        <v>7148</v>
      </c>
      <c r="H5052" s="4" t="s">
        <v>49</v>
      </c>
      <c r="I5052" s="4" t="s">
        <v>7140</v>
      </c>
      <c r="J5052" s="4" t="s">
        <v>121</v>
      </c>
      <c r="K5052" s="7" t="str">
        <f t="shared" ref="K5052:K5053" si="1310">HYPERLINK("https://dms.licdn.com/playlist/vid/v2/D4E10AQGKQ8n7wITebg/mp4-1080p-30fp-crf28/B4EZ6zHsO_KMA0-/0/1781121601720?e=2147483647&amp;v=beta&amp;t=mev76czSqB28fnMAFUD9mT4iXWFs-uBQvt_4leydJwY","View Creative")</f>
        <v>View Creative</v>
      </c>
      <c r="L5052" s="4" t="s">
        <v>60</v>
      </c>
      <c r="M5052" s="4" t="s">
        <v>1446</v>
      </c>
      <c r="N5052" s="4"/>
      <c r="O5052" s="4" t="s">
        <v>63</v>
      </c>
      <c r="P5052" s="4" t="s">
        <v>64</v>
      </c>
    </row>
    <row r="5053">
      <c r="A5053" s="4" t="s">
        <v>1446</v>
      </c>
      <c r="B5053" s="4" t="s">
        <v>7138</v>
      </c>
      <c r="C5053" s="4">
        <v>35.0</v>
      </c>
      <c r="D5053" s="5" t="str">
        <f t="shared" si="1309"/>
        <v>Open Ad</v>
      </c>
      <c r="E5053" s="4" t="s">
        <v>121</v>
      </c>
      <c r="F5053" s="4" t="s">
        <v>6765</v>
      </c>
      <c r="G5053" s="4" t="s">
        <v>7148</v>
      </c>
      <c r="H5053" s="4" t="s">
        <v>49</v>
      </c>
      <c r="I5053" s="4" t="s">
        <v>7140</v>
      </c>
      <c r="J5053" s="4" t="s">
        <v>121</v>
      </c>
      <c r="K5053" s="7" t="str">
        <f t="shared" si="1310"/>
        <v>View Creative</v>
      </c>
      <c r="L5053" s="4" t="s">
        <v>60</v>
      </c>
      <c r="M5053" s="4" t="s">
        <v>1446</v>
      </c>
      <c r="N5053" s="4"/>
      <c r="O5053" s="4" t="s">
        <v>63</v>
      </c>
      <c r="P5053" s="4" t="s">
        <v>64</v>
      </c>
    </row>
    <row r="5054">
      <c r="A5054" s="4" t="s">
        <v>1446</v>
      </c>
      <c r="B5054" s="4" t="s">
        <v>7138</v>
      </c>
      <c r="C5054" s="4">
        <v>36.0</v>
      </c>
      <c r="D5054" s="5" t="str">
        <f>HYPERLINK("https://www.linkedin.com/ad-library/detail/1468118074","Open Ad")</f>
        <v>Open Ad</v>
      </c>
      <c r="E5054" s="4" t="s">
        <v>52</v>
      </c>
      <c r="F5054" s="4" t="s">
        <v>6765</v>
      </c>
      <c r="G5054" s="4" t="s">
        <v>7155</v>
      </c>
      <c r="H5054" s="4" t="s">
        <v>49</v>
      </c>
      <c r="I5054" s="4" t="s">
        <v>7140</v>
      </c>
      <c r="J5054" s="4" t="s">
        <v>52</v>
      </c>
      <c r="K5054" s="4" t="s">
        <v>59</v>
      </c>
      <c r="L5054" s="4" t="s">
        <v>60</v>
      </c>
      <c r="M5054" s="4" t="s">
        <v>1446</v>
      </c>
      <c r="N5054" s="4"/>
      <c r="O5054" s="4" t="s">
        <v>63</v>
      </c>
      <c r="P5054" s="4" t="s">
        <v>64</v>
      </c>
    </row>
    <row r="5055">
      <c r="A5055" s="4" t="s">
        <v>1446</v>
      </c>
      <c r="B5055" s="4" t="s">
        <v>7138</v>
      </c>
      <c r="C5055" s="4">
        <v>37.0</v>
      </c>
      <c r="D5055" s="5" t="str">
        <f t="shared" ref="D5055:D5056" si="1311">HYPERLINK("https://www.linkedin.com/ad-library/detail/1486907394","Open Ad")</f>
        <v>Open Ad</v>
      </c>
      <c r="E5055" s="4" t="s">
        <v>78</v>
      </c>
      <c r="F5055" s="4" t="s">
        <v>6765</v>
      </c>
      <c r="G5055" s="4" t="s">
        <v>7156</v>
      </c>
      <c r="H5055" s="4" t="s">
        <v>49</v>
      </c>
      <c r="I5055" s="4" t="s">
        <v>7140</v>
      </c>
      <c r="J5055" s="4" t="s">
        <v>78</v>
      </c>
      <c r="K5055" s="7" t="str">
        <f t="shared" ref="K5055:K5056" si="1312">HYPERLINK("https://media.licdn.com/dms/image/v2/D5610AQFilZO_lVdIzw/image-shrink_1280/B56Z_Nx7YTGgAg-/0/1785863847955?e=2147483647&amp;v=beta&amp;t=MoGRpd1Uh2JI7BS8HqfGNx8axDiqdpe2_ng-LJT0Txg","View Creative")</f>
        <v>View Creative</v>
      </c>
      <c r="L5055" s="4" t="s">
        <v>60</v>
      </c>
      <c r="M5055" s="4" t="s">
        <v>1446</v>
      </c>
      <c r="N5055" s="4"/>
      <c r="O5055" s="4" t="s">
        <v>63</v>
      </c>
      <c r="P5055" s="4" t="s">
        <v>64</v>
      </c>
    </row>
    <row r="5056">
      <c r="A5056" s="4" t="s">
        <v>1446</v>
      </c>
      <c r="B5056" s="4" t="s">
        <v>7138</v>
      </c>
      <c r="C5056" s="4">
        <v>38.0</v>
      </c>
      <c r="D5056" s="5" t="str">
        <f t="shared" si="1311"/>
        <v>Open Ad</v>
      </c>
      <c r="E5056" s="4" t="s">
        <v>78</v>
      </c>
      <c r="F5056" s="4" t="s">
        <v>6765</v>
      </c>
      <c r="G5056" s="4" t="s">
        <v>7156</v>
      </c>
      <c r="H5056" s="4" t="s">
        <v>49</v>
      </c>
      <c r="I5056" s="4" t="s">
        <v>7140</v>
      </c>
      <c r="J5056" s="4" t="s">
        <v>78</v>
      </c>
      <c r="K5056" s="7" t="str">
        <f t="shared" si="1312"/>
        <v>View Creative</v>
      </c>
      <c r="L5056" s="4" t="s">
        <v>60</v>
      </c>
      <c r="M5056" s="4" t="s">
        <v>1446</v>
      </c>
      <c r="N5056" s="4"/>
      <c r="O5056" s="4" t="s">
        <v>63</v>
      </c>
      <c r="P5056" s="4" t="s">
        <v>64</v>
      </c>
    </row>
    <row r="5057">
      <c r="A5057" s="4" t="s">
        <v>1446</v>
      </c>
      <c r="B5057" s="4" t="s">
        <v>7138</v>
      </c>
      <c r="C5057" s="4">
        <v>39.0</v>
      </c>
      <c r="D5057" s="5" t="str">
        <f t="shared" ref="D5057:D5058" si="1313">HYPERLINK("https://www.linkedin.com/ad-library/detail/1477017714","Open Ad")</f>
        <v>Open Ad</v>
      </c>
      <c r="E5057" s="4" t="s">
        <v>121</v>
      </c>
      <c r="F5057" s="4" t="s">
        <v>6765</v>
      </c>
      <c r="G5057" s="4" t="s">
        <v>7157</v>
      </c>
      <c r="H5057" s="4" t="s">
        <v>49</v>
      </c>
      <c r="I5057" s="4" t="s">
        <v>7140</v>
      </c>
      <c r="J5057" s="4" t="s">
        <v>121</v>
      </c>
      <c r="K5057" s="7" t="str">
        <f t="shared" ref="K5057:K5058" si="1314">HYPERLINK("https://dms.licdn.com/playlist/vid/v2/D4E10AQHL_Ju8crxgtw/mp4-360p-30fp-crf28/B4EZ.ssHf6HoCA-/0/1785308677026?e=2147483647&amp;v=beta&amp;t=1f_mo0c3mLXIR-uhMZtFsIFRFso6sQ-CnxDeDU8Mo_A","View Creative")</f>
        <v>View Creative</v>
      </c>
      <c r="L5057" s="4" t="s">
        <v>60</v>
      </c>
      <c r="M5057" s="4" t="s">
        <v>1446</v>
      </c>
      <c r="N5057" s="4"/>
      <c r="O5057" s="4" t="s">
        <v>63</v>
      </c>
      <c r="P5057" s="4" t="s">
        <v>64</v>
      </c>
    </row>
    <row r="5058">
      <c r="A5058" s="4" t="s">
        <v>1446</v>
      </c>
      <c r="B5058" s="4" t="s">
        <v>7138</v>
      </c>
      <c r="C5058" s="4">
        <v>40.0</v>
      </c>
      <c r="D5058" s="5" t="str">
        <f t="shared" si="1313"/>
        <v>Open Ad</v>
      </c>
      <c r="E5058" s="4" t="s">
        <v>121</v>
      </c>
      <c r="F5058" s="4" t="s">
        <v>6765</v>
      </c>
      <c r="G5058" s="4" t="s">
        <v>7157</v>
      </c>
      <c r="H5058" s="4" t="s">
        <v>49</v>
      </c>
      <c r="I5058" s="4" t="s">
        <v>7140</v>
      </c>
      <c r="J5058" s="4" t="s">
        <v>121</v>
      </c>
      <c r="K5058" s="7" t="str">
        <f t="shared" si="1314"/>
        <v>View Creative</v>
      </c>
      <c r="L5058" s="4" t="s">
        <v>60</v>
      </c>
      <c r="M5058" s="4" t="s">
        <v>1446</v>
      </c>
      <c r="N5058" s="4"/>
      <c r="O5058" s="4" t="s">
        <v>63</v>
      </c>
      <c r="P5058" s="4" t="s">
        <v>64</v>
      </c>
    </row>
    <row r="5059">
      <c r="A5059" s="4" t="s">
        <v>1446</v>
      </c>
      <c r="B5059" s="4" t="s">
        <v>7138</v>
      </c>
      <c r="C5059" s="4">
        <v>41.0</v>
      </c>
      <c r="D5059" s="5" t="str">
        <f t="shared" ref="D5059:D5060" si="1315">HYPERLINK("https://www.linkedin.com/ad-library/detail/1477144324","Open Ad")</f>
        <v>Open Ad</v>
      </c>
      <c r="E5059" s="4" t="s">
        <v>78</v>
      </c>
      <c r="F5059" s="4" t="s">
        <v>6765</v>
      </c>
      <c r="G5059" s="8" t="s">
        <v>7158</v>
      </c>
      <c r="H5059" s="4" t="s">
        <v>49</v>
      </c>
      <c r="I5059" s="4" t="s">
        <v>7140</v>
      </c>
      <c r="J5059" s="4" t="s">
        <v>78</v>
      </c>
      <c r="K5059" s="7" t="str">
        <f t="shared" ref="K5059:K5060" si="1316">HYPERLINK("https://media.licdn.com/dms/image/v2/D5622AQFnH9C0eE_Afw/feedshare-image-high-res/B56Z9rz5SPHcAU-/0/1784220194448?e=2147483647&amp;v=beta&amp;t=UQxHaiO6_42kGh0ab-aQbTlrS_nY9XMrNAz4j_F-wb0","View Creative")</f>
        <v>View Creative</v>
      </c>
      <c r="L5059" s="4" t="s">
        <v>60</v>
      </c>
      <c r="M5059" s="4" t="s">
        <v>1446</v>
      </c>
      <c r="N5059" s="4"/>
      <c r="O5059" s="4" t="s">
        <v>63</v>
      </c>
      <c r="P5059" s="4" t="s">
        <v>64</v>
      </c>
    </row>
    <row r="5060">
      <c r="A5060" s="4" t="s">
        <v>1446</v>
      </c>
      <c r="B5060" s="4" t="s">
        <v>7138</v>
      </c>
      <c r="C5060" s="4">
        <v>42.0</v>
      </c>
      <c r="D5060" s="5" t="str">
        <f t="shared" si="1315"/>
        <v>Open Ad</v>
      </c>
      <c r="E5060" s="4" t="s">
        <v>78</v>
      </c>
      <c r="F5060" s="4" t="s">
        <v>6765</v>
      </c>
      <c r="G5060" s="8" t="s">
        <v>7158</v>
      </c>
      <c r="H5060" s="4" t="s">
        <v>49</v>
      </c>
      <c r="I5060" s="4" t="s">
        <v>7140</v>
      </c>
      <c r="J5060" s="4" t="s">
        <v>78</v>
      </c>
      <c r="K5060" s="7" t="str">
        <f t="shared" si="1316"/>
        <v>View Creative</v>
      </c>
      <c r="L5060" s="4" t="s">
        <v>60</v>
      </c>
      <c r="M5060" s="4" t="s">
        <v>1446</v>
      </c>
      <c r="N5060" s="4"/>
      <c r="O5060" s="4" t="s">
        <v>63</v>
      </c>
      <c r="P5060" s="4" t="s">
        <v>64</v>
      </c>
    </row>
    <row r="5061">
      <c r="A5061" s="4" t="s">
        <v>1446</v>
      </c>
      <c r="B5061" s="4" t="s">
        <v>7138</v>
      </c>
      <c r="C5061" s="4">
        <v>43.0</v>
      </c>
      <c r="D5061" s="5" t="str">
        <f>HYPERLINK("https://www.linkedin.com/ad-library/detail/1474637844","Open Ad")</f>
        <v>Open Ad</v>
      </c>
      <c r="E5061" s="4" t="s">
        <v>52</v>
      </c>
      <c r="F5061" s="4" t="s">
        <v>6765</v>
      </c>
      <c r="G5061" s="4" t="s">
        <v>7159</v>
      </c>
      <c r="H5061" s="4" t="s">
        <v>49</v>
      </c>
      <c r="I5061" s="4" t="s">
        <v>7140</v>
      </c>
      <c r="J5061" s="4" t="s">
        <v>52</v>
      </c>
      <c r="K5061" s="4" t="s">
        <v>59</v>
      </c>
      <c r="L5061" s="4" t="s">
        <v>60</v>
      </c>
      <c r="M5061" s="4" t="s">
        <v>1446</v>
      </c>
      <c r="N5061" s="4"/>
      <c r="O5061" s="4" t="s">
        <v>63</v>
      </c>
      <c r="P5061" s="4" t="s">
        <v>64</v>
      </c>
    </row>
    <row r="5062">
      <c r="A5062" s="4" t="s">
        <v>1446</v>
      </c>
      <c r="B5062" s="4" t="s">
        <v>7138</v>
      </c>
      <c r="C5062" s="4">
        <v>44.0</v>
      </c>
      <c r="D5062" s="5" t="str">
        <f>HYPERLINK("https://www.linkedin.com/ad-library/detail/1474588624","Open Ad")</f>
        <v>Open Ad</v>
      </c>
      <c r="E5062" s="4" t="s">
        <v>52</v>
      </c>
      <c r="F5062" s="4" t="s">
        <v>6765</v>
      </c>
      <c r="G5062" s="4" t="s">
        <v>7160</v>
      </c>
      <c r="H5062" s="4" t="s">
        <v>49</v>
      </c>
      <c r="I5062" s="4" t="s">
        <v>7140</v>
      </c>
      <c r="J5062" s="4" t="s">
        <v>52</v>
      </c>
      <c r="K5062" s="4" t="s">
        <v>59</v>
      </c>
      <c r="L5062" s="4" t="s">
        <v>60</v>
      </c>
      <c r="M5062" s="4" t="s">
        <v>1446</v>
      </c>
      <c r="N5062" s="4"/>
      <c r="O5062" s="4" t="s">
        <v>63</v>
      </c>
      <c r="P5062" s="4" t="s">
        <v>64</v>
      </c>
    </row>
    <row r="5063">
      <c r="A5063" s="4" t="s">
        <v>1446</v>
      </c>
      <c r="B5063" s="4" t="s">
        <v>7138</v>
      </c>
      <c r="C5063" s="4">
        <v>45.0</v>
      </c>
      <c r="D5063" s="5" t="str">
        <f t="shared" ref="D5063:D5064" si="1317">HYPERLINK("https://www.linkedin.com/ad-library/detail/1486848074","Open Ad")</f>
        <v>Open Ad</v>
      </c>
      <c r="E5063" s="4" t="s">
        <v>78</v>
      </c>
      <c r="F5063" s="4" t="s">
        <v>6765</v>
      </c>
      <c r="G5063" s="4" t="s">
        <v>7156</v>
      </c>
      <c r="H5063" s="4" t="s">
        <v>49</v>
      </c>
      <c r="I5063" s="4" t="s">
        <v>7140</v>
      </c>
      <c r="J5063" s="4" t="s">
        <v>78</v>
      </c>
      <c r="K5063" s="7" t="str">
        <f t="shared" ref="K5063:K5064" si="1318">HYPERLINK("https://media.licdn.com/dms/image/v2/D5610AQGWEcs62d2-oA/image-shrink_1280/B56Z_NyFjwIMAg-/0/1785863889267?e=2147483647&amp;v=beta&amp;t=pDMzKIY7OgaQhbqlORidn5tQhUu3nC8wD8ewVYYJUiM","View Creative")</f>
        <v>View Creative</v>
      </c>
      <c r="L5063" s="4" t="s">
        <v>60</v>
      </c>
      <c r="M5063" s="4" t="s">
        <v>1446</v>
      </c>
      <c r="N5063" s="4"/>
      <c r="O5063" s="4" t="s">
        <v>63</v>
      </c>
      <c r="P5063" s="4" t="s">
        <v>64</v>
      </c>
    </row>
    <row r="5064">
      <c r="A5064" s="4" t="s">
        <v>1446</v>
      </c>
      <c r="B5064" s="4" t="s">
        <v>7138</v>
      </c>
      <c r="C5064" s="4">
        <v>46.0</v>
      </c>
      <c r="D5064" s="5" t="str">
        <f t="shared" si="1317"/>
        <v>Open Ad</v>
      </c>
      <c r="E5064" s="4" t="s">
        <v>78</v>
      </c>
      <c r="F5064" s="4" t="s">
        <v>6765</v>
      </c>
      <c r="G5064" s="4" t="s">
        <v>7156</v>
      </c>
      <c r="H5064" s="4" t="s">
        <v>49</v>
      </c>
      <c r="I5064" s="4" t="s">
        <v>7140</v>
      </c>
      <c r="J5064" s="4" t="s">
        <v>78</v>
      </c>
      <c r="K5064" s="7" t="str">
        <f t="shared" si="1318"/>
        <v>View Creative</v>
      </c>
      <c r="L5064" s="4" t="s">
        <v>60</v>
      </c>
      <c r="M5064" s="4" t="s">
        <v>1446</v>
      </c>
      <c r="N5064" s="4"/>
      <c r="O5064" s="4" t="s">
        <v>63</v>
      </c>
      <c r="P5064" s="4" t="s">
        <v>64</v>
      </c>
    </row>
    <row r="5065">
      <c r="A5065" s="4" t="s">
        <v>1446</v>
      </c>
      <c r="B5065" s="4" t="s">
        <v>7138</v>
      </c>
      <c r="C5065" s="4">
        <v>47.0</v>
      </c>
      <c r="D5065" s="5" t="str">
        <f t="shared" ref="D5065:D5066" si="1319">HYPERLINK("https://www.linkedin.com/ad-library/detail/1477125364","Open Ad")</f>
        <v>Open Ad</v>
      </c>
      <c r="E5065" s="4" t="s">
        <v>121</v>
      </c>
      <c r="F5065" s="4" t="s">
        <v>6765</v>
      </c>
      <c r="G5065" s="4" t="s">
        <v>7157</v>
      </c>
      <c r="H5065" s="4" t="s">
        <v>49</v>
      </c>
      <c r="I5065" s="4" t="s">
        <v>7140</v>
      </c>
      <c r="J5065" s="4" t="s">
        <v>121</v>
      </c>
      <c r="K5065" s="7" t="str">
        <f t="shared" ref="K5065:K5066" si="1320">HYPERLINK("https://dms.licdn.com/playlist/vid/v2/D4E10AQHL_Ju8crxgtw/mp4-360p-30fp-crf28/B4EZ.ssHf6HoCA-/0/1785308677026?e=2147483647&amp;v=beta&amp;t=1f_mo0c3mLXIR-uhMZtFsIFRFso6sQ-CnxDeDU8Mo_A","View Creative")</f>
        <v>View Creative</v>
      </c>
      <c r="L5065" s="4" t="s">
        <v>60</v>
      </c>
      <c r="M5065" s="4" t="s">
        <v>1446</v>
      </c>
      <c r="N5065" s="4"/>
      <c r="O5065" s="4" t="s">
        <v>63</v>
      </c>
      <c r="P5065" s="4" t="s">
        <v>64</v>
      </c>
    </row>
    <row r="5066">
      <c r="A5066" s="4" t="s">
        <v>1446</v>
      </c>
      <c r="B5066" s="4" t="s">
        <v>7138</v>
      </c>
      <c r="C5066" s="4">
        <v>48.0</v>
      </c>
      <c r="D5066" s="5" t="str">
        <f t="shared" si="1319"/>
        <v>Open Ad</v>
      </c>
      <c r="E5066" s="4" t="s">
        <v>121</v>
      </c>
      <c r="F5066" s="4" t="s">
        <v>6765</v>
      </c>
      <c r="G5066" s="4" t="s">
        <v>7157</v>
      </c>
      <c r="H5066" s="4" t="s">
        <v>49</v>
      </c>
      <c r="I5066" s="4" t="s">
        <v>7140</v>
      </c>
      <c r="J5066" s="4" t="s">
        <v>121</v>
      </c>
      <c r="K5066" s="7" t="str">
        <f t="shared" si="1320"/>
        <v>View Creative</v>
      </c>
      <c r="L5066" s="4" t="s">
        <v>60</v>
      </c>
      <c r="M5066" s="4" t="s">
        <v>1446</v>
      </c>
      <c r="N5066" s="4"/>
      <c r="O5066" s="4" t="s">
        <v>63</v>
      </c>
      <c r="P5066" s="4" t="s">
        <v>64</v>
      </c>
    </row>
    <row r="5067">
      <c r="A5067" s="4" t="s">
        <v>1446</v>
      </c>
      <c r="B5067" s="4" t="s">
        <v>7138</v>
      </c>
      <c r="C5067" s="4">
        <v>49.0</v>
      </c>
      <c r="D5067" s="5" t="str">
        <f>HYPERLINK("https://www.linkedin.com/ad-library/detail/1486848064","Open Ad")</f>
        <v>Open Ad</v>
      </c>
      <c r="E5067" s="4" t="s">
        <v>52</v>
      </c>
      <c r="F5067" s="4" t="s">
        <v>6765</v>
      </c>
      <c r="G5067" s="4" t="s">
        <v>7161</v>
      </c>
      <c r="H5067" s="4" t="s">
        <v>49</v>
      </c>
      <c r="I5067" s="4" t="s">
        <v>7140</v>
      </c>
      <c r="J5067" s="4" t="s">
        <v>52</v>
      </c>
      <c r="K5067" s="4" t="s">
        <v>59</v>
      </c>
      <c r="L5067" s="4" t="s">
        <v>60</v>
      </c>
      <c r="M5067" s="4" t="s">
        <v>1446</v>
      </c>
      <c r="N5067" s="4"/>
      <c r="O5067" s="4" t="s">
        <v>63</v>
      </c>
      <c r="P5067" s="4" t="s">
        <v>64</v>
      </c>
    </row>
    <row r="5068">
      <c r="A5068" s="4" t="s">
        <v>1446</v>
      </c>
      <c r="B5068" s="4" t="s">
        <v>7138</v>
      </c>
      <c r="C5068" s="4">
        <v>50.0</v>
      </c>
      <c r="D5068" s="5" t="str">
        <f>HYPERLINK("https://www.linkedin.com/ad-library/detail/1486778544","Open Ad")</f>
        <v>Open Ad</v>
      </c>
      <c r="E5068" s="4" t="s">
        <v>52</v>
      </c>
      <c r="F5068" s="4" t="s">
        <v>6765</v>
      </c>
      <c r="G5068" s="4" t="s">
        <v>7162</v>
      </c>
      <c r="H5068" s="4" t="s">
        <v>49</v>
      </c>
      <c r="I5068" s="4" t="s">
        <v>7140</v>
      </c>
      <c r="J5068" s="4" t="s">
        <v>52</v>
      </c>
      <c r="K5068" s="4" t="s">
        <v>59</v>
      </c>
      <c r="L5068" s="4" t="s">
        <v>60</v>
      </c>
      <c r="M5068" s="4" t="s">
        <v>1446</v>
      </c>
      <c r="N5068" s="4"/>
      <c r="O5068" s="4" t="s">
        <v>63</v>
      </c>
      <c r="P5068" s="4" t="s">
        <v>64</v>
      </c>
    </row>
    <row r="5069">
      <c r="A5069" s="4" t="s">
        <v>1446</v>
      </c>
      <c r="B5069" s="4" t="s">
        <v>7138</v>
      </c>
      <c r="C5069" s="4">
        <v>51.0</v>
      </c>
      <c r="D5069" s="5" t="str">
        <f>HYPERLINK("https://www.linkedin.com/ad-library/detail/1486907404","Open Ad")</f>
        <v>Open Ad</v>
      </c>
      <c r="E5069" s="4" t="s">
        <v>52</v>
      </c>
      <c r="F5069" s="4" t="s">
        <v>6765</v>
      </c>
      <c r="G5069" s="4" t="s">
        <v>7163</v>
      </c>
      <c r="H5069" s="4" t="s">
        <v>49</v>
      </c>
      <c r="I5069" s="4" t="s">
        <v>7140</v>
      </c>
      <c r="J5069" s="4" t="s">
        <v>52</v>
      </c>
      <c r="K5069" s="4" t="s">
        <v>59</v>
      </c>
      <c r="L5069" s="4" t="s">
        <v>60</v>
      </c>
      <c r="M5069" s="4" t="s">
        <v>1446</v>
      </c>
      <c r="N5069" s="4"/>
      <c r="O5069" s="4" t="s">
        <v>63</v>
      </c>
      <c r="P5069" s="4" t="s">
        <v>64</v>
      </c>
    </row>
    <row r="5070">
      <c r="A5070" s="4" t="s">
        <v>1446</v>
      </c>
      <c r="B5070" s="4" t="s">
        <v>7138</v>
      </c>
      <c r="C5070" s="4">
        <v>52.0</v>
      </c>
      <c r="D5070" s="5" t="str">
        <f>HYPERLINK("https://www.linkedin.com/ad-library/detail/1468137754","Open Ad")</f>
        <v>Open Ad</v>
      </c>
      <c r="E5070" s="4" t="s">
        <v>52</v>
      </c>
      <c r="F5070" s="4" t="s">
        <v>6765</v>
      </c>
      <c r="G5070" s="4" t="s">
        <v>7164</v>
      </c>
      <c r="H5070" s="4" t="s">
        <v>49</v>
      </c>
      <c r="I5070" s="4" t="s">
        <v>7140</v>
      </c>
      <c r="J5070" s="4" t="s">
        <v>52</v>
      </c>
      <c r="K5070" s="4" t="s">
        <v>59</v>
      </c>
      <c r="L5070" s="4" t="s">
        <v>60</v>
      </c>
      <c r="M5070" s="4" t="s">
        <v>1446</v>
      </c>
      <c r="N5070" s="4"/>
      <c r="O5070" s="4" t="s">
        <v>63</v>
      </c>
      <c r="P5070" s="4" t="s">
        <v>64</v>
      </c>
    </row>
    <row r="5071">
      <c r="A5071" s="4" t="s">
        <v>1446</v>
      </c>
      <c r="B5071" s="4" t="s">
        <v>7138</v>
      </c>
      <c r="C5071" s="4">
        <v>53.0</v>
      </c>
      <c r="D5071" s="5" t="str">
        <f t="shared" ref="D5071:D5072" si="1321">HYPERLINK("https://www.linkedin.com/ad-library/detail/1476824224","Open Ad")</f>
        <v>Open Ad</v>
      </c>
      <c r="E5071" s="4" t="s">
        <v>121</v>
      </c>
      <c r="F5071" s="4" t="s">
        <v>6765</v>
      </c>
      <c r="G5071" s="4" t="s">
        <v>7165</v>
      </c>
      <c r="H5071" s="4" t="s">
        <v>49</v>
      </c>
      <c r="I5071" s="4" t="s">
        <v>7140</v>
      </c>
      <c r="J5071" s="4" t="s">
        <v>121</v>
      </c>
      <c r="K5071" s="7" t="str">
        <f t="shared" ref="K5071:K5072" si="1322">HYPERLINK("https://dms.licdn.com/playlist/vid/v2/D4E10AQGuhp6BUKb6Wg/mp4-640p-30fp-crf28/B4EZ.p6a2vJ0Bw-/0/1785262098606?e=2147483647&amp;v=beta&amp;t=lvM01i2-bhmOxG3qzWqdziFP5rqRhTUPCmbOUXjNGG8","View Creative")</f>
        <v>View Creative</v>
      </c>
      <c r="L5071" s="4" t="s">
        <v>60</v>
      </c>
      <c r="M5071" s="4" t="s">
        <v>1446</v>
      </c>
      <c r="N5071" s="4"/>
      <c r="O5071" s="4" t="s">
        <v>63</v>
      </c>
      <c r="P5071" s="4" t="s">
        <v>64</v>
      </c>
    </row>
    <row r="5072">
      <c r="A5072" s="4" t="s">
        <v>1446</v>
      </c>
      <c r="B5072" s="4" t="s">
        <v>7138</v>
      </c>
      <c r="C5072" s="4">
        <v>54.0</v>
      </c>
      <c r="D5072" s="5" t="str">
        <f t="shared" si="1321"/>
        <v>Open Ad</v>
      </c>
      <c r="E5072" s="4" t="s">
        <v>121</v>
      </c>
      <c r="F5072" s="4" t="s">
        <v>6765</v>
      </c>
      <c r="G5072" s="4" t="s">
        <v>7165</v>
      </c>
      <c r="H5072" s="4" t="s">
        <v>49</v>
      </c>
      <c r="I5072" s="4" t="s">
        <v>7140</v>
      </c>
      <c r="J5072" s="4" t="s">
        <v>121</v>
      </c>
      <c r="K5072" s="7" t="str">
        <f t="shared" si="1322"/>
        <v>View Creative</v>
      </c>
      <c r="L5072" s="4" t="s">
        <v>60</v>
      </c>
      <c r="M5072" s="4" t="s">
        <v>1446</v>
      </c>
      <c r="N5072" s="4"/>
      <c r="O5072" s="4" t="s">
        <v>63</v>
      </c>
      <c r="P5072" s="4" t="s">
        <v>64</v>
      </c>
    </row>
    <row r="5073">
      <c r="A5073" s="4" t="s">
        <v>1446</v>
      </c>
      <c r="B5073" s="4" t="s">
        <v>7138</v>
      </c>
      <c r="C5073" s="4">
        <v>55.0</v>
      </c>
      <c r="D5073" s="5" t="str">
        <f>HYPERLINK("https://www.linkedin.com/ad-library/detail/1466776904","Open Ad")</f>
        <v>Open Ad</v>
      </c>
      <c r="E5073" s="4" t="s">
        <v>52</v>
      </c>
      <c r="F5073" s="4" t="s">
        <v>6765</v>
      </c>
      <c r="G5073" s="4" t="s">
        <v>7166</v>
      </c>
      <c r="H5073" s="4" t="s">
        <v>49</v>
      </c>
      <c r="I5073" s="4" t="s">
        <v>7140</v>
      </c>
      <c r="J5073" s="4" t="s">
        <v>52</v>
      </c>
      <c r="K5073" s="4" t="s">
        <v>59</v>
      </c>
      <c r="L5073" s="4" t="s">
        <v>60</v>
      </c>
      <c r="M5073" s="4" t="s">
        <v>1446</v>
      </c>
      <c r="N5073" s="4"/>
      <c r="O5073" s="4" t="s">
        <v>63</v>
      </c>
      <c r="P5073" s="4" t="s">
        <v>64</v>
      </c>
    </row>
    <row r="5074">
      <c r="A5074" s="4" t="s">
        <v>1446</v>
      </c>
      <c r="B5074" s="4" t="s">
        <v>7138</v>
      </c>
      <c r="C5074" s="4">
        <v>56.0</v>
      </c>
      <c r="D5074" s="5" t="str">
        <f t="shared" ref="D5074:D5075" si="1323">HYPERLINK("https://www.linkedin.com/ad-library/detail/1477027084","Open Ad")</f>
        <v>Open Ad</v>
      </c>
      <c r="E5074" s="4" t="s">
        <v>121</v>
      </c>
      <c r="F5074" s="4" t="s">
        <v>6765</v>
      </c>
      <c r="G5074" s="4" t="s">
        <v>7167</v>
      </c>
      <c r="H5074" s="4" t="s">
        <v>49</v>
      </c>
      <c r="I5074" s="4" t="s">
        <v>7140</v>
      </c>
      <c r="J5074" s="4" t="s">
        <v>121</v>
      </c>
      <c r="K5074" s="7" t="str">
        <f t="shared" ref="K5074:K5075" si="1324">HYPERLINK("https://dms.licdn.com/playlist/vid/v2/D5605AQEfC6hdzpxH-g/mp4-640p-30fp-crf28/B56Z.pe_CEIMBk-/0/1785254908253?e=2147483647&amp;v=beta&amp;t=LDqRc8j_EieDEuaqZSvdRXnKELmZAyq2dv2-IIe4sro","View Creative")</f>
        <v>View Creative</v>
      </c>
      <c r="L5074" s="4" t="s">
        <v>60</v>
      </c>
      <c r="M5074" s="4" t="s">
        <v>1446</v>
      </c>
      <c r="N5074" s="4"/>
      <c r="O5074" s="4" t="s">
        <v>63</v>
      </c>
      <c r="P5074" s="4" t="s">
        <v>64</v>
      </c>
    </row>
    <row r="5075">
      <c r="A5075" s="4" t="s">
        <v>1446</v>
      </c>
      <c r="B5075" s="4" t="s">
        <v>7138</v>
      </c>
      <c r="C5075" s="4">
        <v>57.0</v>
      </c>
      <c r="D5075" s="5" t="str">
        <f t="shared" si="1323"/>
        <v>Open Ad</v>
      </c>
      <c r="E5075" s="4" t="s">
        <v>121</v>
      </c>
      <c r="F5075" s="4" t="s">
        <v>6765</v>
      </c>
      <c r="G5075" s="4" t="s">
        <v>7167</v>
      </c>
      <c r="H5075" s="4" t="s">
        <v>49</v>
      </c>
      <c r="I5075" s="4" t="s">
        <v>7140</v>
      </c>
      <c r="J5075" s="4" t="s">
        <v>121</v>
      </c>
      <c r="K5075" s="7" t="str">
        <f t="shared" si="1324"/>
        <v>View Creative</v>
      </c>
      <c r="L5075" s="4" t="s">
        <v>60</v>
      </c>
      <c r="M5075" s="4" t="s">
        <v>1446</v>
      </c>
      <c r="N5075" s="4"/>
      <c r="O5075" s="4" t="s">
        <v>63</v>
      </c>
      <c r="P5075" s="4" t="s">
        <v>64</v>
      </c>
    </row>
    <row r="5076">
      <c r="A5076" s="4" t="s">
        <v>1446</v>
      </c>
      <c r="B5076" s="4" t="s">
        <v>7138</v>
      </c>
      <c r="C5076" s="4">
        <v>58.0</v>
      </c>
      <c r="D5076" s="5" t="str">
        <f>HYPERLINK("https://www.linkedin.com/ad-library/detail/1486837684","Open Ad")</f>
        <v>Open Ad</v>
      </c>
      <c r="E5076" s="4" t="s">
        <v>52</v>
      </c>
      <c r="F5076" s="4" t="s">
        <v>6765</v>
      </c>
      <c r="G5076" s="4" t="s">
        <v>7168</v>
      </c>
      <c r="H5076" s="4" t="s">
        <v>49</v>
      </c>
      <c r="I5076" s="4" t="s">
        <v>7140</v>
      </c>
      <c r="J5076" s="4" t="s">
        <v>52</v>
      </c>
      <c r="K5076" s="4" t="s">
        <v>59</v>
      </c>
      <c r="L5076" s="4" t="s">
        <v>60</v>
      </c>
      <c r="M5076" s="4" t="s">
        <v>1446</v>
      </c>
      <c r="N5076" s="4"/>
      <c r="O5076" s="4" t="s">
        <v>63</v>
      </c>
      <c r="P5076" s="4" t="s">
        <v>64</v>
      </c>
    </row>
    <row r="5077">
      <c r="A5077" s="4" t="s">
        <v>1446</v>
      </c>
      <c r="B5077" s="4" t="s">
        <v>7138</v>
      </c>
      <c r="C5077" s="4">
        <v>59.0</v>
      </c>
      <c r="D5077" s="5" t="str">
        <f t="shared" ref="D5077:D5078" si="1325">HYPERLINK("https://www.linkedin.com/ad-library/detail/1476803124","Open Ad")</f>
        <v>Open Ad</v>
      </c>
      <c r="E5077" s="4" t="s">
        <v>121</v>
      </c>
      <c r="F5077" s="4" t="s">
        <v>6765</v>
      </c>
      <c r="G5077" s="4" t="s">
        <v>7169</v>
      </c>
      <c r="H5077" s="4" t="s">
        <v>49</v>
      </c>
      <c r="I5077" s="4" t="s">
        <v>7140</v>
      </c>
      <c r="J5077" s="4" t="s">
        <v>121</v>
      </c>
      <c r="K5077" s="7" t="str">
        <f t="shared" ref="K5077:K5078" si="1326">HYPERLINK("https://dms.licdn.com/playlist/vid/v2/D5605AQGXihLBOSS-GQ/mp4-640p-30fp-crf28/B56Z9B9U9OKgB0-/0/1783518035745?e=2147483647&amp;v=beta&amp;t=RezBTk26JYyGnqLbidsvP_ogn7aQU6gjAnOw0whyYOc","View Creative")</f>
        <v>View Creative</v>
      </c>
      <c r="L5077" s="4" t="s">
        <v>60</v>
      </c>
      <c r="M5077" s="4" t="s">
        <v>1446</v>
      </c>
      <c r="N5077" s="4"/>
      <c r="O5077" s="4" t="s">
        <v>63</v>
      </c>
      <c r="P5077" s="4" t="s">
        <v>64</v>
      </c>
    </row>
    <row r="5078">
      <c r="A5078" s="4" t="s">
        <v>1446</v>
      </c>
      <c r="B5078" s="4" t="s">
        <v>7138</v>
      </c>
      <c r="C5078" s="4">
        <v>60.0</v>
      </c>
      <c r="D5078" s="5" t="str">
        <f t="shared" si="1325"/>
        <v>Open Ad</v>
      </c>
      <c r="E5078" s="4" t="s">
        <v>121</v>
      </c>
      <c r="F5078" s="4" t="s">
        <v>6765</v>
      </c>
      <c r="G5078" s="4" t="s">
        <v>7169</v>
      </c>
      <c r="H5078" s="4" t="s">
        <v>49</v>
      </c>
      <c r="I5078" s="4" t="s">
        <v>7140</v>
      </c>
      <c r="J5078" s="4" t="s">
        <v>121</v>
      </c>
      <c r="K5078" s="7" t="str">
        <f t="shared" si="1326"/>
        <v>View Creative</v>
      </c>
      <c r="L5078" s="4" t="s">
        <v>60</v>
      </c>
      <c r="M5078" s="4" t="s">
        <v>1446</v>
      </c>
      <c r="N5078" s="4"/>
      <c r="O5078" s="4" t="s">
        <v>63</v>
      </c>
      <c r="P5078" s="4" t="s">
        <v>64</v>
      </c>
    </row>
    <row r="5079">
      <c r="A5079" s="4" t="s">
        <v>1446</v>
      </c>
      <c r="B5079" s="4" t="s">
        <v>7138</v>
      </c>
      <c r="C5079" s="4">
        <v>61.0</v>
      </c>
      <c r="D5079" s="5" t="str">
        <f t="shared" ref="D5079:D5080" si="1327">HYPERLINK("https://www.linkedin.com/ad-library/detail/1477154764","Open Ad")</f>
        <v>Open Ad</v>
      </c>
      <c r="E5079" s="4" t="s">
        <v>121</v>
      </c>
      <c r="F5079" s="4" t="s">
        <v>6765</v>
      </c>
      <c r="G5079" s="4" t="s">
        <v>7157</v>
      </c>
      <c r="H5079" s="4" t="s">
        <v>49</v>
      </c>
      <c r="I5079" s="4" t="s">
        <v>7140</v>
      </c>
      <c r="J5079" s="4" t="s">
        <v>121</v>
      </c>
      <c r="K5079" s="7" t="str">
        <f t="shared" ref="K5079:K5080" si="1328">HYPERLINK("https://dms.licdn.com/playlist/vid/v2/D4E10AQE4sITrLz6Uhw/mp4-640p-30fp-crf28/B4EZ.sur6NJ0Bo-/0/1785309350476?e=2147483647&amp;v=beta&amp;t=lzNHIWsQ6WNnns-iJN4QT32udo-PKeiVHSTFqzKk4XE","View Creative")</f>
        <v>View Creative</v>
      </c>
      <c r="L5079" s="4" t="s">
        <v>60</v>
      </c>
      <c r="M5079" s="4" t="s">
        <v>1446</v>
      </c>
      <c r="N5079" s="4"/>
      <c r="O5079" s="4" t="s">
        <v>63</v>
      </c>
      <c r="P5079" s="4" t="s">
        <v>64</v>
      </c>
    </row>
    <row r="5080">
      <c r="A5080" s="4" t="s">
        <v>1446</v>
      </c>
      <c r="B5080" s="4" t="s">
        <v>7138</v>
      </c>
      <c r="C5080" s="4">
        <v>62.0</v>
      </c>
      <c r="D5080" s="5" t="str">
        <f t="shared" si="1327"/>
        <v>Open Ad</v>
      </c>
      <c r="E5080" s="4" t="s">
        <v>121</v>
      </c>
      <c r="F5080" s="4" t="s">
        <v>6765</v>
      </c>
      <c r="G5080" s="4" t="s">
        <v>7157</v>
      </c>
      <c r="H5080" s="4" t="s">
        <v>49</v>
      </c>
      <c r="I5080" s="4" t="s">
        <v>7140</v>
      </c>
      <c r="J5080" s="4" t="s">
        <v>121</v>
      </c>
      <c r="K5080" s="7" t="str">
        <f t="shared" si="1328"/>
        <v>View Creative</v>
      </c>
      <c r="L5080" s="4" t="s">
        <v>60</v>
      </c>
      <c r="M5080" s="4" t="s">
        <v>1446</v>
      </c>
      <c r="N5080" s="4"/>
      <c r="O5080" s="4" t="s">
        <v>63</v>
      </c>
      <c r="P5080" s="4" t="s">
        <v>64</v>
      </c>
    </row>
    <row r="5081">
      <c r="A5081" s="4" t="s">
        <v>1446</v>
      </c>
      <c r="B5081" s="4" t="s">
        <v>7138</v>
      </c>
      <c r="C5081" s="4">
        <v>63.0</v>
      </c>
      <c r="D5081" s="5" t="str">
        <f>HYPERLINK("https://www.linkedin.com/ad-library/detail/1486916404","Open Ad")</f>
        <v>Open Ad</v>
      </c>
      <c r="E5081" s="4" t="s">
        <v>52</v>
      </c>
      <c r="F5081" s="4" t="s">
        <v>6765</v>
      </c>
      <c r="G5081" s="4" t="s">
        <v>7170</v>
      </c>
      <c r="H5081" s="4" t="s">
        <v>49</v>
      </c>
      <c r="I5081" s="4" t="s">
        <v>7140</v>
      </c>
      <c r="J5081" s="4" t="s">
        <v>52</v>
      </c>
      <c r="K5081" s="4" t="s">
        <v>59</v>
      </c>
      <c r="L5081" s="4" t="s">
        <v>60</v>
      </c>
      <c r="M5081" s="4" t="s">
        <v>1446</v>
      </c>
      <c r="N5081" s="4"/>
      <c r="O5081" s="4" t="s">
        <v>63</v>
      </c>
      <c r="P5081" s="4" t="s">
        <v>64</v>
      </c>
    </row>
    <row r="5082">
      <c r="A5082" s="4" t="s">
        <v>1446</v>
      </c>
      <c r="B5082" s="4" t="s">
        <v>7138</v>
      </c>
      <c r="C5082" s="4">
        <v>64.0</v>
      </c>
      <c r="D5082" s="5" t="str">
        <f t="shared" ref="D5082:D5083" si="1329">HYPERLINK("https://www.linkedin.com/ad-library/detail/1486728664","Open Ad")</f>
        <v>Open Ad</v>
      </c>
      <c r="E5082" s="4" t="s">
        <v>78</v>
      </c>
      <c r="F5082" s="4" t="s">
        <v>6765</v>
      </c>
      <c r="G5082" s="4" t="s">
        <v>7156</v>
      </c>
      <c r="H5082" s="4" t="s">
        <v>49</v>
      </c>
      <c r="I5082" s="4" t="s">
        <v>7140</v>
      </c>
      <c r="J5082" s="4" t="s">
        <v>78</v>
      </c>
      <c r="K5082" s="7" t="str">
        <f t="shared" ref="K5082:K5083" si="1330">HYPERLINK("https://media.licdn.com/dms/image/v2/D5610AQHGeRdJCtJyzQ/image-shrink_1280/B56Z_NyMbwHAAg-/0/1785863916850?e=2147483647&amp;v=beta&amp;t=UGuQy2oW7eOst7DYZHN2bKWvIvzcriCbseyMVYP5rG0","View Creative")</f>
        <v>View Creative</v>
      </c>
      <c r="L5082" s="4" t="s">
        <v>60</v>
      </c>
      <c r="M5082" s="4" t="s">
        <v>1446</v>
      </c>
      <c r="N5082" s="4"/>
      <c r="O5082" s="4" t="s">
        <v>63</v>
      </c>
      <c r="P5082" s="4" t="s">
        <v>64</v>
      </c>
    </row>
    <row r="5083">
      <c r="A5083" s="4" t="s">
        <v>1446</v>
      </c>
      <c r="B5083" s="4" t="s">
        <v>7138</v>
      </c>
      <c r="C5083" s="4">
        <v>65.0</v>
      </c>
      <c r="D5083" s="5" t="str">
        <f t="shared" si="1329"/>
        <v>Open Ad</v>
      </c>
      <c r="E5083" s="4" t="s">
        <v>78</v>
      </c>
      <c r="F5083" s="4" t="s">
        <v>6765</v>
      </c>
      <c r="G5083" s="4" t="s">
        <v>7156</v>
      </c>
      <c r="H5083" s="4" t="s">
        <v>49</v>
      </c>
      <c r="I5083" s="4" t="s">
        <v>7140</v>
      </c>
      <c r="J5083" s="4" t="s">
        <v>78</v>
      </c>
      <c r="K5083" s="7" t="str">
        <f t="shared" si="1330"/>
        <v>View Creative</v>
      </c>
      <c r="L5083" s="4" t="s">
        <v>60</v>
      </c>
      <c r="M5083" s="4" t="s">
        <v>1446</v>
      </c>
      <c r="N5083" s="4"/>
      <c r="O5083" s="4" t="s">
        <v>63</v>
      </c>
      <c r="P5083" s="4" t="s">
        <v>64</v>
      </c>
    </row>
    <row r="5084">
      <c r="A5084" s="4" t="s">
        <v>1446</v>
      </c>
      <c r="B5084" s="4" t="s">
        <v>7138</v>
      </c>
      <c r="C5084" s="4">
        <v>66.0</v>
      </c>
      <c r="D5084" s="5" t="str">
        <f>HYPERLINK("https://www.linkedin.com/ad-library/detail/1468166604","Open Ad")</f>
        <v>Open Ad</v>
      </c>
      <c r="E5084" s="4" t="s">
        <v>52</v>
      </c>
      <c r="F5084" s="4" t="s">
        <v>6765</v>
      </c>
      <c r="G5084" s="4" t="s">
        <v>7171</v>
      </c>
      <c r="H5084" s="4" t="s">
        <v>49</v>
      </c>
      <c r="I5084" s="4" t="s">
        <v>7140</v>
      </c>
      <c r="J5084" s="4" t="s">
        <v>52</v>
      </c>
      <c r="K5084" s="4" t="s">
        <v>59</v>
      </c>
      <c r="L5084" s="4" t="s">
        <v>60</v>
      </c>
      <c r="M5084" s="4" t="s">
        <v>1446</v>
      </c>
      <c r="N5084" s="4"/>
      <c r="O5084" s="4" t="s">
        <v>63</v>
      </c>
      <c r="P5084" s="4" t="s">
        <v>64</v>
      </c>
    </row>
    <row r="5085">
      <c r="A5085" s="4" t="s">
        <v>1446</v>
      </c>
      <c r="B5085" s="4" t="s">
        <v>7138</v>
      </c>
      <c r="C5085" s="4">
        <v>67.0</v>
      </c>
      <c r="D5085" s="5" t="str">
        <f t="shared" ref="D5085:D5086" si="1331">HYPERLINK("https://www.linkedin.com/ad-library/detail/1481222754","Open Ad")</f>
        <v>Open Ad</v>
      </c>
      <c r="E5085" s="4" t="s">
        <v>121</v>
      </c>
      <c r="F5085" s="4" t="s">
        <v>6765</v>
      </c>
      <c r="G5085" s="4" t="s">
        <v>7172</v>
      </c>
      <c r="H5085" s="4" t="s">
        <v>49</v>
      </c>
      <c r="I5085" s="4" t="s">
        <v>7140</v>
      </c>
      <c r="J5085" s="4" t="s">
        <v>121</v>
      </c>
      <c r="K5085" s="7" t="str">
        <f t="shared" ref="K5085:K5086" si="1332">HYPERLINK("https://dms.licdn.com/playlist/vid/v2/D5605AQE8vp766cj6Ig/mp4-640p-30fp-crf28/B56Z.Evm1QH4Bk-/0/1784638555101?e=2147483647&amp;v=beta&amp;t=JOwyDxORkU9yxjAa75KgF0qNbBqK9GAIoBSGAgQei4Q","View Creative")</f>
        <v>View Creative</v>
      </c>
      <c r="L5085" s="4" t="s">
        <v>60</v>
      </c>
      <c r="M5085" s="4" t="s">
        <v>1446</v>
      </c>
      <c r="N5085" s="4"/>
      <c r="O5085" s="4" t="s">
        <v>63</v>
      </c>
      <c r="P5085" s="4" t="s">
        <v>64</v>
      </c>
    </row>
    <row r="5086">
      <c r="A5086" s="4" t="s">
        <v>1446</v>
      </c>
      <c r="B5086" s="4" t="s">
        <v>7138</v>
      </c>
      <c r="C5086" s="4">
        <v>68.0</v>
      </c>
      <c r="D5086" s="5" t="str">
        <f t="shared" si="1331"/>
        <v>Open Ad</v>
      </c>
      <c r="E5086" s="4" t="s">
        <v>121</v>
      </c>
      <c r="F5086" s="4" t="s">
        <v>6765</v>
      </c>
      <c r="G5086" s="4" t="s">
        <v>7172</v>
      </c>
      <c r="H5086" s="4" t="s">
        <v>49</v>
      </c>
      <c r="I5086" s="4" t="s">
        <v>7140</v>
      </c>
      <c r="J5086" s="4" t="s">
        <v>121</v>
      </c>
      <c r="K5086" s="7" t="str">
        <f t="shared" si="1332"/>
        <v>View Creative</v>
      </c>
      <c r="L5086" s="4" t="s">
        <v>60</v>
      </c>
      <c r="M5086" s="4" t="s">
        <v>1446</v>
      </c>
      <c r="N5086" s="4"/>
      <c r="O5086" s="4" t="s">
        <v>63</v>
      </c>
      <c r="P5086" s="4" t="s">
        <v>64</v>
      </c>
    </row>
    <row r="5087">
      <c r="A5087" s="4" t="s">
        <v>1446</v>
      </c>
      <c r="B5087" s="4" t="s">
        <v>7138</v>
      </c>
      <c r="C5087" s="4">
        <v>69.0</v>
      </c>
      <c r="D5087" s="5" t="str">
        <f t="shared" ref="D5087:D5088" si="1333">HYPERLINK("https://www.linkedin.com/ad-library/detail/1476766244","Open Ad")</f>
        <v>Open Ad</v>
      </c>
      <c r="E5087" s="4" t="s">
        <v>121</v>
      </c>
      <c r="F5087" s="4" t="s">
        <v>6765</v>
      </c>
      <c r="G5087" s="4" t="s">
        <v>7165</v>
      </c>
      <c r="H5087" s="4" t="s">
        <v>49</v>
      </c>
      <c r="I5087" s="4" t="s">
        <v>7140</v>
      </c>
      <c r="J5087" s="4" t="s">
        <v>121</v>
      </c>
      <c r="K5087" s="7" t="str">
        <f t="shared" ref="K5087:K5088" si="1334">HYPERLINK("https://dms.licdn.com/playlist/vid/v2/D4E10AQGuhp6BUKb6Wg/mp4-640p-30fp-crf28/B4EZ.p6a2vJ0Bw-/0/1785262098606?e=2147483647&amp;v=beta&amp;t=lvM01i2-bhmOxG3qzWqdziFP5rqRhTUPCmbOUXjNGG8","View Creative")</f>
        <v>View Creative</v>
      </c>
      <c r="L5087" s="4" t="s">
        <v>60</v>
      </c>
      <c r="M5087" s="4" t="s">
        <v>1446</v>
      </c>
      <c r="N5087" s="4"/>
      <c r="O5087" s="4" t="s">
        <v>63</v>
      </c>
      <c r="P5087" s="4" t="s">
        <v>64</v>
      </c>
    </row>
    <row r="5088">
      <c r="A5088" s="4" t="s">
        <v>1446</v>
      </c>
      <c r="B5088" s="4" t="s">
        <v>7138</v>
      </c>
      <c r="C5088" s="4">
        <v>70.0</v>
      </c>
      <c r="D5088" s="5" t="str">
        <f t="shared" si="1333"/>
        <v>Open Ad</v>
      </c>
      <c r="E5088" s="4" t="s">
        <v>121</v>
      </c>
      <c r="F5088" s="4" t="s">
        <v>6765</v>
      </c>
      <c r="G5088" s="4" t="s">
        <v>7165</v>
      </c>
      <c r="H5088" s="4" t="s">
        <v>49</v>
      </c>
      <c r="I5088" s="4" t="s">
        <v>7140</v>
      </c>
      <c r="J5088" s="4" t="s">
        <v>121</v>
      </c>
      <c r="K5088" s="7" t="str">
        <f t="shared" si="1334"/>
        <v>View Creative</v>
      </c>
      <c r="L5088" s="4" t="s">
        <v>60</v>
      </c>
      <c r="M5088" s="4" t="s">
        <v>1446</v>
      </c>
      <c r="N5088" s="4"/>
      <c r="O5088" s="4" t="s">
        <v>63</v>
      </c>
      <c r="P5088" s="4" t="s">
        <v>64</v>
      </c>
    </row>
    <row r="5089">
      <c r="A5089" s="4" t="s">
        <v>1446</v>
      </c>
      <c r="B5089" s="4" t="s">
        <v>7138</v>
      </c>
      <c r="C5089" s="4">
        <v>71.0</v>
      </c>
      <c r="D5089" s="5" t="str">
        <f t="shared" ref="D5089:D5090" si="1335">HYPERLINK("https://www.linkedin.com/ad-library/detail/1477027554","Open Ad")</f>
        <v>Open Ad</v>
      </c>
      <c r="E5089" s="4" t="s">
        <v>121</v>
      </c>
      <c r="F5089" s="4" t="s">
        <v>6765</v>
      </c>
      <c r="G5089" s="4" t="s">
        <v>7157</v>
      </c>
      <c r="H5089" s="4" t="s">
        <v>49</v>
      </c>
      <c r="I5089" s="4" t="s">
        <v>7140</v>
      </c>
      <c r="J5089" s="4" t="s">
        <v>121</v>
      </c>
      <c r="K5089" s="7" t="str">
        <f t="shared" ref="K5089:K5090" si="1336">HYPERLINK("https://dms.licdn.com/playlist/vid/v2/D4E10AQE4sITrLz6Uhw/mp4-640p-30fp-crf28/B4EZ.sur6NJ0Bo-/0/1785309350476?e=2147483647&amp;v=beta&amp;t=lzNHIWsQ6WNnns-iJN4QT32udo-PKeiVHSTFqzKk4XE","View Creative")</f>
        <v>View Creative</v>
      </c>
      <c r="L5089" s="4" t="s">
        <v>60</v>
      </c>
      <c r="M5089" s="4" t="s">
        <v>1446</v>
      </c>
      <c r="N5089" s="4"/>
      <c r="O5089" s="4" t="s">
        <v>63</v>
      </c>
      <c r="P5089" s="4" t="s">
        <v>64</v>
      </c>
    </row>
    <row r="5090">
      <c r="A5090" s="4" t="s">
        <v>1446</v>
      </c>
      <c r="B5090" s="4" t="s">
        <v>7138</v>
      </c>
      <c r="C5090" s="4">
        <v>72.0</v>
      </c>
      <c r="D5090" s="5" t="str">
        <f t="shared" si="1335"/>
        <v>Open Ad</v>
      </c>
      <c r="E5090" s="4" t="s">
        <v>121</v>
      </c>
      <c r="F5090" s="4" t="s">
        <v>6765</v>
      </c>
      <c r="G5090" s="4" t="s">
        <v>7157</v>
      </c>
      <c r="H5090" s="4" t="s">
        <v>49</v>
      </c>
      <c r="I5090" s="4" t="s">
        <v>7140</v>
      </c>
      <c r="J5090" s="4" t="s">
        <v>121</v>
      </c>
      <c r="K5090" s="7" t="str">
        <f t="shared" si="1336"/>
        <v>View Creative</v>
      </c>
      <c r="L5090" s="4" t="s">
        <v>60</v>
      </c>
      <c r="M5090" s="4" t="s">
        <v>1446</v>
      </c>
      <c r="N5090" s="4"/>
      <c r="O5090" s="4" t="s">
        <v>63</v>
      </c>
      <c r="P5090" s="4" t="s">
        <v>64</v>
      </c>
    </row>
    <row r="5091">
      <c r="A5091" s="4" t="s">
        <v>1446</v>
      </c>
      <c r="B5091" s="4" t="s">
        <v>7138</v>
      </c>
      <c r="C5091" s="4">
        <v>73.0</v>
      </c>
      <c r="D5091" s="5" t="str">
        <f t="shared" ref="D5091:D5092" si="1337">HYPERLINK("https://www.linkedin.com/ad-library/detail/1464406294","Open Ad")</f>
        <v>Open Ad</v>
      </c>
      <c r="E5091" s="4" t="s">
        <v>121</v>
      </c>
      <c r="F5091" s="4" t="s">
        <v>6765</v>
      </c>
      <c r="G5091" s="4" t="s">
        <v>7173</v>
      </c>
      <c r="H5091" s="4" t="s">
        <v>7174</v>
      </c>
      <c r="I5091" s="4" t="s">
        <v>7140</v>
      </c>
      <c r="J5091" s="4" t="s">
        <v>121</v>
      </c>
      <c r="K5091" s="7" t="str">
        <f t="shared" ref="K5091:K5092" si="1338">HYPERLINK("https://dms.licdn.com/playlist/vid/v2/D4D05AQHnmIEEyRX-XQ/mp4-640p-30fp-crf28/B4DZqiqSThJMB4-/0/1763665591076?e=2147483647&amp;v=beta&amp;t=z_-Yle32SHQ35KpshG1IXh2KghCKdx17hxgQTsQb9DM","View Creative")</f>
        <v>View Creative</v>
      </c>
      <c r="L5091" s="4" t="s">
        <v>60</v>
      </c>
      <c r="M5091" s="4" t="s">
        <v>1446</v>
      </c>
      <c r="N5091" s="4"/>
      <c r="O5091" s="4" t="s">
        <v>63</v>
      </c>
      <c r="P5091" s="4" t="s">
        <v>64</v>
      </c>
    </row>
    <row r="5092">
      <c r="A5092" s="4" t="s">
        <v>1446</v>
      </c>
      <c r="B5092" s="4" t="s">
        <v>7138</v>
      </c>
      <c r="C5092" s="4">
        <v>74.0</v>
      </c>
      <c r="D5092" s="5" t="str">
        <f t="shared" si="1337"/>
        <v>Open Ad</v>
      </c>
      <c r="E5092" s="4" t="s">
        <v>121</v>
      </c>
      <c r="F5092" s="4" t="s">
        <v>6765</v>
      </c>
      <c r="G5092" s="4" t="s">
        <v>7173</v>
      </c>
      <c r="H5092" s="4" t="s">
        <v>7174</v>
      </c>
      <c r="I5092" s="4" t="s">
        <v>7140</v>
      </c>
      <c r="J5092" s="4" t="s">
        <v>121</v>
      </c>
      <c r="K5092" s="7" t="str">
        <f t="shared" si="1338"/>
        <v>View Creative</v>
      </c>
      <c r="L5092" s="4" t="s">
        <v>60</v>
      </c>
      <c r="M5092" s="4" t="s">
        <v>1446</v>
      </c>
      <c r="N5092" s="4"/>
      <c r="O5092" s="4" t="s">
        <v>63</v>
      </c>
      <c r="P5092" s="4" t="s">
        <v>64</v>
      </c>
    </row>
    <row r="5093">
      <c r="A5093" s="4" t="s">
        <v>1446</v>
      </c>
      <c r="B5093" s="4" t="s">
        <v>7138</v>
      </c>
      <c r="C5093" s="4">
        <v>75.0</v>
      </c>
      <c r="D5093" s="5" t="str">
        <f t="shared" ref="D5093:D5094" si="1339">HYPERLINK("https://www.linkedin.com/ad-library/detail/1464416654","Open Ad")</f>
        <v>Open Ad</v>
      </c>
      <c r="E5093" s="4" t="s">
        <v>121</v>
      </c>
      <c r="F5093" s="4" t="s">
        <v>6765</v>
      </c>
      <c r="G5093" s="4" t="s">
        <v>7175</v>
      </c>
      <c r="H5093" s="4" t="s">
        <v>49</v>
      </c>
      <c r="I5093" s="4" t="s">
        <v>7140</v>
      </c>
      <c r="J5093" s="4" t="s">
        <v>121</v>
      </c>
      <c r="K5093" s="7" t="str">
        <f t="shared" ref="K5093:K5094" si="1340">HYPERLINK("https://dms.licdn.com/playlist/vid/v2/D5605AQEWNe09ZoqOxA/mp4-720p-30fp-crf28/B56Z4h8If4IYB4-/0/1778685879338?e=2147483647&amp;v=beta&amp;t=GcORgHPD11kmTB6xULXOiMdQZ41gwkeyuXn30kkHS1s","View Creative")</f>
        <v>View Creative</v>
      </c>
      <c r="L5093" s="4" t="s">
        <v>60</v>
      </c>
      <c r="M5093" s="4" t="s">
        <v>1446</v>
      </c>
      <c r="N5093" s="4"/>
      <c r="O5093" s="4" t="s">
        <v>63</v>
      </c>
      <c r="P5093" s="4" t="s">
        <v>64</v>
      </c>
    </row>
    <row r="5094">
      <c r="A5094" s="4" t="s">
        <v>1446</v>
      </c>
      <c r="B5094" s="4" t="s">
        <v>7138</v>
      </c>
      <c r="C5094" s="4">
        <v>76.0</v>
      </c>
      <c r="D5094" s="5" t="str">
        <f t="shared" si="1339"/>
        <v>Open Ad</v>
      </c>
      <c r="E5094" s="4" t="s">
        <v>121</v>
      </c>
      <c r="F5094" s="4" t="s">
        <v>6765</v>
      </c>
      <c r="G5094" s="4" t="s">
        <v>7175</v>
      </c>
      <c r="H5094" s="4" t="s">
        <v>49</v>
      </c>
      <c r="I5094" s="4" t="s">
        <v>7140</v>
      </c>
      <c r="J5094" s="4" t="s">
        <v>121</v>
      </c>
      <c r="K5094" s="7" t="str">
        <f t="shared" si="1340"/>
        <v>View Creative</v>
      </c>
      <c r="L5094" s="4" t="s">
        <v>60</v>
      </c>
      <c r="M5094" s="4" t="s">
        <v>1446</v>
      </c>
      <c r="N5094" s="4"/>
      <c r="O5094" s="4" t="s">
        <v>63</v>
      </c>
      <c r="P5094" s="4" t="s">
        <v>64</v>
      </c>
    </row>
    <row r="5095">
      <c r="A5095" s="4" t="s">
        <v>1446</v>
      </c>
      <c r="B5095" s="4" t="s">
        <v>7138</v>
      </c>
      <c r="C5095" s="4">
        <v>77.0</v>
      </c>
      <c r="D5095" s="5" t="str">
        <f t="shared" ref="D5095:D5096" si="1341">HYPERLINK("https://www.linkedin.com/ad-library/detail/1464494814","Open Ad")</f>
        <v>Open Ad</v>
      </c>
      <c r="E5095" s="4" t="s">
        <v>121</v>
      </c>
      <c r="F5095" s="4" t="s">
        <v>6765</v>
      </c>
      <c r="G5095" s="4" t="s">
        <v>7176</v>
      </c>
      <c r="H5095" s="4" t="s">
        <v>49</v>
      </c>
      <c r="I5095" s="4" t="s">
        <v>7140</v>
      </c>
      <c r="J5095" s="4" t="s">
        <v>121</v>
      </c>
      <c r="K5095" s="7" t="str">
        <f t="shared" ref="K5095:K5096" si="1342">HYPERLINK("https://dms.licdn.com/playlist/vid/v2/D4E05AQEGh8tNi4vnsA/mp4-640p-30fp-crf28/B4EZ6tF.M.KEBk-/0/1781020496286?e=2147483647&amp;v=beta&amp;t=mmJsN-gluJv_IJ0aHj_-JC8EQkdhozrAfVMFlQMW90o","View Creative")</f>
        <v>View Creative</v>
      </c>
      <c r="L5095" s="4" t="s">
        <v>60</v>
      </c>
      <c r="M5095" s="4" t="s">
        <v>1446</v>
      </c>
      <c r="N5095" s="4"/>
      <c r="O5095" s="4" t="s">
        <v>63</v>
      </c>
      <c r="P5095" s="4" t="s">
        <v>64</v>
      </c>
    </row>
    <row r="5096">
      <c r="A5096" s="4" t="s">
        <v>1446</v>
      </c>
      <c r="B5096" s="4" t="s">
        <v>7138</v>
      </c>
      <c r="C5096" s="4">
        <v>78.0</v>
      </c>
      <c r="D5096" s="5" t="str">
        <f t="shared" si="1341"/>
        <v>Open Ad</v>
      </c>
      <c r="E5096" s="4" t="s">
        <v>121</v>
      </c>
      <c r="F5096" s="4" t="s">
        <v>6765</v>
      </c>
      <c r="G5096" s="4" t="s">
        <v>7176</v>
      </c>
      <c r="H5096" s="4" t="s">
        <v>49</v>
      </c>
      <c r="I5096" s="4" t="s">
        <v>7140</v>
      </c>
      <c r="J5096" s="4" t="s">
        <v>121</v>
      </c>
      <c r="K5096" s="7" t="str">
        <f t="shared" si="1342"/>
        <v>View Creative</v>
      </c>
      <c r="L5096" s="4" t="s">
        <v>60</v>
      </c>
      <c r="M5096" s="4" t="s">
        <v>1446</v>
      </c>
      <c r="N5096" s="4"/>
      <c r="O5096" s="4" t="s">
        <v>63</v>
      </c>
      <c r="P5096" s="4" t="s">
        <v>64</v>
      </c>
    </row>
    <row r="5097">
      <c r="A5097" s="4" t="s">
        <v>1446</v>
      </c>
      <c r="B5097" s="4" t="s">
        <v>7138</v>
      </c>
      <c r="C5097" s="4">
        <v>79.0</v>
      </c>
      <c r="D5097" s="5" t="str">
        <f t="shared" ref="D5097:D5098" si="1343">HYPERLINK("https://www.linkedin.com/ad-library/detail/1464406194","Open Ad")</f>
        <v>Open Ad</v>
      </c>
      <c r="E5097" s="4" t="s">
        <v>121</v>
      </c>
      <c r="F5097" s="4" t="s">
        <v>6765</v>
      </c>
      <c r="G5097" s="4" t="s">
        <v>7177</v>
      </c>
      <c r="H5097" s="4" t="s">
        <v>49</v>
      </c>
      <c r="I5097" s="4" t="s">
        <v>7140</v>
      </c>
      <c r="J5097" s="4" t="s">
        <v>121</v>
      </c>
      <c r="K5097" s="7" t="str">
        <f t="shared" ref="K5097:K5098" si="1344">HYPERLINK("https://dms.licdn.com/playlist/vid/v2/D5605AQEC0dg2UxS9Eg/mp4-640p-30fp-crf28/B56ZlTHaUaHUBg-/0/1758036109121?e=2147483647&amp;v=beta&amp;t=r2TUXg6IriE5bWcka5TTw3bcHXSbabgRxdDfRqQaIQ0","View Creative")</f>
        <v>View Creative</v>
      </c>
      <c r="L5097" s="4" t="s">
        <v>60</v>
      </c>
      <c r="M5097" s="4" t="s">
        <v>1446</v>
      </c>
      <c r="N5097" s="4"/>
      <c r="O5097" s="4" t="s">
        <v>63</v>
      </c>
      <c r="P5097" s="4" t="s">
        <v>64</v>
      </c>
    </row>
    <row r="5098">
      <c r="A5098" s="4" t="s">
        <v>1446</v>
      </c>
      <c r="B5098" s="4" t="s">
        <v>7138</v>
      </c>
      <c r="C5098" s="4">
        <v>80.0</v>
      </c>
      <c r="D5098" s="5" t="str">
        <f t="shared" si="1343"/>
        <v>Open Ad</v>
      </c>
      <c r="E5098" s="4" t="s">
        <v>121</v>
      </c>
      <c r="F5098" s="4" t="s">
        <v>6765</v>
      </c>
      <c r="G5098" s="4" t="s">
        <v>7177</v>
      </c>
      <c r="H5098" s="4" t="s">
        <v>49</v>
      </c>
      <c r="I5098" s="4" t="s">
        <v>7140</v>
      </c>
      <c r="J5098" s="4" t="s">
        <v>121</v>
      </c>
      <c r="K5098" s="7" t="str">
        <f t="shared" si="1344"/>
        <v>View Creative</v>
      </c>
      <c r="L5098" s="4" t="s">
        <v>60</v>
      </c>
      <c r="M5098" s="4" t="s">
        <v>1446</v>
      </c>
      <c r="N5098" s="4"/>
      <c r="O5098" s="4" t="s">
        <v>63</v>
      </c>
      <c r="P5098" s="4" t="s">
        <v>64</v>
      </c>
    </row>
    <row r="5099">
      <c r="A5099" s="4" t="s">
        <v>1446</v>
      </c>
      <c r="B5099" s="4" t="s">
        <v>7138</v>
      </c>
      <c r="C5099" s="4">
        <v>81.0</v>
      </c>
      <c r="D5099" s="5" t="str">
        <f t="shared" ref="D5099:D5100" si="1345">HYPERLINK("https://www.linkedin.com/ad-library/detail/1464484434","Open Ad")</f>
        <v>Open Ad</v>
      </c>
      <c r="E5099" s="4" t="s">
        <v>121</v>
      </c>
      <c r="F5099" s="4" t="s">
        <v>6765</v>
      </c>
      <c r="G5099" s="4" t="s">
        <v>7178</v>
      </c>
      <c r="H5099" s="4" t="s">
        <v>49</v>
      </c>
      <c r="I5099" s="4" t="s">
        <v>7140</v>
      </c>
      <c r="J5099" s="4" t="s">
        <v>121</v>
      </c>
      <c r="K5099" s="7" t="str">
        <f t="shared" ref="K5099:K5100" si="1346">HYPERLINK("https://dms.licdn.com/playlist/vid/v2/D5605AQE6Z0zqfcpW3g/mp4-640p-30fp-crf28/B56Zorq7IeJoBg-/0/1761669283314?e=2147483647&amp;v=beta&amp;t=KST58Ce3LTVWDWkFRWzAAmLwhm80S6p0s59Ezqw-4tM","View Creative")</f>
        <v>View Creative</v>
      </c>
      <c r="L5099" s="4" t="s">
        <v>60</v>
      </c>
      <c r="M5099" s="4" t="s">
        <v>1446</v>
      </c>
      <c r="N5099" s="4"/>
      <c r="O5099" s="4" t="s">
        <v>63</v>
      </c>
      <c r="P5099" s="4" t="s">
        <v>64</v>
      </c>
    </row>
    <row r="5100">
      <c r="A5100" s="4" t="s">
        <v>1446</v>
      </c>
      <c r="B5100" s="4" t="s">
        <v>7138</v>
      </c>
      <c r="C5100" s="4">
        <v>82.0</v>
      </c>
      <c r="D5100" s="5" t="str">
        <f t="shared" si="1345"/>
        <v>Open Ad</v>
      </c>
      <c r="E5100" s="4" t="s">
        <v>121</v>
      </c>
      <c r="F5100" s="4" t="s">
        <v>6765</v>
      </c>
      <c r="G5100" s="4" t="s">
        <v>7178</v>
      </c>
      <c r="H5100" s="4" t="s">
        <v>49</v>
      </c>
      <c r="I5100" s="4" t="s">
        <v>7140</v>
      </c>
      <c r="J5100" s="4" t="s">
        <v>121</v>
      </c>
      <c r="K5100" s="7" t="str">
        <f t="shared" si="1346"/>
        <v>View Creative</v>
      </c>
      <c r="L5100" s="4" t="s">
        <v>60</v>
      </c>
      <c r="M5100" s="4" t="s">
        <v>1446</v>
      </c>
      <c r="N5100" s="4"/>
      <c r="O5100" s="4" t="s">
        <v>63</v>
      </c>
      <c r="P5100" s="4" t="s">
        <v>64</v>
      </c>
    </row>
    <row r="5101">
      <c r="A5101" s="4" t="s">
        <v>1446</v>
      </c>
      <c r="B5101" s="4" t="s">
        <v>7138</v>
      </c>
      <c r="C5101" s="4">
        <v>83.0</v>
      </c>
      <c r="D5101" s="5" t="str">
        <f t="shared" ref="D5101:D5102" si="1347">HYPERLINK("https://www.linkedin.com/ad-library/detail/1464406284","Open Ad")</f>
        <v>Open Ad</v>
      </c>
      <c r="E5101" s="4" t="s">
        <v>121</v>
      </c>
      <c r="F5101" s="4" t="s">
        <v>6765</v>
      </c>
      <c r="G5101" s="4" t="s">
        <v>7179</v>
      </c>
      <c r="H5101" s="4" t="s">
        <v>49</v>
      </c>
      <c r="I5101" s="4" t="s">
        <v>7140</v>
      </c>
      <c r="J5101" s="4" t="s">
        <v>121</v>
      </c>
      <c r="K5101" s="7" t="str">
        <f t="shared" ref="K5101:K5102" si="1348">HYPERLINK("https://dms.licdn.com/playlist/vid/v2/D5605AQHLi1j0DUwXOA/mp4-720p-30fp-crf28/B56Z5AtZXGG0CA-/0/1779202112058?e=2147483647&amp;v=beta&amp;t=gJ685MqCVRDMCOsA8jx2rzABa4OnDA12w_6zgxvmgmw","View Creative")</f>
        <v>View Creative</v>
      </c>
      <c r="L5101" s="4" t="s">
        <v>60</v>
      </c>
      <c r="M5101" s="4" t="s">
        <v>1446</v>
      </c>
      <c r="N5101" s="4"/>
      <c r="O5101" s="4" t="s">
        <v>63</v>
      </c>
      <c r="P5101" s="4" t="s">
        <v>64</v>
      </c>
    </row>
    <row r="5102">
      <c r="A5102" s="4" t="s">
        <v>1446</v>
      </c>
      <c r="B5102" s="4" t="s">
        <v>7138</v>
      </c>
      <c r="C5102" s="4">
        <v>84.0</v>
      </c>
      <c r="D5102" s="5" t="str">
        <f t="shared" si="1347"/>
        <v>Open Ad</v>
      </c>
      <c r="E5102" s="4" t="s">
        <v>121</v>
      </c>
      <c r="F5102" s="4" t="s">
        <v>6765</v>
      </c>
      <c r="G5102" s="4" t="s">
        <v>7179</v>
      </c>
      <c r="H5102" s="4" t="s">
        <v>49</v>
      </c>
      <c r="I5102" s="4" t="s">
        <v>7140</v>
      </c>
      <c r="J5102" s="4" t="s">
        <v>121</v>
      </c>
      <c r="K5102" s="7" t="str">
        <f t="shared" si="1348"/>
        <v>View Creative</v>
      </c>
      <c r="L5102" s="4" t="s">
        <v>60</v>
      </c>
      <c r="M5102" s="4" t="s">
        <v>1446</v>
      </c>
      <c r="N5102" s="4"/>
      <c r="O5102" s="4" t="s">
        <v>63</v>
      </c>
      <c r="P5102" s="4" t="s">
        <v>64</v>
      </c>
    </row>
    <row r="5103">
      <c r="A5103" s="4" t="s">
        <v>1446</v>
      </c>
      <c r="B5103" s="4" t="s">
        <v>7138</v>
      </c>
      <c r="C5103" s="4">
        <v>85.0</v>
      </c>
      <c r="D5103" s="5" t="str">
        <f>HYPERLINK("https://www.linkedin.com/ad-library/detail/1461913014","Open Ad")</f>
        <v>Open Ad</v>
      </c>
      <c r="E5103" s="4" t="s">
        <v>52</v>
      </c>
      <c r="F5103" s="4" t="s">
        <v>6765</v>
      </c>
      <c r="G5103" s="4" t="s">
        <v>7142</v>
      </c>
      <c r="H5103" s="4" t="s">
        <v>49</v>
      </c>
      <c r="I5103" s="4" t="s">
        <v>7140</v>
      </c>
      <c r="J5103" s="4" t="s">
        <v>52</v>
      </c>
      <c r="K5103" s="4" t="s">
        <v>59</v>
      </c>
      <c r="L5103" s="4" t="s">
        <v>60</v>
      </c>
      <c r="M5103" s="4" t="s">
        <v>1446</v>
      </c>
      <c r="N5103" s="4"/>
      <c r="O5103" s="4" t="s">
        <v>63</v>
      </c>
      <c r="P5103" s="4" t="s">
        <v>64</v>
      </c>
    </row>
    <row r="5104">
      <c r="A5104" s="4" t="s">
        <v>1446</v>
      </c>
      <c r="B5104" s="4" t="s">
        <v>7138</v>
      </c>
      <c r="C5104" s="4">
        <v>86.0</v>
      </c>
      <c r="D5104" s="5" t="str">
        <f t="shared" ref="D5104:D5105" si="1349">HYPERLINK("https://www.linkedin.com/ad-library/detail/1464465494","Open Ad")</f>
        <v>Open Ad</v>
      </c>
      <c r="E5104" s="4" t="s">
        <v>121</v>
      </c>
      <c r="F5104" s="4" t="s">
        <v>6765</v>
      </c>
      <c r="G5104" s="4" t="s">
        <v>7176</v>
      </c>
      <c r="H5104" s="4" t="s">
        <v>49</v>
      </c>
      <c r="I5104" s="4" t="s">
        <v>7140</v>
      </c>
      <c r="J5104" s="4" t="s">
        <v>121</v>
      </c>
      <c r="K5104" s="7" t="str">
        <f t="shared" ref="K5104:K5105" si="1350">HYPERLINK("https://dms.licdn.com/playlist/vid/v2/D4E05AQEGh8tNi4vnsA/mp4-640p-30fp-crf28/B4EZ6tF.M.KEBk-/0/1781020496286?e=2147483647&amp;v=beta&amp;t=mmJsN-gluJv_IJ0aHj_-JC8EQkdhozrAfVMFlQMW90o","View Creative")</f>
        <v>View Creative</v>
      </c>
      <c r="L5104" s="4" t="s">
        <v>60</v>
      </c>
      <c r="M5104" s="4" t="s">
        <v>1446</v>
      </c>
      <c r="N5104" s="4"/>
      <c r="O5104" s="4" t="s">
        <v>63</v>
      </c>
      <c r="P5104" s="4" t="s">
        <v>64</v>
      </c>
    </row>
    <row r="5105">
      <c r="A5105" s="4" t="s">
        <v>1446</v>
      </c>
      <c r="B5105" s="4" t="s">
        <v>7138</v>
      </c>
      <c r="C5105" s="4">
        <v>87.0</v>
      </c>
      <c r="D5105" s="5" t="str">
        <f t="shared" si="1349"/>
        <v>Open Ad</v>
      </c>
      <c r="E5105" s="4" t="s">
        <v>121</v>
      </c>
      <c r="F5105" s="4" t="s">
        <v>6765</v>
      </c>
      <c r="G5105" s="4" t="s">
        <v>7176</v>
      </c>
      <c r="H5105" s="4" t="s">
        <v>49</v>
      </c>
      <c r="I5105" s="4" t="s">
        <v>7140</v>
      </c>
      <c r="J5105" s="4" t="s">
        <v>121</v>
      </c>
      <c r="K5105" s="7" t="str">
        <f t="shared" si="1350"/>
        <v>View Creative</v>
      </c>
      <c r="L5105" s="4" t="s">
        <v>60</v>
      </c>
      <c r="M5105" s="4" t="s">
        <v>1446</v>
      </c>
      <c r="N5105" s="4"/>
      <c r="O5105" s="4" t="s">
        <v>63</v>
      </c>
      <c r="P5105" s="4" t="s">
        <v>64</v>
      </c>
    </row>
    <row r="5106">
      <c r="A5106" s="4" t="s">
        <v>1446</v>
      </c>
      <c r="B5106" s="4" t="s">
        <v>7138</v>
      </c>
      <c r="C5106" s="4">
        <v>88.0</v>
      </c>
      <c r="D5106" s="5" t="str">
        <f t="shared" ref="D5106:D5107" si="1351">HYPERLINK("https://www.linkedin.com/ad-library/detail/1464436304","Open Ad")</f>
        <v>Open Ad</v>
      </c>
      <c r="E5106" s="4" t="s">
        <v>121</v>
      </c>
      <c r="F5106" s="4" t="s">
        <v>6765</v>
      </c>
      <c r="G5106" s="4" t="s">
        <v>7180</v>
      </c>
      <c r="H5106" s="4" t="s">
        <v>49</v>
      </c>
      <c r="I5106" s="4" t="s">
        <v>7140</v>
      </c>
      <c r="J5106" s="4" t="s">
        <v>121</v>
      </c>
      <c r="K5106" s="7" t="str">
        <f t="shared" ref="K5106:K5107" si="1352">HYPERLINK("https://dms.licdn.com/playlist/vid/v2/D5605AQEmxVlPHBLZkQ/mp4-720p-30fp-crf28/B56ZzYQFWqGQCI-/0/1773154630789?e=2147483647&amp;v=beta&amp;t=_JAszrfLzQkAhoCf8voYsNUfx6oL6Y1ScMDAiqjrXCI","View Creative")</f>
        <v>View Creative</v>
      </c>
      <c r="L5106" s="4" t="s">
        <v>60</v>
      </c>
      <c r="M5106" s="4" t="s">
        <v>1446</v>
      </c>
      <c r="N5106" s="4"/>
      <c r="O5106" s="4" t="s">
        <v>63</v>
      </c>
      <c r="P5106" s="4" t="s">
        <v>64</v>
      </c>
    </row>
    <row r="5107">
      <c r="A5107" s="4" t="s">
        <v>1446</v>
      </c>
      <c r="B5107" s="4" t="s">
        <v>7138</v>
      </c>
      <c r="C5107" s="4">
        <v>89.0</v>
      </c>
      <c r="D5107" s="5" t="str">
        <f t="shared" si="1351"/>
        <v>Open Ad</v>
      </c>
      <c r="E5107" s="4" t="s">
        <v>121</v>
      </c>
      <c r="F5107" s="4" t="s">
        <v>6765</v>
      </c>
      <c r="G5107" s="4" t="s">
        <v>7180</v>
      </c>
      <c r="H5107" s="4" t="s">
        <v>49</v>
      </c>
      <c r="I5107" s="4" t="s">
        <v>7140</v>
      </c>
      <c r="J5107" s="4" t="s">
        <v>121</v>
      </c>
      <c r="K5107" s="7" t="str">
        <f t="shared" si="1352"/>
        <v>View Creative</v>
      </c>
      <c r="L5107" s="4" t="s">
        <v>60</v>
      </c>
      <c r="M5107" s="4" t="s">
        <v>1446</v>
      </c>
      <c r="N5107" s="4"/>
      <c r="O5107" s="4" t="s">
        <v>63</v>
      </c>
      <c r="P5107" s="4" t="s">
        <v>64</v>
      </c>
    </row>
    <row r="5108">
      <c r="A5108" s="4" t="s">
        <v>1446</v>
      </c>
      <c r="B5108" s="4" t="s">
        <v>7138</v>
      </c>
      <c r="C5108" s="4">
        <v>90.0</v>
      </c>
      <c r="D5108" s="5" t="str">
        <f t="shared" ref="D5108:D5109" si="1353">HYPERLINK("https://www.linkedin.com/ad-library/detail/1464542224","Open Ad")</f>
        <v>Open Ad</v>
      </c>
      <c r="E5108" s="4" t="s">
        <v>121</v>
      </c>
      <c r="F5108" s="4" t="s">
        <v>6765</v>
      </c>
      <c r="G5108" s="4" t="s">
        <v>7181</v>
      </c>
      <c r="H5108" s="4" t="s">
        <v>49</v>
      </c>
      <c r="I5108" s="4" t="s">
        <v>7140</v>
      </c>
      <c r="J5108" s="4" t="s">
        <v>121</v>
      </c>
      <c r="K5108" s="7" t="str">
        <f t="shared" ref="K5108:K5109" si="1354">HYPERLINK("https://dms.licdn.com/playlist/vid/v2/D5605AQFA8KADDGioVA/mp4-720p-30fp-crf28/B56Zp.NliIJQB0-/0/1763054106947?e=2147483647&amp;v=beta&amp;t=BbTucYSz0d9s4kJlyDnJayCgM6O0_TVjoKXC0Cpk8Qw","View Creative")</f>
        <v>View Creative</v>
      </c>
      <c r="L5108" s="4" t="s">
        <v>60</v>
      </c>
      <c r="M5108" s="4" t="s">
        <v>1446</v>
      </c>
      <c r="N5108" s="4"/>
      <c r="O5108" s="4" t="s">
        <v>63</v>
      </c>
      <c r="P5108" s="4" t="s">
        <v>64</v>
      </c>
    </row>
    <row r="5109">
      <c r="A5109" s="4" t="s">
        <v>1446</v>
      </c>
      <c r="B5109" s="4" t="s">
        <v>7138</v>
      </c>
      <c r="C5109" s="4">
        <v>91.0</v>
      </c>
      <c r="D5109" s="5" t="str">
        <f t="shared" si="1353"/>
        <v>Open Ad</v>
      </c>
      <c r="E5109" s="4" t="s">
        <v>121</v>
      </c>
      <c r="F5109" s="4" t="s">
        <v>6765</v>
      </c>
      <c r="G5109" s="4" t="s">
        <v>7181</v>
      </c>
      <c r="H5109" s="4" t="s">
        <v>49</v>
      </c>
      <c r="I5109" s="4" t="s">
        <v>7140</v>
      </c>
      <c r="J5109" s="4" t="s">
        <v>121</v>
      </c>
      <c r="K5109" s="7" t="str">
        <f t="shared" si="1354"/>
        <v>View Creative</v>
      </c>
      <c r="L5109" s="4" t="s">
        <v>60</v>
      </c>
      <c r="M5109" s="4" t="s">
        <v>1446</v>
      </c>
      <c r="N5109" s="4"/>
      <c r="O5109" s="4" t="s">
        <v>63</v>
      </c>
      <c r="P5109" s="4" t="s">
        <v>64</v>
      </c>
    </row>
    <row r="5110">
      <c r="A5110" s="4" t="s">
        <v>1446</v>
      </c>
      <c r="B5110" s="4" t="s">
        <v>7138</v>
      </c>
      <c r="C5110" s="4">
        <v>92.0</v>
      </c>
      <c r="D5110" s="5" t="str">
        <f t="shared" ref="D5110:D5111" si="1355">HYPERLINK("https://www.linkedin.com/ad-library/detail/1464503574","Open Ad")</f>
        <v>Open Ad</v>
      </c>
      <c r="E5110" s="4" t="s">
        <v>121</v>
      </c>
      <c r="F5110" s="4" t="s">
        <v>6765</v>
      </c>
      <c r="G5110" s="4" t="s">
        <v>7182</v>
      </c>
      <c r="H5110" s="4" t="s">
        <v>49</v>
      </c>
      <c r="I5110" s="4" t="s">
        <v>7140</v>
      </c>
      <c r="J5110" s="4" t="s">
        <v>121</v>
      </c>
      <c r="K5110" s="7" t="str">
        <f t="shared" ref="K5110:K5111" si="1356">HYPERLINK("https://dms.licdn.com/playlist/vid/v2/D5605AQE5ukB76APYGA/mp4-720p-30fp-crf28/B56Z9CR.sZIUB4-/0/1783523447163?e=2147483647&amp;v=beta&amp;t=_BBIUdqYACoKSvtHdDA9EH0WFTppROebmxjnzuB2DLg","View Creative")</f>
        <v>View Creative</v>
      </c>
      <c r="L5110" s="4" t="s">
        <v>60</v>
      </c>
      <c r="M5110" s="4" t="s">
        <v>1446</v>
      </c>
      <c r="N5110" s="4"/>
      <c r="O5110" s="4" t="s">
        <v>63</v>
      </c>
      <c r="P5110" s="4" t="s">
        <v>64</v>
      </c>
    </row>
    <row r="5111">
      <c r="A5111" s="4" t="s">
        <v>1446</v>
      </c>
      <c r="B5111" s="4" t="s">
        <v>7138</v>
      </c>
      <c r="C5111" s="4">
        <v>93.0</v>
      </c>
      <c r="D5111" s="5" t="str">
        <f t="shared" si="1355"/>
        <v>Open Ad</v>
      </c>
      <c r="E5111" s="4" t="s">
        <v>121</v>
      </c>
      <c r="F5111" s="4" t="s">
        <v>6765</v>
      </c>
      <c r="G5111" s="4" t="s">
        <v>7182</v>
      </c>
      <c r="H5111" s="4" t="s">
        <v>49</v>
      </c>
      <c r="I5111" s="4" t="s">
        <v>7140</v>
      </c>
      <c r="J5111" s="4" t="s">
        <v>121</v>
      </c>
      <c r="K5111" s="7" t="str">
        <f t="shared" si="1356"/>
        <v>View Creative</v>
      </c>
      <c r="L5111" s="4" t="s">
        <v>60</v>
      </c>
      <c r="M5111" s="4" t="s">
        <v>1446</v>
      </c>
      <c r="N5111" s="4"/>
      <c r="O5111" s="4" t="s">
        <v>63</v>
      </c>
      <c r="P5111" s="4" t="s">
        <v>64</v>
      </c>
    </row>
    <row r="5112">
      <c r="A5112" s="4" t="s">
        <v>1446</v>
      </c>
      <c r="B5112" s="4" t="s">
        <v>7138</v>
      </c>
      <c r="C5112" s="4">
        <v>94.0</v>
      </c>
      <c r="D5112" s="5" t="str">
        <f t="shared" ref="D5112:D5113" si="1357">HYPERLINK("https://www.linkedin.com/ad-library/detail/1464455704","Open Ad")</f>
        <v>Open Ad</v>
      </c>
      <c r="E5112" s="4" t="s">
        <v>121</v>
      </c>
      <c r="F5112" s="4" t="s">
        <v>6765</v>
      </c>
      <c r="G5112" s="4" t="s">
        <v>7183</v>
      </c>
      <c r="H5112" s="4" t="s">
        <v>49</v>
      </c>
      <c r="I5112" s="4" t="s">
        <v>7140</v>
      </c>
      <c r="J5112" s="4" t="s">
        <v>121</v>
      </c>
      <c r="K5112" s="7" t="str">
        <f t="shared" ref="K5112:K5113" si="1358">HYPERLINK("https://dms.licdn.com/playlist/vid/v2/D5605AQHnCkaBKeb5mQ/mp4-640p-30fp-crf28/B56Z9CXjuwHIBk-/0/1783524910115?e=2147483647&amp;v=beta&amp;t=YtmSh6VkY6BoJEEhhNDiBT1RSv5HepH0qhCrcqhKhOc","View Creative")</f>
        <v>View Creative</v>
      </c>
      <c r="L5112" s="4" t="s">
        <v>60</v>
      </c>
      <c r="M5112" s="4" t="s">
        <v>1446</v>
      </c>
      <c r="N5112" s="4"/>
      <c r="O5112" s="4" t="s">
        <v>63</v>
      </c>
      <c r="P5112" s="4" t="s">
        <v>64</v>
      </c>
    </row>
    <row r="5113">
      <c r="A5113" s="4" t="s">
        <v>1446</v>
      </c>
      <c r="B5113" s="4" t="s">
        <v>7138</v>
      </c>
      <c r="C5113" s="4">
        <v>95.0</v>
      </c>
      <c r="D5113" s="5" t="str">
        <f t="shared" si="1357"/>
        <v>Open Ad</v>
      </c>
      <c r="E5113" s="4" t="s">
        <v>121</v>
      </c>
      <c r="F5113" s="4" t="s">
        <v>6765</v>
      </c>
      <c r="G5113" s="4" t="s">
        <v>7183</v>
      </c>
      <c r="H5113" s="4" t="s">
        <v>49</v>
      </c>
      <c r="I5113" s="4" t="s">
        <v>7140</v>
      </c>
      <c r="J5113" s="4" t="s">
        <v>121</v>
      </c>
      <c r="K5113" s="7" t="str">
        <f t="shared" si="1358"/>
        <v>View Creative</v>
      </c>
      <c r="L5113" s="4" t="s">
        <v>60</v>
      </c>
      <c r="M5113" s="4" t="s">
        <v>1446</v>
      </c>
      <c r="N5113" s="4"/>
      <c r="O5113" s="4" t="s">
        <v>63</v>
      </c>
      <c r="P5113" s="4" t="s">
        <v>64</v>
      </c>
    </row>
    <row r="5114">
      <c r="A5114" s="4" t="s">
        <v>1446</v>
      </c>
      <c r="B5114" s="4" t="s">
        <v>7138</v>
      </c>
      <c r="C5114" s="4">
        <v>96.0</v>
      </c>
      <c r="D5114" s="5" t="str">
        <f t="shared" ref="D5114:D5115" si="1359">HYPERLINK("https://www.linkedin.com/ad-library/detail/1464387054","Open Ad")</f>
        <v>Open Ad</v>
      </c>
      <c r="E5114" s="4" t="s">
        <v>121</v>
      </c>
      <c r="F5114" s="4" t="s">
        <v>6765</v>
      </c>
      <c r="G5114" s="4" t="s">
        <v>7184</v>
      </c>
      <c r="H5114" s="4" t="s">
        <v>49</v>
      </c>
      <c r="I5114" s="4" t="s">
        <v>7140</v>
      </c>
      <c r="J5114" s="4" t="s">
        <v>121</v>
      </c>
      <c r="K5114" s="7" t="str">
        <f t="shared" ref="K5114:K5115" si="1360">HYPERLINK("https://dms.licdn.com/playlist/vid/v2/D5605AQE0F7ZDIPBBTA/mp4-720p-30fp-crf28/B56Zkv4WpiHMBw-/0/1757445067909?e=2147483647&amp;v=beta&amp;t=SsVsQm34F-kSMWOhLdKS6pPdDhnQyddTlZHda5YEUDQ","View Creative")</f>
        <v>View Creative</v>
      </c>
      <c r="L5114" s="4" t="s">
        <v>60</v>
      </c>
      <c r="M5114" s="4" t="s">
        <v>1446</v>
      </c>
      <c r="N5114" s="4"/>
      <c r="O5114" s="4" t="s">
        <v>63</v>
      </c>
      <c r="P5114" s="4" t="s">
        <v>64</v>
      </c>
    </row>
    <row r="5115">
      <c r="A5115" s="4" t="s">
        <v>1446</v>
      </c>
      <c r="B5115" s="4" t="s">
        <v>7138</v>
      </c>
      <c r="C5115" s="4">
        <v>97.0</v>
      </c>
      <c r="D5115" s="5" t="str">
        <f t="shared" si="1359"/>
        <v>Open Ad</v>
      </c>
      <c r="E5115" s="4" t="s">
        <v>121</v>
      </c>
      <c r="F5115" s="4" t="s">
        <v>6765</v>
      </c>
      <c r="G5115" s="4" t="s">
        <v>7184</v>
      </c>
      <c r="H5115" s="4" t="s">
        <v>49</v>
      </c>
      <c r="I5115" s="4" t="s">
        <v>7140</v>
      </c>
      <c r="J5115" s="4" t="s">
        <v>121</v>
      </c>
      <c r="K5115" s="7" t="str">
        <f t="shared" si="1360"/>
        <v>View Creative</v>
      </c>
      <c r="L5115" s="4" t="s">
        <v>60</v>
      </c>
      <c r="M5115" s="4" t="s">
        <v>1446</v>
      </c>
      <c r="N5115" s="4"/>
      <c r="O5115" s="4" t="s">
        <v>63</v>
      </c>
      <c r="P5115" s="4" t="s">
        <v>64</v>
      </c>
    </row>
    <row r="5116">
      <c r="A5116" s="4" t="s">
        <v>1446</v>
      </c>
      <c r="B5116" s="4" t="s">
        <v>7138</v>
      </c>
      <c r="C5116" s="4">
        <v>98.0</v>
      </c>
      <c r="D5116" s="5" t="str">
        <f t="shared" ref="D5116:D5117" si="1361">HYPERLINK("https://www.linkedin.com/ad-library/detail/1464427214","Open Ad")</f>
        <v>Open Ad</v>
      </c>
      <c r="E5116" s="4" t="s">
        <v>121</v>
      </c>
      <c r="F5116" s="4" t="s">
        <v>6765</v>
      </c>
      <c r="G5116" s="4" t="s">
        <v>7185</v>
      </c>
      <c r="H5116" s="4" t="s">
        <v>49</v>
      </c>
      <c r="I5116" s="4" t="s">
        <v>7140</v>
      </c>
      <c r="J5116" s="4" t="s">
        <v>121</v>
      </c>
      <c r="K5116" s="7" t="str">
        <f t="shared" ref="K5116:K5117" si="1362">HYPERLINK("https://dms.licdn.com/playlist/vid/v2/D5605AQEs6LQnnTNLog/mp4-640p-30fp-crf28/B56Z0BOKwvHkB4-/0/1773841991778?e=2147483647&amp;v=beta&amp;t=qT_i7Elj41v8cqTDj0Pm1MBIWZ5u7xwONWxM16xoyU8","View Creative")</f>
        <v>View Creative</v>
      </c>
      <c r="L5116" s="4" t="s">
        <v>60</v>
      </c>
      <c r="M5116" s="4" t="s">
        <v>1446</v>
      </c>
      <c r="N5116" s="4"/>
      <c r="O5116" s="4" t="s">
        <v>63</v>
      </c>
      <c r="P5116" s="4" t="s">
        <v>64</v>
      </c>
    </row>
    <row r="5117">
      <c r="A5117" s="4" t="s">
        <v>1446</v>
      </c>
      <c r="B5117" s="4" t="s">
        <v>7138</v>
      </c>
      <c r="C5117" s="4">
        <v>99.0</v>
      </c>
      <c r="D5117" s="5" t="str">
        <f t="shared" si="1361"/>
        <v>Open Ad</v>
      </c>
      <c r="E5117" s="4" t="s">
        <v>121</v>
      </c>
      <c r="F5117" s="4" t="s">
        <v>6765</v>
      </c>
      <c r="G5117" s="4" t="s">
        <v>7185</v>
      </c>
      <c r="H5117" s="4" t="s">
        <v>49</v>
      </c>
      <c r="I5117" s="4" t="s">
        <v>7140</v>
      </c>
      <c r="J5117" s="4" t="s">
        <v>121</v>
      </c>
      <c r="K5117" s="7" t="str">
        <f t="shared" si="1362"/>
        <v>View Creative</v>
      </c>
      <c r="L5117" s="4" t="s">
        <v>60</v>
      </c>
      <c r="M5117" s="4" t="s">
        <v>1446</v>
      </c>
      <c r="N5117" s="4"/>
      <c r="O5117" s="4" t="s">
        <v>63</v>
      </c>
      <c r="P5117" s="4" t="s">
        <v>64</v>
      </c>
    </row>
    <row r="5118">
      <c r="A5118" s="4" t="s">
        <v>1446</v>
      </c>
      <c r="B5118" s="4" t="s">
        <v>7138</v>
      </c>
      <c r="C5118" s="4">
        <v>100.0</v>
      </c>
      <c r="D5118" s="5" t="str">
        <f>HYPERLINK("https://www.linkedin.com/ad-library/detail/1464323304","Open Ad")</f>
        <v>Open Ad</v>
      </c>
      <c r="E5118" s="4" t="s">
        <v>52</v>
      </c>
      <c r="F5118" s="4" t="s">
        <v>6765</v>
      </c>
      <c r="G5118" s="4" t="s">
        <v>7186</v>
      </c>
      <c r="H5118" s="4" t="s">
        <v>49</v>
      </c>
      <c r="I5118" s="4" t="s">
        <v>7140</v>
      </c>
      <c r="J5118" s="4" t="s">
        <v>52</v>
      </c>
      <c r="K5118" s="4" t="s">
        <v>59</v>
      </c>
      <c r="L5118" s="4" t="s">
        <v>60</v>
      </c>
      <c r="M5118" s="4" t="s">
        <v>1446</v>
      </c>
      <c r="N5118" s="4"/>
      <c r="O5118" s="4" t="s">
        <v>63</v>
      </c>
      <c r="P5118" s="4" t="s">
        <v>64</v>
      </c>
    </row>
    <row r="5119">
      <c r="A5119" s="4" t="s">
        <v>1446</v>
      </c>
      <c r="B5119" s="4" t="s">
        <v>7138</v>
      </c>
      <c r="C5119" s="4">
        <v>101.0</v>
      </c>
      <c r="D5119" s="5" t="str">
        <f t="shared" ref="D5119:D5120" si="1363">HYPERLINK("https://www.linkedin.com/ad-library/detail/1464524174","Open Ad")</f>
        <v>Open Ad</v>
      </c>
      <c r="E5119" s="4" t="s">
        <v>121</v>
      </c>
      <c r="F5119" s="4" t="s">
        <v>6765</v>
      </c>
      <c r="G5119" s="4" t="s">
        <v>7187</v>
      </c>
      <c r="H5119" s="4" t="s">
        <v>49</v>
      </c>
      <c r="I5119" s="4" t="s">
        <v>7140</v>
      </c>
      <c r="J5119" s="4" t="s">
        <v>121</v>
      </c>
      <c r="K5119" s="7" t="str">
        <f t="shared" ref="K5119:K5120" si="1364">HYPERLINK("https://dms.licdn.com/playlist/vid/v2/D5605AQExhCEPpM2axQ/mp4-640p-30fp-crf28/B56Z0lq3LSH8Bw-/0/1774453503141?e=2147483647&amp;v=beta&amp;t=PWVXXuz5Qli1TiK5nf_kU-c1j6KlL3tMdPcfhLZwMh8","View Creative")</f>
        <v>View Creative</v>
      </c>
      <c r="L5119" s="4" t="s">
        <v>60</v>
      </c>
      <c r="M5119" s="4" t="s">
        <v>1446</v>
      </c>
      <c r="N5119" s="4"/>
      <c r="O5119" s="4" t="s">
        <v>63</v>
      </c>
      <c r="P5119" s="4" t="s">
        <v>64</v>
      </c>
    </row>
    <row r="5120">
      <c r="A5120" s="4" t="s">
        <v>1446</v>
      </c>
      <c r="B5120" s="4" t="s">
        <v>7138</v>
      </c>
      <c r="C5120" s="4">
        <v>102.0</v>
      </c>
      <c r="D5120" s="5" t="str">
        <f t="shared" si="1363"/>
        <v>Open Ad</v>
      </c>
      <c r="E5120" s="4" t="s">
        <v>121</v>
      </c>
      <c r="F5120" s="4" t="s">
        <v>6765</v>
      </c>
      <c r="G5120" s="4" t="s">
        <v>7187</v>
      </c>
      <c r="H5120" s="4" t="s">
        <v>49</v>
      </c>
      <c r="I5120" s="4" t="s">
        <v>7140</v>
      </c>
      <c r="J5120" s="4" t="s">
        <v>121</v>
      </c>
      <c r="K5120" s="7" t="str">
        <f t="shared" si="1364"/>
        <v>View Creative</v>
      </c>
      <c r="L5120" s="4" t="s">
        <v>60</v>
      </c>
      <c r="M5120" s="4" t="s">
        <v>1446</v>
      </c>
      <c r="N5120" s="4"/>
      <c r="O5120" s="4" t="s">
        <v>63</v>
      </c>
      <c r="P5120" s="4" t="s">
        <v>64</v>
      </c>
    </row>
    <row r="5121">
      <c r="A5121" s="4" t="s">
        <v>1446</v>
      </c>
      <c r="B5121" s="4" t="s">
        <v>7138</v>
      </c>
      <c r="C5121" s="4">
        <v>103.0</v>
      </c>
      <c r="D5121" s="5" t="str">
        <f>HYPERLINK("https://www.linkedin.com/ad-library/detail/1466871754","Open Ad")</f>
        <v>Open Ad</v>
      </c>
      <c r="E5121" s="4" t="s">
        <v>52</v>
      </c>
      <c r="F5121" s="4" t="s">
        <v>6765</v>
      </c>
      <c r="G5121" s="4" t="s">
        <v>7188</v>
      </c>
      <c r="H5121" s="4" t="s">
        <v>49</v>
      </c>
      <c r="I5121" s="4" t="s">
        <v>7140</v>
      </c>
      <c r="J5121" s="4" t="s">
        <v>52</v>
      </c>
      <c r="K5121" s="4" t="s">
        <v>59</v>
      </c>
      <c r="L5121" s="4" t="s">
        <v>60</v>
      </c>
      <c r="M5121" s="4" t="s">
        <v>1446</v>
      </c>
      <c r="N5121" s="4"/>
      <c r="O5121" s="4" t="s">
        <v>63</v>
      </c>
      <c r="P5121" s="4" t="s">
        <v>64</v>
      </c>
    </row>
    <row r="5122">
      <c r="A5122" s="4" t="s">
        <v>1446</v>
      </c>
      <c r="B5122" s="4" t="s">
        <v>7138</v>
      </c>
      <c r="C5122" s="4">
        <v>104.0</v>
      </c>
      <c r="D5122" s="5" t="str">
        <f t="shared" ref="D5122:D5123" si="1365">HYPERLINK("https://www.linkedin.com/ad-library/detail/1464369154","Open Ad")</f>
        <v>Open Ad</v>
      </c>
      <c r="E5122" s="4" t="s">
        <v>121</v>
      </c>
      <c r="F5122" s="4" t="s">
        <v>6765</v>
      </c>
      <c r="G5122" s="4" t="s">
        <v>7189</v>
      </c>
      <c r="H5122" s="4" t="s">
        <v>49</v>
      </c>
      <c r="I5122" s="4" t="s">
        <v>7140</v>
      </c>
      <c r="J5122" s="4" t="s">
        <v>121</v>
      </c>
      <c r="K5122" s="7" t="str">
        <f t="shared" ref="K5122:K5123" si="1366">HYPERLINK("https://dms.licdn.com/playlist/vid/v2/D5605AQFawST7REashA/mp4-720p-30fp-crf28/B56ZsJCCRuIsCI-/0/1765383097281?e=2147483647&amp;v=beta&amp;t=XdGpw2EYajzlinGUWxmNmopqJll1TAUtUdSZnShS1Og","View Creative")</f>
        <v>View Creative</v>
      </c>
      <c r="L5122" s="4" t="s">
        <v>60</v>
      </c>
      <c r="M5122" s="4" t="s">
        <v>1446</v>
      </c>
      <c r="N5122" s="4"/>
      <c r="O5122" s="4" t="s">
        <v>63</v>
      </c>
      <c r="P5122" s="4" t="s">
        <v>64</v>
      </c>
    </row>
    <row r="5123">
      <c r="A5123" s="4" t="s">
        <v>1446</v>
      </c>
      <c r="B5123" s="4" t="s">
        <v>7138</v>
      </c>
      <c r="C5123" s="4">
        <v>105.0</v>
      </c>
      <c r="D5123" s="5" t="str">
        <f t="shared" si="1365"/>
        <v>Open Ad</v>
      </c>
      <c r="E5123" s="4" t="s">
        <v>121</v>
      </c>
      <c r="F5123" s="4" t="s">
        <v>6765</v>
      </c>
      <c r="G5123" s="4" t="s">
        <v>7189</v>
      </c>
      <c r="H5123" s="4" t="s">
        <v>49</v>
      </c>
      <c r="I5123" s="4" t="s">
        <v>7140</v>
      </c>
      <c r="J5123" s="4" t="s">
        <v>121</v>
      </c>
      <c r="K5123" s="7" t="str">
        <f t="shared" si="1366"/>
        <v>View Creative</v>
      </c>
      <c r="L5123" s="4" t="s">
        <v>60</v>
      </c>
      <c r="M5123" s="4" t="s">
        <v>1446</v>
      </c>
      <c r="N5123" s="4"/>
      <c r="O5123" s="4" t="s">
        <v>63</v>
      </c>
      <c r="P5123" s="4" t="s">
        <v>64</v>
      </c>
    </row>
    <row r="5124">
      <c r="A5124" s="4" t="s">
        <v>1446</v>
      </c>
      <c r="B5124" s="4" t="s">
        <v>7138</v>
      </c>
      <c r="C5124" s="4">
        <v>106.0</v>
      </c>
      <c r="D5124" s="5" t="str">
        <f>HYPERLINK("https://www.linkedin.com/ad-library/detail/1466748514","Open Ad")</f>
        <v>Open Ad</v>
      </c>
      <c r="E5124" s="4" t="s">
        <v>52</v>
      </c>
      <c r="F5124" s="4" t="s">
        <v>6765</v>
      </c>
      <c r="G5124" s="4" t="s">
        <v>7186</v>
      </c>
      <c r="H5124" s="4" t="s">
        <v>49</v>
      </c>
      <c r="I5124" s="4" t="s">
        <v>7140</v>
      </c>
      <c r="J5124" s="4" t="s">
        <v>52</v>
      </c>
      <c r="K5124" s="4" t="s">
        <v>59</v>
      </c>
      <c r="L5124" s="4" t="s">
        <v>60</v>
      </c>
      <c r="M5124" s="4" t="s">
        <v>1446</v>
      </c>
      <c r="N5124" s="4"/>
      <c r="O5124" s="4" t="s">
        <v>63</v>
      </c>
      <c r="P5124" s="4" t="s">
        <v>64</v>
      </c>
    </row>
    <row r="5125">
      <c r="A5125" s="4" t="s">
        <v>1446</v>
      </c>
      <c r="B5125" s="4" t="s">
        <v>7138</v>
      </c>
      <c r="C5125" s="4">
        <v>107.0</v>
      </c>
      <c r="D5125" s="5" t="str">
        <f>HYPERLINK("https://www.linkedin.com/ad-library/detail/1464285094","Open Ad")</f>
        <v>Open Ad</v>
      </c>
      <c r="E5125" s="4" t="s">
        <v>52</v>
      </c>
      <c r="F5125" s="4" t="s">
        <v>6765</v>
      </c>
      <c r="G5125" s="4" t="s">
        <v>7166</v>
      </c>
      <c r="H5125" s="4" t="s">
        <v>49</v>
      </c>
      <c r="I5125" s="4" t="s">
        <v>7140</v>
      </c>
      <c r="J5125" s="4" t="s">
        <v>52</v>
      </c>
      <c r="K5125" s="4" t="s">
        <v>59</v>
      </c>
      <c r="L5125" s="4" t="s">
        <v>60</v>
      </c>
      <c r="M5125" s="4" t="s">
        <v>1446</v>
      </c>
      <c r="N5125" s="4"/>
      <c r="O5125" s="4" t="s">
        <v>63</v>
      </c>
      <c r="P5125" s="4" t="s">
        <v>64</v>
      </c>
    </row>
    <row r="5126">
      <c r="A5126" s="4" t="s">
        <v>1446</v>
      </c>
      <c r="B5126" s="4" t="s">
        <v>7138</v>
      </c>
      <c r="C5126" s="4">
        <v>108.0</v>
      </c>
      <c r="D5126" s="5" t="str">
        <f>HYPERLINK("https://www.linkedin.com/ad-library/detail/1464323264","Open Ad")</f>
        <v>Open Ad</v>
      </c>
      <c r="E5126" s="4" t="s">
        <v>52</v>
      </c>
      <c r="F5126" s="4" t="s">
        <v>6765</v>
      </c>
      <c r="G5126" s="4" t="s">
        <v>7190</v>
      </c>
      <c r="H5126" s="4" t="s">
        <v>49</v>
      </c>
      <c r="I5126" s="4" t="s">
        <v>7140</v>
      </c>
      <c r="J5126" s="4" t="s">
        <v>52</v>
      </c>
      <c r="K5126" s="4" t="s">
        <v>59</v>
      </c>
      <c r="L5126" s="4" t="s">
        <v>60</v>
      </c>
      <c r="M5126" s="4" t="s">
        <v>1446</v>
      </c>
      <c r="N5126" s="4"/>
      <c r="O5126" s="4" t="s">
        <v>63</v>
      </c>
      <c r="P5126" s="4" t="s">
        <v>64</v>
      </c>
    </row>
    <row r="5127">
      <c r="A5127" s="4" t="s">
        <v>1446</v>
      </c>
      <c r="B5127" s="4" t="s">
        <v>7138</v>
      </c>
      <c r="C5127" s="4">
        <v>109.0</v>
      </c>
      <c r="D5127" s="5" t="str">
        <f t="shared" ref="D5127:D5128" si="1367">HYPERLINK("https://www.linkedin.com/ad-library/detail/1464551624","Open Ad")</f>
        <v>Open Ad</v>
      </c>
      <c r="E5127" s="4" t="s">
        <v>121</v>
      </c>
      <c r="F5127" s="4" t="s">
        <v>6765</v>
      </c>
      <c r="G5127" s="4" t="s">
        <v>7191</v>
      </c>
      <c r="H5127" s="4" t="s">
        <v>49</v>
      </c>
      <c r="I5127" s="4" t="s">
        <v>7140</v>
      </c>
      <c r="J5127" s="4" t="s">
        <v>121</v>
      </c>
      <c r="K5127" s="7" t="str">
        <f t="shared" ref="K5127:K5128" si="1368">HYPERLINK("https://dms.licdn.com/playlist/vid/v2/D5605AQFHkGl9-Hu0vQ/mp4-640p-30fp-crf28/B56Z5qG9G0GgBg-/0/1779896672103?e=2147483647&amp;v=beta&amp;t=5SJh1IsZColjhXwJMRQBUe41Q2W01a8B2C9ll3qE73I","View Creative")</f>
        <v>View Creative</v>
      </c>
      <c r="L5127" s="4" t="s">
        <v>60</v>
      </c>
      <c r="M5127" s="4" t="s">
        <v>1446</v>
      </c>
      <c r="N5127" s="4"/>
      <c r="O5127" s="4" t="s">
        <v>63</v>
      </c>
      <c r="P5127" s="4" t="s">
        <v>64</v>
      </c>
    </row>
    <row r="5128">
      <c r="A5128" s="4" t="s">
        <v>1446</v>
      </c>
      <c r="B5128" s="4" t="s">
        <v>7138</v>
      </c>
      <c r="C5128" s="4">
        <v>110.0</v>
      </c>
      <c r="D5128" s="5" t="str">
        <f t="shared" si="1367"/>
        <v>Open Ad</v>
      </c>
      <c r="E5128" s="4" t="s">
        <v>121</v>
      </c>
      <c r="F5128" s="4" t="s">
        <v>6765</v>
      </c>
      <c r="G5128" s="4" t="s">
        <v>7191</v>
      </c>
      <c r="H5128" s="4" t="s">
        <v>49</v>
      </c>
      <c r="I5128" s="4" t="s">
        <v>7140</v>
      </c>
      <c r="J5128" s="4" t="s">
        <v>121</v>
      </c>
      <c r="K5128" s="7" t="str">
        <f t="shared" si="1368"/>
        <v>View Creative</v>
      </c>
      <c r="L5128" s="4" t="s">
        <v>60</v>
      </c>
      <c r="M5128" s="4" t="s">
        <v>1446</v>
      </c>
      <c r="N5128" s="4"/>
      <c r="O5128" s="4" t="s">
        <v>63</v>
      </c>
      <c r="P5128" s="4" t="s">
        <v>64</v>
      </c>
    </row>
    <row r="5129">
      <c r="A5129" s="4" t="s">
        <v>1446</v>
      </c>
      <c r="B5129" s="4" t="s">
        <v>7138</v>
      </c>
      <c r="C5129" s="4">
        <v>111.0</v>
      </c>
      <c r="D5129" s="5" t="str">
        <f>HYPERLINK("https://www.linkedin.com/ad-library/detail/1461873544","Open Ad")</f>
        <v>Open Ad</v>
      </c>
      <c r="E5129" s="4" t="s">
        <v>52</v>
      </c>
      <c r="F5129" s="4" t="s">
        <v>6765</v>
      </c>
      <c r="G5129" s="4" t="s">
        <v>7154</v>
      </c>
      <c r="H5129" s="4" t="s">
        <v>49</v>
      </c>
      <c r="I5129" s="4" t="s">
        <v>7140</v>
      </c>
      <c r="J5129" s="4" t="s">
        <v>52</v>
      </c>
      <c r="K5129" s="4" t="s">
        <v>59</v>
      </c>
      <c r="L5129" s="4" t="s">
        <v>60</v>
      </c>
      <c r="M5129" s="4" t="s">
        <v>1446</v>
      </c>
      <c r="N5129" s="4"/>
      <c r="O5129" s="4" t="s">
        <v>63</v>
      </c>
      <c r="P5129" s="4" t="s">
        <v>64</v>
      </c>
    </row>
    <row r="5130">
      <c r="A5130" s="4" t="s">
        <v>1446</v>
      </c>
      <c r="B5130" s="4" t="s">
        <v>7138</v>
      </c>
      <c r="C5130" s="4">
        <v>112.0</v>
      </c>
      <c r="D5130" s="5" t="str">
        <f t="shared" ref="D5130:D5131" si="1369">HYPERLINK("https://www.linkedin.com/ad-library/detail/1464513344","Open Ad")</f>
        <v>Open Ad</v>
      </c>
      <c r="E5130" s="4" t="s">
        <v>121</v>
      </c>
      <c r="F5130" s="4" t="s">
        <v>6765</v>
      </c>
      <c r="G5130" s="4" t="s">
        <v>7192</v>
      </c>
      <c r="H5130" s="4" t="s">
        <v>49</v>
      </c>
      <c r="I5130" s="4" t="s">
        <v>7140</v>
      </c>
      <c r="J5130" s="4" t="s">
        <v>121</v>
      </c>
      <c r="K5130" s="7" t="str">
        <f t="shared" ref="K5130:K5131" si="1370">HYPERLINK("https://dms.licdn.com/playlist/vid/v2/D5605AQEnXGujPLuU1g/mp4-640p-30fp-crf28/B56Zm_Qi.4J8Bg-/0/1759850427541?e=2147483647&amp;v=beta&amp;t=i5gJ3O9wOhnvkbquCdoiQzAjFKD2adxbMo_ajH9a5dI","View Creative")</f>
        <v>View Creative</v>
      </c>
      <c r="L5130" s="4" t="s">
        <v>60</v>
      </c>
      <c r="M5130" s="4" t="s">
        <v>1446</v>
      </c>
      <c r="N5130" s="4"/>
      <c r="O5130" s="4" t="s">
        <v>63</v>
      </c>
      <c r="P5130" s="4" t="s">
        <v>64</v>
      </c>
    </row>
    <row r="5131">
      <c r="A5131" s="4" t="s">
        <v>1446</v>
      </c>
      <c r="B5131" s="4" t="s">
        <v>7138</v>
      </c>
      <c r="C5131" s="4">
        <v>113.0</v>
      </c>
      <c r="D5131" s="5" t="str">
        <f t="shared" si="1369"/>
        <v>Open Ad</v>
      </c>
      <c r="E5131" s="4" t="s">
        <v>121</v>
      </c>
      <c r="F5131" s="4" t="s">
        <v>6765</v>
      </c>
      <c r="G5131" s="4" t="s">
        <v>7192</v>
      </c>
      <c r="H5131" s="4" t="s">
        <v>49</v>
      </c>
      <c r="I5131" s="4" t="s">
        <v>7140</v>
      </c>
      <c r="J5131" s="4" t="s">
        <v>121</v>
      </c>
      <c r="K5131" s="7" t="str">
        <f t="shared" si="1370"/>
        <v>View Creative</v>
      </c>
      <c r="L5131" s="4" t="s">
        <v>60</v>
      </c>
      <c r="M5131" s="4" t="s">
        <v>1446</v>
      </c>
      <c r="N5131" s="4"/>
      <c r="O5131" s="4" t="s">
        <v>63</v>
      </c>
      <c r="P5131" s="4" t="s">
        <v>64</v>
      </c>
    </row>
    <row r="5132">
      <c r="A5132" s="4" t="s">
        <v>1446</v>
      </c>
      <c r="B5132" s="4" t="s">
        <v>7138</v>
      </c>
      <c r="C5132" s="4">
        <v>114.0</v>
      </c>
      <c r="D5132" s="5" t="str">
        <f>HYPERLINK("https://www.linkedin.com/ad-library/detail/1461432804","Open Ad")</f>
        <v>Open Ad</v>
      </c>
      <c r="E5132" s="4" t="s">
        <v>52</v>
      </c>
      <c r="F5132" s="4" t="s">
        <v>6765</v>
      </c>
      <c r="G5132" s="4" t="s">
        <v>7193</v>
      </c>
      <c r="H5132" s="4" t="s">
        <v>49</v>
      </c>
      <c r="I5132" s="4" t="s">
        <v>7140</v>
      </c>
      <c r="J5132" s="4" t="s">
        <v>52</v>
      </c>
      <c r="K5132" s="4" t="s">
        <v>59</v>
      </c>
      <c r="L5132" s="4" t="s">
        <v>60</v>
      </c>
      <c r="M5132" s="4" t="s">
        <v>1446</v>
      </c>
      <c r="N5132" s="4"/>
      <c r="O5132" s="4" t="s">
        <v>63</v>
      </c>
      <c r="P5132" s="4" t="s">
        <v>64</v>
      </c>
    </row>
    <row r="5133">
      <c r="A5133" s="4" t="s">
        <v>1446</v>
      </c>
      <c r="B5133" s="4" t="s">
        <v>7138</v>
      </c>
      <c r="C5133" s="4">
        <v>115.0</v>
      </c>
      <c r="D5133" s="5" t="str">
        <f t="shared" ref="D5133:D5134" si="1371">HYPERLINK("https://www.linkedin.com/ad-library/detail/1461423234","Open Ad")</f>
        <v>Open Ad</v>
      </c>
      <c r="E5133" s="4" t="s">
        <v>78</v>
      </c>
      <c r="F5133" s="4" t="s">
        <v>6765</v>
      </c>
      <c r="G5133" s="4" t="s">
        <v>7194</v>
      </c>
      <c r="H5133" s="4" t="s">
        <v>49</v>
      </c>
      <c r="I5133" s="4" t="s">
        <v>7140</v>
      </c>
      <c r="J5133" s="4" t="s">
        <v>78</v>
      </c>
      <c r="K5133" s="7" t="str">
        <f t="shared" ref="K5133:K5134" si="1372">HYPERLINK("https://media.licdn.com/dms/image/v2/D4D22AQFwO3o6RjQUBg/feedshare-image-high-res/B4DZnhv0kaGgAo-/0/1760429034955?e=2147483647&amp;v=beta&amp;t=WGHfi72vlu9jHhP6cp_qXehBo9lLbGkE9-C--BfL7EA","View Creative")</f>
        <v>View Creative</v>
      </c>
      <c r="L5133" s="4" t="s">
        <v>60</v>
      </c>
      <c r="M5133" s="4" t="s">
        <v>1446</v>
      </c>
      <c r="N5133" s="4"/>
      <c r="O5133" s="4" t="s">
        <v>63</v>
      </c>
      <c r="P5133" s="4" t="s">
        <v>64</v>
      </c>
    </row>
    <row r="5134">
      <c r="A5134" s="4" t="s">
        <v>1446</v>
      </c>
      <c r="B5134" s="4" t="s">
        <v>7138</v>
      </c>
      <c r="C5134" s="4">
        <v>116.0</v>
      </c>
      <c r="D5134" s="5" t="str">
        <f t="shared" si="1371"/>
        <v>Open Ad</v>
      </c>
      <c r="E5134" s="4" t="s">
        <v>78</v>
      </c>
      <c r="F5134" s="4" t="s">
        <v>6765</v>
      </c>
      <c r="G5134" s="4" t="s">
        <v>7194</v>
      </c>
      <c r="H5134" s="4" t="s">
        <v>49</v>
      </c>
      <c r="I5134" s="4" t="s">
        <v>7140</v>
      </c>
      <c r="J5134" s="4" t="s">
        <v>78</v>
      </c>
      <c r="K5134" s="7" t="str">
        <f t="shared" si="1372"/>
        <v>View Creative</v>
      </c>
      <c r="L5134" s="4" t="s">
        <v>60</v>
      </c>
      <c r="M5134" s="4" t="s">
        <v>1446</v>
      </c>
      <c r="N5134" s="4"/>
      <c r="O5134" s="4" t="s">
        <v>63</v>
      </c>
      <c r="P5134" s="4" t="s">
        <v>64</v>
      </c>
    </row>
    <row r="5135">
      <c r="A5135" s="4" t="s">
        <v>1446</v>
      </c>
      <c r="B5135" s="4" t="s">
        <v>7138</v>
      </c>
      <c r="C5135" s="4">
        <v>117.0</v>
      </c>
      <c r="D5135" s="5" t="str">
        <f t="shared" ref="D5135:D5136" si="1373">HYPERLINK("https://www.linkedin.com/ad-library/detail/1461472384","Open Ad")</f>
        <v>Open Ad</v>
      </c>
      <c r="E5135" s="4" t="s">
        <v>78</v>
      </c>
      <c r="F5135" s="4" t="s">
        <v>6765</v>
      </c>
      <c r="G5135" s="4" t="s">
        <v>7195</v>
      </c>
      <c r="H5135" s="4" t="s">
        <v>49</v>
      </c>
      <c r="I5135" s="4" t="s">
        <v>7140</v>
      </c>
      <c r="J5135" s="4" t="s">
        <v>78</v>
      </c>
      <c r="K5135" s="7" t="str">
        <f t="shared" ref="K5135:K5136" si="1374">HYPERLINK("https://media.licdn.com/dms/image/v2/D4E22AQEe6Kn8FzbO6A/feedshare-image-high-res/B4EZ1oq9ZZJEAU-/0/1775577585791?e=2147483647&amp;v=beta&amp;t=bKCZ4NWsxF52e0yGjdDUpw3Ba3gvRDYiO-A21-3uLr8","View Creative")</f>
        <v>View Creative</v>
      </c>
      <c r="L5135" s="4" t="s">
        <v>60</v>
      </c>
      <c r="M5135" s="4" t="s">
        <v>1446</v>
      </c>
      <c r="N5135" s="4"/>
      <c r="O5135" s="4" t="s">
        <v>63</v>
      </c>
      <c r="P5135" s="4" t="s">
        <v>64</v>
      </c>
    </row>
    <row r="5136">
      <c r="A5136" s="4" t="s">
        <v>1446</v>
      </c>
      <c r="B5136" s="4" t="s">
        <v>7138</v>
      </c>
      <c r="C5136" s="4">
        <v>118.0</v>
      </c>
      <c r="D5136" s="5" t="str">
        <f t="shared" si="1373"/>
        <v>Open Ad</v>
      </c>
      <c r="E5136" s="4" t="s">
        <v>78</v>
      </c>
      <c r="F5136" s="4" t="s">
        <v>6765</v>
      </c>
      <c r="G5136" s="4" t="s">
        <v>7195</v>
      </c>
      <c r="H5136" s="4" t="s">
        <v>49</v>
      </c>
      <c r="I5136" s="4" t="s">
        <v>7140</v>
      </c>
      <c r="J5136" s="4" t="s">
        <v>78</v>
      </c>
      <c r="K5136" s="7" t="str">
        <f t="shared" si="1374"/>
        <v>View Creative</v>
      </c>
      <c r="L5136" s="4" t="s">
        <v>60</v>
      </c>
      <c r="M5136" s="4" t="s">
        <v>1446</v>
      </c>
      <c r="N5136" s="4"/>
      <c r="O5136" s="4" t="s">
        <v>63</v>
      </c>
      <c r="P5136" s="4" t="s">
        <v>64</v>
      </c>
    </row>
    <row r="5137">
      <c r="A5137" s="4" t="s">
        <v>1446</v>
      </c>
      <c r="B5137" s="4" t="s">
        <v>7138</v>
      </c>
      <c r="C5137" s="4">
        <v>119.0</v>
      </c>
      <c r="D5137" s="5" t="str">
        <f t="shared" ref="D5137:D5138" si="1375">HYPERLINK("https://www.linkedin.com/ad-library/detail/1461423224","Open Ad")</f>
        <v>Open Ad</v>
      </c>
      <c r="E5137" s="4" t="s">
        <v>78</v>
      </c>
      <c r="F5137" s="4" t="s">
        <v>6765</v>
      </c>
      <c r="G5137" s="4" t="s">
        <v>7196</v>
      </c>
      <c r="H5137" s="4" t="s">
        <v>49</v>
      </c>
      <c r="I5137" s="4" t="s">
        <v>7140</v>
      </c>
      <c r="J5137" s="4" t="s">
        <v>78</v>
      </c>
      <c r="K5137" s="7" t="str">
        <f t="shared" ref="K5137:K5138" si="1376">HYPERLINK("https://media.licdn.com/dms/image/v2/D5622AQGo9_bFMxOuLA/feedshare-image-high-res/B56Zl3NffVJoAo-/0/1758641650656?e=2147483647&amp;v=beta&amp;t=nc7qQvk9vZoL1vbnj6_lM6slAxYZ8frA_D4qnCfNKmc","View Creative")</f>
        <v>View Creative</v>
      </c>
      <c r="L5137" s="4" t="s">
        <v>60</v>
      </c>
      <c r="M5137" s="4" t="s">
        <v>1446</v>
      </c>
      <c r="N5137" s="4"/>
      <c r="O5137" s="4" t="s">
        <v>63</v>
      </c>
      <c r="P5137" s="4" t="s">
        <v>64</v>
      </c>
    </row>
    <row r="5138">
      <c r="A5138" s="4" t="s">
        <v>1446</v>
      </c>
      <c r="B5138" s="4" t="s">
        <v>7138</v>
      </c>
      <c r="C5138" s="4">
        <v>120.0</v>
      </c>
      <c r="D5138" s="5" t="str">
        <f t="shared" si="1375"/>
        <v>Open Ad</v>
      </c>
      <c r="E5138" s="4" t="s">
        <v>78</v>
      </c>
      <c r="F5138" s="4" t="s">
        <v>6765</v>
      </c>
      <c r="G5138" s="4" t="s">
        <v>7196</v>
      </c>
      <c r="H5138" s="4" t="s">
        <v>49</v>
      </c>
      <c r="I5138" s="4" t="s">
        <v>7140</v>
      </c>
      <c r="J5138" s="4" t="s">
        <v>78</v>
      </c>
      <c r="K5138" s="7" t="str">
        <f t="shared" si="1376"/>
        <v>View Creative</v>
      </c>
      <c r="L5138" s="4" t="s">
        <v>60</v>
      </c>
      <c r="M5138" s="4" t="s">
        <v>1446</v>
      </c>
      <c r="N5138" s="4"/>
      <c r="O5138" s="4" t="s">
        <v>63</v>
      </c>
      <c r="P5138" s="4" t="s">
        <v>64</v>
      </c>
    </row>
    <row r="5139">
      <c r="A5139" s="4" t="s">
        <v>1446</v>
      </c>
      <c r="B5139" s="4" t="s">
        <v>7138</v>
      </c>
      <c r="C5139" s="4">
        <v>121.0</v>
      </c>
      <c r="D5139" s="5" t="str">
        <f>HYPERLINK("https://www.linkedin.com/ad-library/detail/1461492174","Open Ad")</f>
        <v>Open Ad</v>
      </c>
      <c r="E5139" s="4" t="s">
        <v>52</v>
      </c>
      <c r="F5139" s="4" t="s">
        <v>6765</v>
      </c>
      <c r="G5139" s="4" t="s">
        <v>7197</v>
      </c>
      <c r="H5139" s="4" t="s">
        <v>49</v>
      </c>
      <c r="I5139" s="4" t="s">
        <v>7140</v>
      </c>
      <c r="J5139" s="4" t="s">
        <v>52</v>
      </c>
      <c r="K5139" s="4" t="s">
        <v>59</v>
      </c>
      <c r="L5139" s="4" t="s">
        <v>60</v>
      </c>
      <c r="M5139" s="4" t="s">
        <v>1446</v>
      </c>
      <c r="N5139" s="4"/>
      <c r="O5139" s="4" t="s">
        <v>63</v>
      </c>
      <c r="P5139" s="4" t="s">
        <v>64</v>
      </c>
    </row>
    <row r="5140">
      <c r="A5140" s="4" t="s">
        <v>1446</v>
      </c>
      <c r="B5140" s="4" t="s">
        <v>7138</v>
      </c>
      <c r="C5140" s="4">
        <v>122.0</v>
      </c>
      <c r="D5140" s="5" t="str">
        <f t="shared" ref="D5140:D5141" si="1377">HYPERLINK("https://www.linkedin.com/ad-library/detail/1461452834","Open Ad")</f>
        <v>Open Ad</v>
      </c>
      <c r="E5140" s="4" t="s">
        <v>78</v>
      </c>
      <c r="F5140" s="4" t="s">
        <v>6765</v>
      </c>
      <c r="G5140" s="4" t="s">
        <v>7198</v>
      </c>
      <c r="H5140" s="4" t="s">
        <v>7199</v>
      </c>
      <c r="I5140" s="4" t="s">
        <v>7140</v>
      </c>
      <c r="J5140" s="4" t="s">
        <v>78</v>
      </c>
      <c r="K5140" s="7" t="str">
        <f t="shared" ref="K5140:K5141" si="1378">HYPERLINK("https://media.licdn.com/dms/image/sync/v2/D5627AQFX2ttCwROi6A/articleshare-shrink_1280_800/B4DZ5qII2OGcAY-/0/1779896980178?e=2147483647&amp;v=beta&amp;t=DomfkxSKWoO2ZmrEihmo9x_r_hW7O0SH2IY6Ehomuo0","View Creative")</f>
        <v>View Creative</v>
      </c>
      <c r="L5140" s="4" t="s">
        <v>60</v>
      </c>
      <c r="M5140" s="4" t="s">
        <v>1446</v>
      </c>
      <c r="N5140" s="4"/>
      <c r="O5140" s="4" t="s">
        <v>63</v>
      </c>
      <c r="P5140" s="4" t="s">
        <v>64</v>
      </c>
    </row>
    <row r="5141">
      <c r="A5141" s="4" t="s">
        <v>1446</v>
      </c>
      <c r="B5141" s="4" t="s">
        <v>7138</v>
      </c>
      <c r="C5141" s="4">
        <v>123.0</v>
      </c>
      <c r="D5141" s="5" t="str">
        <f t="shared" si="1377"/>
        <v>Open Ad</v>
      </c>
      <c r="E5141" s="4" t="s">
        <v>78</v>
      </c>
      <c r="F5141" s="4" t="s">
        <v>6765</v>
      </c>
      <c r="G5141" s="4" t="s">
        <v>7198</v>
      </c>
      <c r="H5141" s="4" t="s">
        <v>7199</v>
      </c>
      <c r="I5141" s="4" t="s">
        <v>7140</v>
      </c>
      <c r="J5141" s="4" t="s">
        <v>78</v>
      </c>
      <c r="K5141" s="7" t="str">
        <f t="shared" si="1378"/>
        <v>View Creative</v>
      </c>
      <c r="L5141" s="4" t="s">
        <v>60</v>
      </c>
      <c r="M5141" s="4" t="s">
        <v>1446</v>
      </c>
      <c r="N5141" s="4"/>
      <c r="O5141" s="4" t="s">
        <v>63</v>
      </c>
      <c r="P5141" s="4" t="s">
        <v>64</v>
      </c>
    </row>
    <row r="5142">
      <c r="A5142" s="4" t="s">
        <v>1446</v>
      </c>
      <c r="B5142" s="4" t="s">
        <v>7138</v>
      </c>
      <c r="C5142" s="4">
        <v>124.0</v>
      </c>
      <c r="D5142" s="5" t="str">
        <f t="shared" ref="D5142:D5143" si="1379">HYPERLINK("https://www.linkedin.com/ad-library/detail/1461402774","Open Ad")</f>
        <v>Open Ad</v>
      </c>
      <c r="E5142" s="4" t="s">
        <v>78</v>
      </c>
      <c r="F5142" s="4" t="s">
        <v>6765</v>
      </c>
      <c r="G5142" s="4" t="s">
        <v>7194</v>
      </c>
      <c r="H5142" s="4" t="s">
        <v>49</v>
      </c>
      <c r="I5142" s="4" t="s">
        <v>7140</v>
      </c>
      <c r="J5142" s="4" t="s">
        <v>78</v>
      </c>
      <c r="K5142" s="7" t="str">
        <f t="shared" ref="K5142:K5143" si="1380">HYPERLINK("https://media.licdn.com/dms/image/v2/D4D22AQFwO3o6RjQUBg/feedshare-image-high-res/B4DZnhv0kaGgAo-/0/1760429034955?e=2147483647&amp;v=beta&amp;t=WGHfi72vlu9jHhP6cp_qXehBo9lLbGkE9-C--BfL7EA","View Creative")</f>
        <v>View Creative</v>
      </c>
      <c r="L5142" s="4" t="s">
        <v>60</v>
      </c>
      <c r="M5142" s="4" t="s">
        <v>1446</v>
      </c>
      <c r="N5142" s="4"/>
      <c r="O5142" s="4" t="s">
        <v>63</v>
      </c>
      <c r="P5142" s="4" t="s">
        <v>64</v>
      </c>
    </row>
    <row r="5143">
      <c r="A5143" s="4" t="s">
        <v>1446</v>
      </c>
      <c r="B5143" s="4" t="s">
        <v>7138</v>
      </c>
      <c r="C5143" s="4">
        <v>125.0</v>
      </c>
      <c r="D5143" s="5" t="str">
        <f t="shared" si="1379"/>
        <v>Open Ad</v>
      </c>
      <c r="E5143" s="4" t="s">
        <v>78</v>
      </c>
      <c r="F5143" s="4" t="s">
        <v>6765</v>
      </c>
      <c r="G5143" s="4" t="s">
        <v>7194</v>
      </c>
      <c r="H5143" s="4" t="s">
        <v>49</v>
      </c>
      <c r="I5143" s="4" t="s">
        <v>7140</v>
      </c>
      <c r="J5143" s="4" t="s">
        <v>78</v>
      </c>
      <c r="K5143" s="7" t="str">
        <f t="shared" si="1380"/>
        <v>View Creative</v>
      </c>
      <c r="L5143" s="4" t="s">
        <v>60</v>
      </c>
      <c r="M5143" s="4" t="s">
        <v>1446</v>
      </c>
      <c r="N5143" s="4"/>
      <c r="O5143" s="4" t="s">
        <v>63</v>
      </c>
      <c r="P5143" s="4" t="s">
        <v>64</v>
      </c>
    </row>
    <row r="5144">
      <c r="A5144" s="4" t="s">
        <v>1446</v>
      </c>
      <c r="B5144" s="4" t="s">
        <v>7138</v>
      </c>
      <c r="C5144" s="4">
        <v>126.0</v>
      </c>
      <c r="D5144" s="5" t="str">
        <f>HYPERLINK("https://www.linkedin.com/ad-library/detail/1461492134","Open Ad")</f>
        <v>Open Ad</v>
      </c>
      <c r="E5144" s="4" t="s">
        <v>52</v>
      </c>
      <c r="F5144" s="4" t="s">
        <v>6765</v>
      </c>
      <c r="G5144" s="4" t="s">
        <v>7200</v>
      </c>
      <c r="H5144" s="4" t="s">
        <v>49</v>
      </c>
      <c r="I5144" s="4" t="s">
        <v>7140</v>
      </c>
      <c r="J5144" s="4" t="s">
        <v>52</v>
      </c>
      <c r="K5144" s="4" t="s">
        <v>59</v>
      </c>
      <c r="L5144" s="4" t="s">
        <v>60</v>
      </c>
      <c r="M5144" s="4" t="s">
        <v>1446</v>
      </c>
      <c r="N5144" s="4"/>
      <c r="O5144" s="4" t="s">
        <v>63</v>
      </c>
      <c r="P5144" s="4" t="s">
        <v>64</v>
      </c>
    </row>
    <row r="5145">
      <c r="A5145" s="4" t="s">
        <v>1446</v>
      </c>
      <c r="B5145" s="4" t="s">
        <v>7138</v>
      </c>
      <c r="C5145" s="4">
        <v>127.0</v>
      </c>
      <c r="D5145" s="5" t="str">
        <f>HYPERLINK("https://www.linkedin.com/ad-library/detail/1461522174","Open Ad")</f>
        <v>Open Ad</v>
      </c>
      <c r="E5145" s="4" t="s">
        <v>52</v>
      </c>
      <c r="F5145" s="4" t="s">
        <v>6765</v>
      </c>
      <c r="G5145" s="4" t="s">
        <v>7201</v>
      </c>
      <c r="H5145" s="4" t="s">
        <v>49</v>
      </c>
      <c r="I5145" s="4" t="s">
        <v>7140</v>
      </c>
      <c r="J5145" s="4" t="s">
        <v>52</v>
      </c>
      <c r="K5145" s="4" t="s">
        <v>59</v>
      </c>
      <c r="L5145" s="4" t="s">
        <v>60</v>
      </c>
      <c r="M5145" s="4" t="s">
        <v>1446</v>
      </c>
      <c r="N5145" s="4"/>
      <c r="O5145" s="4" t="s">
        <v>63</v>
      </c>
      <c r="P5145" s="4" t="s">
        <v>64</v>
      </c>
    </row>
    <row r="5146">
      <c r="A5146" s="4" t="s">
        <v>1446</v>
      </c>
      <c r="B5146" s="4" t="s">
        <v>7138</v>
      </c>
      <c r="C5146" s="4">
        <v>128.0</v>
      </c>
      <c r="D5146" s="5" t="str">
        <f t="shared" ref="D5146:D5147" si="1381">HYPERLINK("https://www.linkedin.com/ad-library/detail/1461432794","Open Ad")</f>
        <v>Open Ad</v>
      </c>
      <c r="E5146" s="4" t="s">
        <v>78</v>
      </c>
      <c r="F5146" s="4" t="s">
        <v>6765</v>
      </c>
      <c r="G5146" s="4" t="s">
        <v>7202</v>
      </c>
      <c r="H5146" s="4" t="s">
        <v>49</v>
      </c>
      <c r="I5146" s="4" t="s">
        <v>7140</v>
      </c>
      <c r="J5146" s="4" t="s">
        <v>78</v>
      </c>
      <c r="K5146" s="7" t="str">
        <f t="shared" ref="K5146:K5147" si="1382">HYPERLINK("https://media.licdn.com/dms/image/v2/D4E22AQEqRE-kod-YWA/feedshare-image-high-res/B4EZ398HAQH0AY-/0/1778081886723?e=2147483647&amp;v=beta&amp;t=-wLfaZ_iT7EOfmS63OLApJHy_G4EAtERfOcUoCcGqoY","View Creative")</f>
        <v>View Creative</v>
      </c>
      <c r="L5146" s="4" t="s">
        <v>60</v>
      </c>
      <c r="M5146" s="4" t="s">
        <v>1446</v>
      </c>
      <c r="N5146" s="4"/>
      <c r="O5146" s="4" t="s">
        <v>63</v>
      </c>
      <c r="P5146" s="4" t="s">
        <v>64</v>
      </c>
    </row>
    <row r="5147">
      <c r="A5147" s="4" t="s">
        <v>1446</v>
      </c>
      <c r="B5147" s="4" t="s">
        <v>7138</v>
      </c>
      <c r="C5147" s="4">
        <v>129.0</v>
      </c>
      <c r="D5147" s="5" t="str">
        <f t="shared" si="1381"/>
        <v>Open Ad</v>
      </c>
      <c r="E5147" s="4" t="s">
        <v>78</v>
      </c>
      <c r="F5147" s="4" t="s">
        <v>6765</v>
      </c>
      <c r="G5147" s="4" t="s">
        <v>7202</v>
      </c>
      <c r="H5147" s="4" t="s">
        <v>49</v>
      </c>
      <c r="I5147" s="4" t="s">
        <v>7140</v>
      </c>
      <c r="J5147" s="4" t="s">
        <v>78</v>
      </c>
      <c r="K5147" s="7" t="str">
        <f t="shared" si="1382"/>
        <v>View Creative</v>
      </c>
      <c r="L5147" s="4" t="s">
        <v>60</v>
      </c>
      <c r="M5147" s="4" t="s">
        <v>1446</v>
      </c>
      <c r="N5147" s="4"/>
      <c r="O5147" s="4" t="s">
        <v>63</v>
      </c>
      <c r="P5147" s="4" t="s">
        <v>64</v>
      </c>
    </row>
    <row r="5148">
      <c r="A5148" s="4" t="s">
        <v>1446</v>
      </c>
      <c r="B5148" s="4" t="s">
        <v>7138</v>
      </c>
      <c r="C5148" s="4">
        <v>130.0</v>
      </c>
      <c r="D5148" s="5" t="str">
        <f t="shared" ref="D5148:D5149" si="1383">HYPERLINK("https://www.linkedin.com/ad-library/detail/1461402724","Open Ad")</f>
        <v>Open Ad</v>
      </c>
      <c r="E5148" s="4" t="s">
        <v>78</v>
      </c>
      <c r="F5148" s="4" t="s">
        <v>6765</v>
      </c>
      <c r="G5148" s="4" t="s">
        <v>7203</v>
      </c>
      <c r="H5148" s="4" t="s">
        <v>49</v>
      </c>
      <c r="I5148" s="4" t="s">
        <v>7140</v>
      </c>
      <c r="J5148" s="4" t="s">
        <v>78</v>
      </c>
      <c r="K5148" s="7" t="str">
        <f t="shared" ref="K5148:K5149" si="1384">HYPERLINK("https://media.licdn.com/dms/image/v2/D4E22AQFt-dFjadE7eA/feedshare-shrink_1280/B4EZssv3KoKgAs-/0/1765982305047?e=2147483647&amp;v=beta&amp;t=KNpTRDqCPAIvuxG8CzOoY0lQSVaw7ZCK_imSxQf1V6M","View Creative")</f>
        <v>View Creative</v>
      </c>
      <c r="L5148" s="4" t="s">
        <v>60</v>
      </c>
      <c r="M5148" s="4" t="s">
        <v>1446</v>
      </c>
      <c r="N5148" s="4"/>
      <c r="O5148" s="4" t="s">
        <v>63</v>
      </c>
      <c r="P5148" s="4" t="s">
        <v>64</v>
      </c>
    </row>
    <row r="5149">
      <c r="A5149" s="4" t="s">
        <v>1446</v>
      </c>
      <c r="B5149" s="4" t="s">
        <v>7138</v>
      </c>
      <c r="C5149" s="4">
        <v>131.0</v>
      </c>
      <c r="D5149" s="5" t="str">
        <f t="shared" si="1383"/>
        <v>Open Ad</v>
      </c>
      <c r="E5149" s="4" t="s">
        <v>78</v>
      </c>
      <c r="F5149" s="4" t="s">
        <v>6765</v>
      </c>
      <c r="G5149" s="4" t="s">
        <v>7203</v>
      </c>
      <c r="H5149" s="4" t="s">
        <v>49</v>
      </c>
      <c r="I5149" s="4" t="s">
        <v>7140</v>
      </c>
      <c r="J5149" s="4" t="s">
        <v>78</v>
      </c>
      <c r="K5149" s="7" t="str">
        <f t="shared" si="1384"/>
        <v>View Creative</v>
      </c>
      <c r="L5149" s="4" t="s">
        <v>60</v>
      </c>
      <c r="M5149" s="4" t="s">
        <v>1446</v>
      </c>
      <c r="N5149" s="4"/>
      <c r="O5149" s="4" t="s">
        <v>63</v>
      </c>
      <c r="P5149" s="4" t="s">
        <v>64</v>
      </c>
    </row>
    <row r="5150">
      <c r="A5150" s="4" t="s">
        <v>1446</v>
      </c>
      <c r="B5150" s="4" t="s">
        <v>7138</v>
      </c>
      <c r="C5150" s="4">
        <v>132.0</v>
      </c>
      <c r="D5150" s="5" t="str">
        <f>HYPERLINK("https://www.linkedin.com/ad-library/detail/1461452684","Open Ad")</f>
        <v>Open Ad</v>
      </c>
      <c r="E5150" s="4" t="s">
        <v>52</v>
      </c>
      <c r="F5150" s="4" t="s">
        <v>6765</v>
      </c>
      <c r="G5150" s="4" t="s">
        <v>7204</v>
      </c>
      <c r="H5150" s="4" t="s">
        <v>49</v>
      </c>
      <c r="I5150" s="4" t="s">
        <v>7140</v>
      </c>
      <c r="J5150" s="4" t="s">
        <v>52</v>
      </c>
      <c r="K5150" s="4" t="s">
        <v>59</v>
      </c>
      <c r="L5150" s="4" t="s">
        <v>60</v>
      </c>
      <c r="M5150" s="4" t="s">
        <v>1446</v>
      </c>
      <c r="N5150" s="4"/>
      <c r="O5150" s="4" t="s">
        <v>63</v>
      </c>
      <c r="P5150" s="4" t="s">
        <v>64</v>
      </c>
    </row>
    <row r="5151">
      <c r="A5151" s="4" t="s">
        <v>1446</v>
      </c>
      <c r="B5151" s="4" t="s">
        <v>7138</v>
      </c>
      <c r="C5151" s="4">
        <v>133.0</v>
      </c>
      <c r="D5151" s="5" t="str">
        <f>HYPERLINK("https://www.linkedin.com/ad-library/detail/1461383404","Open Ad")</f>
        <v>Open Ad</v>
      </c>
      <c r="E5151" s="4" t="s">
        <v>52</v>
      </c>
      <c r="F5151" s="4" t="s">
        <v>6765</v>
      </c>
      <c r="G5151" s="4" t="s">
        <v>7205</v>
      </c>
      <c r="H5151" s="4" t="s">
        <v>49</v>
      </c>
      <c r="I5151" s="4" t="s">
        <v>7140</v>
      </c>
      <c r="J5151" s="4" t="s">
        <v>52</v>
      </c>
      <c r="K5151" s="4" t="s">
        <v>59</v>
      </c>
      <c r="L5151" s="4" t="s">
        <v>60</v>
      </c>
      <c r="M5151" s="4" t="s">
        <v>1446</v>
      </c>
      <c r="N5151" s="4"/>
      <c r="O5151" s="4" t="s">
        <v>63</v>
      </c>
      <c r="P5151" s="4" t="s">
        <v>64</v>
      </c>
    </row>
    <row r="5152">
      <c r="A5152" s="4" t="s">
        <v>1446</v>
      </c>
      <c r="B5152" s="4" t="s">
        <v>7138</v>
      </c>
      <c r="C5152" s="4">
        <v>134.0</v>
      </c>
      <c r="D5152" s="5" t="str">
        <f>HYPERLINK("https://www.linkedin.com/ad-library/detail/1461304464","Open Ad")</f>
        <v>Open Ad</v>
      </c>
      <c r="E5152" s="4" t="s">
        <v>52</v>
      </c>
      <c r="F5152" s="4" t="s">
        <v>6765</v>
      </c>
      <c r="G5152" s="4" t="s">
        <v>7206</v>
      </c>
      <c r="H5152" s="4" t="s">
        <v>49</v>
      </c>
      <c r="I5152" s="4" t="s">
        <v>7140</v>
      </c>
      <c r="J5152" s="4" t="s">
        <v>52</v>
      </c>
      <c r="K5152" s="4" t="s">
        <v>59</v>
      </c>
      <c r="L5152" s="4" t="s">
        <v>60</v>
      </c>
      <c r="M5152" s="4" t="s">
        <v>1446</v>
      </c>
      <c r="N5152" s="4"/>
      <c r="O5152" s="4" t="s">
        <v>63</v>
      </c>
      <c r="P5152" s="4" t="s">
        <v>64</v>
      </c>
    </row>
    <row r="5153">
      <c r="A5153" s="4" t="s">
        <v>1446</v>
      </c>
      <c r="B5153" s="4" t="s">
        <v>7138</v>
      </c>
      <c r="C5153" s="4">
        <v>135.0</v>
      </c>
      <c r="D5153" s="5" t="str">
        <f t="shared" ref="D5153:D5154" si="1385">HYPERLINK("https://www.linkedin.com/ad-library/detail/1461304234","Open Ad")</f>
        <v>Open Ad</v>
      </c>
      <c r="E5153" s="4" t="s">
        <v>78</v>
      </c>
      <c r="F5153" s="4" t="s">
        <v>6765</v>
      </c>
      <c r="G5153" s="4" t="s">
        <v>7207</v>
      </c>
      <c r="H5153" s="4" t="s">
        <v>49</v>
      </c>
      <c r="I5153" s="4" t="s">
        <v>7140</v>
      </c>
      <c r="J5153" s="4" t="s">
        <v>78</v>
      </c>
      <c r="K5153" s="7" t="str">
        <f t="shared" ref="K5153:K5154" si="1386">HYPERLINK("https://media.licdn.com/dms/image/v2/D5622AQEl0jIy3ag-6A/feedshare-shrink_800/B56Z63TPnlGsAc-/0/1781191736079?e=2147483647&amp;v=beta&amp;t=rza4hr0V93hFtuvmD5u9AuCZQPQa9x5CWYlJ1-RsFd8","View Creative")</f>
        <v>View Creative</v>
      </c>
      <c r="L5153" s="4" t="s">
        <v>60</v>
      </c>
      <c r="M5153" s="4" t="s">
        <v>1446</v>
      </c>
      <c r="N5153" s="4"/>
      <c r="O5153" s="4" t="s">
        <v>63</v>
      </c>
      <c r="P5153" s="4" t="s">
        <v>64</v>
      </c>
    </row>
    <row r="5154">
      <c r="A5154" s="4" t="s">
        <v>1446</v>
      </c>
      <c r="B5154" s="4" t="s">
        <v>7138</v>
      </c>
      <c r="C5154" s="4">
        <v>136.0</v>
      </c>
      <c r="D5154" s="5" t="str">
        <f t="shared" si="1385"/>
        <v>Open Ad</v>
      </c>
      <c r="E5154" s="4" t="s">
        <v>78</v>
      </c>
      <c r="F5154" s="4" t="s">
        <v>6765</v>
      </c>
      <c r="G5154" s="4" t="s">
        <v>7207</v>
      </c>
      <c r="H5154" s="4" t="s">
        <v>49</v>
      </c>
      <c r="I5154" s="4" t="s">
        <v>7140</v>
      </c>
      <c r="J5154" s="4" t="s">
        <v>78</v>
      </c>
      <c r="K5154" s="7" t="str">
        <f t="shared" si="1386"/>
        <v>View Creative</v>
      </c>
      <c r="L5154" s="4" t="s">
        <v>60</v>
      </c>
      <c r="M5154" s="4" t="s">
        <v>1446</v>
      </c>
      <c r="N5154" s="4"/>
      <c r="O5154" s="4" t="s">
        <v>63</v>
      </c>
      <c r="P5154" s="4" t="s">
        <v>64</v>
      </c>
    </row>
    <row r="5155">
      <c r="A5155" s="4" t="s">
        <v>1446</v>
      </c>
      <c r="B5155" s="4" t="s">
        <v>7138</v>
      </c>
      <c r="C5155" s="4">
        <v>137.0</v>
      </c>
      <c r="D5155" s="5" t="str">
        <f t="shared" ref="D5155:D5156" si="1387">HYPERLINK("https://www.linkedin.com/ad-library/detail/1461373144","Open Ad")</f>
        <v>Open Ad</v>
      </c>
      <c r="E5155" s="4" t="s">
        <v>78</v>
      </c>
      <c r="F5155" s="4" t="s">
        <v>6765</v>
      </c>
      <c r="G5155" s="4" t="s">
        <v>7203</v>
      </c>
      <c r="H5155" s="4" t="s">
        <v>49</v>
      </c>
      <c r="I5155" s="4" t="s">
        <v>7140</v>
      </c>
      <c r="J5155" s="4" t="s">
        <v>78</v>
      </c>
      <c r="K5155" s="7" t="str">
        <f t="shared" ref="K5155:K5156" si="1388">HYPERLINK("https://media.licdn.com/dms/image/v2/D4E22AQFt-dFjadE7eA/feedshare-shrink_1280/B4EZssv3KoKgAs-/0/1765982305047?e=2147483647&amp;v=beta&amp;t=KNpTRDqCPAIvuxG8CzOoY0lQSVaw7ZCK_imSxQf1V6M","View Creative")</f>
        <v>View Creative</v>
      </c>
      <c r="L5155" s="4" t="s">
        <v>60</v>
      </c>
      <c r="M5155" s="4" t="s">
        <v>1446</v>
      </c>
      <c r="N5155" s="4"/>
      <c r="O5155" s="4" t="s">
        <v>63</v>
      </c>
      <c r="P5155" s="4" t="s">
        <v>64</v>
      </c>
    </row>
    <row r="5156">
      <c r="A5156" s="4" t="s">
        <v>1446</v>
      </c>
      <c r="B5156" s="4" t="s">
        <v>7138</v>
      </c>
      <c r="C5156" s="4">
        <v>138.0</v>
      </c>
      <c r="D5156" s="5" t="str">
        <f t="shared" si="1387"/>
        <v>Open Ad</v>
      </c>
      <c r="E5156" s="4" t="s">
        <v>78</v>
      </c>
      <c r="F5156" s="4" t="s">
        <v>6765</v>
      </c>
      <c r="G5156" s="4" t="s">
        <v>7203</v>
      </c>
      <c r="H5156" s="4" t="s">
        <v>49</v>
      </c>
      <c r="I5156" s="4" t="s">
        <v>7140</v>
      </c>
      <c r="J5156" s="4" t="s">
        <v>78</v>
      </c>
      <c r="K5156" s="7" t="str">
        <f t="shared" si="1388"/>
        <v>View Creative</v>
      </c>
      <c r="L5156" s="4" t="s">
        <v>60</v>
      </c>
      <c r="M5156" s="4" t="s">
        <v>1446</v>
      </c>
      <c r="N5156" s="4"/>
      <c r="O5156" s="4" t="s">
        <v>63</v>
      </c>
      <c r="P5156" s="4" t="s">
        <v>64</v>
      </c>
    </row>
    <row r="5157">
      <c r="A5157" s="4" t="s">
        <v>1446</v>
      </c>
      <c r="B5157" s="4" t="s">
        <v>7138</v>
      </c>
      <c r="C5157" s="4">
        <v>139.0</v>
      </c>
      <c r="D5157" s="5" t="str">
        <f>HYPERLINK("https://www.linkedin.com/ad-library/detail/1461353194","Open Ad")</f>
        <v>Open Ad</v>
      </c>
      <c r="E5157" s="4" t="s">
        <v>52</v>
      </c>
      <c r="F5157" s="4" t="s">
        <v>6765</v>
      </c>
      <c r="G5157" s="4" t="s">
        <v>7208</v>
      </c>
      <c r="H5157" s="4" t="s">
        <v>7174</v>
      </c>
      <c r="I5157" s="4" t="s">
        <v>7140</v>
      </c>
      <c r="J5157" s="4" t="s">
        <v>52</v>
      </c>
      <c r="K5157" s="4" t="s">
        <v>59</v>
      </c>
      <c r="L5157" s="4" t="s">
        <v>60</v>
      </c>
      <c r="M5157" s="4" t="s">
        <v>1446</v>
      </c>
      <c r="N5157" s="4"/>
      <c r="O5157" s="4" t="s">
        <v>63</v>
      </c>
      <c r="P5157" s="4" t="s">
        <v>64</v>
      </c>
    </row>
    <row r="5158">
      <c r="A5158" s="4" t="s">
        <v>1446</v>
      </c>
      <c r="B5158" s="4" t="s">
        <v>7138</v>
      </c>
      <c r="C5158" s="4">
        <v>140.0</v>
      </c>
      <c r="D5158" s="5" t="str">
        <f>HYPERLINK("https://www.linkedin.com/ad-library/detail/1461412444","Open Ad")</f>
        <v>Open Ad</v>
      </c>
      <c r="E5158" s="4" t="s">
        <v>52</v>
      </c>
      <c r="F5158" s="4" t="s">
        <v>6765</v>
      </c>
      <c r="G5158" s="4" t="s">
        <v>7209</v>
      </c>
      <c r="H5158" s="4" t="s">
        <v>49</v>
      </c>
      <c r="I5158" s="4" t="s">
        <v>7140</v>
      </c>
      <c r="J5158" s="4" t="s">
        <v>52</v>
      </c>
      <c r="K5158" s="4" t="s">
        <v>59</v>
      </c>
      <c r="L5158" s="4" t="s">
        <v>60</v>
      </c>
      <c r="M5158" s="4" t="s">
        <v>1446</v>
      </c>
      <c r="N5158" s="4"/>
      <c r="O5158" s="4" t="s">
        <v>63</v>
      </c>
      <c r="P5158" s="4" t="s">
        <v>64</v>
      </c>
    </row>
    <row r="5159">
      <c r="A5159" s="4" t="s">
        <v>1446</v>
      </c>
      <c r="B5159" s="4" t="s">
        <v>7138</v>
      </c>
      <c r="C5159" s="4">
        <v>141.0</v>
      </c>
      <c r="D5159" s="5" t="str">
        <f>HYPERLINK("https://www.linkedin.com/ad-library/detail/1461333814","Open Ad")</f>
        <v>Open Ad</v>
      </c>
      <c r="E5159" s="4" t="s">
        <v>52</v>
      </c>
      <c r="F5159" s="4" t="s">
        <v>6765</v>
      </c>
      <c r="G5159" s="4" t="s">
        <v>7200</v>
      </c>
      <c r="H5159" s="4" t="s">
        <v>49</v>
      </c>
      <c r="I5159" s="4" t="s">
        <v>7140</v>
      </c>
      <c r="J5159" s="4" t="s">
        <v>52</v>
      </c>
      <c r="K5159" s="4" t="s">
        <v>59</v>
      </c>
      <c r="L5159" s="4" t="s">
        <v>60</v>
      </c>
      <c r="M5159" s="4" t="s">
        <v>1446</v>
      </c>
      <c r="N5159" s="4"/>
      <c r="O5159" s="4" t="s">
        <v>63</v>
      </c>
      <c r="P5159" s="4" t="s">
        <v>64</v>
      </c>
    </row>
    <row r="5160">
      <c r="A5160" s="4" t="s">
        <v>1446</v>
      </c>
      <c r="B5160" s="4" t="s">
        <v>7138</v>
      </c>
      <c r="C5160" s="4">
        <v>142.0</v>
      </c>
      <c r="D5160" s="5" t="str">
        <f>HYPERLINK("https://www.linkedin.com/ad-library/detail/1461512064","Open Ad")</f>
        <v>Open Ad</v>
      </c>
      <c r="E5160" s="4" t="s">
        <v>52</v>
      </c>
      <c r="F5160" s="4" t="s">
        <v>6765</v>
      </c>
      <c r="G5160" s="4" t="s">
        <v>7210</v>
      </c>
      <c r="H5160" s="4" t="s">
        <v>49</v>
      </c>
      <c r="I5160" s="4" t="s">
        <v>7140</v>
      </c>
      <c r="J5160" s="4" t="s">
        <v>52</v>
      </c>
      <c r="K5160" s="4" t="s">
        <v>59</v>
      </c>
      <c r="L5160" s="4" t="s">
        <v>60</v>
      </c>
      <c r="M5160" s="4" t="s">
        <v>1446</v>
      </c>
      <c r="N5160" s="4"/>
      <c r="O5160" s="4" t="s">
        <v>63</v>
      </c>
      <c r="P5160" s="4" t="s">
        <v>64</v>
      </c>
    </row>
    <row r="5161">
      <c r="A5161" s="4" t="s">
        <v>1446</v>
      </c>
      <c r="B5161" s="4" t="s">
        <v>7138</v>
      </c>
      <c r="C5161" s="4">
        <v>143.0</v>
      </c>
      <c r="D5161" s="5" t="str">
        <f t="shared" ref="D5161:D5162" si="1389">HYPERLINK("https://www.linkedin.com/ad-library/detail/1461462384","Open Ad")</f>
        <v>Open Ad</v>
      </c>
      <c r="E5161" s="4" t="s">
        <v>78</v>
      </c>
      <c r="F5161" s="4" t="s">
        <v>6765</v>
      </c>
      <c r="G5161" s="4" t="s">
        <v>7211</v>
      </c>
      <c r="H5161" s="4" t="s">
        <v>49</v>
      </c>
      <c r="I5161" s="4" t="s">
        <v>7140</v>
      </c>
      <c r="J5161" s="4" t="s">
        <v>78</v>
      </c>
      <c r="K5161" s="7" t="str">
        <f t="shared" ref="K5161:K5162" si="1390">HYPERLINK("https://media.licdn.com/dms/image/v2/D4E22AQEFMpCrbqftKQ/feedshare-shrink_1280/B4EZ2_rdGhKYAM-/0/1777037333903?e=2147483647&amp;v=beta&amp;t=MkS-yo7ZAZhl09hLFYcA5Q88kAALwR2GOxPv6MfaDgY","View Creative")</f>
        <v>View Creative</v>
      </c>
      <c r="L5161" s="4" t="s">
        <v>60</v>
      </c>
      <c r="M5161" s="4" t="s">
        <v>1446</v>
      </c>
      <c r="N5161" s="4"/>
      <c r="O5161" s="4" t="s">
        <v>63</v>
      </c>
      <c r="P5161" s="4" t="s">
        <v>64</v>
      </c>
    </row>
    <row r="5162">
      <c r="A5162" s="4" t="s">
        <v>1446</v>
      </c>
      <c r="B5162" s="4" t="s">
        <v>7138</v>
      </c>
      <c r="C5162" s="4">
        <v>144.0</v>
      </c>
      <c r="D5162" s="5" t="str">
        <f t="shared" si="1389"/>
        <v>Open Ad</v>
      </c>
      <c r="E5162" s="4" t="s">
        <v>78</v>
      </c>
      <c r="F5162" s="4" t="s">
        <v>6765</v>
      </c>
      <c r="G5162" s="4" t="s">
        <v>7211</v>
      </c>
      <c r="H5162" s="4" t="s">
        <v>49</v>
      </c>
      <c r="I5162" s="4" t="s">
        <v>7140</v>
      </c>
      <c r="J5162" s="4" t="s">
        <v>78</v>
      </c>
      <c r="K5162" s="7" t="str">
        <f t="shared" si="1390"/>
        <v>View Creative</v>
      </c>
      <c r="L5162" s="4" t="s">
        <v>60</v>
      </c>
      <c r="M5162" s="4" t="s">
        <v>1446</v>
      </c>
      <c r="N5162" s="4"/>
      <c r="O5162" s="4" t="s">
        <v>63</v>
      </c>
      <c r="P5162" s="4" t="s">
        <v>64</v>
      </c>
    </row>
    <row r="5163">
      <c r="A5163" s="4" t="s">
        <v>1446</v>
      </c>
      <c r="B5163" s="4" t="s">
        <v>7138</v>
      </c>
      <c r="C5163" s="4">
        <v>145.0</v>
      </c>
      <c r="D5163" s="5" t="str">
        <f>HYPERLINK("https://www.linkedin.com/ad-library/detail/1461442484","Open Ad")</f>
        <v>Open Ad</v>
      </c>
      <c r="E5163" s="4" t="s">
        <v>52</v>
      </c>
      <c r="F5163" s="4" t="s">
        <v>6765</v>
      </c>
      <c r="G5163" s="4" t="s">
        <v>7209</v>
      </c>
      <c r="H5163" s="4" t="s">
        <v>49</v>
      </c>
      <c r="I5163" s="4" t="s">
        <v>7140</v>
      </c>
      <c r="J5163" s="4" t="s">
        <v>52</v>
      </c>
      <c r="K5163" s="4" t="s">
        <v>59</v>
      </c>
      <c r="L5163" s="4" t="s">
        <v>60</v>
      </c>
      <c r="M5163" s="4" t="s">
        <v>1446</v>
      </c>
      <c r="N5163" s="4"/>
      <c r="O5163" s="4" t="s">
        <v>63</v>
      </c>
      <c r="P5163" s="4" t="s">
        <v>64</v>
      </c>
    </row>
    <row r="5164">
      <c r="A5164" s="4" t="s">
        <v>1446</v>
      </c>
      <c r="B5164" s="4" t="s">
        <v>7138</v>
      </c>
      <c r="C5164" s="4">
        <v>146.0</v>
      </c>
      <c r="D5164" s="5" t="str">
        <f t="shared" ref="D5164:D5165" si="1391">HYPERLINK("https://www.linkedin.com/ad-library/detail/1461442494","Open Ad")</f>
        <v>Open Ad</v>
      </c>
      <c r="E5164" s="4" t="s">
        <v>78</v>
      </c>
      <c r="F5164" s="4" t="s">
        <v>6765</v>
      </c>
      <c r="G5164" s="4" t="s">
        <v>7198</v>
      </c>
      <c r="H5164" s="4" t="s">
        <v>7199</v>
      </c>
      <c r="I5164" s="4" t="s">
        <v>7140</v>
      </c>
      <c r="J5164" s="4" t="s">
        <v>78</v>
      </c>
      <c r="K5164" s="7" t="str">
        <f t="shared" ref="K5164:K5165" si="1392">HYPERLINK("https://media.licdn.com/dms/image/sync/v2/D5627AQFX2ttCwROi6A/articleshare-shrink_1280_800/B4DZ5qII2OGcAY-/0/1779896980178?e=2147483647&amp;v=beta&amp;t=DomfkxSKWoO2ZmrEihmo9x_r_hW7O0SH2IY6Ehomuo0","View Creative")</f>
        <v>View Creative</v>
      </c>
      <c r="L5164" s="4" t="s">
        <v>60</v>
      </c>
      <c r="M5164" s="4" t="s">
        <v>1446</v>
      </c>
      <c r="N5164" s="4"/>
      <c r="O5164" s="4" t="s">
        <v>63</v>
      </c>
      <c r="P5164" s="4" t="s">
        <v>64</v>
      </c>
    </row>
    <row r="5165">
      <c r="A5165" s="4" t="s">
        <v>1446</v>
      </c>
      <c r="B5165" s="4" t="s">
        <v>7138</v>
      </c>
      <c r="C5165" s="4">
        <v>147.0</v>
      </c>
      <c r="D5165" s="5" t="str">
        <f t="shared" si="1391"/>
        <v>Open Ad</v>
      </c>
      <c r="E5165" s="4" t="s">
        <v>78</v>
      </c>
      <c r="F5165" s="4" t="s">
        <v>6765</v>
      </c>
      <c r="G5165" s="4" t="s">
        <v>7198</v>
      </c>
      <c r="H5165" s="4" t="s">
        <v>7199</v>
      </c>
      <c r="I5165" s="4" t="s">
        <v>7140</v>
      </c>
      <c r="J5165" s="4" t="s">
        <v>78</v>
      </c>
      <c r="K5165" s="7" t="str">
        <f t="shared" si="1392"/>
        <v>View Creative</v>
      </c>
      <c r="L5165" s="4" t="s">
        <v>60</v>
      </c>
      <c r="M5165" s="4" t="s">
        <v>1446</v>
      </c>
      <c r="N5165" s="4"/>
      <c r="O5165" s="4" t="s">
        <v>63</v>
      </c>
      <c r="P5165" s="4" t="s">
        <v>64</v>
      </c>
    </row>
    <row r="5166">
      <c r="A5166" s="4" t="s">
        <v>1446</v>
      </c>
      <c r="B5166" s="4" t="s">
        <v>7138</v>
      </c>
      <c r="C5166" s="4">
        <v>148.0</v>
      </c>
      <c r="D5166" s="5" t="str">
        <f>HYPERLINK("https://www.linkedin.com/ad-library/detail/1461482564","Open Ad")</f>
        <v>Open Ad</v>
      </c>
      <c r="E5166" s="4" t="s">
        <v>52</v>
      </c>
      <c r="F5166" s="4" t="s">
        <v>6765</v>
      </c>
      <c r="G5166" s="4" t="s">
        <v>7208</v>
      </c>
      <c r="H5166" s="4" t="s">
        <v>7174</v>
      </c>
      <c r="I5166" s="4" t="s">
        <v>7140</v>
      </c>
      <c r="J5166" s="4" t="s">
        <v>52</v>
      </c>
      <c r="K5166" s="4" t="s">
        <v>59</v>
      </c>
      <c r="L5166" s="4" t="s">
        <v>60</v>
      </c>
      <c r="M5166" s="4" t="s">
        <v>1446</v>
      </c>
      <c r="N5166" s="4"/>
      <c r="O5166" s="4" t="s">
        <v>63</v>
      </c>
      <c r="P5166" s="4" t="s">
        <v>64</v>
      </c>
    </row>
    <row r="5167">
      <c r="A5167" s="4" t="s">
        <v>1446</v>
      </c>
      <c r="B5167" s="4" t="s">
        <v>7138</v>
      </c>
      <c r="C5167" s="4">
        <v>149.0</v>
      </c>
      <c r="D5167" s="5" t="str">
        <f t="shared" ref="D5167:D5168" si="1393">HYPERLINK("https://www.linkedin.com/ad-library/detail/1458148684","Open Ad")</f>
        <v>Open Ad</v>
      </c>
      <c r="E5167" s="4" t="s">
        <v>78</v>
      </c>
      <c r="F5167" s="4" t="s">
        <v>6765</v>
      </c>
      <c r="G5167" s="4" t="s">
        <v>7212</v>
      </c>
      <c r="H5167" s="4" t="s">
        <v>49</v>
      </c>
      <c r="I5167" s="4" t="s">
        <v>7140</v>
      </c>
      <c r="J5167" s="4" t="s">
        <v>78</v>
      </c>
      <c r="K5167" s="7" t="str">
        <f t="shared" ref="K5167:K5168" si="1394">HYPERLINK("https://media.licdn.com/dms/image/v2/D4E10AQEZ9ItEflEGeA/image-shrink_1280/B4EZ7XZ9M4JMAg-/0/1781730367113/ScrunchGifAd1-ClaudeTokengif?e=2147483647&amp;v=beta&amp;t=zY0y08Jr9oOrH_hcRv0fbM3WycllUJkIt-H5LIw2Pws","View Creative")</f>
        <v>View Creative</v>
      </c>
      <c r="L5167" s="4" t="s">
        <v>60</v>
      </c>
      <c r="M5167" s="4" t="s">
        <v>1446</v>
      </c>
      <c r="N5167" s="4"/>
      <c r="O5167" s="4" t="s">
        <v>63</v>
      </c>
      <c r="P5167" s="4" t="s">
        <v>64</v>
      </c>
    </row>
    <row r="5168">
      <c r="A5168" s="4" t="s">
        <v>1446</v>
      </c>
      <c r="B5168" s="4" t="s">
        <v>7138</v>
      </c>
      <c r="C5168" s="4">
        <v>150.0</v>
      </c>
      <c r="D5168" s="5" t="str">
        <f t="shared" si="1393"/>
        <v>Open Ad</v>
      </c>
      <c r="E5168" s="4" t="s">
        <v>78</v>
      </c>
      <c r="F5168" s="4" t="s">
        <v>6765</v>
      </c>
      <c r="G5168" s="4" t="s">
        <v>7212</v>
      </c>
      <c r="H5168" s="4" t="s">
        <v>49</v>
      </c>
      <c r="I5168" s="4" t="s">
        <v>7140</v>
      </c>
      <c r="J5168" s="4" t="s">
        <v>78</v>
      </c>
      <c r="K5168" s="7" t="str">
        <f t="shared" si="1394"/>
        <v>View Creative</v>
      </c>
      <c r="L5168" s="4" t="s">
        <v>60</v>
      </c>
      <c r="M5168" s="4" t="s">
        <v>1446</v>
      </c>
      <c r="N5168" s="4"/>
      <c r="O5168" s="4" t="s">
        <v>63</v>
      </c>
      <c r="P5168" s="4" t="s">
        <v>64</v>
      </c>
    </row>
    <row r="5169">
      <c r="A5169" s="4" t="s">
        <v>1446</v>
      </c>
      <c r="B5169" s="4" t="s">
        <v>7138</v>
      </c>
      <c r="C5169" s="4">
        <v>151.0</v>
      </c>
      <c r="D5169" s="5" t="str">
        <f>HYPERLINK("https://www.linkedin.com/ad-library/detail/1458228594","Open Ad")</f>
        <v>Open Ad</v>
      </c>
      <c r="E5169" s="4" t="s">
        <v>52</v>
      </c>
      <c r="F5169" s="4" t="s">
        <v>6765</v>
      </c>
      <c r="G5169" s="4" t="s">
        <v>7213</v>
      </c>
      <c r="H5169" s="4" t="s">
        <v>49</v>
      </c>
      <c r="I5169" s="4" t="s">
        <v>7140</v>
      </c>
      <c r="J5169" s="4" t="s">
        <v>52</v>
      </c>
      <c r="K5169" s="4" t="s">
        <v>59</v>
      </c>
      <c r="L5169" s="4" t="s">
        <v>60</v>
      </c>
      <c r="M5169" s="4" t="s">
        <v>1446</v>
      </c>
      <c r="N5169" s="4"/>
      <c r="O5169" s="4" t="s">
        <v>63</v>
      </c>
      <c r="P5169" s="4" t="s">
        <v>64</v>
      </c>
    </row>
    <row r="5170">
      <c r="A5170" s="4" t="s">
        <v>1446</v>
      </c>
      <c r="B5170" s="4" t="s">
        <v>7138</v>
      </c>
      <c r="C5170" s="4">
        <v>152.0</v>
      </c>
      <c r="D5170" s="5" t="str">
        <f>HYPERLINK("https://www.linkedin.com/ad-library/detail/1458207244","Open Ad")</f>
        <v>Open Ad</v>
      </c>
      <c r="E5170" s="4" t="s">
        <v>52</v>
      </c>
      <c r="F5170" s="4" t="s">
        <v>6765</v>
      </c>
      <c r="G5170" s="4" t="s">
        <v>7214</v>
      </c>
      <c r="H5170" s="4" t="s">
        <v>49</v>
      </c>
      <c r="I5170" s="4" t="s">
        <v>7140</v>
      </c>
      <c r="J5170" s="4" t="s">
        <v>52</v>
      </c>
      <c r="K5170" s="4" t="s">
        <v>59</v>
      </c>
      <c r="L5170" s="4" t="s">
        <v>60</v>
      </c>
      <c r="M5170" s="4" t="s">
        <v>1446</v>
      </c>
      <c r="N5170" s="4"/>
      <c r="O5170" s="4" t="s">
        <v>63</v>
      </c>
      <c r="P5170" s="4" t="s">
        <v>64</v>
      </c>
    </row>
    <row r="5171">
      <c r="A5171" s="4" t="s">
        <v>1446</v>
      </c>
      <c r="B5171" s="4" t="s">
        <v>7138</v>
      </c>
      <c r="C5171" s="4">
        <v>153.0</v>
      </c>
      <c r="D5171" s="5" t="str">
        <f t="shared" ref="D5171:D5172" si="1395">HYPERLINK("https://www.linkedin.com/ad-library/detail/1458229024","Open Ad")</f>
        <v>Open Ad</v>
      </c>
      <c r="E5171" s="4" t="s">
        <v>78</v>
      </c>
      <c r="F5171" s="4" t="s">
        <v>6765</v>
      </c>
      <c r="G5171" s="4" t="s">
        <v>7212</v>
      </c>
      <c r="H5171" s="4" t="s">
        <v>49</v>
      </c>
      <c r="I5171" s="4" t="s">
        <v>7140</v>
      </c>
      <c r="J5171" s="4" t="s">
        <v>78</v>
      </c>
      <c r="K5171" s="7" t="str">
        <f t="shared" ref="K5171:K5172" si="1396">HYPERLINK("https://media.licdn.com/dms/image/v2/D4E10AQE4VOicg9clhg/image-shrink_1280/B4EZ7XasfXKcAc-/0/1781730562556/ScrunchGIFAd1-ClaudeOfferInImage1gif?e=2147483647&amp;v=beta&amp;t=AWzKD0l-oQxphN15WW2fGfiS9EmiDjoFbahDgwWfauk","View Creative")</f>
        <v>View Creative</v>
      </c>
      <c r="L5171" s="4" t="s">
        <v>60</v>
      </c>
      <c r="M5171" s="4" t="s">
        <v>1446</v>
      </c>
      <c r="N5171" s="4"/>
      <c r="O5171" s="4" t="s">
        <v>63</v>
      </c>
      <c r="P5171" s="4" t="s">
        <v>64</v>
      </c>
    </row>
    <row r="5172">
      <c r="A5172" s="4" t="s">
        <v>1446</v>
      </c>
      <c r="B5172" s="4" t="s">
        <v>7138</v>
      </c>
      <c r="C5172" s="4">
        <v>154.0</v>
      </c>
      <c r="D5172" s="5" t="str">
        <f t="shared" si="1395"/>
        <v>Open Ad</v>
      </c>
      <c r="E5172" s="4" t="s">
        <v>78</v>
      </c>
      <c r="F5172" s="4" t="s">
        <v>6765</v>
      </c>
      <c r="G5172" s="4" t="s">
        <v>7212</v>
      </c>
      <c r="H5172" s="4" t="s">
        <v>49</v>
      </c>
      <c r="I5172" s="4" t="s">
        <v>7140</v>
      </c>
      <c r="J5172" s="4" t="s">
        <v>78</v>
      </c>
      <c r="K5172" s="7" t="str">
        <f t="shared" si="1396"/>
        <v>View Creative</v>
      </c>
      <c r="L5172" s="4" t="s">
        <v>60</v>
      </c>
      <c r="M5172" s="4" t="s">
        <v>1446</v>
      </c>
      <c r="N5172" s="4"/>
      <c r="O5172" s="4" t="s">
        <v>63</v>
      </c>
      <c r="P5172" s="4" t="s">
        <v>64</v>
      </c>
    </row>
    <row r="5173">
      <c r="A5173" s="4" t="s">
        <v>1446</v>
      </c>
      <c r="B5173" s="4" t="s">
        <v>7138</v>
      </c>
      <c r="C5173" s="4">
        <v>155.0</v>
      </c>
      <c r="D5173" s="5" t="str">
        <f t="shared" ref="D5173:D5174" si="1397">HYPERLINK("https://www.linkedin.com/ad-library/detail/1458199604","Open Ad")</f>
        <v>Open Ad</v>
      </c>
      <c r="E5173" s="4" t="s">
        <v>78</v>
      </c>
      <c r="F5173" s="4" t="s">
        <v>6765</v>
      </c>
      <c r="G5173" s="4" t="s">
        <v>7212</v>
      </c>
      <c r="H5173" s="4" t="s">
        <v>49</v>
      </c>
      <c r="I5173" s="4" t="s">
        <v>7140</v>
      </c>
      <c r="J5173" s="4" t="s">
        <v>78</v>
      </c>
      <c r="K5173" s="7" t="str">
        <f t="shared" ref="K5173:K5176" si="1398">HYPERLINK("https://media.licdn.com/dms/image/v2/D4E10AQEkjtqk6sFvYg/image-shrink_1280/B4EZ7Xb1THIkAc-/0/1781730860826/ScrunchGIFAd2-ClaudeOfferinImagegif?e=2147483647&amp;v=beta&amp;t=MU0qmKhDvMaQ5EG9F-5vE72aGllYxfAf-rQoPRL_YMs","View Creative")</f>
        <v>View Creative</v>
      </c>
      <c r="L5173" s="4" t="s">
        <v>60</v>
      </c>
      <c r="M5173" s="4" t="s">
        <v>1446</v>
      </c>
      <c r="N5173" s="4"/>
      <c r="O5173" s="4" t="s">
        <v>63</v>
      </c>
      <c r="P5173" s="4" t="s">
        <v>64</v>
      </c>
    </row>
    <row r="5174">
      <c r="A5174" s="4" t="s">
        <v>1446</v>
      </c>
      <c r="B5174" s="4" t="s">
        <v>7138</v>
      </c>
      <c r="C5174" s="4">
        <v>156.0</v>
      </c>
      <c r="D5174" s="5" t="str">
        <f t="shared" si="1397"/>
        <v>Open Ad</v>
      </c>
      <c r="E5174" s="4" t="s">
        <v>78</v>
      </c>
      <c r="F5174" s="4" t="s">
        <v>6765</v>
      </c>
      <c r="G5174" s="4" t="s">
        <v>7212</v>
      </c>
      <c r="H5174" s="4" t="s">
        <v>49</v>
      </c>
      <c r="I5174" s="4" t="s">
        <v>7140</v>
      </c>
      <c r="J5174" s="4" t="s">
        <v>78</v>
      </c>
      <c r="K5174" s="7" t="str">
        <f t="shared" si="1398"/>
        <v>View Creative</v>
      </c>
      <c r="L5174" s="4" t="s">
        <v>60</v>
      </c>
      <c r="M5174" s="4" t="s">
        <v>1446</v>
      </c>
      <c r="N5174" s="4"/>
      <c r="O5174" s="4" t="s">
        <v>63</v>
      </c>
      <c r="P5174" s="4" t="s">
        <v>64</v>
      </c>
    </row>
    <row r="5175">
      <c r="A5175" s="4" t="s">
        <v>1446</v>
      </c>
      <c r="B5175" s="4" t="s">
        <v>7138</v>
      </c>
      <c r="C5175" s="4">
        <v>157.0</v>
      </c>
      <c r="D5175" s="5" t="str">
        <f t="shared" ref="D5175:D5176" si="1399">HYPERLINK("https://www.linkedin.com/ad-library/detail/1458318934","Open Ad")</f>
        <v>Open Ad</v>
      </c>
      <c r="E5175" s="4" t="s">
        <v>78</v>
      </c>
      <c r="F5175" s="4" t="s">
        <v>6765</v>
      </c>
      <c r="G5175" s="4" t="s">
        <v>7212</v>
      </c>
      <c r="H5175" s="4" t="s">
        <v>49</v>
      </c>
      <c r="I5175" s="4" t="s">
        <v>7140</v>
      </c>
      <c r="J5175" s="4" t="s">
        <v>78</v>
      </c>
      <c r="K5175" s="7" t="str">
        <f t="shared" si="1398"/>
        <v>View Creative</v>
      </c>
      <c r="L5175" s="4" t="s">
        <v>60</v>
      </c>
      <c r="M5175" s="4" t="s">
        <v>1446</v>
      </c>
      <c r="N5175" s="4"/>
      <c r="O5175" s="4" t="s">
        <v>63</v>
      </c>
      <c r="P5175" s="4" t="s">
        <v>64</v>
      </c>
    </row>
    <row r="5176">
      <c r="A5176" s="4" t="s">
        <v>1446</v>
      </c>
      <c r="B5176" s="4" t="s">
        <v>7138</v>
      </c>
      <c r="C5176" s="4">
        <v>158.0</v>
      </c>
      <c r="D5176" s="5" t="str">
        <f t="shared" si="1399"/>
        <v>Open Ad</v>
      </c>
      <c r="E5176" s="4" t="s">
        <v>78</v>
      </c>
      <c r="F5176" s="4" t="s">
        <v>6765</v>
      </c>
      <c r="G5176" s="4" t="s">
        <v>7212</v>
      </c>
      <c r="H5176" s="4" t="s">
        <v>49</v>
      </c>
      <c r="I5176" s="4" t="s">
        <v>7140</v>
      </c>
      <c r="J5176" s="4" t="s">
        <v>78</v>
      </c>
      <c r="K5176" s="7" t="str">
        <f t="shared" si="1398"/>
        <v>View Creative</v>
      </c>
      <c r="L5176" s="4" t="s">
        <v>60</v>
      </c>
      <c r="M5176" s="4" t="s">
        <v>1446</v>
      </c>
      <c r="N5176" s="4"/>
      <c r="O5176" s="4" t="s">
        <v>63</v>
      </c>
      <c r="P5176" s="4" t="s">
        <v>64</v>
      </c>
    </row>
    <row r="5177">
      <c r="A5177" s="4" t="s">
        <v>1446</v>
      </c>
      <c r="B5177" s="4" t="s">
        <v>7138</v>
      </c>
      <c r="C5177" s="4">
        <v>159.0</v>
      </c>
      <c r="D5177" s="5" t="str">
        <f t="shared" ref="D5177:D5178" si="1400">HYPERLINK("https://www.linkedin.com/ad-library/detail/1458148764","Open Ad")</f>
        <v>Open Ad</v>
      </c>
      <c r="E5177" s="4" t="s">
        <v>78</v>
      </c>
      <c r="F5177" s="4" t="s">
        <v>6765</v>
      </c>
      <c r="G5177" s="4" t="s">
        <v>7215</v>
      </c>
      <c r="H5177" s="4" t="s">
        <v>49</v>
      </c>
      <c r="I5177" s="4" t="s">
        <v>7140</v>
      </c>
      <c r="J5177" s="4" t="s">
        <v>78</v>
      </c>
      <c r="K5177" s="7" t="str">
        <f t="shared" ref="K5177:K5178" si="1401">HYPERLINK("https://media.licdn.com/dms/image/v2/D4E10AQHTXeChR88vWQ/image-shrink_1280/B4EZ7XcRu2IAAc-/0/1781730976416/ScrunchGifAd1-DoorDashOffergif?e=2147483647&amp;v=beta&amp;t=nIdsPL2q_gclC40q1tgLhG-77v3K8R6QizzsUioFqfA","View Creative")</f>
        <v>View Creative</v>
      </c>
      <c r="L5177" s="4" t="s">
        <v>60</v>
      </c>
      <c r="M5177" s="4" t="s">
        <v>1446</v>
      </c>
      <c r="N5177" s="4"/>
      <c r="O5177" s="4" t="s">
        <v>63</v>
      </c>
      <c r="P5177" s="4" t="s">
        <v>64</v>
      </c>
    </row>
    <row r="5178">
      <c r="A5178" s="4" t="s">
        <v>1446</v>
      </c>
      <c r="B5178" s="4" t="s">
        <v>7138</v>
      </c>
      <c r="C5178" s="4">
        <v>160.0</v>
      </c>
      <c r="D5178" s="5" t="str">
        <f t="shared" si="1400"/>
        <v>Open Ad</v>
      </c>
      <c r="E5178" s="4" t="s">
        <v>78</v>
      </c>
      <c r="F5178" s="4" t="s">
        <v>6765</v>
      </c>
      <c r="G5178" s="4" t="s">
        <v>7215</v>
      </c>
      <c r="H5178" s="4" t="s">
        <v>49</v>
      </c>
      <c r="I5178" s="4" t="s">
        <v>7140</v>
      </c>
      <c r="J5178" s="4" t="s">
        <v>78</v>
      </c>
      <c r="K5178" s="7" t="str">
        <f t="shared" si="1401"/>
        <v>View Creative</v>
      </c>
      <c r="L5178" s="4" t="s">
        <v>60</v>
      </c>
      <c r="M5178" s="4" t="s">
        <v>1446</v>
      </c>
      <c r="N5178" s="4"/>
      <c r="O5178" s="4" t="s">
        <v>63</v>
      </c>
      <c r="P5178" s="4" t="s">
        <v>64</v>
      </c>
    </row>
    <row r="5179">
      <c r="A5179" s="4" t="s">
        <v>1446</v>
      </c>
      <c r="B5179" s="4" t="s">
        <v>7138</v>
      </c>
      <c r="C5179" s="4">
        <v>161.0</v>
      </c>
      <c r="D5179" s="5" t="str">
        <f>HYPERLINK("https://www.linkedin.com/ad-library/detail/1458148334","Open Ad")</f>
        <v>Open Ad</v>
      </c>
      <c r="E5179" s="4" t="s">
        <v>52</v>
      </c>
      <c r="F5179" s="4" t="s">
        <v>6765</v>
      </c>
      <c r="G5179" s="4" t="s">
        <v>7216</v>
      </c>
      <c r="H5179" s="4" t="s">
        <v>49</v>
      </c>
      <c r="I5179" s="4" t="s">
        <v>7140</v>
      </c>
      <c r="J5179" s="4" t="s">
        <v>52</v>
      </c>
      <c r="K5179" s="4" t="s">
        <v>59</v>
      </c>
      <c r="L5179" s="4" t="s">
        <v>60</v>
      </c>
      <c r="M5179" s="4" t="s">
        <v>1446</v>
      </c>
      <c r="N5179" s="4"/>
      <c r="O5179" s="4" t="s">
        <v>63</v>
      </c>
      <c r="P5179" s="4" t="s">
        <v>64</v>
      </c>
    </row>
    <row r="5180">
      <c r="A5180" s="4" t="s">
        <v>1446</v>
      </c>
      <c r="B5180" s="4" t="s">
        <v>7138</v>
      </c>
      <c r="C5180" s="4">
        <v>162.0</v>
      </c>
      <c r="D5180" s="5" t="str">
        <f t="shared" ref="D5180:D5181" si="1402">HYPERLINK("https://www.linkedin.com/ad-library/detail/1461492124","Open Ad")</f>
        <v>Open Ad</v>
      </c>
      <c r="E5180" s="4" t="s">
        <v>78</v>
      </c>
      <c r="F5180" s="4" t="s">
        <v>6765</v>
      </c>
      <c r="G5180" s="4" t="s">
        <v>7217</v>
      </c>
      <c r="H5180" s="4" t="s">
        <v>49</v>
      </c>
      <c r="I5180" s="4" t="s">
        <v>7140</v>
      </c>
      <c r="J5180" s="4" t="s">
        <v>78</v>
      </c>
      <c r="K5180" s="7" t="str">
        <f t="shared" ref="K5180:K5181" si="1403">HYPERLINK("https://media.licdn.com/dms/image/sync/v2/D4D27AQHgfxclDTNEog/articleshare-shrink_1280_800/B4DZ6SvK7OK4Ag-/0/1780578300352?e=2147483647&amp;v=beta&amp;t=0VM_rgyn7S4wY1ZB5eoa-MZatEldjXhypjtil3-T0ZI","View Creative")</f>
        <v>View Creative</v>
      </c>
      <c r="L5180" s="4" t="s">
        <v>60</v>
      </c>
      <c r="M5180" s="4" t="s">
        <v>1446</v>
      </c>
      <c r="N5180" s="4"/>
      <c r="O5180" s="4" t="s">
        <v>63</v>
      </c>
      <c r="P5180" s="4" t="s">
        <v>64</v>
      </c>
    </row>
    <row r="5181">
      <c r="A5181" s="4" t="s">
        <v>1446</v>
      </c>
      <c r="B5181" s="4" t="s">
        <v>7138</v>
      </c>
      <c r="C5181" s="4">
        <v>163.0</v>
      </c>
      <c r="D5181" s="5" t="str">
        <f t="shared" si="1402"/>
        <v>Open Ad</v>
      </c>
      <c r="E5181" s="4" t="s">
        <v>78</v>
      </c>
      <c r="F5181" s="4" t="s">
        <v>6765</v>
      </c>
      <c r="G5181" s="4" t="s">
        <v>7217</v>
      </c>
      <c r="H5181" s="4" t="s">
        <v>49</v>
      </c>
      <c r="I5181" s="4" t="s">
        <v>7140</v>
      </c>
      <c r="J5181" s="4" t="s">
        <v>78</v>
      </c>
      <c r="K5181" s="7" t="str">
        <f t="shared" si="1403"/>
        <v>View Creative</v>
      </c>
      <c r="L5181" s="4" t="s">
        <v>60</v>
      </c>
      <c r="M5181" s="4" t="s">
        <v>1446</v>
      </c>
      <c r="N5181" s="4"/>
      <c r="O5181" s="4" t="s">
        <v>63</v>
      </c>
      <c r="P5181" s="4" t="s">
        <v>64</v>
      </c>
    </row>
    <row r="5182">
      <c r="A5182" s="4" t="s">
        <v>1446</v>
      </c>
      <c r="B5182" s="4" t="s">
        <v>7138</v>
      </c>
      <c r="C5182" s="4">
        <v>164.0</v>
      </c>
      <c r="D5182" s="5" t="str">
        <f>HYPERLINK("https://www.linkedin.com/ad-library/detail/1458158944","Open Ad")</f>
        <v>Open Ad</v>
      </c>
      <c r="E5182" s="4" t="s">
        <v>52</v>
      </c>
      <c r="F5182" s="4" t="s">
        <v>6765</v>
      </c>
      <c r="G5182" s="4" t="s">
        <v>7216</v>
      </c>
      <c r="H5182" s="4" t="s">
        <v>49</v>
      </c>
      <c r="I5182" s="4" t="s">
        <v>7140</v>
      </c>
      <c r="J5182" s="4" t="s">
        <v>52</v>
      </c>
      <c r="K5182" s="4" t="s">
        <v>59</v>
      </c>
      <c r="L5182" s="4" t="s">
        <v>60</v>
      </c>
      <c r="M5182" s="4" t="s">
        <v>1446</v>
      </c>
      <c r="N5182" s="4"/>
      <c r="O5182" s="4" t="s">
        <v>63</v>
      </c>
      <c r="P5182" s="4" t="s">
        <v>64</v>
      </c>
    </row>
    <row r="5183">
      <c r="A5183" s="4" t="s">
        <v>1446</v>
      </c>
      <c r="B5183" s="4" t="s">
        <v>7138</v>
      </c>
      <c r="C5183" s="4">
        <v>165.0</v>
      </c>
      <c r="D5183" s="5" t="str">
        <f>HYPERLINK("https://www.linkedin.com/ad-library/detail/1461047654","Open Ad")</f>
        <v>Open Ad</v>
      </c>
      <c r="E5183" s="4" t="s">
        <v>52</v>
      </c>
      <c r="F5183" s="4" t="s">
        <v>6765</v>
      </c>
      <c r="G5183" s="4" t="s">
        <v>7142</v>
      </c>
      <c r="H5183" s="4" t="s">
        <v>49</v>
      </c>
      <c r="I5183" s="4" t="s">
        <v>7140</v>
      </c>
      <c r="J5183" s="4" t="s">
        <v>52</v>
      </c>
      <c r="K5183" s="4" t="s">
        <v>59</v>
      </c>
      <c r="L5183" s="4" t="s">
        <v>60</v>
      </c>
      <c r="M5183" s="4" t="s">
        <v>1446</v>
      </c>
      <c r="N5183" s="4"/>
      <c r="O5183" s="4" t="s">
        <v>63</v>
      </c>
      <c r="P5183" s="4" t="s">
        <v>64</v>
      </c>
    </row>
    <row r="5184">
      <c r="A5184" s="4" t="s">
        <v>1446</v>
      </c>
      <c r="B5184" s="4" t="s">
        <v>7138</v>
      </c>
      <c r="C5184" s="4">
        <v>166.0</v>
      </c>
      <c r="D5184" s="5" t="str">
        <f>HYPERLINK("https://www.linkedin.com/ad-library/detail/1460977764","Open Ad")</f>
        <v>Open Ad</v>
      </c>
      <c r="E5184" s="4" t="s">
        <v>52</v>
      </c>
      <c r="F5184" s="4" t="s">
        <v>6765</v>
      </c>
      <c r="G5184" s="4" t="s">
        <v>7154</v>
      </c>
      <c r="H5184" s="4" t="s">
        <v>49</v>
      </c>
      <c r="I5184" s="4" t="s">
        <v>7140</v>
      </c>
      <c r="J5184" s="4" t="s">
        <v>52</v>
      </c>
      <c r="K5184" s="4" t="s">
        <v>59</v>
      </c>
      <c r="L5184" s="4" t="s">
        <v>60</v>
      </c>
      <c r="M5184" s="4" t="s">
        <v>1446</v>
      </c>
      <c r="N5184" s="4"/>
      <c r="O5184" s="4" t="s">
        <v>63</v>
      </c>
      <c r="P5184" s="4" t="s">
        <v>64</v>
      </c>
    </row>
    <row r="5185">
      <c r="A5185" s="4" t="s">
        <v>1446</v>
      </c>
      <c r="B5185" s="4" t="s">
        <v>7138</v>
      </c>
      <c r="C5185" s="4">
        <v>167.0</v>
      </c>
      <c r="D5185" s="5" t="str">
        <f t="shared" ref="D5185:D5186" si="1404">HYPERLINK("https://www.linkedin.com/ad-library/detail/1458229004","Open Ad")</f>
        <v>Open Ad</v>
      </c>
      <c r="E5185" s="4" t="s">
        <v>78</v>
      </c>
      <c r="F5185" s="4" t="s">
        <v>6765</v>
      </c>
      <c r="G5185" s="4" t="s">
        <v>7212</v>
      </c>
      <c r="H5185" s="4" t="s">
        <v>49</v>
      </c>
      <c r="I5185" s="4" t="s">
        <v>7140</v>
      </c>
      <c r="J5185" s="4" t="s">
        <v>78</v>
      </c>
      <c r="K5185" s="7" t="str">
        <f t="shared" ref="K5185:K5186" si="1405">HYPERLINK("https://media.licdn.com/dms/image/v2/D4E10AQGWg3US0VhLEQ/image-shrink_1280/B4EZ7XbV0AKIAc-/0/1781730729869/ScrunchGIFAd2-ClaudeTokengif?e=2147483647&amp;v=beta&amp;t=3FdrPJfCvZHXCDcrWbgbOjZuCg0yxmsjrvzCnduoAdU","View Creative")</f>
        <v>View Creative</v>
      </c>
      <c r="L5185" s="4" t="s">
        <v>60</v>
      </c>
      <c r="M5185" s="4" t="s">
        <v>1446</v>
      </c>
      <c r="N5185" s="4"/>
      <c r="O5185" s="4" t="s">
        <v>63</v>
      </c>
      <c r="P5185" s="4" t="s">
        <v>64</v>
      </c>
    </row>
    <row r="5186">
      <c r="A5186" s="4" t="s">
        <v>1446</v>
      </c>
      <c r="B5186" s="4" t="s">
        <v>7138</v>
      </c>
      <c r="C5186" s="4">
        <v>168.0</v>
      </c>
      <c r="D5186" s="5" t="str">
        <f t="shared" si="1404"/>
        <v>Open Ad</v>
      </c>
      <c r="E5186" s="4" t="s">
        <v>78</v>
      </c>
      <c r="F5186" s="4" t="s">
        <v>6765</v>
      </c>
      <c r="G5186" s="4" t="s">
        <v>7212</v>
      </c>
      <c r="H5186" s="4" t="s">
        <v>49</v>
      </c>
      <c r="I5186" s="4" t="s">
        <v>7140</v>
      </c>
      <c r="J5186" s="4" t="s">
        <v>78</v>
      </c>
      <c r="K5186" s="7" t="str">
        <f t="shared" si="1405"/>
        <v>View Creative</v>
      </c>
      <c r="L5186" s="4" t="s">
        <v>60</v>
      </c>
      <c r="M5186" s="4" t="s">
        <v>1446</v>
      </c>
      <c r="N5186" s="4"/>
      <c r="O5186" s="4" t="s">
        <v>63</v>
      </c>
      <c r="P5186" s="4" t="s">
        <v>64</v>
      </c>
    </row>
    <row r="5187">
      <c r="A5187" s="4" t="s">
        <v>1446</v>
      </c>
      <c r="B5187" s="4" t="s">
        <v>7138</v>
      </c>
      <c r="C5187" s="4">
        <v>169.0</v>
      </c>
      <c r="D5187" s="5" t="str">
        <f>HYPERLINK("https://www.linkedin.com/ad-library/detail/1458249524","Open Ad")</f>
        <v>Open Ad</v>
      </c>
      <c r="E5187" s="4" t="s">
        <v>52</v>
      </c>
      <c r="F5187" s="4" t="s">
        <v>6765</v>
      </c>
      <c r="G5187" s="4" t="s">
        <v>7218</v>
      </c>
      <c r="H5187" s="4" t="s">
        <v>49</v>
      </c>
      <c r="I5187" s="4" t="s">
        <v>7140</v>
      </c>
      <c r="J5187" s="4" t="s">
        <v>52</v>
      </c>
      <c r="K5187" s="4" t="s">
        <v>59</v>
      </c>
      <c r="L5187" s="4" t="s">
        <v>60</v>
      </c>
      <c r="M5187" s="4" t="s">
        <v>1446</v>
      </c>
      <c r="N5187" s="4"/>
      <c r="O5187" s="4" t="s">
        <v>63</v>
      </c>
      <c r="P5187" s="4" t="s">
        <v>64</v>
      </c>
    </row>
    <row r="5188">
      <c r="A5188" s="4" t="s">
        <v>1446</v>
      </c>
      <c r="B5188" s="4" t="s">
        <v>7138</v>
      </c>
      <c r="C5188" s="4">
        <v>170.0</v>
      </c>
      <c r="D5188" s="5" t="str">
        <f t="shared" ref="D5188:D5189" si="1406">HYPERLINK("https://www.linkedin.com/ad-library/detail/1458359224","Open Ad")</f>
        <v>Open Ad</v>
      </c>
      <c r="E5188" s="4" t="s">
        <v>78</v>
      </c>
      <c r="F5188" s="4" t="s">
        <v>6765</v>
      </c>
      <c r="G5188" s="4" t="s">
        <v>7212</v>
      </c>
      <c r="H5188" s="4" t="s">
        <v>49</v>
      </c>
      <c r="I5188" s="4" t="s">
        <v>7140</v>
      </c>
      <c r="J5188" s="4" t="s">
        <v>78</v>
      </c>
      <c r="K5188" s="7" t="str">
        <f t="shared" ref="K5188:K5189" si="1407">HYPERLINK("https://media.licdn.com/dms/image/v2/D4E10AQGWg3US0VhLEQ/image-shrink_1280/B4EZ7XbV0AKIAc-/0/1781730729869/ScrunchGIFAd2-ClaudeTokengif?e=2147483647&amp;v=beta&amp;t=3FdrPJfCvZHXCDcrWbgbOjZuCg0yxmsjrvzCnduoAdU","View Creative")</f>
        <v>View Creative</v>
      </c>
      <c r="L5188" s="4" t="s">
        <v>60</v>
      </c>
      <c r="M5188" s="4" t="s">
        <v>1446</v>
      </c>
      <c r="N5188" s="4"/>
      <c r="O5188" s="4" t="s">
        <v>63</v>
      </c>
      <c r="P5188" s="4" t="s">
        <v>64</v>
      </c>
    </row>
    <row r="5189">
      <c r="A5189" s="4" t="s">
        <v>1446</v>
      </c>
      <c r="B5189" s="4" t="s">
        <v>7138</v>
      </c>
      <c r="C5189" s="4">
        <v>171.0</v>
      </c>
      <c r="D5189" s="5" t="str">
        <f t="shared" si="1406"/>
        <v>Open Ad</v>
      </c>
      <c r="E5189" s="4" t="s">
        <v>78</v>
      </c>
      <c r="F5189" s="4" t="s">
        <v>6765</v>
      </c>
      <c r="G5189" s="4" t="s">
        <v>7212</v>
      </c>
      <c r="H5189" s="4" t="s">
        <v>49</v>
      </c>
      <c r="I5189" s="4" t="s">
        <v>7140</v>
      </c>
      <c r="J5189" s="4" t="s">
        <v>78</v>
      </c>
      <c r="K5189" s="7" t="str">
        <f t="shared" si="1407"/>
        <v>View Creative</v>
      </c>
      <c r="L5189" s="4" t="s">
        <v>60</v>
      </c>
      <c r="M5189" s="4" t="s">
        <v>1446</v>
      </c>
      <c r="N5189" s="4"/>
      <c r="O5189" s="4" t="s">
        <v>63</v>
      </c>
      <c r="P5189" s="4" t="s">
        <v>64</v>
      </c>
    </row>
    <row r="5190">
      <c r="A5190" s="4" t="s">
        <v>1446</v>
      </c>
      <c r="B5190" s="4" t="s">
        <v>7138</v>
      </c>
      <c r="C5190" s="4">
        <v>172.0</v>
      </c>
      <c r="D5190" s="5" t="str">
        <f>HYPERLINK("https://www.linkedin.com/ad-library/detail/1458148184","Open Ad")</f>
        <v>Open Ad</v>
      </c>
      <c r="E5190" s="4" t="s">
        <v>52</v>
      </c>
      <c r="F5190" s="4" t="s">
        <v>6765</v>
      </c>
      <c r="G5190" s="4" t="s">
        <v>7219</v>
      </c>
      <c r="H5190" s="4" t="s">
        <v>49</v>
      </c>
      <c r="I5190" s="4" t="s">
        <v>7140</v>
      </c>
      <c r="J5190" s="4" t="s">
        <v>52</v>
      </c>
      <c r="K5190" s="4" t="s">
        <v>59</v>
      </c>
      <c r="L5190" s="4" t="s">
        <v>60</v>
      </c>
      <c r="M5190" s="4" t="s">
        <v>1446</v>
      </c>
      <c r="N5190" s="4"/>
      <c r="O5190" s="4" t="s">
        <v>63</v>
      </c>
      <c r="P5190" s="4" t="s">
        <v>64</v>
      </c>
    </row>
    <row r="5191">
      <c r="A5191" s="4" t="s">
        <v>1446</v>
      </c>
      <c r="B5191" s="4" t="s">
        <v>7138</v>
      </c>
      <c r="C5191" s="4">
        <v>173.0</v>
      </c>
      <c r="D5191" s="5" t="str">
        <f t="shared" ref="D5191:D5192" si="1408">HYPERLINK("https://www.linkedin.com/ad-library/detail/1458359214","Open Ad")</f>
        <v>Open Ad</v>
      </c>
      <c r="E5191" s="4" t="s">
        <v>78</v>
      </c>
      <c r="F5191" s="4" t="s">
        <v>6765</v>
      </c>
      <c r="G5191" s="4" t="s">
        <v>7212</v>
      </c>
      <c r="H5191" s="4" t="s">
        <v>49</v>
      </c>
      <c r="I5191" s="4" t="s">
        <v>7140</v>
      </c>
      <c r="J5191" s="4" t="s">
        <v>78</v>
      </c>
      <c r="K5191" s="7" t="str">
        <f t="shared" ref="K5191:K5192" si="1409">HYPERLINK("https://media.licdn.com/dms/image/v2/D4E10AQEZ9ItEflEGeA/image-shrink_1280/B4EZ7XZ9M4JMAg-/0/1781730367113/ScrunchGifAd1-ClaudeTokengif?e=2147483647&amp;v=beta&amp;t=zY0y08Jr9oOrH_hcRv0fbM3WycllUJkIt-H5LIw2Pws","View Creative")</f>
        <v>View Creative</v>
      </c>
      <c r="L5191" s="4" t="s">
        <v>60</v>
      </c>
      <c r="M5191" s="4" t="s">
        <v>1446</v>
      </c>
      <c r="N5191" s="4"/>
      <c r="O5191" s="4" t="s">
        <v>63</v>
      </c>
      <c r="P5191" s="4" t="s">
        <v>64</v>
      </c>
    </row>
    <row r="5192">
      <c r="A5192" s="4" t="s">
        <v>1446</v>
      </c>
      <c r="B5192" s="4" t="s">
        <v>7138</v>
      </c>
      <c r="C5192" s="4">
        <v>174.0</v>
      </c>
      <c r="D5192" s="5" t="str">
        <f t="shared" si="1408"/>
        <v>Open Ad</v>
      </c>
      <c r="E5192" s="4" t="s">
        <v>78</v>
      </c>
      <c r="F5192" s="4" t="s">
        <v>6765</v>
      </c>
      <c r="G5192" s="4" t="s">
        <v>7212</v>
      </c>
      <c r="H5192" s="4" t="s">
        <v>49</v>
      </c>
      <c r="I5192" s="4" t="s">
        <v>7140</v>
      </c>
      <c r="J5192" s="4" t="s">
        <v>78</v>
      </c>
      <c r="K5192" s="7" t="str">
        <f t="shared" si="1409"/>
        <v>View Creative</v>
      </c>
      <c r="L5192" s="4" t="s">
        <v>60</v>
      </c>
      <c r="M5192" s="4" t="s">
        <v>1446</v>
      </c>
      <c r="N5192" s="4"/>
      <c r="O5192" s="4" t="s">
        <v>63</v>
      </c>
      <c r="P5192" s="4" t="s">
        <v>64</v>
      </c>
    </row>
    <row r="5193">
      <c r="A5193" s="4" t="s">
        <v>1446</v>
      </c>
      <c r="B5193" s="4" t="s">
        <v>7138</v>
      </c>
      <c r="C5193" s="4">
        <v>175.0</v>
      </c>
      <c r="D5193" s="5" t="str">
        <f>HYPERLINK("https://www.linkedin.com/ad-library/detail/1458298734","Open Ad")</f>
        <v>Open Ad</v>
      </c>
      <c r="E5193" s="4" t="s">
        <v>52</v>
      </c>
      <c r="F5193" s="4" t="s">
        <v>6765</v>
      </c>
      <c r="G5193" s="4" t="s">
        <v>7220</v>
      </c>
      <c r="H5193" s="4" t="s">
        <v>49</v>
      </c>
      <c r="I5193" s="4" t="s">
        <v>7140</v>
      </c>
      <c r="J5193" s="4" t="s">
        <v>52</v>
      </c>
      <c r="K5193" s="4" t="s">
        <v>59</v>
      </c>
      <c r="L5193" s="4" t="s">
        <v>60</v>
      </c>
      <c r="M5193" s="4" t="s">
        <v>1446</v>
      </c>
      <c r="N5193" s="4"/>
      <c r="O5193" s="4" t="s">
        <v>63</v>
      </c>
      <c r="P5193" s="4" t="s">
        <v>64</v>
      </c>
    </row>
    <row r="5194">
      <c r="A5194" s="4" t="s">
        <v>1446</v>
      </c>
      <c r="B5194" s="4" t="s">
        <v>7138</v>
      </c>
      <c r="C5194" s="4">
        <v>176.0</v>
      </c>
      <c r="D5194" s="5" t="str">
        <f>HYPERLINK("https://www.linkedin.com/ad-library/detail/1458591424","Open Ad")</f>
        <v>Open Ad</v>
      </c>
      <c r="E5194" s="4" t="s">
        <v>52</v>
      </c>
      <c r="F5194" s="4" t="s">
        <v>6765</v>
      </c>
      <c r="G5194" s="4" t="s">
        <v>7221</v>
      </c>
      <c r="H5194" s="4" t="s">
        <v>49</v>
      </c>
      <c r="I5194" s="4" t="s">
        <v>7140</v>
      </c>
      <c r="J5194" s="4" t="s">
        <v>52</v>
      </c>
      <c r="K5194" s="4" t="s">
        <v>59</v>
      </c>
      <c r="L5194" s="4" t="s">
        <v>60</v>
      </c>
      <c r="M5194" s="4" t="s">
        <v>1446</v>
      </c>
      <c r="N5194" s="4"/>
      <c r="O5194" s="4" t="s">
        <v>63</v>
      </c>
      <c r="P5194" s="4" t="s">
        <v>64</v>
      </c>
    </row>
    <row r="5195">
      <c r="A5195" s="4" t="s">
        <v>1446</v>
      </c>
      <c r="B5195" s="4" t="s">
        <v>7138</v>
      </c>
      <c r="C5195" s="4">
        <v>177.0</v>
      </c>
      <c r="D5195" s="5" t="str">
        <f>HYPERLINK("https://www.linkedin.com/ad-library/detail/1458158984","Open Ad")</f>
        <v>Open Ad</v>
      </c>
      <c r="E5195" s="4" t="s">
        <v>52</v>
      </c>
      <c r="F5195" s="4" t="s">
        <v>6765</v>
      </c>
      <c r="G5195" s="4" t="s">
        <v>7222</v>
      </c>
      <c r="H5195" s="4" t="s">
        <v>49</v>
      </c>
      <c r="I5195" s="4" t="s">
        <v>7140</v>
      </c>
      <c r="J5195" s="4" t="s">
        <v>52</v>
      </c>
      <c r="K5195" s="4" t="s">
        <v>59</v>
      </c>
      <c r="L5195" s="4" t="s">
        <v>60</v>
      </c>
      <c r="M5195" s="4" t="s">
        <v>1446</v>
      </c>
      <c r="N5195" s="4"/>
      <c r="O5195" s="4" t="s">
        <v>63</v>
      </c>
      <c r="P5195" s="4" t="s">
        <v>64</v>
      </c>
    </row>
    <row r="5196">
      <c r="A5196" s="4" t="s">
        <v>1446</v>
      </c>
      <c r="B5196" s="4" t="s">
        <v>7138</v>
      </c>
      <c r="C5196" s="4">
        <v>178.0</v>
      </c>
      <c r="D5196" s="5" t="str">
        <f>HYPERLINK("https://www.linkedin.com/ad-library/detail/1458218604","Open Ad")</f>
        <v>Open Ad</v>
      </c>
      <c r="E5196" s="4" t="s">
        <v>52</v>
      </c>
      <c r="F5196" s="4" t="s">
        <v>6765</v>
      </c>
      <c r="G5196" s="4" t="s">
        <v>7223</v>
      </c>
      <c r="H5196" s="4" t="s">
        <v>49</v>
      </c>
      <c r="I5196" s="4" t="s">
        <v>7140</v>
      </c>
      <c r="J5196" s="4" t="s">
        <v>52</v>
      </c>
      <c r="K5196" s="4" t="s">
        <v>59</v>
      </c>
      <c r="L5196" s="4" t="s">
        <v>60</v>
      </c>
      <c r="M5196" s="4" t="s">
        <v>1446</v>
      </c>
      <c r="N5196" s="4"/>
      <c r="O5196" s="4" t="s">
        <v>63</v>
      </c>
      <c r="P5196" s="4" t="s">
        <v>64</v>
      </c>
    </row>
    <row r="5197">
      <c r="A5197" s="4" t="s">
        <v>1446</v>
      </c>
      <c r="B5197" s="4" t="s">
        <v>7138</v>
      </c>
      <c r="C5197" s="4">
        <v>179.0</v>
      </c>
      <c r="D5197" s="5" t="str">
        <f t="shared" ref="D5197:D5198" si="1410">HYPERLINK("https://www.linkedin.com/ad-library/detail/1458329154","Open Ad")</f>
        <v>Open Ad</v>
      </c>
      <c r="E5197" s="4" t="s">
        <v>78</v>
      </c>
      <c r="F5197" s="4" t="s">
        <v>6765</v>
      </c>
      <c r="G5197" s="4" t="s">
        <v>7215</v>
      </c>
      <c r="H5197" s="4" t="s">
        <v>49</v>
      </c>
      <c r="I5197" s="4" t="s">
        <v>7140</v>
      </c>
      <c r="J5197" s="4" t="s">
        <v>78</v>
      </c>
      <c r="K5197" s="7" t="str">
        <f t="shared" ref="K5197:K5198" si="1411">HYPERLINK("https://media.licdn.com/dms/image/v2/D4E10AQHTXeChR88vWQ/image-shrink_1280/B4EZ7XcRu2IAAc-/0/1781730976416/ScrunchGifAd1-DoorDashOffergif?e=2147483647&amp;v=beta&amp;t=nIdsPL2q_gclC40q1tgLhG-77v3K8R6QizzsUioFqfA","View Creative")</f>
        <v>View Creative</v>
      </c>
      <c r="L5197" s="4" t="s">
        <v>60</v>
      </c>
      <c r="M5197" s="4" t="s">
        <v>1446</v>
      </c>
      <c r="N5197" s="4"/>
      <c r="O5197" s="4" t="s">
        <v>63</v>
      </c>
      <c r="P5197" s="4" t="s">
        <v>64</v>
      </c>
    </row>
    <row r="5198">
      <c r="A5198" s="4" t="s">
        <v>1446</v>
      </c>
      <c r="B5198" s="4" t="s">
        <v>7138</v>
      </c>
      <c r="C5198" s="4">
        <v>180.0</v>
      </c>
      <c r="D5198" s="5" t="str">
        <f t="shared" si="1410"/>
        <v>Open Ad</v>
      </c>
      <c r="E5198" s="4" t="s">
        <v>78</v>
      </c>
      <c r="F5198" s="4" t="s">
        <v>6765</v>
      </c>
      <c r="G5198" s="4" t="s">
        <v>7215</v>
      </c>
      <c r="H5198" s="4" t="s">
        <v>49</v>
      </c>
      <c r="I5198" s="4" t="s">
        <v>7140</v>
      </c>
      <c r="J5198" s="4" t="s">
        <v>78</v>
      </c>
      <c r="K5198" s="7" t="str">
        <f t="shared" si="1411"/>
        <v>View Creative</v>
      </c>
      <c r="L5198" s="4" t="s">
        <v>60</v>
      </c>
      <c r="M5198" s="4" t="s">
        <v>1446</v>
      </c>
      <c r="N5198" s="4"/>
      <c r="O5198" s="4" t="s">
        <v>63</v>
      </c>
      <c r="P5198" s="4" t="s">
        <v>64</v>
      </c>
    </row>
    <row r="5199">
      <c r="A5199" s="4" t="s">
        <v>1446</v>
      </c>
      <c r="B5199" s="4" t="s">
        <v>7138</v>
      </c>
      <c r="C5199" s="4">
        <v>181.0</v>
      </c>
      <c r="D5199" s="5" t="str">
        <f>HYPERLINK("https://www.linkedin.com/ad-library/detail/1458199234","Open Ad")</f>
        <v>Open Ad</v>
      </c>
      <c r="E5199" s="4" t="s">
        <v>52</v>
      </c>
      <c r="F5199" s="4" t="s">
        <v>6765</v>
      </c>
      <c r="G5199" s="4" t="s">
        <v>7224</v>
      </c>
      <c r="H5199" s="4" t="s">
        <v>49</v>
      </c>
      <c r="I5199" s="4" t="s">
        <v>7140</v>
      </c>
      <c r="J5199" s="4" t="s">
        <v>52</v>
      </c>
      <c r="K5199" s="4" t="s">
        <v>59</v>
      </c>
      <c r="L5199" s="4" t="s">
        <v>60</v>
      </c>
      <c r="M5199" s="4" t="s">
        <v>1446</v>
      </c>
      <c r="N5199" s="4"/>
      <c r="O5199" s="4" t="s">
        <v>63</v>
      </c>
      <c r="P5199" s="4" t="s">
        <v>64</v>
      </c>
    </row>
    <row r="5200">
      <c r="A5200" s="4" t="s">
        <v>1446</v>
      </c>
      <c r="B5200" s="4" t="s">
        <v>7138</v>
      </c>
      <c r="C5200" s="4">
        <v>182.0</v>
      </c>
      <c r="D5200" s="5" t="str">
        <f>HYPERLINK("https://www.linkedin.com/ad-library/detail/1458328894","Open Ad")</f>
        <v>Open Ad</v>
      </c>
      <c r="E5200" s="4" t="s">
        <v>52</v>
      </c>
      <c r="F5200" s="4" t="s">
        <v>6765</v>
      </c>
      <c r="G5200" s="4" t="s">
        <v>7214</v>
      </c>
      <c r="H5200" s="4" t="s">
        <v>49</v>
      </c>
      <c r="I5200" s="4" t="s">
        <v>7140</v>
      </c>
      <c r="J5200" s="4" t="s">
        <v>52</v>
      </c>
      <c r="K5200" s="4" t="s">
        <v>59</v>
      </c>
      <c r="L5200" s="4" t="s">
        <v>60</v>
      </c>
      <c r="M5200" s="4" t="s">
        <v>1446</v>
      </c>
      <c r="N5200" s="4"/>
      <c r="O5200" s="4" t="s">
        <v>63</v>
      </c>
      <c r="P5200" s="4" t="s">
        <v>64</v>
      </c>
    </row>
    <row r="5201">
      <c r="A5201" s="4" t="s">
        <v>1446</v>
      </c>
      <c r="B5201" s="4" t="s">
        <v>7138</v>
      </c>
      <c r="C5201" s="4">
        <v>183.0</v>
      </c>
      <c r="D5201" s="5" t="str">
        <f t="shared" ref="D5201:D5202" si="1412">HYPERLINK("https://www.linkedin.com/ad-library/detail/1443528984","Open Ad")</f>
        <v>Open Ad</v>
      </c>
      <c r="E5201" s="4" t="s">
        <v>78</v>
      </c>
      <c r="F5201" s="4" t="s">
        <v>6765</v>
      </c>
      <c r="G5201" s="4" t="s">
        <v>7225</v>
      </c>
      <c r="H5201" s="4" t="s">
        <v>49</v>
      </c>
      <c r="I5201" s="4" t="s">
        <v>7140</v>
      </c>
      <c r="J5201" s="4" t="s">
        <v>78</v>
      </c>
      <c r="K5201" s="7" t="str">
        <f t="shared" ref="K5201:K5202" si="1413">HYPERLINK("https://media.licdn.com/dms/image/v2/D5610AQGbUy_EzTNL5w/image-shrink_1280/B56Z6U6cQXJsAk-/0/1780614809669?e=2147483647&amp;v=beta&amp;t=PqbZw_1UjzCGqjbAB3ldsW6o-EZt9WkPxViFy0Sut1w","View Creative")</f>
        <v>View Creative</v>
      </c>
      <c r="L5201" s="4" t="s">
        <v>60</v>
      </c>
      <c r="M5201" s="4" t="s">
        <v>1446</v>
      </c>
      <c r="N5201" s="4"/>
      <c r="O5201" s="4" t="s">
        <v>63</v>
      </c>
      <c r="P5201" s="4" t="s">
        <v>64</v>
      </c>
    </row>
    <row r="5202">
      <c r="A5202" s="4" t="s">
        <v>1446</v>
      </c>
      <c r="B5202" s="4" t="s">
        <v>7138</v>
      </c>
      <c r="C5202" s="4">
        <v>184.0</v>
      </c>
      <c r="D5202" s="5" t="str">
        <f t="shared" si="1412"/>
        <v>Open Ad</v>
      </c>
      <c r="E5202" s="4" t="s">
        <v>78</v>
      </c>
      <c r="F5202" s="4" t="s">
        <v>6765</v>
      </c>
      <c r="G5202" s="4" t="s">
        <v>7225</v>
      </c>
      <c r="H5202" s="4" t="s">
        <v>49</v>
      </c>
      <c r="I5202" s="4" t="s">
        <v>7140</v>
      </c>
      <c r="J5202" s="4" t="s">
        <v>78</v>
      </c>
      <c r="K5202" s="7" t="str">
        <f t="shared" si="1413"/>
        <v>View Creative</v>
      </c>
      <c r="L5202" s="4" t="s">
        <v>60</v>
      </c>
      <c r="M5202" s="4" t="s">
        <v>1446</v>
      </c>
      <c r="N5202" s="4"/>
      <c r="O5202" s="4" t="s">
        <v>63</v>
      </c>
      <c r="P5202" s="4" t="s">
        <v>64</v>
      </c>
    </row>
    <row r="5203">
      <c r="A5203" s="4" t="s">
        <v>1446</v>
      </c>
      <c r="B5203" s="4" t="s">
        <v>7138</v>
      </c>
      <c r="C5203" s="4">
        <v>185.0</v>
      </c>
      <c r="D5203" s="5" t="str">
        <f t="shared" ref="D5203:D5204" si="1414">HYPERLINK("https://www.linkedin.com/ad-library/detail/1327108164","Open Ad")</f>
        <v>Open Ad</v>
      </c>
      <c r="E5203" s="4" t="s">
        <v>78</v>
      </c>
      <c r="F5203" s="4" t="s">
        <v>6765</v>
      </c>
      <c r="G5203" s="4" t="s">
        <v>7225</v>
      </c>
      <c r="H5203" s="4" t="s">
        <v>49</v>
      </c>
      <c r="I5203" s="4" t="s">
        <v>7140</v>
      </c>
      <c r="J5203" s="4" t="s">
        <v>78</v>
      </c>
      <c r="K5203" s="7" t="str">
        <f t="shared" ref="K5203:K5204" si="1415">HYPERLINK("https://media.licdn.com/dms/image/v2/D5610AQE8Z0yYh4_jzw/image-shrink_1280/B56Z6U6OEWI4Ac-/0/1780614751561?e=2147483647&amp;v=beta&amp;t=Aa3QQV3MkIcjSqm9hrSIgoWz19UpdWjceez2vo3PLdo","View Creative")</f>
        <v>View Creative</v>
      </c>
      <c r="L5203" s="4" t="s">
        <v>60</v>
      </c>
      <c r="M5203" s="4" t="s">
        <v>1446</v>
      </c>
      <c r="N5203" s="4"/>
      <c r="O5203" s="4" t="s">
        <v>63</v>
      </c>
      <c r="P5203" s="4" t="s">
        <v>64</v>
      </c>
    </row>
    <row r="5204">
      <c r="A5204" s="4" t="s">
        <v>1446</v>
      </c>
      <c r="B5204" s="4" t="s">
        <v>7138</v>
      </c>
      <c r="C5204" s="4">
        <v>186.0</v>
      </c>
      <c r="D5204" s="5" t="str">
        <f t="shared" si="1414"/>
        <v>Open Ad</v>
      </c>
      <c r="E5204" s="4" t="s">
        <v>78</v>
      </c>
      <c r="F5204" s="4" t="s">
        <v>6765</v>
      </c>
      <c r="G5204" s="4" t="s">
        <v>7225</v>
      </c>
      <c r="H5204" s="4" t="s">
        <v>49</v>
      </c>
      <c r="I5204" s="4" t="s">
        <v>7140</v>
      </c>
      <c r="J5204" s="4" t="s">
        <v>78</v>
      </c>
      <c r="K5204" s="7" t="str">
        <f t="shared" si="1415"/>
        <v>View Creative</v>
      </c>
      <c r="L5204" s="4" t="s">
        <v>60</v>
      </c>
      <c r="M5204" s="4" t="s">
        <v>1446</v>
      </c>
      <c r="N5204" s="4"/>
      <c r="O5204" s="4" t="s">
        <v>63</v>
      </c>
      <c r="P5204" s="4" t="s">
        <v>64</v>
      </c>
    </row>
    <row r="5205">
      <c r="A5205" s="4" t="s">
        <v>1446</v>
      </c>
      <c r="B5205" s="4" t="s">
        <v>7138</v>
      </c>
      <c r="C5205" s="4">
        <v>187.0</v>
      </c>
      <c r="D5205" s="5" t="str">
        <f>HYPERLINK("https://www.linkedin.com/ad-library/detail/1443505324","Open Ad")</f>
        <v>Open Ad</v>
      </c>
      <c r="E5205" s="4" t="s">
        <v>52</v>
      </c>
      <c r="F5205" s="4" t="s">
        <v>6765</v>
      </c>
      <c r="G5205" s="4" t="s">
        <v>7226</v>
      </c>
      <c r="H5205" s="4" t="s">
        <v>49</v>
      </c>
      <c r="I5205" s="4" t="s">
        <v>7140</v>
      </c>
      <c r="J5205" s="4" t="s">
        <v>52</v>
      </c>
      <c r="K5205" s="4" t="s">
        <v>59</v>
      </c>
      <c r="L5205" s="4" t="s">
        <v>60</v>
      </c>
      <c r="M5205" s="4" t="s">
        <v>1446</v>
      </c>
      <c r="N5205" s="4"/>
      <c r="O5205" s="4" t="s">
        <v>63</v>
      </c>
      <c r="P5205" s="4" t="s">
        <v>64</v>
      </c>
    </row>
    <row r="5206">
      <c r="A5206" s="4" t="s">
        <v>1446</v>
      </c>
      <c r="B5206" s="4" t="s">
        <v>7138</v>
      </c>
      <c r="C5206" s="4">
        <v>188.0</v>
      </c>
      <c r="D5206" s="5" t="str">
        <f>HYPERLINK("https://www.linkedin.com/ad-library/detail/1443465594","Open Ad")</f>
        <v>Open Ad</v>
      </c>
      <c r="E5206" s="4" t="s">
        <v>52</v>
      </c>
      <c r="F5206" s="4" t="s">
        <v>6765</v>
      </c>
      <c r="G5206" s="4" t="s">
        <v>7227</v>
      </c>
      <c r="H5206" s="4" t="s">
        <v>49</v>
      </c>
      <c r="I5206" s="4" t="s">
        <v>7140</v>
      </c>
      <c r="J5206" s="4" t="s">
        <v>52</v>
      </c>
      <c r="K5206" s="4" t="s">
        <v>59</v>
      </c>
      <c r="L5206" s="4" t="s">
        <v>60</v>
      </c>
      <c r="M5206" s="4" t="s">
        <v>1446</v>
      </c>
      <c r="N5206" s="4"/>
      <c r="O5206" s="4" t="s">
        <v>63</v>
      </c>
      <c r="P5206" s="4" t="s">
        <v>64</v>
      </c>
    </row>
    <row r="5207">
      <c r="A5207" s="4" t="s">
        <v>1446</v>
      </c>
      <c r="B5207" s="4" t="s">
        <v>7138</v>
      </c>
      <c r="C5207" s="4">
        <v>189.0</v>
      </c>
      <c r="D5207" s="5" t="str">
        <f t="shared" ref="D5207:D5208" si="1416">HYPERLINK("https://www.linkedin.com/ad-library/detail/1446110404","Open Ad")</f>
        <v>Open Ad</v>
      </c>
      <c r="E5207" s="4" t="s">
        <v>121</v>
      </c>
      <c r="F5207" s="4" t="s">
        <v>6765</v>
      </c>
      <c r="G5207" s="4" t="s">
        <v>7148</v>
      </c>
      <c r="H5207" s="4" t="s">
        <v>49</v>
      </c>
      <c r="I5207" s="4" t="s">
        <v>7140</v>
      </c>
      <c r="J5207" s="4" t="s">
        <v>121</v>
      </c>
      <c r="K5207" s="7" t="str">
        <f t="shared" ref="K5207:K5208" si="1417">HYPERLINK("https://dms.licdn.com/playlist/vid/v2/D4E10AQGKQ8n7wITebg/mp4-1080p-30fp-crf28/B4EZ6zHsO_KMA0-/0/1781121601720?e=2147483647&amp;v=beta&amp;t=mev76czSqB28fnMAFUD9mT4iXWFs-uBQvt_4leydJwY","View Creative")</f>
        <v>View Creative</v>
      </c>
      <c r="L5207" s="4" t="s">
        <v>60</v>
      </c>
      <c r="M5207" s="4" t="s">
        <v>1446</v>
      </c>
      <c r="N5207" s="4"/>
      <c r="O5207" s="4" t="s">
        <v>63</v>
      </c>
      <c r="P5207" s="4" t="s">
        <v>64</v>
      </c>
    </row>
    <row r="5208">
      <c r="A5208" s="4" t="s">
        <v>1446</v>
      </c>
      <c r="B5208" s="4" t="s">
        <v>7138</v>
      </c>
      <c r="C5208" s="4">
        <v>190.0</v>
      </c>
      <c r="D5208" s="5" t="str">
        <f t="shared" si="1416"/>
        <v>Open Ad</v>
      </c>
      <c r="E5208" s="4" t="s">
        <v>121</v>
      </c>
      <c r="F5208" s="4" t="s">
        <v>6765</v>
      </c>
      <c r="G5208" s="4" t="s">
        <v>7148</v>
      </c>
      <c r="H5208" s="4" t="s">
        <v>49</v>
      </c>
      <c r="I5208" s="4" t="s">
        <v>7140</v>
      </c>
      <c r="J5208" s="4" t="s">
        <v>121</v>
      </c>
      <c r="K5208" s="7" t="str">
        <f t="shared" si="1417"/>
        <v>View Creative</v>
      </c>
      <c r="L5208" s="4" t="s">
        <v>60</v>
      </c>
      <c r="M5208" s="4" t="s">
        <v>1446</v>
      </c>
      <c r="N5208" s="4"/>
      <c r="O5208" s="4" t="s">
        <v>63</v>
      </c>
      <c r="P5208" s="4" t="s">
        <v>64</v>
      </c>
    </row>
    <row r="5209">
      <c r="A5209" s="4" t="s">
        <v>1446</v>
      </c>
      <c r="B5209" s="4" t="s">
        <v>7138</v>
      </c>
      <c r="C5209" s="4">
        <v>191.0</v>
      </c>
      <c r="D5209" s="5" t="str">
        <f t="shared" ref="D5209:D5210" si="1418">HYPERLINK("https://www.linkedin.com/ad-library/detail/1443553514","Open Ad")</f>
        <v>Open Ad</v>
      </c>
      <c r="E5209" s="4" t="s">
        <v>78</v>
      </c>
      <c r="F5209" s="4" t="s">
        <v>6765</v>
      </c>
      <c r="G5209" s="4" t="s">
        <v>7228</v>
      </c>
      <c r="H5209" s="4" t="s">
        <v>49</v>
      </c>
      <c r="I5209" s="4" t="s">
        <v>7140</v>
      </c>
      <c r="J5209" s="4" t="s">
        <v>78</v>
      </c>
      <c r="K5209" s="7" t="str">
        <f t="shared" ref="K5209:K5210" si="1419">HYPERLINK("https://media.licdn.com/dms/image/v2/D5610AQELU5JFiNYnFA/image-shrink_1280/B56Z6U6OdKI4Ag-/0/1780614753994?e=2147483647&amp;v=beta&amp;t=pO33kY5KgzpeiF3Hj8jNPj9jBvJm2Yr5ST9rZyGBReg","View Creative")</f>
        <v>View Creative</v>
      </c>
      <c r="L5209" s="4" t="s">
        <v>60</v>
      </c>
      <c r="M5209" s="4" t="s">
        <v>1446</v>
      </c>
      <c r="N5209" s="4"/>
      <c r="O5209" s="4" t="s">
        <v>63</v>
      </c>
      <c r="P5209" s="4" t="s">
        <v>64</v>
      </c>
    </row>
    <row r="5210">
      <c r="A5210" s="4" t="s">
        <v>1446</v>
      </c>
      <c r="B5210" s="4" t="s">
        <v>7138</v>
      </c>
      <c r="C5210" s="4">
        <v>192.0</v>
      </c>
      <c r="D5210" s="5" t="str">
        <f t="shared" si="1418"/>
        <v>Open Ad</v>
      </c>
      <c r="E5210" s="4" t="s">
        <v>78</v>
      </c>
      <c r="F5210" s="4" t="s">
        <v>6765</v>
      </c>
      <c r="G5210" s="4" t="s">
        <v>7228</v>
      </c>
      <c r="H5210" s="4" t="s">
        <v>49</v>
      </c>
      <c r="I5210" s="4" t="s">
        <v>7140</v>
      </c>
      <c r="J5210" s="4" t="s">
        <v>78</v>
      </c>
      <c r="K5210" s="7" t="str">
        <f t="shared" si="1419"/>
        <v>View Creative</v>
      </c>
      <c r="L5210" s="4" t="s">
        <v>60</v>
      </c>
      <c r="M5210" s="4" t="s">
        <v>1446</v>
      </c>
      <c r="N5210" s="4"/>
      <c r="O5210" s="4" t="s">
        <v>63</v>
      </c>
      <c r="P5210" s="4" t="s">
        <v>64</v>
      </c>
    </row>
    <row r="5211">
      <c r="A5211" s="4" t="s">
        <v>1446</v>
      </c>
      <c r="B5211" s="4" t="s">
        <v>7138</v>
      </c>
      <c r="C5211" s="4">
        <v>193.0</v>
      </c>
      <c r="D5211" s="5" t="str">
        <f t="shared" ref="D5211:D5212" si="1420">HYPERLINK("https://www.linkedin.com/ad-library/detail/1326909304","Open Ad")</f>
        <v>Open Ad</v>
      </c>
      <c r="E5211" s="4" t="s">
        <v>78</v>
      </c>
      <c r="F5211" s="4" t="s">
        <v>6765</v>
      </c>
      <c r="G5211" s="4" t="s">
        <v>7229</v>
      </c>
      <c r="H5211" s="4" t="s">
        <v>49</v>
      </c>
      <c r="I5211" s="4" t="s">
        <v>7140</v>
      </c>
      <c r="J5211" s="4" t="s">
        <v>78</v>
      </c>
      <c r="K5211" s="7" t="str">
        <f t="shared" ref="K5211:K5212" si="1421">HYPERLINK("https://media.licdn.com/dms/image/v2/D5610AQGJ-B606F0dSQ/image-shrink_1280/B56Z6U6EhFKQAc-/0/1780614712151?e=2147483647&amp;v=beta&amp;t=TP3gixjJSK45J-enrUsFIraMjrLP_nwdbT4I_cjwG7k","View Creative")</f>
        <v>View Creative</v>
      </c>
      <c r="L5211" s="4" t="s">
        <v>60</v>
      </c>
      <c r="M5211" s="4" t="s">
        <v>1446</v>
      </c>
      <c r="N5211" s="4"/>
      <c r="O5211" s="4" t="s">
        <v>63</v>
      </c>
      <c r="P5211" s="4" t="s">
        <v>64</v>
      </c>
    </row>
    <row r="5212">
      <c r="A5212" s="4" t="s">
        <v>1446</v>
      </c>
      <c r="B5212" s="4" t="s">
        <v>7138</v>
      </c>
      <c r="C5212" s="4">
        <v>194.0</v>
      </c>
      <c r="D5212" s="5" t="str">
        <f t="shared" si="1420"/>
        <v>Open Ad</v>
      </c>
      <c r="E5212" s="4" t="s">
        <v>78</v>
      </c>
      <c r="F5212" s="4" t="s">
        <v>6765</v>
      </c>
      <c r="G5212" s="4" t="s">
        <v>7229</v>
      </c>
      <c r="H5212" s="4" t="s">
        <v>49</v>
      </c>
      <c r="I5212" s="4" t="s">
        <v>7140</v>
      </c>
      <c r="J5212" s="4" t="s">
        <v>78</v>
      </c>
      <c r="K5212" s="7" t="str">
        <f t="shared" si="1421"/>
        <v>View Creative</v>
      </c>
      <c r="L5212" s="4" t="s">
        <v>60</v>
      </c>
      <c r="M5212" s="4" t="s">
        <v>1446</v>
      </c>
      <c r="N5212" s="4"/>
      <c r="O5212" s="4" t="s">
        <v>63</v>
      </c>
      <c r="P5212" s="4" t="s">
        <v>64</v>
      </c>
    </row>
    <row r="5213">
      <c r="A5213" s="4" t="s">
        <v>1446</v>
      </c>
      <c r="B5213" s="4" t="s">
        <v>7138</v>
      </c>
      <c r="C5213" s="4">
        <v>195.0</v>
      </c>
      <c r="D5213" s="5" t="str">
        <f t="shared" ref="D5213:D5214" si="1422">HYPERLINK("https://www.linkedin.com/ad-library/detail/1445040704","Open Ad")</f>
        <v>Open Ad</v>
      </c>
      <c r="E5213" s="4" t="s">
        <v>78</v>
      </c>
      <c r="F5213" s="4" t="s">
        <v>6765</v>
      </c>
      <c r="G5213" s="4" t="s">
        <v>7217</v>
      </c>
      <c r="H5213" s="4" t="s">
        <v>49</v>
      </c>
      <c r="I5213" s="4" t="s">
        <v>7140</v>
      </c>
      <c r="J5213" s="4" t="s">
        <v>78</v>
      </c>
      <c r="K5213" s="7" t="str">
        <f t="shared" ref="K5213:K5214" si="1423">HYPERLINK("https://media.licdn.com/dms/image/sync/v2/D4D27AQHgfxclDTNEog/articleshare-shrink_1280_800/B4DZ6SvK7OK4Ag-/0/1780578300352?e=2147483647&amp;v=beta&amp;t=0VM_rgyn7S4wY1ZB5eoa-MZatEldjXhypjtil3-T0ZI","View Creative")</f>
        <v>View Creative</v>
      </c>
      <c r="L5213" s="4" t="s">
        <v>60</v>
      </c>
      <c r="M5213" s="4" t="s">
        <v>1446</v>
      </c>
      <c r="N5213" s="4"/>
      <c r="O5213" s="4" t="s">
        <v>63</v>
      </c>
      <c r="P5213" s="4" t="s">
        <v>64</v>
      </c>
    </row>
    <row r="5214">
      <c r="A5214" s="4" t="s">
        <v>1446</v>
      </c>
      <c r="B5214" s="4" t="s">
        <v>7138</v>
      </c>
      <c r="C5214" s="4">
        <v>196.0</v>
      </c>
      <c r="D5214" s="5" t="str">
        <f t="shared" si="1422"/>
        <v>Open Ad</v>
      </c>
      <c r="E5214" s="4" t="s">
        <v>78</v>
      </c>
      <c r="F5214" s="4" t="s">
        <v>6765</v>
      </c>
      <c r="G5214" s="4" t="s">
        <v>7217</v>
      </c>
      <c r="H5214" s="4" t="s">
        <v>49</v>
      </c>
      <c r="I5214" s="4" t="s">
        <v>7140</v>
      </c>
      <c r="J5214" s="4" t="s">
        <v>78</v>
      </c>
      <c r="K5214" s="7" t="str">
        <f t="shared" si="1423"/>
        <v>View Creative</v>
      </c>
      <c r="L5214" s="4" t="s">
        <v>60</v>
      </c>
      <c r="M5214" s="4" t="s">
        <v>1446</v>
      </c>
      <c r="N5214" s="4"/>
      <c r="O5214" s="4" t="s">
        <v>63</v>
      </c>
      <c r="P5214" s="4" t="s">
        <v>64</v>
      </c>
    </row>
    <row r="5215">
      <c r="A5215" s="4" t="s">
        <v>1446</v>
      </c>
      <c r="B5215" s="4" t="s">
        <v>7138</v>
      </c>
      <c r="C5215" s="4">
        <v>197.0</v>
      </c>
      <c r="D5215" s="5" t="str">
        <f>HYPERLINK("https://www.linkedin.com/ad-library/detail/1443447714","Open Ad")</f>
        <v>Open Ad</v>
      </c>
      <c r="E5215" s="4" t="s">
        <v>52</v>
      </c>
      <c r="F5215" s="4" t="s">
        <v>6765</v>
      </c>
      <c r="G5215" s="4" t="s">
        <v>7230</v>
      </c>
      <c r="H5215" s="4" t="s">
        <v>49</v>
      </c>
      <c r="I5215" s="4" t="s">
        <v>7140</v>
      </c>
      <c r="J5215" s="4" t="s">
        <v>52</v>
      </c>
      <c r="K5215" s="4" t="s">
        <v>59</v>
      </c>
      <c r="L5215" s="4" t="s">
        <v>60</v>
      </c>
      <c r="M5215" s="4" t="s">
        <v>1446</v>
      </c>
      <c r="N5215" s="4"/>
      <c r="O5215" s="4" t="s">
        <v>63</v>
      </c>
      <c r="P5215" s="4" t="s">
        <v>64</v>
      </c>
    </row>
    <row r="5216">
      <c r="A5216" s="4" t="s">
        <v>1446</v>
      </c>
      <c r="B5216" s="4" t="s">
        <v>7138</v>
      </c>
      <c r="C5216" s="4">
        <v>198.0</v>
      </c>
      <c r="D5216" s="5" t="str">
        <f t="shared" ref="D5216:D5217" si="1424">HYPERLINK("https://www.linkedin.com/ad-library/detail/1450453594","Open Ad")</f>
        <v>Open Ad</v>
      </c>
      <c r="E5216" s="4" t="s">
        <v>78</v>
      </c>
      <c r="F5216" s="4" t="s">
        <v>6765</v>
      </c>
      <c r="G5216" s="4" t="s">
        <v>7207</v>
      </c>
      <c r="H5216" s="4" t="s">
        <v>49</v>
      </c>
      <c r="I5216" s="4" t="s">
        <v>7140</v>
      </c>
      <c r="J5216" s="4" t="s">
        <v>78</v>
      </c>
      <c r="K5216" s="7" t="str">
        <f t="shared" ref="K5216:K5217" si="1425">HYPERLINK("https://media.licdn.com/dms/image/v2/D5622AQEl0jIy3ag-6A/feedshare-shrink_800/B56Z63TPnlGsAc-/0/1781191736079?e=2147483647&amp;v=beta&amp;t=rza4hr0V93hFtuvmD5u9AuCZQPQa9x5CWYlJ1-RsFd8","View Creative")</f>
        <v>View Creative</v>
      </c>
      <c r="L5216" s="4" t="s">
        <v>60</v>
      </c>
      <c r="M5216" s="4" t="s">
        <v>1446</v>
      </c>
      <c r="N5216" s="4"/>
      <c r="O5216" s="4" t="s">
        <v>63</v>
      </c>
      <c r="P5216" s="4" t="s">
        <v>64</v>
      </c>
    </row>
    <row r="5217">
      <c r="A5217" s="4" t="s">
        <v>1446</v>
      </c>
      <c r="B5217" s="4" t="s">
        <v>7138</v>
      </c>
      <c r="C5217" s="4">
        <v>199.0</v>
      </c>
      <c r="D5217" s="5" t="str">
        <f t="shared" si="1424"/>
        <v>Open Ad</v>
      </c>
      <c r="E5217" s="4" t="s">
        <v>78</v>
      </c>
      <c r="F5217" s="4" t="s">
        <v>6765</v>
      </c>
      <c r="G5217" s="4" t="s">
        <v>7207</v>
      </c>
      <c r="H5217" s="4" t="s">
        <v>49</v>
      </c>
      <c r="I5217" s="4" t="s">
        <v>7140</v>
      </c>
      <c r="J5217" s="4" t="s">
        <v>78</v>
      </c>
      <c r="K5217" s="7" t="str">
        <f t="shared" si="1425"/>
        <v>View Creative</v>
      </c>
      <c r="L5217" s="4" t="s">
        <v>60</v>
      </c>
      <c r="M5217" s="4" t="s">
        <v>1446</v>
      </c>
      <c r="N5217" s="4"/>
      <c r="O5217" s="4" t="s">
        <v>63</v>
      </c>
      <c r="P5217" s="4" t="s">
        <v>64</v>
      </c>
    </row>
    <row r="5218">
      <c r="A5218" s="4" t="s">
        <v>1446</v>
      </c>
      <c r="B5218" s="4" t="s">
        <v>7138</v>
      </c>
      <c r="C5218" s="4">
        <v>200.0</v>
      </c>
      <c r="D5218" s="5" t="str">
        <f t="shared" ref="D5218:D5219" si="1426">HYPERLINK("https://www.linkedin.com/ad-library/detail/1446070774","Open Ad")</f>
        <v>Open Ad</v>
      </c>
      <c r="E5218" s="4" t="s">
        <v>121</v>
      </c>
      <c r="F5218" s="4" t="s">
        <v>6765</v>
      </c>
      <c r="G5218" s="4" t="s">
        <v>7231</v>
      </c>
      <c r="H5218" s="4" t="s">
        <v>49</v>
      </c>
      <c r="I5218" s="4" t="s">
        <v>7140</v>
      </c>
      <c r="J5218" s="4" t="s">
        <v>121</v>
      </c>
      <c r="K5218" s="7" t="str">
        <f t="shared" ref="K5218:K5219" si="1427">HYPERLINK("https://dms.licdn.com/playlist/vid/v2/D5605AQEZvFX2YaqEQQ/mp4-640p-30fp-crf28/B56Z6s_F.OIoBk-/0/1781018687734?e=2147483647&amp;v=beta&amp;t=mLQm0llZOTKVDfog8i8LWs_ErB9IeRoX_j_PtJuJ-EI","View Creative")</f>
        <v>View Creative</v>
      </c>
      <c r="L5218" s="4" t="s">
        <v>60</v>
      </c>
      <c r="M5218" s="4" t="s">
        <v>1446</v>
      </c>
      <c r="N5218" s="4"/>
      <c r="O5218" s="4" t="s">
        <v>63</v>
      </c>
      <c r="P5218" s="4" t="s">
        <v>64</v>
      </c>
    </row>
    <row r="5219">
      <c r="A5219" s="4" t="s">
        <v>1446</v>
      </c>
      <c r="B5219" s="4" t="s">
        <v>7138</v>
      </c>
      <c r="C5219" s="4">
        <v>201.0</v>
      </c>
      <c r="D5219" s="5" t="str">
        <f t="shared" si="1426"/>
        <v>Open Ad</v>
      </c>
      <c r="E5219" s="4" t="s">
        <v>121</v>
      </c>
      <c r="F5219" s="4" t="s">
        <v>6765</v>
      </c>
      <c r="G5219" s="4" t="s">
        <v>7231</v>
      </c>
      <c r="H5219" s="4" t="s">
        <v>49</v>
      </c>
      <c r="I5219" s="4" t="s">
        <v>7140</v>
      </c>
      <c r="J5219" s="4" t="s">
        <v>121</v>
      </c>
      <c r="K5219" s="7" t="str">
        <f t="shared" si="1427"/>
        <v>View Creative</v>
      </c>
      <c r="L5219" s="4" t="s">
        <v>60</v>
      </c>
      <c r="M5219" s="4" t="s">
        <v>1446</v>
      </c>
      <c r="N5219" s="4"/>
      <c r="O5219" s="4" t="s">
        <v>63</v>
      </c>
      <c r="P5219" s="4" t="s">
        <v>64</v>
      </c>
    </row>
    <row r="5220">
      <c r="A5220" s="4" t="s">
        <v>1446</v>
      </c>
      <c r="B5220" s="4" t="s">
        <v>7138</v>
      </c>
      <c r="C5220" s="4">
        <v>202.0</v>
      </c>
      <c r="D5220" s="5" t="str">
        <f t="shared" ref="D5220:D5221" si="1428">HYPERLINK("https://www.linkedin.com/ad-library/detail/1445869364","Open Ad")</f>
        <v>Open Ad</v>
      </c>
      <c r="E5220" s="4" t="s">
        <v>121</v>
      </c>
      <c r="F5220" s="4" t="s">
        <v>6765</v>
      </c>
      <c r="G5220" s="4" t="s">
        <v>7148</v>
      </c>
      <c r="H5220" s="4" t="s">
        <v>49</v>
      </c>
      <c r="I5220" s="4" t="s">
        <v>7140</v>
      </c>
      <c r="J5220" s="4" t="s">
        <v>121</v>
      </c>
      <c r="K5220" s="7" t="str">
        <f t="shared" ref="K5220:K5221" si="1429">HYPERLINK("https://dms.licdn.com/playlist/vid/v2/D4E10AQGKQ8n7wITebg/mp4-1080p-30fp-crf28/B4EZ6zHsO_KMA0-/0/1781121601720?e=2147483647&amp;v=beta&amp;t=mev76czSqB28fnMAFUD9mT4iXWFs-uBQvt_4leydJwY","View Creative")</f>
        <v>View Creative</v>
      </c>
      <c r="L5220" s="4" t="s">
        <v>60</v>
      </c>
      <c r="M5220" s="4" t="s">
        <v>1446</v>
      </c>
      <c r="N5220" s="4"/>
      <c r="O5220" s="4" t="s">
        <v>63</v>
      </c>
      <c r="P5220" s="4" t="s">
        <v>64</v>
      </c>
    </row>
    <row r="5221">
      <c r="A5221" s="4" t="s">
        <v>1446</v>
      </c>
      <c r="B5221" s="4" t="s">
        <v>7138</v>
      </c>
      <c r="C5221" s="4">
        <v>203.0</v>
      </c>
      <c r="D5221" s="5" t="str">
        <f t="shared" si="1428"/>
        <v>Open Ad</v>
      </c>
      <c r="E5221" s="4" t="s">
        <v>121</v>
      </c>
      <c r="F5221" s="4" t="s">
        <v>6765</v>
      </c>
      <c r="G5221" s="4" t="s">
        <v>7148</v>
      </c>
      <c r="H5221" s="4" t="s">
        <v>49</v>
      </c>
      <c r="I5221" s="4" t="s">
        <v>7140</v>
      </c>
      <c r="J5221" s="4" t="s">
        <v>121</v>
      </c>
      <c r="K5221" s="7" t="str">
        <f t="shared" si="1429"/>
        <v>View Creative</v>
      </c>
      <c r="L5221" s="4" t="s">
        <v>60</v>
      </c>
      <c r="M5221" s="4" t="s">
        <v>1446</v>
      </c>
      <c r="N5221" s="4"/>
      <c r="O5221" s="4" t="s">
        <v>63</v>
      </c>
      <c r="P5221" s="4" t="s">
        <v>64</v>
      </c>
    </row>
    <row r="5222">
      <c r="A5222" s="4" t="s">
        <v>1446</v>
      </c>
      <c r="B5222" s="4" t="s">
        <v>7138</v>
      </c>
      <c r="C5222" s="4">
        <v>204.0</v>
      </c>
      <c r="D5222" s="5" t="str">
        <f>HYPERLINK("https://www.linkedin.com/ad-library/detail/1457255114","Open Ad")</f>
        <v>Open Ad</v>
      </c>
      <c r="E5222" s="4" t="s">
        <v>52</v>
      </c>
      <c r="F5222" s="4" t="s">
        <v>6765</v>
      </c>
      <c r="G5222" s="4" t="s">
        <v>7232</v>
      </c>
      <c r="H5222" s="4" t="s">
        <v>49</v>
      </c>
      <c r="I5222" s="4" t="s">
        <v>7140</v>
      </c>
      <c r="J5222" s="4" t="s">
        <v>52</v>
      </c>
      <c r="K5222" s="4" t="s">
        <v>59</v>
      </c>
      <c r="L5222" s="4" t="s">
        <v>60</v>
      </c>
      <c r="M5222" s="4" t="s">
        <v>1446</v>
      </c>
      <c r="N5222" s="4"/>
      <c r="O5222" s="4" t="s">
        <v>63</v>
      </c>
      <c r="P5222" s="4" t="s">
        <v>64</v>
      </c>
    </row>
    <row r="5223">
      <c r="A5223" s="4" t="s">
        <v>1446</v>
      </c>
      <c r="B5223" s="4" t="s">
        <v>7138</v>
      </c>
      <c r="C5223" s="4">
        <v>205.0</v>
      </c>
      <c r="D5223" s="5" t="str">
        <f>HYPERLINK("https://www.linkedin.com/ad-library/detail/1443485244","Open Ad")</f>
        <v>Open Ad</v>
      </c>
      <c r="E5223" s="4" t="s">
        <v>52</v>
      </c>
      <c r="F5223" s="4" t="s">
        <v>6765</v>
      </c>
      <c r="G5223" s="4" t="s">
        <v>7233</v>
      </c>
      <c r="H5223" s="4" t="s">
        <v>49</v>
      </c>
      <c r="I5223" s="4" t="s">
        <v>7140</v>
      </c>
      <c r="J5223" s="4" t="s">
        <v>52</v>
      </c>
      <c r="K5223" s="4" t="s">
        <v>59</v>
      </c>
      <c r="L5223" s="4" t="s">
        <v>60</v>
      </c>
      <c r="M5223" s="4" t="s">
        <v>1446</v>
      </c>
      <c r="N5223" s="4"/>
      <c r="O5223" s="4" t="s">
        <v>63</v>
      </c>
      <c r="P5223" s="4" t="s">
        <v>64</v>
      </c>
    </row>
    <row r="5224">
      <c r="A5224" s="4" t="s">
        <v>1446</v>
      </c>
      <c r="B5224" s="4" t="s">
        <v>7138</v>
      </c>
      <c r="C5224" s="4">
        <v>206.0</v>
      </c>
      <c r="D5224" s="5" t="str">
        <f t="shared" ref="D5224:D5225" si="1430">HYPERLINK("https://www.linkedin.com/ad-library/detail/1446050814","Open Ad")</f>
        <v>Open Ad</v>
      </c>
      <c r="E5224" s="4" t="s">
        <v>121</v>
      </c>
      <c r="F5224" s="4" t="s">
        <v>6765</v>
      </c>
      <c r="G5224" s="4" t="s">
        <v>7148</v>
      </c>
      <c r="H5224" s="4" t="s">
        <v>49</v>
      </c>
      <c r="I5224" s="4" t="s">
        <v>7140</v>
      </c>
      <c r="J5224" s="4" t="s">
        <v>121</v>
      </c>
      <c r="K5224" s="7" t="str">
        <f t="shared" ref="K5224:K5225" si="1431">HYPERLINK("https://dms.licdn.com/playlist/vid/v2/D4E10AQGKQ8n7wITebg/mp4-1080p-30fp-crf28/B4EZ6zHsO_KMA0-/0/1781121601720?e=2147483647&amp;v=beta&amp;t=mev76czSqB28fnMAFUD9mT4iXWFs-uBQvt_4leydJwY","View Creative")</f>
        <v>View Creative</v>
      </c>
      <c r="L5224" s="4" t="s">
        <v>60</v>
      </c>
      <c r="M5224" s="4" t="s">
        <v>1446</v>
      </c>
      <c r="N5224" s="4"/>
      <c r="O5224" s="4" t="s">
        <v>63</v>
      </c>
      <c r="P5224" s="4" t="s">
        <v>64</v>
      </c>
    </row>
    <row r="5225">
      <c r="A5225" s="4" t="s">
        <v>1446</v>
      </c>
      <c r="B5225" s="4" t="s">
        <v>7138</v>
      </c>
      <c r="C5225" s="4">
        <v>207.0</v>
      </c>
      <c r="D5225" s="5" t="str">
        <f t="shared" si="1430"/>
        <v>Open Ad</v>
      </c>
      <c r="E5225" s="4" t="s">
        <v>121</v>
      </c>
      <c r="F5225" s="4" t="s">
        <v>6765</v>
      </c>
      <c r="G5225" s="4" t="s">
        <v>7148</v>
      </c>
      <c r="H5225" s="4" t="s">
        <v>49</v>
      </c>
      <c r="I5225" s="4" t="s">
        <v>7140</v>
      </c>
      <c r="J5225" s="4" t="s">
        <v>121</v>
      </c>
      <c r="K5225" s="7" t="str">
        <f t="shared" si="1431"/>
        <v>View Creative</v>
      </c>
      <c r="L5225" s="4" t="s">
        <v>60</v>
      </c>
      <c r="M5225" s="4" t="s">
        <v>1446</v>
      </c>
      <c r="N5225" s="4"/>
      <c r="O5225" s="4" t="s">
        <v>63</v>
      </c>
      <c r="P5225" s="4" t="s">
        <v>64</v>
      </c>
    </row>
    <row r="5226">
      <c r="A5226" s="4" t="s">
        <v>1446</v>
      </c>
      <c r="B5226" s="4" t="s">
        <v>7138</v>
      </c>
      <c r="C5226" s="4">
        <v>208.0</v>
      </c>
      <c r="D5226" s="5" t="str">
        <f>HYPERLINK("https://www.linkedin.com/ad-library/detail/1443515264","Open Ad")</f>
        <v>Open Ad</v>
      </c>
      <c r="E5226" s="4" t="s">
        <v>52</v>
      </c>
      <c r="F5226" s="4" t="s">
        <v>6765</v>
      </c>
      <c r="G5226" s="4" t="s">
        <v>7234</v>
      </c>
      <c r="H5226" s="4" t="s">
        <v>49</v>
      </c>
      <c r="I5226" s="4" t="s">
        <v>7140</v>
      </c>
      <c r="J5226" s="4" t="s">
        <v>52</v>
      </c>
      <c r="K5226" s="4" t="s">
        <v>59</v>
      </c>
      <c r="L5226" s="4" t="s">
        <v>60</v>
      </c>
      <c r="M5226" s="4" t="s">
        <v>1446</v>
      </c>
      <c r="N5226" s="4"/>
      <c r="O5226" s="4" t="s">
        <v>63</v>
      </c>
      <c r="P5226" s="4" t="s">
        <v>64</v>
      </c>
    </row>
    <row r="5227">
      <c r="A5227" s="4" t="s">
        <v>1446</v>
      </c>
      <c r="B5227" s="4" t="s">
        <v>7138</v>
      </c>
      <c r="C5227" s="4">
        <v>209.0</v>
      </c>
      <c r="D5227" s="5" t="str">
        <f t="shared" ref="D5227:D5228" si="1432">HYPERLINK("https://www.linkedin.com/ad-library/detail/1445689404","Open Ad")</f>
        <v>Open Ad</v>
      </c>
      <c r="E5227" s="4" t="s">
        <v>121</v>
      </c>
      <c r="F5227" s="4" t="s">
        <v>6765</v>
      </c>
      <c r="G5227" s="4" t="s">
        <v>7148</v>
      </c>
      <c r="H5227" s="4" t="s">
        <v>49</v>
      </c>
      <c r="I5227" s="4" t="s">
        <v>7140</v>
      </c>
      <c r="J5227" s="4" t="s">
        <v>121</v>
      </c>
      <c r="K5227" s="7" t="str">
        <f t="shared" ref="K5227:K5228" si="1433">HYPERLINK("https://dms.licdn.com/playlist/vid/v2/D4E10AQGKQ8n7wITebg/mp4-1080p-30fp-crf28/B4EZ6zHsO_KMA0-/0/1781121601720?e=2147483647&amp;v=beta&amp;t=mev76czSqB28fnMAFUD9mT4iXWFs-uBQvt_4leydJwY","View Creative")</f>
        <v>View Creative</v>
      </c>
      <c r="L5227" s="4" t="s">
        <v>60</v>
      </c>
      <c r="M5227" s="4" t="s">
        <v>1446</v>
      </c>
      <c r="N5227" s="4"/>
      <c r="O5227" s="4" t="s">
        <v>63</v>
      </c>
      <c r="P5227" s="4" t="s">
        <v>64</v>
      </c>
    </row>
    <row r="5228">
      <c r="A5228" s="4" t="s">
        <v>1446</v>
      </c>
      <c r="B5228" s="4" t="s">
        <v>7138</v>
      </c>
      <c r="C5228" s="4">
        <v>210.0</v>
      </c>
      <c r="D5228" s="5" t="str">
        <f t="shared" si="1432"/>
        <v>Open Ad</v>
      </c>
      <c r="E5228" s="4" t="s">
        <v>121</v>
      </c>
      <c r="F5228" s="4" t="s">
        <v>6765</v>
      </c>
      <c r="G5228" s="4" t="s">
        <v>7148</v>
      </c>
      <c r="H5228" s="4" t="s">
        <v>49</v>
      </c>
      <c r="I5228" s="4" t="s">
        <v>7140</v>
      </c>
      <c r="J5228" s="4" t="s">
        <v>121</v>
      </c>
      <c r="K5228" s="7" t="str">
        <f t="shared" si="1433"/>
        <v>View Creative</v>
      </c>
      <c r="L5228" s="4" t="s">
        <v>60</v>
      </c>
      <c r="M5228" s="4" t="s">
        <v>1446</v>
      </c>
      <c r="N5228" s="4"/>
      <c r="O5228" s="4" t="s">
        <v>63</v>
      </c>
      <c r="P5228" s="4" t="s">
        <v>64</v>
      </c>
    </row>
    <row r="5229">
      <c r="A5229" s="4" t="s">
        <v>1446</v>
      </c>
      <c r="B5229" s="4" t="s">
        <v>7138</v>
      </c>
      <c r="C5229" s="4">
        <v>211.0</v>
      </c>
      <c r="D5229" s="5" t="str">
        <f t="shared" ref="D5229:D5230" si="1434">HYPERLINK("https://www.linkedin.com/ad-library/detail/1443590934","Open Ad")</f>
        <v>Open Ad</v>
      </c>
      <c r="E5229" s="4" t="s">
        <v>78</v>
      </c>
      <c r="F5229" s="4" t="s">
        <v>6765</v>
      </c>
      <c r="G5229" s="4" t="s">
        <v>7229</v>
      </c>
      <c r="H5229" s="4" t="s">
        <v>49</v>
      </c>
      <c r="I5229" s="4" t="s">
        <v>7140</v>
      </c>
      <c r="J5229" s="4" t="s">
        <v>78</v>
      </c>
      <c r="K5229" s="7" t="str">
        <f t="shared" ref="K5229:K5230" si="1435">HYPERLINK("https://media.licdn.com/dms/image/v2/D5610AQHOnPBMBDn-kg/image-shrink_1280/B56Z6U6YEiIAAg-/0/1780614792147?e=2147483647&amp;v=beta&amp;t=GS2Qg9xfwQUv5I572MmpTban6UPa4ZPp_SXoQiC9XGE","View Creative")</f>
        <v>View Creative</v>
      </c>
      <c r="L5229" s="4" t="s">
        <v>60</v>
      </c>
      <c r="M5229" s="4" t="s">
        <v>1446</v>
      </c>
      <c r="N5229" s="4"/>
      <c r="O5229" s="4" t="s">
        <v>63</v>
      </c>
      <c r="P5229" s="4" t="s">
        <v>64</v>
      </c>
    </row>
    <row r="5230">
      <c r="A5230" s="4" t="s">
        <v>1446</v>
      </c>
      <c r="B5230" s="4" t="s">
        <v>7138</v>
      </c>
      <c r="C5230" s="4">
        <v>212.0</v>
      </c>
      <c r="D5230" s="5" t="str">
        <f t="shared" si="1434"/>
        <v>Open Ad</v>
      </c>
      <c r="E5230" s="4" t="s">
        <v>78</v>
      </c>
      <c r="F5230" s="4" t="s">
        <v>6765</v>
      </c>
      <c r="G5230" s="4" t="s">
        <v>7229</v>
      </c>
      <c r="H5230" s="4" t="s">
        <v>49</v>
      </c>
      <c r="I5230" s="4" t="s">
        <v>7140</v>
      </c>
      <c r="J5230" s="4" t="s">
        <v>78</v>
      </c>
      <c r="K5230" s="7" t="str">
        <f t="shared" si="1435"/>
        <v>View Creative</v>
      </c>
      <c r="L5230" s="4" t="s">
        <v>60</v>
      </c>
      <c r="M5230" s="4" t="s">
        <v>1446</v>
      </c>
      <c r="N5230" s="4"/>
      <c r="O5230" s="4" t="s">
        <v>63</v>
      </c>
      <c r="P5230" s="4" t="s">
        <v>64</v>
      </c>
    </row>
    <row r="5231">
      <c r="A5231" s="4" t="s">
        <v>1446</v>
      </c>
      <c r="B5231" s="4" t="s">
        <v>7138</v>
      </c>
      <c r="C5231" s="4">
        <v>213.0</v>
      </c>
      <c r="D5231" s="5" t="str">
        <f t="shared" ref="D5231:D5232" si="1436">HYPERLINK("https://www.linkedin.com/ad-library/detail/1445941184","Open Ad")</f>
        <v>Open Ad</v>
      </c>
      <c r="E5231" s="4" t="s">
        <v>121</v>
      </c>
      <c r="F5231" s="4" t="s">
        <v>6765</v>
      </c>
      <c r="G5231" s="4" t="s">
        <v>7176</v>
      </c>
      <c r="H5231" s="4" t="s">
        <v>49</v>
      </c>
      <c r="I5231" s="4" t="s">
        <v>7140</v>
      </c>
      <c r="J5231" s="4" t="s">
        <v>121</v>
      </c>
      <c r="K5231" s="7" t="str">
        <f t="shared" ref="K5231:K5234" si="1437">HYPERLINK("https://dms.licdn.com/playlist/vid/v2/D4E05AQEGh8tNi4vnsA/mp4-640p-30fp-crf28/B4EZ6tF.M.KEBk-/0/1781020496286?e=2147483647&amp;v=beta&amp;t=mmJsN-gluJv_IJ0aHj_-JC8EQkdhozrAfVMFlQMW90o","View Creative")</f>
        <v>View Creative</v>
      </c>
      <c r="L5231" s="4" t="s">
        <v>60</v>
      </c>
      <c r="M5231" s="4" t="s">
        <v>1446</v>
      </c>
      <c r="N5231" s="4"/>
      <c r="O5231" s="4" t="s">
        <v>63</v>
      </c>
      <c r="P5231" s="4" t="s">
        <v>64</v>
      </c>
    </row>
    <row r="5232">
      <c r="A5232" s="4" t="s">
        <v>1446</v>
      </c>
      <c r="B5232" s="4" t="s">
        <v>7138</v>
      </c>
      <c r="C5232" s="4">
        <v>214.0</v>
      </c>
      <c r="D5232" s="5" t="str">
        <f t="shared" si="1436"/>
        <v>Open Ad</v>
      </c>
      <c r="E5232" s="4" t="s">
        <v>121</v>
      </c>
      <c r="F5232" s="4" t="s">
        <v>6765</v>
      </c>
      <c r="G5232" s="4" t="s">
        <v>7176</v>
      </c>
      <c r="H5232" s="4" t="s">
        <v>49</v>
      </c>
      <c r="I5232" s="4" t="s">
        <v>7140</v>
      </c>
      <c r="J5232" s="4" t="s">
        <v>121</v>
      </c>
      <c r="K5232" s="7" t="str">
        <f t="shared" si="1437"/>
        <v>View Creative</v>
      </c>
      <c r="L5232" s="4" t="s">
        <v>60</v>
      </c>
      <c r="M5232" s="4" t="s">
        <v>1446</v>
      </c>
      <c r="N5232" s="4"/>
      <c r="O5232" s="4" t="s">
        <v>63</v>
      </c>
      <c r="P5232" s="4" t="s">
        <v>64</v>
      </c>
    </row>
    <row r="5233">
      <c r="A5233" s="4" t="s">
        <v>1446</v>
      </c>
      <c r="B5233" s="4" t="s">
        <v>7138</v>
      </c>
      <c r="C5233" s="4">
        <v>215.0</v>
      </c>
      <c r="D5233" s="5" t="str">
        <f t="shared" ref="D5233:D5234" si="1438">HYPERLINK("https://www.linkedin.com/ad-library/detail/1445769604","Open Ad")</f>
        <v>Open Ad</v>
      </c>
      <c r="E5233" s="4" t="s">
        <v>121</v>
      </c>
      <c r="F5233" s="4" t="s">
        <v>6765</v>
      </c>
      <c r="G5233" s="4" t="s">
        <v>7176</v>
      </c>
      <c r="H5233" s="4" t="s">
        <v>49</v>
      </c>
      <c r="I5233" s="4" t="s">
        <v>7140</v>
      </c>
      <c r="J5233" s="4" t="s">
        <v>121</v>
      </c>
      <c r="K5233" s="7" t="str">
        <f t="shared" si="1437"/>
        <v>View Creative</v>
      </c>
      <c r="L5233" s="4" t="s">
        <v>60</v>
      </c>
      <c r="M5233" s="4" t="s">
        <v>1446</v>
      </c>
      <c r="N5233" s="4"/>
      <c r="O5233" s="4" t="s">
        <v>63</v>
      </c>
      <c r="P5233" s="4" t="s">
        <v>64</v>
      </c>
    </row>
    <row r="5234">
      <c r="A5234" s="4" t="s">
        <v>1446</v>
      </c>
      <c r="B5234" s="4" t="s">
        <v>7138</v>
      </c>
      <c r="C5234" s="4">
        <v>216.0</v>
      </c>
      <c r="D5234" s="5" t="str">
        <f t="shared" si="1438"/>
        <v>Open Ad</v>
      </c>
      <c r="E5234" s="4" t="s">
        <v>121</v>
      </c>
      <c r="F5234" s="4" t="s">
        <v>6765</v>
      </c>
      <c r="G5234" s="4" t="s">
        <v>7176</v>
      </c>
      <c r="H5234" s="4" t="s">
        <v>49</v>
      </c>
      <c r="I5234" s="4" t="s">
        <v>7140</v>
      </c>
      <c r="J5234" s="4" t="s">
        <v>121</v>
      </c>
      <c r="K5234" s="7" t="str">
        <f t="shared" si="1437"/>
        <v>View Creative</v>
      </c>
      <c r="L5234" s="4" t="s">
        <v>60</v>
      </c>
      <c r="M5234" s="4" t="s">
        <v>1446</v>
      </c>
      <c r="N5234" s="4"/>
      <c r="O5234" s="4" t="s">
        <v>63</v>
      </c>
      <c r="P5234" s="4" t="s">
        <v>64</v>
      </c>
    </row>
    <row r="5235">
      <c r="A5235" s="4" t="s">
        <v>1446</v>
      </c>
      <c r="B5235" s="4" t="s">
        <v>7138</v>
      </c>
      <c r="C5235" s="4">
        <v>217.0</v>
      </c>
      <c r="D5235" s="5" t="str">
        <f>HYPERLINK("https://www.linkedin.com/ad-library/detail/1443531934","Open Ad")</f>
        <v>Open Ad</v>
      </c>
      <c r="E5235" s="4" t="s">
        <v>52</v>
      </c>
      <c r="F5235" s="4" t="s">
        <v>6765</v>
      </c>
      <c r="G5235" s="4" t="s">
        <v>7235</v>
      </c>
      <c r="H5235" s="4" t="s">
        <v>49</v>
      </c>
      <c r="I5235" s="4" t="s">
        <v>7140</v>
      </c>
      <c r="J5235" s="4" t="s">
        <v>52</v>
      </c>
      <c r="K5235" s="4" t="s">
        <v>59</v>
      </c>
      <c r="L5235" s="4" t="s">
        <v>60</v>
      </c>
      <c r="M5235" s="4" t="s">
        <v>1446</v>
      </c>
      <c r="N5235" s="4"/>
      <c r="O5235" s="4" t="s">
        <v>63</v>
      </c>
      <c r="P5235" s="4" t="s">
        <v>64</v>
      </c>
    </row>
    <row r="5236">
      <c r="A5236" s="4" t="s">
        <v>1446</v>
      </c>
      <c r="B5236" s="4" t="s">
        <v>7138</v>
      </c>
      <c r="C5236" s="4">
        <v>218.0</v>
      </c>
      <c r="D5236" s="5" t="str">
        <f t="shared" ref="D5236:D5237" si="1439">HYPERLINK("https://www.linkedin.com/ad-library/detail/1446009914","Open Ad")</f>
        <v>Open Ad</v>
      </c>
      <c r="E5236" s="4" t="s">
        <v>121</v>
      </c>
      <c r="F5236" s="4" t="s">
        <v>6765</v>
      </c>
      <c r="G5236" s="4" t="s">
        <v>7231</v>
      </c>
      <c r="H5236" s="4" t="s">
        <v>49</v>
      </c>
      <c r="I5236" s="4" t="s">
        <v>7140</v>
      </c>
      <c r="J5236" s="4" t="s">
        <v>121</v>
      </c>
      <c r="K5236" s="7" t="str">
        <f t="shared" ref="K5236:K5237" si="1440">HYPERLINK("https://dms.licdn.com/playlist/vid/v2/D5605AQEZvFX2YaqEQQ/mp4-640p-30fp-crf28/B56Z6s_F.OIoBk-/0/1781018687734?e=2147483647&amp;v=beta&amp;t=mLQm0llZOTKVDfog8i8LWs_ErB9IeRoX_j_PtJuJ-EI","View Creative")</f>
        <v>View Creative</v>
      </c>
      <c r="L5236" s="4" t="s">
        <v>60</v>
      </c>
      <c r="M5236" s="4" t="s">
        <v>1446</v>
      </c>
      <c r="N5236" s="4"/>
      <c r="O5236" s="4" t="s">
        <v>63</v>
      </c>
      <c r="P5236" s="4" t="s">
        <v>64</v>
      </c>
    </row>
    <row r="5237">
      <c r="A5237" s="4" t="s">
        <v>1446</v>
      </c>
      <c r="B5237" s="4" t="s">
        <v>7138</v>
      </c>
      <c r="C5237" s="4">
        <v>219.0</v>
      </c>
      <c r="D5237" s="5" t="str">
        <f t="shared" si="1439"/>
        <v>Open Ad</v>
      </c>
      <c r="E5237" s="4" t="s">
        <v>121</v>
      </c>
      <c r="F5237" s="4" t="s">
        <v>6765</v>
      </c>
      <c r="G5237" s="4" t="s">
        <v>7231</v>
      </c>
      <c r="H5237" s="4" t="s">
        <v>49</v>
      </c>
      <c r="I5237" s="4" t="s">
        <v>7140</v>
      </c>
      <c r="J5237" s="4" t="s">
        <v>121</v>
      </c>
      <c r="K5237" s="7" t="str">
        <f t="shared" si="1440"/>
        <v>View Creative</v>
      </c>
      <c r="L5237" s="4" t="s">
        <v>60</v>
      </c>
      <c r="M5237" s="4" t="s">
        <v>1446</v>
      </c>
      <c r="N5237" s="4"/>
      <c r="O5237" s="4" t="s">
        <v>63</v>
      </c>
      <c r="P5237" s="4" t="s">
        <v>64</v>
      </c>
    </row>
    <row r="5238">
      <c r="A5238" s="4" t="s">
        <v>1446</v>
      </c>
      <c r="B5238" s="4" t="s">
        <v>7138</v>
      </c>
      <c r="C5238" s="4">
        <v>220.0</v>
      </c>
      <c r="D5238" s="5" t="str">
        <f t="shared" ref="D5238:D5239" si="1441">HYPERLINK("https://www.linkedin.com/ad-library/detail/1326909294","Open Ad")</f>
        <v>Open Ad</v>
      </c>
      <c r="E5238" s="4" t="s">
        <v>78</v>
      </c>
      <c r="F5238" s="4" t="s">
        <v>6765</v>
      </c>
      <c r="G5238" s="4" t="s">
        <v>7229</v>
      </c>
      <c r="H5238" s="4" t="s">
        <v>49</v>
      </c>
      <c r="I5238" s="4" t="s">
        <v>7140</v>
      </c>
      <c r="J5238" s="4" t="s">
        <v>78</v>
      </c>
      <c r="K5238" s="7" t="str">
        <f t="shared" ref="K5238:K5239" si="1442">HYPERLINK("https://media.licdn.com/dms/image/v2/D5610AQE7PdWPa9yeqA/image-shrink_1280/B56Z6U59rqHEAc-/0/1780614685609?e=2147483647&amp;v=beta&amp;t=uG-UIzMiCiqEhtDtyUwh4Gp8BEDrmi-peLLFEUFsTOw","View Creative")</f>
        <v>View Creative</v>
      </c>
      <c r="L5238" s="4" t="s">
        <v>60</v>
      </c>
      <c r="M5238" s="4" t="s">
        <v>1446</v>
      </c>
      <c r="N5238" s="4"/>
      <c r="O5238" s="4" t="s">
        <v>63</v>
      </c>
      <c r="P5238" s="4" t="s">
        <v>64</v>
      </c>
    </row>
    <row r="5239">
      <c r="A5239" s="4" t="s">
        <v>1446</v>
      </c>
      <c r="B5239" s="4" t="s">
        <v>7138</v>
      </c>
      <c r="C5239" s="4">
        <v>221.0</v>
      </c>
      <c r="D5239" s="5" t="str">
        <f t="shared" si="1441"/>
        <v>Open Ad</v>
      </c>
      <c r="E5239" s="4" t="s">
        <v>78</v>
      </c>
      <c r="F5239" s="4" t="s">
        <v>6765</v>
      </c>
      <c r="G5239" s="4" t="s">
        <v>7229</v>
      </c>
      <c r="H5239" s="4" t="s">
        <v>49</v>
      </c>
      <c r="I5239" s="4" t="s">
        <v>7140</v>
      </c>
      <c r="J5239" s="4" t="s">
        <v>78</v>
      </c>
      <c r="K5239" s="7" t="str">
        <f t="shared" si="1442"/>
        <v>View Creative</v>
      </c>
      <c r="L5239" s="4" t="s">
        <v>60</v>
      </c>
      <c r="M5239" s="4" t="s">
        <v>1446</v>
      </c>
      <c r="N5239" s="4"/>
      <c r="O5239" s="4" t="s">
        <v>63</v>
      </c>
      <c r="P5239" s="4" t="s">
        <v>64</v>
      </c>
    </row>
    <row r="5240">
      <c r="A5240" s="4" t="s">
        <v>1446</v>
      </c>
      <c r="B5240" s="4" t="s">
        <v>7138</v>
      </c>
      <c r="C5240" s="4">
        <v>222.0</v>
      </c>
      <c r="D5240" s="5" t="str">
        <f t="shared" ref="D5240:D5241" si="1443">HYPERLINK("https://www.linkedin.com/ad-library/detail/1443498834","Open Ad")</f>
        <v>Open Ad</v>
      </c>
      <c r="E5240" s="4" t="s">
        <v>78</v>
      </c>
      <c r="F5240" s="4" t="s">
        <v>6765</v>
      </c>
      <c r="G5240" s="4" t="s">
        <v>7225</v>
      </c>
      <c r="H5240" s="4" t="s">
        <v>49</v>
      </c>
      <c r="I5240" s="4" t="s">
        <v>7140</v>
      </c>
      <c r="J5240" s="4" t="s">
        <v>78</v>
      </c>
      <c r="K5240" s="7" t="str">
        <f t="shared" ref="K5240:K5241" si="1444">HYPERLINK("https://media.licdn.com/dms/image/v2/D5610AQEekAT7WaZZFw/image-shrink_1280/B56Z6U6VKOKgAg-/0/1780614781930?e=2147483647&amp;v=beta&amp;t=5FLY6gum4tNUYkc04eVnO7F2CUEAMT0sFdcF810MA6Y","View Creative")</f>
        <v>View Creative</v>
      </c>
      <c r="L5240" s="4" t="s">
        <v>60</v>
      </c>
      <c r="M5240" s="4" t="s">
        <v>1446</v>
      </c>
      <c r="N5240" s="4"/>
      <c r="O5240" s="4" t="s">
        <v>63</v>
      </c>
      <c r="P5240" s="4" t="s">
        <v>64</v>
      </c>
    </row>
    <row r="5241">
      <c r="A5241" s="4" t="s">
        <v>1446</v>
      </c>
      <c r="B5241" s="4" t="s">
        <v>7138</v>
      </c>
      <c r="C5241" s="4">
        <v>223.0</v>
      </c>
      <c r="D5241" s="5" t="str">
        <f t="shared" si="1443"/>
        <v>Open Ad</v>
      </c>
      <c r="E5241" s="4" t="s">
        <v>78</v>
      </c>
      <c r="F5241" s="4" t="s">
        <v>6765</v>
      </c>
      <c r="G5241" s="4" t="s">
        <v>7225</v>
      </c>
      <c r="H5241" s="4" t="s">
        <v>49</v>
      </c>
      <c r="I5241" s="4" t="s">
        <v>7140</v>
      </c>
      <c r="J5241" s="4" t="s">
        <v>78</v>
      </c>
      <c r="K5241" s="7" t="str">
        <f t="shared" si="1444"/>
        <v>View Creative</v>
      </c>
      <c r="L5241" s="4" t="s">
        <v>60</v>
      </c>
      <c r="M5241" s="4" t="s">
        <v>1446</v>
      </c>
      <c r="N5241" s="4"/>
      <c r="O5241" s="4" t="s">
        <v>63</v>
      </c>
      <c r="P5241" s="4" t="s">
        <v>64</v>
      </c>
    </row>
    <row r="5242">
      <c r="A5242" s="4" t="s">
        <v>1446</v>
      </c>
      <c r="B5242" s="4" t="s">
        <v>7138</v>
      </c>
      <c r="C5242" s="4">
        <v>224.0</v>
      </c>
      <c r="D5242" s="5" t="str">
        <f t="shared" ref="D5242:D5243" si="1445">HYPERLINK("https://www.linkedin.com/ad-library/detail/1284547004","Open Ad")</f>
        <v>Open Ad</v>
      </c>
      <c r="E5242" s="4" t="s">
        <v>78</v>
      </c>
      <c r="F5242" s="4" t="s">
        <v>6765</v>
      </c>
      <c r="G5242" s="4" t="s">
        <v>7198</v>
      </c>
      <c r="H5242" s="4" t="s">
        <v>7199</v>
      </c>
      <c r="I5242" s="4" t="s">
        <v>7140</v>
      </c>
      <c r="J5242" s="4" t="s">
        <v>78</v>
      </c>
      <c r="K5242" s="7" t="str">
        <f t="shared" ref="K5242:K5243" si="1446">HYPERLINK("https://media.licdn.com/dms/image/sync/v2/D5627AQFX2ttCwROi6A/articleshare-shrink_1280_800/B4DZ5qII2OGcAY-/0/1779896980178?e=2147483647&amp;v=beta&amp;t=DomfkxSKWoO2ZmrEihmo9x_r_hW7O0SH2IY6Ehomuo0","View Creative")</f>
        <v>View Creative</v>
      </c>
      <c r="L5242" s="4" t="s">
        <v>60</v>
      </c>
      <c r="M5242" s="4" t="s">
        <v>1446</v>
      </c>
      <c r="N5242" s="4"/>
      <c r="O5242" s="4" t="s">
        <v>63</v>
      </c>
      <c r="P5242" s="4" t="s">
        <v>64</v>
      </c>
    </row>
    <row r="5243">
      <c r="A5243" s="4" t="s">
        <v>1446</v>
      </c>
      <c r="B5243" s="4" t="s">
        <v>7138</v>
      </c>
      <c r="C5243" s="4">
        <v>225.0</v>
      </c>
      <c r="D5243" s="5" t="str">
        <f t="shared" si="1445"/>
        <v>Open Ad</v>
      </c>
      <c r="E5243" s="4" t="s">
        <v>78</v>
      </c>
      <c r="F5243" s="4" t="s">
        <v>6765</v>
      </c>
      <c r="G5243" s="4" t="s">
        <v>7198</v>
      </c>
      <c r="H5243" s="4" t="s">
        <v>7199</v>
      </c>
      <c r="I5243" s="4" t="s">
        <v>7140</v>
      </c>
      <c r="J5243" s="4" t="s">
        <v>78</v>
      </c>
      <c r="K5243" s="7" t="str">
        <f t="shared" si="1446"/>
        <v>View Creative</v>
      </c>
      <c r="L5243" s="4" t="s">
        <v>60</v>
      </c>
      <c r="M5243" s="4" t="s">
        <v>1446</v>
      </c>
      <c r="N5243" s="4"/>
      <c r="O5243" s="4" t="s">
        <v>63</v>
      </c>
      <c r="P5243" s="4" t="s">
        <v>64</v>
      </c>
    </row>
    <row r="5244">
      <c r="A5244" s="4" t="s">
        <v>1446</v>
      </c>
      <c r="B5244" s="4" t="s">
        <v>7138</v>
      </c>
      <c r="C5244" s="4">
        <v>226.0</v>
      </c>
      <c r="D5244" s="5" t="str">
        <f>HYPERLINK("https://www.linkedin.com/ad-library/detail/1443392704","Open Ad")</f>
        <v>Open Ad</v>
      </c>
      <c r="E5244" s="4" t="s">
        <v>52</v>
      </c>
      <c r="F5244" s="4" t="s">
        <v>6765</v>
      </c>
      <c r="G5244" s="4" t="s">
        <v>7226</v>
      </c>
      <c r="H5244" s="4" t="s">
        <v>49</v>
      </c>
      <c r="I5244" s="4" t="s">
        <v>7140</v>
      </c>
      <c r="J5244" s="4" t="s">
        <v>52</v>
      </c>
      <c r="K5244" s="4" t="s">
        <v>59</v>
      </c>
      <c r="L5244" s="4" t="s">
        <v>60</v>
      </c>
      <c r="M5244" s="4" t="s">
        <v>1446</v>
      </c>
      <c r="N5244" s="4"/>
      <c r="O5244" s="4" t="s">
        <v>63</v>
      </c>
      <c r="P5244" s="4" t="s">
        <v>64</v>
      </c>
    </row>
    <row r="5245">
      <c r="A5245" s="4" t="s">
        <v>1446</v>
      </c>
      <c r="B5245" s="4" t="s">
        <v>7138</v>
      </c>
      <c r="C5245" s="4">
        <v>227.0</v>
      </c>
      <c r="D5245" s="5" t="str">
        <f t="shared" ref="D5245:D5246" si="1447">HYPERLINK("https://www.linkedin.com/ad-library/detail/1285647194","Open Ad")</f>
        <v>Open Ad</v>
      </c>
      <c r="E5245" s="4" t="s">
        <v>78</v>
      </c>
      <c r="F5245" s="4" t="s">
        <v>6765</v>
      </c>
      <c r="G5245" s="4" t="s">
        <v>7198</v>
      </c>
      <c r="H5245" s="4" t="s">
        <v>7199</v>
      </c>
      <c r="I5245" s="4" t="s">
        <v>7140</v>
      </c>
      <c r="J5245" s="4" t="s">
        <v>78</v>
      </c>
      <c r="K5245" s="7" t="str">
        <f t="shared" ref="K5245:K5246" si="1448">HYPERLINK("https://media.licdn.com/dms/image/sync/v2/D5627AQFX2ttCwROi6A/articleshare-shrink_1280_800/B4DZ5qII2OGcAY-/0/1779896980178?e=2147483647&amp;v=beta&amp;t=DomfkxSKWoO2ZmrEihmo9x_r_hW7O0SH2IY6Ehomuo0","View Creative")</f>
        <v>View Creative</v>
      </c>
      <c r="L5245" s="4" t="s">
        <v>60</v>
      </c>
      <c r="M5245" s="4" t="s">
        <v>1446</v>
      </c>
      <c r="N5245" s="4"/>
      <c r="O5245" s="4" t="s">
        <v>63</v>
      </c>
      <c r="P5245" s="4" t="s">
        <v>64</v>
      </c>
    </row>
    <row r="5246">
      <c r="A5246" s="4" t="s">
        <v>1446</v>
      </c>
      <c r="B5246" s="4" t="s">
        <v>7138</v>
      </c>
      <c r="C5246" s="4">
        <v>228.0</v>
      </c>
      <c r="D5246" s="5" t="str">
        <f t="shared" si="1447"/>
        <v>Open Ad</v>
      </c>
      <c r="E5246" s="4" t="s">
        <v>78</v>
      </c>
      <c r="F5246" s="4" t="s">
        <v>6765</v>
      </c>
      <c r="G5246" s="4" t="s">
        <v>7198</v>
      </c>
      <c r="H5246" s="4" t="s">
        <v>7199</v>
      </c>
      <c r="I5246" s="4" t="s">
        <v>7140</v>
      </c>
      <c r="J5246" s="4" t="s">
        <v>78</v>
      </c>
      <c r="K5246" s="7" t="str">
        <f t="shared" si="1448"/>
        <v>View Creative</v>
      </c>
      <c r="L5246" s="4" t="s">
        <v>60</v>
      </c>
      <c r="M5246" s="4" t="s">
        <v>1446</v>
      </c>
      <c r="N5246" s="4"/>
      <c r="O5246" s="4" t="s">
        <v>63</v>
      </c>
      <c r="P5246" s="4" t="s">
        <v>64</v>
      </c>
    </row>
    <row r="5247">
      <c r="A5247" s="4" t="s">
        <v>1446</v>
      </c>
      <c r="B5247" s="4" t="s">
        <v>7138</v>
      </c>
      <c r="C5247" s="4">
        <v>229.0</v>
      </c>
      <c r="D5247" s="5" t="str">
        <f>HYPERLINK("https://www.linkedin.com/ad-library/detail/1278286724","Open Ad")</f>
        <v>Open Ad</v>
      </c>
      <c r="E5247" s="4" t="s">
        <v>52</v>
      </c>
      <c r="F5247" s="4" t="s">
        <v>6765</v>
      </c>
      <c r="G5247" s="4" t="s">
        <v>7193</v>
      </c>
      <c r="H5247" s="4" t="s">
        <v>49</v>
      </c>
      <c r="I5247" s="4" t="s">
        <v>7140</v>
      </c>
      <c r="J5247" s="4" t="s">
        <v>52</v>
      </c>
      <c r="K5247" s="4" t="s">
        <v>59</v>
      </c>
      <c r="L5247" s="4" t="s">
        <v>60</v>
      </c>
      <c r="M5247" s="4" t="s">
        <v>1446</v>
      </c>
      <c r="N5247" s="4"/>
      <c r="O5247" s="4" t="s">
        <v>63</v>
      </c>
      <c r="P5247" s="4" t="s">
        <v>64</v>
      </c>
    </row>
    <row r="5248">
      <c r="A5248" s="4" t="s">
        <v>1446</v>
      </c>
      <c r="B5248" s="4" t="s">
        <v>7138</v>
      </c>
      <c r="C5248" s="4">
        <v>230.0</v>
      </c>
      <c r="D5248" s="5" t="str">
        <f t="shared" ref="D5248:D5249" si="1449">HYPERLINK("https://www.linkedin.com/ad-library/detail/1293091944","Open Ad")</f>
        <v>Open Ad</v>
      </c>
      <c r="E5248" s="4" t="s">
        <v>78</v>
      </c>
      <c r="F5248" s="4" t="s">
        <v>6765</v>
      </c>
      <c r="G5248" s="4" t="s">
        <v>7236</v>
      </c>
      <c r="H5248" s="4" t="s">
        <v>49</v>
      </c>
      <c r="I5248" s="4" t="s">
        <v>7140</v>
      </c>
      <c r="J5248" s="4" t="s">
        <v>78</v>
      </c>
      <c r="K5248" s="7" t="str">
        <f t="shared" ref="K5248:K5249" si="1450">HYPERLINK("https://media.licdn.com/dms/image/v2/D5622AQE-lUbHYpHXSg/feedshare-image-high-res/B56Z399vZxGUAY-/0/1778082314280?e=2147483647&amp;v=beta&amp;t=9BAh-yG_s7EDerbkjK7ytA9N-85KWtWRjF0UB4nqLqY","View Creative")</f>
        <v>View Creative</v>
      </c>
      <c r="L5248" s="4" t="s">
        <v>60</v>
      </c>
      <c r="M5248" s="4" t="s">
        <v>1446</v>
      </c>
      <c r="N5248" s="4"/>
      <c r="O5248" s="4" t="s">
        <v>63</v>
      </c>
      <c r="P5248" s="4" t="s">
        <v>64</v>
      </c>
    </row>
    <row r="5249">
      <c r="A5249" s="4" t="s">
        <v>1446</v>
      </c>
      <c r="B5249" s="4" t="s">
        <v>7138</v>
      </c>
      <c r="C5249" s="4">
        <v>231.0</v>
      </c>
      <c r="D5249" s="5" t="str">
        <f t="shared" si="1449"/>
        <v>Open Ad</v>
      </c>
      <c r="E5249" s="4" t="s">
        <v>78</v>
      </c>
      <c r="F5249" s="4" t="s">
        <v>6765</v>
      </c>
      <c r="G5249" s="4" t="s">
        <v>7236</v>
      </c>
      <c r="H5249" s="4" t="s">
        <v>49</v>
      </c>
      <c r="I5249" s="4" t="s">
        <v>7140</v>
      </c>
      <c r="J5249" s="4" t="s">
        <v>78</v>
      </c>
      <c r="K5249" s="7" t="str">
        <f t="shared" si="1450"/>
        <v>View Creative</v>
      </c>
      <c r="L5249" s="4" t="s">
        <v>60</v>
      </c>
      <c r="M5249" s="4" t="s">
        <v>1446</v>
      </c>
      <c r="N5249" s="4"/>
      <c r="O5249" s="4" t="s">
        <v>63</v>
      </c>
      <c r="P5249" s="4" t="s">
        <v>64</v>
      </c>
    </row>
    <row r="5250">
      <c r="A5250" s="4" t="s">
        <v>1446</v>
      </c>
      <c r="B5250" s="4" t="s">
        <v>7138</v>
      </c>
      <c r="C5250" s="4">
        <v>232.0</v>
      </c>
      <c r="D5250" s="5" t="str">
        <f t="shared" ref="D5250:D5251" si="1451">HYPERLINK("https://www.linkedin.com/ad-library/detail/1291992544","Open Ad")</f>
        <v>Open Ad</v>
      </c>
      <c r="E5250" s="4" t="s">
        <v>78</v>
      </c>
      <c r="F5250" s="4" t="s">
        <v>6765</v>
      </c>
      <c r="G5250" s="4" t="s">
        <v>7202</v>
      </c>
      <c r="H5250" s="4" t="s">
        <v>49</v>
      </c>
      <c r="I5250" s="4" t="s">
        <v>7140</v>
      </c>
      <c r="J5250" s="4" t="s">
        <v>78</v>
      </c>
      <c r="K5250" s="7" t="str">
        <f t="shared" ref="K5250:K5251" si="1452">HYPERLINK("https://media.licdn.com/dms/image/v2/D4E22AQEqRE-kod-YWA/feedshare-image-high-res/B4EZ398HAQH0AY-/0/1778081886723?e=2147483647&amp;v=beta&amp;t=-wLfaZ_iT7EOfmS63OLApJHy_G4EAtERfOcUoCcGqoY","View Creative")</f>
        <v>View Creative</v>
      </c>
      <c r="L5250" s="4" t="s">
        <v>60</v>
      </c>
      <c r="M5250" s="4" t="s">
        <v>1446</v>
      </c>
      <c r="N5250" s="4"/>
      <c r="O5250" s="4" t="s">
        <v>63</v>
      </c>
      <c r="P5250" s="4" t="s">
        <v>64</v>
      </c>
    </row>
    <row r="5251">
      <c r="A5251" s="4" t="s">
        <v>1446</v>
      </c>
      <c r="B5251" s="4" t="s">
        <v>7138</v>
      </c>
      <c r="C5251" s="4">
        <v>233.0</v>
      </c>
      <c r="D5251" s="5" t="str">
        <f t="shared" si="1451"/>
        <v>Open Ad</v>
      </c>
      <c r="E5251" s="4" t="s">
        <v>78</v>
      </c>
      <c r="F5251" s="4" t="s">
        <v>6765</v>
      </c>
      <c r="G5251" s="4" t="s">
        <v>7202</v>
      </c>
      <c r="H5251" s="4" t="s">
        <v>49</v>
      </c>
      <c r="I5251" s="4" t="s">
        <v>7140</v>
      </c>
      <c r="J5251" s="4" t="s">
        <v>78</v>
      </c>
      <c r="K5251" s="7" t="str">
        <f t="shared" si="1452"/>
        <v>View Creative</v>
      </c>
      <c r="L5251" s="4" t="s">
        <v>60</v>
      </c>
      <c r="M5251" s="4" t="s">
        <v>1446</v>
      </c>
      <c r="N5251" s="4"/>
      <c r="O5251" s="4" t="s">
        <v>63</v>
      </c>
      <c r="P5251" s="4" t="s">
        <v>64</v>
      </c>
    </row>
    <row r="5252">
      <c r="A5252" s="4" t="s">
        <v>1446</v>
      </c>
      <c r="B5252" s="4" t="s">
        <v>7138</v>
      </c>
      <c r="C5252" s="4">
        <v>234.0</v>
      </c>
      <c r="D5252" s="5" t="str">
        <f>HYPERLINK("https://www.linkedin.com/ad-library/detail/1443297654","Open Ad")</f>
        <v>Open Ad</v>
      </c>
      <c r="E5252" s="4" t="s">
        <v>52</v>
      </c>
      <c r="F5252" s="4" t="s">
        <v>6765</v>
      </c>
      <c r="G5252" s="4" t="s">
        <v>7237</v>
      </c>
      <c r="H5252" s="4" t="s">
        <v>49</v>
      </c>
      <c r="I5252" s="4" t="s">
        <v>7140</v>
      </c>
      <c r="J5252" s="4" t="s">
        <v>52</v>
      </c>
      <c r="K5252" s="4" t="s">
        <v>59</v>
      </c>
      <c r="L5252" s="4" t="s">
        <v>60</v>
      </c>
      <c r="M5252" s="4" t="s">
        <v>1446</v>
      </c>
      <c r="N5252" s="4"/>
      <c r="O5252" s="4" t="s">
        <v>63</v>
      </c>
      <c r="P5252" s="4" t="s">
        <v>64</v>
      </c>
    </row>
    <row r="5253">
      <c r="A5253" s="4" t="s">
        <v>1446</v>
      </c>
      <c r="B5253" s="4" t="s">
        <v>7138</v>
      </c>
      <c r="C5253" s="4">
        <v>235.0</v>
      </c>
      <c r="D5253" s="5" t="str">
        <f>HYPERLINK("https://www.linkedin.com/ad-library/detail/1443297644","Open Ad")</f>
        <v>Open Ad</v>
      </c>
      <c r="E5253" s="4" t="s">
        <v>52</v>
      </c>
      <c r="F5253" s="4" t="s">
        <v>6765</v>
      </c>
      <c r="G5253" s="4" t="s">
        <v>7238</v>
      </c>
      <c r="H5253" s="4" t="s">
        <v>49</v>
      </c>
      <c r="I5253" s="4" t="s">
        <v>7140</v>
      </c>
      <c r="J5253" s="4" t="s">
        <v>52</v>
      </c>
      <c r="K5253" s="4" t="s">
        <v>59</v>
      </c>
      <c r="L5253" s="4" t="s">
        <v>60</v>
      </c>
      <c r="M5253" s="4" t="s">
        <v>1446</v>
      </c>
      <c r="N5253" s="4"/>
      <c r="O5253" s="4" t="s">
        <v>63</v>
      </c>
      <c r="P5253" s="4" t="s">
        <v>64</v>
      </c>
    </row>
    <row r="5254">
      <c r="A5254" s="4" t="s">
        <v>1446</v>
      </c>
      <c r="B5254" s="4" t="s">
        <v>7138</v>
      </c>
      <c r="C5254" s="4">
        <v>236.0</v>
      </c>
      <c r="D5254" s="5" t="str">
        <f>HYPERLINK("https://www.linkedin.com/ad-library/detail/1249579944","Open Ad")</f>
        <v>Open Ad</v>
      </c>
      <c r="E5254" s="4" t="s">
        <v>52</v>
      </c>
      <c r="F5254" s="4" t="s">
        <v>6765</v>
      </c>
      <c r="G5254" s="4" t="s">
        <v>7239</v>
      </c>
      <c r="H5254" s="4" t="s">
        <v>49</v>
      </c>
      <c r="I5254" s="4" t="s">
        <v>7140</v>
      </c>
      <c r="J5254" s="4" t="s">
        <v>52</v>
      </c>
      <c r="K5254" s="4" t="s">
        <v>59</v>
      </c>
      <c r="L5254" s="4" t="s">
        <v>60</v>
      </c>
      <c r="M5254" s="4" t="s">
        <v>1446</v>
      </c>
      <c r="N5254" s="4"/>
      <c r="O5254" s="4" t="s">
        <v>63</v>
      </c>
      <c r="P5254" s="4" t="s">
        <v>64</v>
      </c>
    </row>
    <row r="5255">
      <c r="A5255" s="4" t="s">
        <v>1446</v>
      </c>
      <c r="B5255" s="4" t="s">
        <v>7138</v>
      </c>
      <c r="C5255" s="4">
        <v>237.0</v>
      </c>
      <c r="D5255" s="5" t="str">
        <f>HYPERLINK("https://www.linkedin.com/ad-library/detail/1443316594","Open Ad")</f>
        <v>Open Ad</v>
      </c>
      <c r="E5255" s="4" t="s">
        <v>52</v>
      </c>
      <c r="F5255" s="4" t="s">
        <v>6765</v>
      </c>
      <c r="G5255" s="4" t="s">
        <v>7240</v>
      </c>
      <c r="H5255" s="4" t="s">
        <v>49</v>
      </c>
      <c r="I5255" s="4" t="s">
        <v>7140</v>
      </c>
      <c r="J5255" s="4" t="s">
        <v>52</v>
      </c>
      <c r="K5255" s="4" t="s">
        <v>59</v>
      </c>
      <c r="L5255" s="4" t="s">
        <v>60</v>
      </c>
      <c r="M5255" s="4" t="s">
        <v>1446</v>
      </c>
      <c r="N5255" s="4"/>
      <c r="O5255" s="4" t="s">
        <v>63</v>
      </c>
      <c r="P5255" s="4" t="s">
        <v>64</v>
      </c>
    </row>
    <row r="5256">
      <c r="A5256" s="4" t="s">
        <v>1446</v>
      </c>
      <c r="B5256" s="4" t="s">
        <v>7138</v>
      </c>
      <c r="C5256" s="4">
        <v>238.0</v>
      </c>
      <c r="D5256" s="5" t="str">
        <f t="shared" ref="D5256:D5257" si="1453">HYPERLINK("https://www.linkedin.com/ad-library/detail/1245469494","Open Ad")</f>
        <v>Open Ad</v>
      </c>
      <c r="E5256" s="4" t="s">
        <v>78</v>
      </c>
      <c r="F5256" s="4" t="s">
        <v>6765</v>
      </c>
      <c r="G5256" s="4" t="s">
        <v>7241</v>
      </c>
      <c r="H5256" s="4" t="s">
        <v>49</v>
      </c>
      <c r="I5256" s="4" t="s">
        <v>7140</v>
      </c>
      <c r="J5256" s="4" t="s">
        <v>78</v>
      </c>
      <c r="K5256" s="7" t="str">
        <f t="shared" ref="K5256:K5257" si="1454">HYPERLINK("https://media.licdn.com/dms/image/v2/D5610AQEaosUYGjyP9A/image-shrink_1280/B56Z2SaqUdIQAc-/0/1776277956578?e=2147483647&amp;v=beta&amp;t=0nJ5DaK49lvRE55_dWJKc8VJXT4yIdPpmiifYF4C1i0","View Creative")</f>
        <v>View Creative</v>
      </c>
      <c r="L5256" s="4" t="s">
        <v>60</v>
      </c>
      <c r="M5256" s="4" t="s">
        <v>1446</v>
      </c>
      <c r="N5256" s="4"/>
      <c r="O5256" s="4" t="s">
        <v>63</v>
      </c>
      <c r="P5256" s="4" t="s">
        <v>64</v>
      </c>
    </row>
    <row r="5257">
      <c r="A5257" s="4" t="s">
        <v>1446</v>
      </c>
      <c r="B5257" s="4" t="s">
        <v>7138</v>
      </c>
      <c r="C5257" s="4">
        <v>239.0</v>
      </c>
      <c r="D5257" s="5" t="str">
        <f t="shared" si="1453"/>
        <v>Open Ad</v>
      </c>
      <c r="E5257" s="4" t="s">
        <v>78</v>
      </c>
      <c r="F5257" s="4" t="s">
        <v>6765</v>
      </c>
      <c r="G5257" s="4" t="s">
        <v>7241</v>
      </c>
      <c r="H5257" s="4" t="s">
        <v>49</v>
      </c>
      <c r="I5257" s="4" t="s">
        <v>7140</v>
      </c>
      <c r="J5257" s="4" t="s">
        <v>78</v>
      </c>
      <c r="K5257" s="7" t="str">
        <f t="shared" si="1454"/>
        <v>View Creative</v>
      </c>
      <c r="L5257" s="4" t="s">
        <v>60</v>
      </c>
      <c r="M5257" s="4" t="s">
        <v>1446</v>
      </c>
      <c r="N5257" s="4"/>
      <c r="O5257" s="4" t="s">
        <v>63</v>
      </c>
      <c r="P5257" s="4" t="s">
        <v>64</v>
      </c>
    </row>
    <row r="5258">
      <c r="A5258" s="4" t="s">
        <v>1446</v>
      </c>
      <c r="B5258" s="4" t="s">
        <v>7138</v>
      </c>
      <c r="C5258" s="4">
        <v>240.0</v>
      </c>
      <c r="D5258" s="5" t="str">
        <f t="shared" ref="D5258:D5259" si="1455">HYPERLINK("https://www.linkedin.com/ad-library/detail/1294209124","Open Ad")</f>
        <v>Open Ad</v>
      </c>
      <c r="E5258" s="4" t="s">
        <v>121</v>
      </c>
      <c r="F5258" s="4" t="s">
        <v>6765</v>
      </c>
      <c r="G5258" s="4" t="s">
        <v>7175</v>
      </c>
      <c r="H5258" s="4" t="s">
        <v>49</v>
      </c>
      <c r="I5258" s="4" t="s">
        <v>7140</v>
      </c>
      <c r="J5258" s="4" t="s">
        <v>121</v>
      </c>
      <c r="K5258" s="7" t="str">
        <f t="shared" ref="K5258:K5259" si="1456">HYPERLINK("https://dms.licdn.com/playlist/vid/v2/D5605AQEWNe09ZoqOxA/mp4-720p-30fp-crf28/B56Z4h8If4IYB4-/0/1778685879338?e=2147483647&amp;v=beta&amp;t=GcORgHPD11kmTB6xULXOiMdQZ41gwkeyuXn30kkHS1s","View Creative")</f>
        <v>View Creative</v>
      </c>
      <c r="L5258" s="4" t="s">
        <v>60</v>
      </c>
      <c r="M5258" s="4" t="s">
        <v>1446</v>
      </c>
      <c r="N5258" s="4"/>
      <c r="O5258" s="4" t="s">
        <v>63</v>
      </c>
      <c r="P5258" s="4" t="s">
        <v>64</v>
      </c>
    </row>
    <row r="5259">
      <c r="A5259" s="4" t="s">
        <v>1446</v>
      </c>
      <c r="B5259" s="4" t="s">
        <v>7138</v>
      </c>
      <c r="C5259" s="4">
        <v>241.0</v>
      </c>
      <c r="D5259" s="5" t="str">
        <f t="shared" si="1455"/>
        <v>Open Ad</v>
      </c>
      <c r="E5259" s="4" t="s">
        <v>121</v>
      </c>
      <c r="F5259" s="4" t="s">
        <v>6765</v>
      </c>
      <c r="G5259" s="4" t="s">
        <v>7175</v>
      </c>
      <c r="H5259" s="4" t="s">
        <v>49</v>
      </c>
      <c r="I5259" s="4" t="s">
        <v>7140</v>
      </c>
      <c r="J5259" s="4" t="s">
        <v>121</v>
      </c>
      <c r="K5259" s="7" t="str">
        <f t="shared" si="1456"/>
        <v>View Creative</v>
      </c>
      <c r="L5259" s="4" t="s">
        <v>60</v>
      </c>
      <c r="M5259" s="4" t="s">
        <v>1446</v>
      </c>
      <c r="N5259" s="4"/>
      <c r="O5259" s="4" t="s">
        <v>63</v>
      </c>
      <c r="P5259" s="4" t="s">
        <v>64</v>
      </c>
    </row>
    <row r="5260">
      <c r="A5260" s="4" t="s">
        <v>1446</v>
      </c>
      <c r="B5260" s="4" t="s">
        <v>7138</v>
      </c>
      <c r="C5260" s="4">
        <v>242.0</v>
      </c>
      <c r="D5260" s="5" t="str">
        <f t="shared" ref="D5260:D5261" si="1457">HYPERLINK("https://www.linkedin.com/ad-library/detail/1294209134","Open Ad")</f>
        <v>Open Ad</v>
      </c>
      <c r="E5260" s="4" t="s">
        <v>121</v>
      </c>
      <c r="F5260" s="4" t="s">
        <v>6765</v>
      </c>
      <c r="G5260" s="4" t="s">
        <v>7242</v>
      </c>
      <c r="H5260" s="4" t="s">
        <v>49</v>
      </c>
      <c r="I5260" s="4" t="s">
        <v>7140</v>
      </c>
      <c r="J5260" s="4" t="s">
        <v>121</v>
      </c>
      <c r="K5260" s="7" t="str">
        <f t="shared" ref="K5260:K5261" si="1458">HYPERLINK("https://dms.licdn.com/playlist/vid/v2/D5605AQGI4ivDWv93JA/mp4-640p-30fp-crf28/B56Z4h.zwpG0Bg-/0/1778686579865?e=2147483647&amp;v=beta&amp;t=tk47JFLNynE8jBU7qlpI5ZoK6pivMIqL4O9zjsmKey4","View Creative")</f>
        <v>View Creative</v>
      </c>
      <c r="L5260" s="4" t="s">
        <v>60</v>
      </c>
      <c r="M5260" s="4" t="s">
        <v>1446</v>
      </c>
      <c r="N5260" s="4"/>
      <c r="O5260" s="4" t="s">
        <v>63</v>
      </c>
      <c r="P5260" s="4" t="s">
        <v>64</v>
      </c>
    </row>
    <row r="5261">
      <c r="A5261" s="4" t="s">
        <v>1446</v>
      </c>
      <c r="B5261" s="4" t="s">
        <v>7138</v>
      </c>
      <c r="C5261" s="4">
        <v>243.0</v>
      </c>
      <c r="D5261" s="5" t="str">
        <f t="shared" si="1457"/>
        <v>Open Ad</v>
      </c>
      <c r="E5261" s="4" t="s">
        <v>121</v>
      </c>
      <c r="F5261" s="4" t="s">
        <v>6765</v>
      </c>
      <c r="G5261" s="4" t="s">
        <v>7242</v>
      </c>
      <c r="H5261" s="4" t="s">
        <v>49</v>
      </c>
      <c r="I5261" s="4" t="s">
        <v>7140</v>
      </c>
      <c r="J5261" s="4" t="s">
        <v>121</v>
      </c>
      <c r="K5261" s="7" t="str">
        <f t="shared" si="1458"/>
        <v>View Creative</v>
      </c>
      <c r="L5261" s="4" t="s">
        <v>60</v>
      </c>
      <c r="M5261" s="4" t="s">
        <v>1446</v>
      </c>
      <c r="N5261" s="4"/>
      <c r="O5261" s="4" t="s">
        <v>63</v>
      </c>
      <c r="P5261" s="4" t="s">
        <v>64</v>
      </c>
    </row>
    <row r="5262">
      <c r="A5262" s="4" t="s">
        <v>1446</v>
      </c>
      <c r="B5262" s="4" t="s">
        <v>7138</v>
      </c>
      <c r="C5262" s="4">
        <v>244.0</v>
      </c>
      <c r="D5262" s="5" t="str">
        <f t="shared" ref="D5262:D5263" si="1459">HYPERLINK("https://www.linkedin.com/ad-library/detail/1283587994","Open Ad")</f>
        <v>Open Ad</v>
      </c>
      <c r="E5262" s="4" t="s">
        <v>78</v>
      </c>
      <c r="F5262" s="4" t="s">
        <v>6765</v>
      </c>
      <c r="G5262" s="4" t="s">
        <v>7211</v>
      </c>
      <c r="H5262" s="4" t="s">
        <v>49</v>
      </c>
      <c r="I5262" s="4" t="s">
        <v>7140</v>
      </c>
      <c r="J5262" s="4" t="s">
        <v>78</v>
      </c>
      <c r="K5262" s="7" t="str">
        <f t="shared" ref="K5262:K5263" si="1460">HYPERLINK("https://media.licdn.com/dms/image/v2/D4E22AQEFMpCrbqftKQ/feedshare-shrink_1280/B4EZ2_rdGhKYAM-/0/1777037333903?e=2147483647&amp;v=beta&amp;t=MkS-yo7ZAZhl09hLFYcA5Q88kAALwR2GOxPv6MfaDgY","View Creative")</f>
        <v>View Creative</v>
      </c>
      <c r="L5262" s="4" t="s">
        <v>60</v>
      </c>
      <c r="M5262" s="4" t="s">
        <v>1446</v>
      </c>
      <c r="N5262" s="4"/>
      <c r="O5262" s="4" t="s">
        <v>63</v>
      </c>
      <c r="P5262" s="4" t="s">
        <v>64</v>
      </c>
    </row>
    <row r="5263">
      <c r="A5263" s="4" t="s">
        <v>1446</v>
      </c>
      <c r="B5263" s="4" t="s">
        <v>7138</v>
      </c>
      <c r="C5263" s="4">
        <v>245.0</v>
      </c>
      <c r="D5263" s="5" t="str">
        <f t="shared" si="1459"/>
        <v>Open Ad</v>
      </c>
      <c r="E5263" s="4" t="s">
        <v>78</v>
      </c>
      <c r="F5263" s="4" t="s">
        <v>6765</v>
      </c>
      <c r="G5263" s="4" t="s">
        <v>7211</v>
      </c>
      <c r="H5263" s="4" t="s">
        <v>49</v>
      </c>
      <c r="I5263" s="4" t="s">
        <v>7140</v>
      </c>
      <c r="J5263" s="4" t="s">
        <v>78</v>
      </c>
      <c r="K5263" s="7" t="str">
        <f t="shared" si="1460"/>
        <v>View Creative</v>
      </c>
      <c r="L5263" s="4" t="s">
        <v>60</v>
      </c>
      <c r="M5263" s="4" t="s">
        <v>1446</v>
      </c>
      <c r="N5263" s="4"/>
      <c r="O5263" s="4" t="s">
        <v>63</v>
      </c>
      <c r="P5263" s="4" t="s">
        <v>64</v>
      </c>
    </row>
    <row r="5264">
      <c r="A5264" s="4" t="s">
        <v>1446</v>
      </c>
      <c r="B5264" s="4" t="s">
        <v>7138</v>
      </c>
      <c r="C5264" s="4">
        <v>246.0</v>
      </c>
      <c r="D5264" s="5" t="str">
        <f t="shared" ref="D5264:D5265" si="1461">HYPERLINK("https://www.linkedin.com/ad-library/detail/1279410864","Open Ad")</f>
        <v>Open Ad</v>
      </c>
      <c r="E5264" s="4" t="s">
        <v>78</v>
      </c>
      <c r="F5264" s="4" t="s">
        <v>6765</v>
      </c>
      <c r="G5264" s="4" t="s">
        <v>7243</v>
      </c>
      <c r="H5264" s="4" t="s">
        <v>49</v>
      </c>
      <c r="I5264" s="4" t="s">
        <v>7140</v>
      </c>
      <c r="J5264" s="4" t="s">
        <v>78</v>
      </c>
      <c r="K5264" s="7" t="str">
        <f t="shared" ref="K5264:K5265" si="1462">HYPERLINK("https://media.licdn.com/dms/image/v2/D5610AQEHlqpwXP032w/image-shrink_1280/B56Z22eZAmIkAc-/0/1776882914000?e=2147483647&amp;v=beta&amp;t=nd9ZGetcOqLdlb0HRfFiz-JPrvPcQvLe6M65TtVTKKg","View Creative")</f>
        <v>View Creative</v>
      </c>
      <c r="L5264" s="4" t="s">
        <v>60</v>
      </c>
      <c r="M5264" s="4" t="s">
        <v>1446</v>
      </c>
      <c r="N5264" s="4"/>
      <c r="O5264" s="4" t="s">
        <v>63</v>
      </c>
      <c r="P5264" s="4" t="s">
        <v>64</v>
      </c>
    </row>
    <row r="5265">
      <c r="A5265" s="4" t="s">
        <v>1446</v>
      </c>
      <c r="B5265" s="4" t="s">
        <v>7138</v>
      </c>
      <c r="C5265" s="4">
        <v>247.0</v>
      </c>
      <c r="D5265" s="5" t="str">
        <f t="shared" si="1461"/>
        <v>Open Ad</v>
      </c>
      <c r="E5265" s="4" t="s">
        <v>78</v>
      </c>
      <c r="F5265" s="4" t="s">
        <v>6765</v>
      </c>
      <c r="G5265" s="4" t="s">
        <v>7243</v>
      </c>
      <c r="H5265" s="4" t="s">
        <v>49</v>
      </c>
      <c r="I5265" s="4" t="s">
        <v>7140</v>
      </c>
      <c r="J5265" s="4" t="s">
        <v>78</v>
      </c>
      <c r="K5265" s="7" t="str">
        <f t="shared" si="1462"/>
        <v>View Creative</v>
      </c>
      <c r="L5265" s="4" t="s">
        <v>60</v>
      </c>
      <c r="M5265" s="4" t="s">
        <v>1446</v>
      </c>
      <c r="N5265" s="4"/>
      <c r="O5265" s="4" t="s">
        <v>63</v>
      </c>
      <c r="P5265" s="4" t="s">
        <v>64</v>
      </c>
    </row>
    <row r="5266">
      <c r="A5266" s="4" t="s">
        <v>1446</v>
      </c>
      <c r="B5266" s="4" t="s">
        <v>7138</v>
      </c>
      <c r="C5266" s="4">
        <v>248.0</v>
      </c>
      <c r="D5266" s="5" t="str">
        <f t="shared" ref="D5266:D5267" si="1463">HYPERLINK("https://www.linkedin.com/ad-library/detail/1277910444","Open Ad")</f>
        <v>Open Ad</v>
      </c>
      <c r="E5266" s="4" t="s">
        <v>78</v>
      </c>
      <c r="F5266" s="4" t="s">
        <v>6765</v>
      </c>
      <c r="G5266" s="4" t="s">
        <v>7244</v>
      </c>
      <c r="H5266" s="4" t="s">
        <v>49</v>
      </c>
      <c r="I5266" s="4" t="s">
        <v>7140</v>
      </c>
      <c r="J5266" s="4" t="s">
        <v>78</v>
      </c>
      <c r="K5266" s="7" t="str">
        <f t="shared" ref="K5266:K5267" si="1464">HYPERLINK("https://media.licdn.com/dms/image/v2/D5610AQErTq3HVYwRtQ/image-shrink_1280/B56Z22efzNJgAc-/0/1776882941436?e=2147483647&amp;v=beta&amp;t=ySPx7uUo5y7GryZF-jSBgTDnAxHQ18b5sMXM-HVSehQ","View Creative")</f>
        <v>View Creative</v>
      </c>
      <c r="L5266" s="4" t="s">
        <v>60</v>
      </c>
      <c r="M5266" s="4" t="s">
        <v>1446</v>
      </c>
      <c r="N5266" s="4"/>
      <c r="O5266" s="4" t="s">
        <v>63</v>
      </c>
      <c r="P5266" s="4" t="s">
        <v>64</v>
      </c>
    </row>
    <row r="5267">
      <c r="A5267" s="4" t="s">
        <v>1446</v>
      </c>
      <c r="B5267" s="4" t="s">
        <v>7138</v>
      </c>
      <c r="C5267" s="4">
        <v>249.0</v>
      </c>
      <c r="D5267" s="5" t="str">
        <f t="shared" si="1463"/>
        <v>Open Ad</v>
      </c>
      <c r="E5267" s="4" t="s">
        <v>78</v>
      </c>
      <c r="F5267" s="4" t="s">
        <v>6765</v>
      </c>
      <c r="G5267" s="4" t="s">
        <v>7244</v>
      </c>
      <c r="H5267" s="4" t="s">
        <v>49</v>
      </c>
      <c r="I5267" s="4" t="s">
        <v>7140</v>
      </c>
      <c r="J5267" s="4" t="s">
        <v>78</v>
      </c>
      <c r="K5267" s="7" t="str">
        <f t="shared" si="1464"/>
        <v>View Creative</v>
      </c>
      <c r="L5267" s="4" t="s">
        <v>60</v>
      </c>
      <c r="M5267" s="4" t="s">
        <v>1446</v>
      </c>
      <c r="N5267" s="4"/>
      <c r="O5267" s="4" t="s">
        <v>63</v>
      </c>
      <c r="P5267" s="4" t="s">
        <v>64</v>
      </c>
    </row>
    <row r="5268">
      <c r="A5268" s="4" t="s">
        <v>1446</v>
      </c>
      <c r="B5268" s="4" t="s">
        <v>7138</v>
      </c>
      <c r="C5268" s="4">
        <v>250.0</v>
      </c>
      <c r="D5268" s="5" t="str">
        <f t="shared" ref="D5268:D5269" si="1465">HYPERLINK("https://www.linkedin.com/ad-library/detail/1443297504","Open Ad")</f>
        <v>Open Ad</v>
      </c>
      <c r="E5268" s="4" t="s">
        <v>121</v>
      </c>
      <c r="F5268" s="4" t="s">
        <v>6765</v>
      </c>
      <c r="G5268" s="4" t="s">
        <v>7245</v>
      </c>
      <c r="H5268" s="4" t="s">
        <v>49</v>
      </c>
      <c r="I5268" s="4" t="s">
        <v>7140</v>
      </c>
      <c r="J5268" s="4" t="s">
        <v>121</v>
      </c>
      <c r="K5268" s="7" t="str">
        <f t="shared" ref="K5268:K5269" si="1466">HYPERLINK("https://dms.licdn.com/playlist/vid/v2/D4E05AQGfsN6dg4mj9Q/mp4-640p-30fp-crf28/B4EZ5p1dxwK8B0-/0/1779892088095?e=2147483647&amp;v=beta&amp;t=pGqM9eHnlK3jZ57dSDymwYYlknkSU5niFWUmsYoY2MA","View Creative")</f>
        <v>View Creative</v>
      </c>
      <c r="L5268" s="4" t="s">
        <v>60</v>
      </c>
      <c r="M5268" s="4" t="s">
        <v>1446</v>
      </c>
      <c r="N5268" s="4"/>
      <c r="O5268" s="4" t="s">
        <v>63</v>
      </c>
      <c r="P5268" s="4" t="s">
        <v>64</v>
      </c>
    </row>
    <row r="5269">
      <c r="A5269" s="4" t="s">
        <v>1446</v>
      </c>
      <c r="B5269" s="4" t="s">
        <v>7138</v>
      </c>
      <c r="C5269" s="4">
        <v>251.0</v>
      </c>
      <c r="D5269" s="5" t="str">
        <f t="shared" si="1465"/>
        <v>Open Ad</v>
      </c>
      <c r="E5269" s="4" t="s">
        <v>121</v>
      </c>
      <c r="F5269" s="4" t="s">
        <v>6765</v>
      </c>
      <c r="G5269" s="4" t="s">
        <v>7245</v>
      </c>
      <c r="H5269" s="4" t="s">
        <v>49</v>
      </c>
      <c r="I5269" s="4" t="s">
        <v>7140</v>
      </c>
      <c r="J5269" s="4" t="s">
        <v>121</v>
      </c>
      <c r="K5269" s="7" t="str">
        <f t="shared" si="1466"/>
        <v>View Creative</v>
      </c>
      <c r="L5269" s="4" t="s">
        <v>60</v>
      </c>
      <c r="M5269" s="4" t="s">
        <v>1446</v>
      </c>
      <c r="N5269" s="4"/>
      <c r="O5269" s="4" t="s">
        <v>63</v>
      </c>
      <c r="P5269" s="4" t="s">
        <v>64</v>
      </c>
    </row>
    <row r="5270">
      <c r="A5270" s="4" t="s">
        <v>1446</v>
      </c>
      <c r="B5270" s="4" t="s">
        <v>7138</v>
      </c>
      <c r="C5270" s="4">
        <v>252.0</v>
      </c>
      <c r="D5270" s="5" t="str">
        <f t="shared" ref="D5270:D5271" si="1467">HYPERLINK("https://www.linkedin.com/ad-library/detail/1284446034","Open Ad")</f>
        <v>Open Ad</v>
      </c>
      <c r="E5270" s="4" t="s">
        <v>78</v>
      </c>
      <c r="F5270" s="4" t="s">
        <v>6765</v>
      </c>
      <c r="G5270" s="4" t="s">
        <v>7198</v>
      </c>
      <c r="H5270" s="4" t="s">
        <v>7199</v>
      </c>
      <c r="I5270" s="4" t="s">
        <v>7140</v>
      </c>
      <c r="J5270" s="4" t="s">
        <v>78</v>
      </c>
      <c r="K5270" s="7" t="str">
        <f t="shared" ref="K5270:K5271" si="1468">HYPERLINK("https://media.licdn.com/dms/image/sync/v2/D5627AQFX2ttCwROi6A/articleshare-shrink_1280_800/B4DZ5qII2OGcAY-/0/1779896980178?e=2147483647&amp;v=beta&amp;t=DomfkxSKWoO2ZmrEihmo9x_r_hW7O0SH2IY6Ehomuo0","View Creative")</f>
        <v>View Creative</v>
      </c>
      <c r="L5270" s="4" t="s">
        <v>60</v>
      </c>
      <c r="M5270" s="4" t="s">
        <v>1446</v>
      </c>
      <c r="N5270" s="4"/>
      <c r="O5270" s="4" t="s">
        <v>63</v>
      </c>
      <c r="P5270" s="4" t="s">
        <v>64</v>
      </c>
    </row>
    <row r="5271">
      <c r="A5271" s="4" t="s">
        <v>1446</v>
      </c>
      <c r="B5271" s="4" t="s">
        <v>7138</v>
      </c>
      <c r="C5271" s="4">
        <v>253.0</v>
      </c>
      <c r="D5271" s="5" t="str">
        <f t="shared" si="1467"/>
        <v>Open Ad</v>
      </c>
      <c r="E5271" s="4" t="s">
        <v>78</v>
      </c>
      <c r="F5271" s="4" t="s">
        <v>6765</v>
      </c>
      <c r="G5271" s="4" t="s">
        <v>7198</v>
      </c>
      <c r="H5271" s="4" t="s">
        <v>7199</v>
      </c>
      <c r="I5271" s="4" t="s">
        <v>7140</v>
      </c>
      <c r="J5271" s="4" t="s">
        <v>78</v>
      </c>
      <c r="K5271" s="7" t="str">
        <f t="shared" si="1468"/>
        <v>View Creative</v>
      </c>
      <c r="L5271" s="4" t="s">
        <v>60</v>
      </c>
      <c r="M5271" s="4" t="s">
        <v>1446</v>
      </c>
      <c r="N5271" s="4"/>
      <c r="O5271" s="4" t="s">
        <v>63</v>
      </c>
      <c r="P5271" s="4" t="s">
        <v>64</v>
      </c>
    </row>
    <row r="5272">
      <c r="A5272" s="4" t="s">
        <v>1446</v>
      </c>
      <c r="B5272" s="4" t="s">
        <v>7138</v>
      </c>
      <c r="C5272" s="4">
        <v>254.0</v>
      </c>
      <c r="D5272" s="5" t="str">
        <f t="shared" ref="D5272:D5273" si="1469">HYPERLINK("https://www.linkedin.com/ad-library/detail/1280796314","Open Ad")</f>
        <v>Open Ad</v>
      </c>
      <c r="E5272" s="4" t="s">
        <v>78</v>
      </c>
      <c r="F5272" s="4" t="s">
        <v>6765</v>
      </c>
      <c r="G5272" s="4" t="s">
        <v>7246</v>
      </c>
      <c r="H5272" s="4" t="s">
        <v>49</v>
      </c>
      <c r="I5272" s="4" t="s">
        <v>7140</v>
      </c>
      <c r="J5272" s="4" t="s">
        <v>78</v>
      </c>
      <c r="K5272" s="7" t="str">
        <f t="shared" ref="K5272:K5273" si="1470">HYPERLINK("https://media.licdn.com/dms/image/v2/D5610AQEbe-fVeB3xNA/image-shrink_1280/B56Z22egQ7G0Ac-/0/1776882943585?e=2147483647&amp;v=beta&amp;t=ilriH7nhbSVakQaHFKo_6m4kDDhjFd0BeARdtgO4Ly0","View Creative")</f>
        <v>View Creative</v>
      </c>
      <c r="L5272" s="4" t="s">
        <v>60</v>
      </c>
      <c r="M5272" s="4" t="s">
        <v>1446</v>
      </c>
      <c r="N5272" s="4"/>
      <c r="O5272" s="4" t="s">
        <v>63</v>
      </c>
      <c r="P5272" s="4" t="s">
        <v>64</v>
      </c>
    </row>
    <row r="5273">
      <c r="A5273" s="4" t="s">
        <v>1446</v>
      </c>
      <c r="B5273" s="4" t="s">
        <v>7138</v>
      </c>
      <c r="C5273" s="4">
        <v>255.0</v>
      </c>
      <c r="D5273" s="5" t="str">
        <f t="shared" si="1469"/>
        <v>Open Ad</v>
      </c>
      <c r="E5273" s="4" t="s">
        <v>78</v>
      </c>
      <c r="F5273" s="4" t="s">
        <v>6765</v>
      </c>
      <c r="G5273" s="4" t="s">
        <v>7246</v>
      </c>
      <c r="H5273" s="4" t="s">
        <v>49</v>
      </c>
      <c r="I5273" s="4" t="s">
        <v>7140</v>
      </c>
      <c r="J5273" s="4" t="s">
        <v>78</v>
      </c>
      <c r="K5273" s="7" t="str">
        <f t="shared" si="1470"/>
        <v>View Creative</v>
      </c>
      <c r="L5273" s="4" t="s">
        <v>60</v>
      </c>
      <c r="M5273" s="4" t="s">
        <v>1446</v>
      </c>
      <c r="N5273" s="4"/>
      <c r="O5273" s="4" t="s">
        <v>63</v>
      </c>
      <c r="P5273" s="4" t="s">
        <v>64</v>
      </c>
    </row>
    <row r="5274">
      <c r="A5274" s="4" t="s">
        <v>1446</v>
      </c>
      <c r="B5274" s="4" t="s">
        <v>7138</v>
      </c>
      <c r="C5274" s="4">
        <v>256.0</v>
      </c>
      <c r="D5274" s="5" t="str">
        <f t="shared" ref="D5274:D5275" si="1471">HYPERLINK("https://www.linkedin.com/ad-library/detail/1247280274","Open Ad")</f>
        <v>Open Ad</v>
      </c>
      <c r="E5274" s="4" t="s">
        <v>78</v>
      </c>
      <c r="F5274" s="4" t="s">
        <v>6765</v>
      </c>
      <c r="G5274" s="4" t="s">
        <v>7247</v>
      </c>
      <c r="H5274" s="4" t="s">
        <v>49</v>
      </c>
      <c r="I5274" s="4" t="s">
        <v>7140</v>
      </c>
      <c r="J5274" s="4" t="s">
        <v>78</v>
      </c>
      <c r="K5274" s="7" t="str">
        <f t="shared" ref="K5274:K5275" si="1472">HYPERLINK("https://media.licdn.com/dms/image/v2/D5610AQFpQxhiaOSzfg/image-shrink_1280/B56Z2SasRtKcAk-/0/1776277964169?e=2147483647&amp;v=beta&amp;t=957XlmvdMEaZ8VVITfsraw7uBlQSmCVNennWsDPMVYU","View Creative")</f>
        <v>View Creative</v>
      </c>
      <c r="L5274" s="4" t="s">
        <v>60</v>
      </c>
      <c r="M5274" s="4" t="s">
        <v>1446</v>
      </c>
      <c r="N5274" s="4"/>
      <c r="O5274" s="4" t="s">
        <v>63</v>
      </c>
      <c r="P5274" s="4" t="s">
        <v>64</v>
      </c>
    </row>
    <row r="5275">
      <c r="A5275" s="4" t="s">
        <v>1446</v>
      </c>
      <c r="B5275" s="4" t="s">
        <v>7138</v>
      </c>
      <c r="C5275" s="4">
        <v>257.0</v>
      </c>
      <c r="D5275" s="5" t="str">
        <f t="shared" si="1471"/>
        <v>Open Ad</v>
      </c>
      <c r="E5275" s="4" t="s">
        <v>78</v>
      </c>
      <c r="F5275" s="4" t="s">
        <v>6765</v>
      </c>
      <c r="G5275" s="4" t="s">
        <v>7247</v>
      </c>
      <c r="H5275" s="4" t="s">
        <v>49</v>
      </c>
      <c r="I5275" s="4" t="s">
        <v>7140</v>
      </c>
      <c r="J5275" s="4" t="s">
        <v>78</v>
      </c>
      <c r="K5275" s="7" t="str">
        <f t="shared" si="1472"/>
        <v>View Creative</v>
      </c>
      <c r="L5275" s="4" t="s">
        <v>60</v>
      </c>
      <c r="M5275" s="4" t="s">
        <v>1446</v>
      </c>
      <c r="N5275" s="4"/>
      <c r="O5275" s="4" t="s">
        <v>63</v>
      </c>
      <c r="P5275" s="4" t="s">
        <v>64</v>
      </c>
    </row>
    <row r="5276">
      <c r="A5276" s="4" t="s">
        <v>1446</v>
      </c>
      <c r="B5276" s="4" t="s">
        <v>7138</v>
      </c>
      <c r="C5276" s="4">
        <v>258.0</v>
      </c>
      <c r="D5276" s="5" t="str">
        <f>HYPERLINK("https://www.linkedin.com/ad-library/detail/1333597374","Open Ad")</f>
        <v>Open Ad</v>
      </c>
      <c r="E5276" s="4" t="s">
        <v>52</v>
      </c>
      <c r="F5276" s="4" t="s">
        <v>6765</v>
      </c>
      <c r="G5276" s="4" t="s">
        <v>7230</v>
      </c>
      <c r="H5276" s="4" t="s">
        <v>49</v>
      </c>
      <c r="I5276" s="4" t="s">
        <v>7140</v>
      </c>
      <c r="J5276" s="4" t="s">
        <v>52</v>
      </c>
      <c r="K5276" s="4" t="s">
        <v>59</v>
      </c>
      <c r="L5276" s="4" t="s">
        <v>60</v>
      </c>
      <c r="M5276" s="4" t="s">
        <v>1446</v>
      </c>
      <c r="N5276" s="4"/>
      <c r="O5276" s="4" t="s">
        <v>63</v>
      </c>
      <c r="P5276" s="4" t="s">
        <v>64</v>
      </c>
    </row>
    <row r="5277">
      <c r="A5277" s="4" t="s">
        <v>1446</v>
      </c>
      <c r="B5277" s="4" t="s">
        <v>7138</v>
      </c>
      <c r="C5277" s="4">
        <v>259.0</v>
      </c>
      <c r="D5277" s="5" t="str">
        <f t="shared" ref="D5277:D5278" si="1473">HYPERLINK("https://www.linkedin.com/ad-library/detail/1320689944","Open Ad")</f>
        <v>Open Ad</v>
      </c>
      <c r="E5277" s="4" t="s">
        <v>121</v>
      </c>
      <c r="F5277" s="4" t="s">
        <v>6765</v>
      </c>
      <c r="G5277" s="4" t="s">
        <v>7245</v>
      </c>
      <c r="H5277" s="4" t="s">
        <v>49</v>
      </c>
      <c r="I5277" s="4" t="s">
        <v>7140</v>
      </c>
      <c r="J5277" s="4" t="s">
        <v>121</v>
      </c>
      <c r="K5277" s="7" t="str">
        <f t="shared" ref="K5277:K5278" si="1474">HYPERLINK("https://dms.licdn.com/playlist/vid/v2/D4E05AQGfsN6dg4mj9Q/mp4-640p-30fp-crf28/B4EZ5p1dxwK8B0-/0/1779892088095?e=2147483647&amp;v=beta&amp;t=pGqM9eHnlK3jZ57dSDymwYYlknkSU5niFWUmsYoY2MA","View Creative")</f>
        <v>View Creative</v>
      </c>
      <c r="L5277" s="4" t="s">
        <v>60</v>
      </c>
      <c r="M5277" s="4" t="s">
        <v>1446</v>
      </c>
      <c r="N5277" s="4"/>
      <c r="O5277" s="4" t="s">
        <v>63</v>
      </c>
      <c r="P5277" s="4" t="s">
        <v>64</v>
      </c>
    </row>
    <row r="5278">
      <c r="A5278" s="4" t="s">
        <v>1446</v>
      </c>
      <c r="B5278" s="4" t="s">
        <v>7138</v>
      </c>
      <c r="C5278" s="4">
        <v>260.0</v>
      </c>
      <c r="D5278" s="5" t="str">
        <f t="shared" si="1473"/>
        <v>Open Ad</v>
      </c>
      <c r="E5278" s="4" t="s">
        <v>121</v>
      </c>
      <c r="F5278" s="4" t="s">
        <v>6765</v>
      </c>
      <c r="G5278" s="4" t="s">
        <v>7245</v>
      </c>
      <c r="H5278" s="4" t="s">
        <v>49</v>
      </c>
      <c r="I5278" s="4" t="s">
        <v>7140</v>
      </c>
      <c r="J5278" s="4" t="s">
        <v>121</v>
      </c>
      <c r="K5278" s="7" t="str">
        <f t="shared" si="1474"/>
        <v>View Creative</v>
      </c>
      <c r="L5278" s="4" t="s">
        <v>60</v>
      </c>
      <c r="M5278" s="4" t="s">
        <v>1446</v>
      </c>
      <c r="N5278" s="4"/>
      <c r="O5278" s="4" t="s">
        <v>63</v>
      </c>
      <c r="P5278" s="4" t="s">
        <v>64</v>
      </c>
    </row>
    <row r="5279">
      <c r="A5279" s="4" t="s">
        <v>1446</v>
      </c>
      <c r="B5279" s="4" t="s">
        <v>7138</v>
      </c>
      <c r="C5279" s="4">
        <v>261.0</v>
      </c>
      <c r="D5279" s="5" t="str">
        <f>HYPERLINK("https://www.linkedin.com/ad-library/detail/1278043814","Open Ad")</f>
        <v>Open Ad</v>
      </c>
      <c r="E5279" s="4" t="s">
        <v>52</v>
      </c>
      <c r="F5279" s="4" t="s">
        <v>6765</v>
      </c>
      <c r="G5279" s="4" t="s">
        <v>7201</v>
      </c>
      <c r="H5279" s="4" t="s">
        <v>49</v>
      </c>
      <c r="I5279" s="4" t="s">
        <v>7140</v>
      </c>
      <c r="J5279" s="4" t="s">
        <v>52</v>
      </c>
      <c r="K5279" s="4" t="s">
        <v>59</v>
      </c>
      <c r="L5279" s="4" t="s">
        <v>60</v>
      </c>
      <c r="M5279" s="4" t="s">
        <v>1446</v>
      </c>
      <c r="N5279" s="4"/>
      <c r="O5279" s="4" t="s">
        <v>63</v>
      </c>
      <c r="P5279" s="4" t="s">
        <v>64</v>
      </c>
    </row>
    <row r="5280">
      <c r="A5280" s="4" t="s">
        <v>1446</v>
      </c>
      <c r="B5280" s="4" t="s">
        <v>7138</v>
      </c>
      <c r="C5280" s="4">
        <v>262.0</v>
      </c>
      <c r="D5280" s="5" t="str">
        <f t="shared" ref="D5280:D5281" si="1475">HYPERLINK("https://www.linkedin.com/ad-library/detail/1278809724","Open Ad")</f>
        <v>Open Ad</v>
      </c>
      <c r="E5280" s="4" t="s">
        <v>78</v>
      </c>
      <c r="F5280" s="4" t="s">
        <v>6765</v>
      </c>
      <c r="G5280" s="4" t="s">
        <v>7248</v>
      </c>
      <c r="H5280" s="4" t="s">
        <v>49</v>
      </c>
      <c r="I5280" s="4" t="s">
        <v>7140</v>
      </c>
      <c r="J5280" s="4" t="s">
        <v>78</v>
      </c>
      <c r="K5280" s="7" t="str">
        <f t="shared" ref="K5280:K5281" si="1476">HYPERLINK("https://media.licdn.com/dms/image/v2/D5610AQEi47RRAZgb1Q/image-shrink_1280/B56Z22eZfSKIAc-/0/1776882915969?e=2147483647&amp;v=beta&amp;t=GQ-MdQrf2zhF7kfmGFUZdx2tLMryJq-7SK_Jd9QSmEU","View Creative")</f>
        <v>View Creative</v>
      </c>
      <c r="L5280" s="4" t="s">
        <v>60</v>
      </c>
      <c r="M5280" s="4" t="s">
        <v>1446</v>
      </c>
      <c r="N5280" s="4"/>
      <c r="O5280" s="4" t="s">
        <v>63</v>
      </c>
      <c r="P5280" s="4" t="s">
        <v>64</v>
      </c>
    </row>
    <row r="5281">
      <c r="A5281" s="4" t="s">
        <v>1446</v>
      </c>
      <c r="B5281" s="4" t="s">
        <v>7138</v>
      </c>
      <c r="C5281" s="4">
        <v>263.0</v>
      </c>
      <c r="D5281" s="5" t="str">
        <f t="shared" si="1475"/>
        <v>Open Ad</v>
      </c>
      <c r="E5281" s="4" t="s">
        <v>78</v>
      </c>
      <c r="F5281" s="4" t="s">
        <v>6765</v>
      </c>
      <c r="G5281" s="4" t="s">
        <v>7248</v>
      </c>
      <c r="H5281" s="4" t="s">
        <v>49</v>
      </c>
      <c r="I5281" s="4" t="s">
        <v>7140</v>
      </c>
      <c r="J5281" s="4" t="s">
        <v>78</v>
      </c>
      <c r="K5281" s="7" t="str">
        <f t="shared" si="1476"/>
        <v>View Creative</v>
      </c>
      <c r="L5281" s="4" t="s">
        <v>60</v>
      </c>
      <c r="M5281" s="4" t="s">
        <v>1446</v>
      </c>
      <c r="N5281" s="4"/>
      <c r="O5281" s="4" t="s">
        <v>63</v>
      </c>
      <c r="P5281" s="4" t="s">
        <v>64</v>
      </c>
    </row>
    <row r="5282">
      <c r="A5282" s="4" t="s">
        <v>1446</v>
      </c>
      <c r="B5282" s="4" t="s">
        <v>7138</v>
      </c>
      <c r="C5282" s="4">
        <v>264.0</v>
      </c>
      <c r="D5282" s="5" t="str">
        <f>HYPERLINK("https://www.linkedin.com/ad-library/detail/1246845984","Open Ad")</f>
        <v>Open Ad</v>
      </c>
      <c r="E5282" s="4" t="s">
        <v>52</v>
      </c>
      <c r="F5282" s="4" t="s">
        <v>6765</v>
      </c>
      <c r="G5282" s="4" t="s">
        <v>7154</v>
      </c>
      <c r="H5282" s="4" t="s">
        <v>49</v>
      </c>
      <c r="I5282" s="4" t="s">
        <v>7140</v>
      </c>
      <c r="J5282" s="4" t="s">
        <v>52</v>
      </c>
      <c r="K5282" s="4" t="s">
        <v>59</v>
      </c>
      <c r="L5282" s="4" t="s">
        <v>60</v>
      </c>
      <c r="M5282" s="4" t="s">
        <v>1446</v>
      </c>
      <c r="N5282" s="4"/>
      <c r="O5282" s="4" t="s">
        <v>63</v>
      </c>
      <c r="P5282" s="4" t="s">
        <v>64</v>
      </c>
    </row>
    <row r="5283">
      <c r="A5283" s="4" t="s">
        <v>1446</v>
      </c>
      <c r="B5283" s="4" t="s">
        <v>7138</v>
      </c>
      <c r="C5283" s="4">
        <v>265.0</v>
      </c>
      <c r="D5283" s="5" t="str">
        <f t="shared" ref="D5283:D5285" si="1477">HYPERLINK("https://www.linkedin.com/ad-library/detail/1245081274","Open Ad")</f>
        <v>Open Ad</v>
      </c>
      <c r="E5283" s="4" t="s">
        <v>52</v>
      </c>
      <c r="F5283" s="4" t="s">
        <v>6765</v>
      </c>
      <c r="G5283" s="4" t="s">
        <v>7249</v>
      </c>
      <c r="H5283" s="4" t="s">
        <v>49</v>
      </c>
      <c r="I5283" s="4" t="s">
        <v>7140</v>
      </c>
      <c r="J5283" s="4" t="s">
        <v>52</v>
      </c>
      <c r="K5283" s="4" t="s">
        <v>59</v>
      </c>
      <c r="L5283" s="4" t="s">
        <v>60</v>
      </c>
      <c r="M5283" s="4" t="s">
        <v>1446</v>
      </c>
      <c r="N5283" s="4"/>
      <c r="O5283" s="4" t="s">
        <v>63</v>
      </c>
      <c r="P5283" s="4" t="s">
        <v>64</v>
      </c>
    </row>
    <row r="5284">
      <c r="A5284" s="4" t="s">
        <v>1446</v>
      </c>
      <c r="B5284" s="4" t="s">
        <v>7138</v>
      </c>
      <c r="C5284" s="4">
        <v>266.0</v>
      </c>
      <c r="D5284" s="5" t="str">
        <f t="shared" si="1477"/>
        <v>Open Ad</v>
      </c>
      <c r="E5284" s="4" t="s">
        <v>52</v>
      </c>
      <c r="F5284" s="4" t="s">
        <v>6765</v>
      </c>
      <c r="G5284" s="4" t="s">
        <v>7249</v>
      </c>
      <c r="H5284" s="4" t="s">
        <v>49</v>
      </c>
      <c r="I5284" s="4" t="s">
        <v>7140</v>
      </c>
      <c r="J5284" s="4" t="s">
        <v>52</v>
      </c>
      <c r="K5284" s="4" t="s">
        <v>59</v>
      </c>
      <c r="L5284" s="4" t="s">
        <v>60</v>
      </c>
      <c r="M5284" s="4" t="s">
        <v>1446</v>
      </c>
      <c r="N5284" s="4"/>
      <c r="O5284" s="4" t="s">
        <v>63</v>
      </c>
      <c r="P5284" s="4" t="s">
        <v>64</v>
      </c>
    </row>
    <row r="5285">
      <c r="A5285" s="4" t="s">
        <v>1446</v>
      </c>
      <c r="B5285" s="4" t="s">
        <v>7138</v>
      </c>
      <c r="C5285" s="4">
        <v>267.0</v>
      </c>
      <c r="D5285" s="5" t="str">
        <f t="shared" si="1477"/>
        <v>Open Ad</v>
      </c>
      <c r="E5285" s="4" t="s">
        <v>52</v>
      </c>
      <c r="F5285" s="4" t="s">
        <v>6765</v>
      </c>
      <c r="G5285" s="4" t="s">
        <v>7249</v>
      </c>
      <c r="H5285" s="4" t="s">
        <v>49</v>
      </c>
      <c r="I5285" s="4" t="s">
        <v>7140</v>
      </c>
      <c r="J5285" s="4" t="s">
        <v>52</v>
      </c>
      <c r="K5285" s="4" t="s">
        <v>59</v>
      </c>
      <c r="L5285" s="4" t="s">
        <v>60</v>
      </c>
      <c r="M5285" s="4" t="s">
        <v>1446</v>
      </c>
      <c r="N5285" s="4"/>
      <c r="O5285" s="4" t="s">
        <v>63</v>
      </c>
      <c r="P5285" s="4" t="s">
        <v>64</v>
      </c>
    </row>
    <row r="5286">
      <c r="A5286" s="4" t="s">
        <v>1446</v>
      </c>
      <c r="B5286" s="4" t="s">
        <v>7138</v>
      </c>
      <c r="C5286" s="4">
        <v>268.0</v>
      </c>
      <c r="D5286" s="5" t="str">
        <f t="shared" ref="D5286:D5288" si="1478">HYPERLINK("https://www.linkedin.com/ad-library/detail/1240460374","Open Ad")</f>
        <v>Open Ad</v>
      </c>
      <c r="E5286" s="4" t="s">
        <v>52</v>
      </c>
      <c r="F5286" s="4" t="s">
        <v>6765</v>
      </c>
      <c r="G5286" s="4" t="s">
        <v>7250</v>
      </c>
      <c r="H5286" s="4" t="s">
        <v>49</v>
      </c>
      <c r="I5286" s="4" t="s">
        <v>7140</v>
      </c>
      <c r="J5286" s="4" t="s">
        <v>52</v>
      </c>
      <c r="K5286" s="4" t="s">
        <v>59</v>
      </c>
      <c r="L5286" s="4" t="s">
        <v>60</v>
      </c>
      <c r="M5286" s="4" t="s">
        <v>1446</v>
      </c>
      <c r="N5286" s="4"/>
      <c r="O5286" s="4" t="s">
        <v>63</v>
      </c>
      <c r="P5286" s="4" t="s">
        <v>64</v>
      </c>
    </row>
    <row r="5287">
      <c r="A5287" s="4" t="s">
        <v>1446</v>
      </c>
      <c r="B5287" s="4" t="s">
        <v>7138</v>
      </c>
      <c r="C5287" s="4">
        <v>269.0</v>
      </c>
      <c r="D5287" s="5" t="str">
        <f t="shared" si="1478"/>
        <v>Open Ad</v>
      </c>
      <c r="E5287" s="4" t="s">
        <v>52</v>
      </c>
      <c r="F5287" s="4" t="s">
        <v>6765</v>
      </c>
      <c r="G5287" s="4" t="s">
        <v>7250</v>
      </c>
      <c r="H5287" s="4" t="s">
        <v>49</v>
      </c>
      <c r="I5287" s="4" t="s">
        <v>7140</v>
      </c>
      <c r="J5287" s="4" t="s">
        <v>52</v>
      </c>
      <c r="K5287" s="4" t="s">
        <v>59</v>
      </c>
      <c r="L5287" s="4" t="s">
        <v>60</v>
      </c>
      <c r="M5287" s="4" t="s">
        <v>1446</v>
      </c>
      <c r="N5287" s="4"/>
      <c r="O5287" s="4" t="s">
        <v>63</v>
      </c>
      <c r="P5287" s="4" t="s">
        <v>64</v>
      </c>
    </row>
    <row r="5288">
      <c r="A5288" s="4" t="s">
        <v>1446</v>
      </c>
      <c r="B5288" s="4" t="s">
        <v>7138</v>
      </c>
      <c r="C5288" s="4">
        <v>270.0</v>
      </c>
      <c r="D5288" s="5" t="str">
        <f t="shared" si="1478"/>
        <v>Open Ad</v>
      </c>
      <c r="E5288" s="4" t="s">
        <v>52</v>
      </c>
      <c r="F5288" s="4" t="s">
        <v>6765</v>
      </c>
      <c r="G5288" s="4" t="s">
        <v>7250</v>
      </c>
      <c r="H5288" s="4" t="s">
        <v>49</v>
      </c>
      <c r="I5288" s="4" t="s">
        <v>7140</v>
      </c>
      <c r="J5288" s="4" t="s">
        <v>52</v>
      </c>
      <c r="K5288" s="4" t="s">
        <v>59</v>
      </c>
      <c r="L5288" s="4" t="s">
        <v>60</v>
      </c>
      <c r="M5288" s="4" t="s">
        <v>1446</v>
      </c>
      <c r="N5288" s="4"/>
      <c r="O5288" s="4" t="s">
        <v>63</v>
      </c>
      <c r="P5288" s="4" t="s">
        <v>64</v>
      </c>
    </row>
    <row r="5289">
      <c r="A5289" s="4" t="s">
        <v>1446</v>
      </c>
      <c r="B5289" s="4" t="s">
        <v>7138</v>
      </c>
      <c r="C5289" s="4">
        <v>271.0</v>
      </c>
      <c r="D5289" s="5" t="str">
        <f t="shared" ref="D5289:D5290" si="1479">HYPERLINK("https://www.linkedin.com/ad-library/detail/1244072914","Open Ad")</f>
        <v>Open Ad</v>
      </c>
      <c r="E5289" s="4" t="s">
        <v>78</v>
      </c>
      <c r="F5289" s="4" t="s">
        <v>6765</v>
      </c>
      <c r="G5289" s="4" t="s">
        <v>7251</v>
      </c>
      <c r="H5289" s="4" t="s">
        <v>49</v>
      </c>
      <c r="I5289" s="4" t="s">
        <v>7140</v>
      </c>
      <c r="J5289" s="4" t="s">
        <v>78</v>
      </c>
      <c r="K5289" s="7" t="str">
        <f t="shared" ref="K5289:K5290" si="1480">HYPERLINK("https://media.licdn.com/dms/image/v2/D5610AQHGxD4NmbwksQ/image-shrink_1280/B56Z2SagVGHEAg-/0/1776277915233?e=2147483647&amp;v=beta&amp;t=m1rx6vJl-YLhSgMPslSxKKEUBKcqhih73vP96HxJ0zk","View Creative")</f>
        <v>View Creative</v>
      </c>
      <c r="L5289" s="4" t="s">
        <v>60</v>
      </c>
      <c r="M5289" s="4" t="s">
        <v>1446</v>
      </c>
      <c r="N5289" s="4"/>
      <c r="O5289" s="4" t="s">
        <v>63</v>
      </c>
      <c r="P5289" s="4" t="s">
        <v>64</v>
      </c>
    </row>
    <row r="5290">
      <c r="A5290" s="4" t="s">
        <v>1446</v>
      </c>
      <c r="B5290" s="4" t="s">
        <v>7138</v>
      </c>
      <c r="C5290" s="4">
        <v>272.0</v>
      </c>
      <c r="D5290" s="5" t="str">
        <f t="shared" si="1479"/>
        <v>Open Ad</v>
      </c>
      <c r="E5290" s="4" t="s">
        <v>78</v>
      </c>
      <c r="F5290" s="4" t="s">
        <v>6765</v>
      </c>
      <c r="G5290" s="4" t="s">
        <v>7251</v>
      </c>
      <c r="H5290" s="4" t="s">
        <v>49</v>
      </c>
      <c r="I5290" s="4" t="s">
        <v>7140</v>
      </c>
      <c r="J5290" s="4" t="s">
        <v>78</v>
      </c>
      <c r="K5290" s="7" t="str">
        <f t="shared" si="1480"/>
        <v>View Creative</v>
      </c>
      <c r="L5290" s="4" t="s">
        <v>60</v>
      </c>
      <c r="M5290" s="4" t="s">
        <v>1446</v>
      </c>
      <c r="N5290" s="4"/>
      <c r="O5290" s="4" t="s">
        <v>63</v>
      </c>
      <c r="P5290" s="4" t="s">
        <v>64</v>
      </c>
    </row>
    <row r="5291">
      <c r="A5291" s="4" t="s">
        <v>1446</v>
      </c>
      <c r="B5291" s="4" t="s">
        <v>7138</v>
      </c>
      <c r="C5291" s="4">
        <v>273.0</v>
      </c>
      <c r="D5291" s="5" t="str">
        <f>HYPERLINK("https://www.linkedin.com/ad-library/detail/1241812184","Open Ad")</f>
        <v>Open Ad</v>
      </c>
      <c r="E5291" s="4" t="s">
        <v>52</v>
      </c>
      <c r="F5291" s="4" t="s">
        <v>6765</v>
      </c>
      <c r="G5291" s="4" t="s">
        <v>7252</v>
      </c>
      <c r="H5291" s="4" t="s">
        <v>49</v>
      </c>
      <c r="I5291" s="4" t="s">
        <v>7140</v>
      </c>
      <c r="J5291" s="4" t="s">
        <v>52</v>
      </c>
      <c r="K5291" s="4" t="s">
        <v>59</v>
      </c>
      <c r="L5291" s="4" t="s">
        <v>60</v>
      </c>
      <c r="M5291" s="4" t="s">
        <v>1446</v>
      </c>
      <c r="N5291" s="4"/>
      <c r="O5291" s="4" t="s">
        <v>63</v>
      </c>
      <c r="P5291" s="4" t="s">
        <v>64</v>
      </c>
    </row>
    <row r="5292">
      <c r="A5292" s="4" t="s">
        <v>1446</v>
      </c>
      <c r="B5292" s="4" t="s">
        <v>7138</v>
      </c>
      <c r="C5292" s="4">
        <v>274.0</v>
      </c>
      <c r="D5292" s="5" t="str">
        <f t="shared" ref="D5292:D5293" si="1481">HYPERLINK("https://www.linkedin.com/ad-library/detail/1246897714","Open Ad")</f>
        <v>Open Ad</v>
      </c>
      <c r="E5292" s="4" t="s">
        <v>78</v>
      </c>
      <c r="F5292" s="4" t="s">
        <v>6765</v>
      </c>
      <c r="G5292" s="4" t="s">
        <v>7195</v>
      </c>
      <c r="H5292" s="4" t="s">
        <v>49</v>
      </c>
      <c r="I5292" s="4" t="s">
        <v>7140</v>
      </c>
      <c r="J5292" s="4" t="s">
        <v>78</v>
      </c>
      <c r="K5292" s="7" t="str">
        <f t="shared" ref="K5292:K5293" si="1482">HYPERLINK("https://media.licdn.com/dms/image/v2/D4E22AQEe6Kn8FzbO6A/feedshare-image-high-res/B4EZ1oq9ZZJEAU-/0/1775577585791?e=2147483647&amp;v=beta&amp;t=bKCZ4NWsxF52e0yGjdDUpw3Ba3gvRDYiO-A21-3uLr8","View Creative")</f>
        <v>View Creative</v>
      </c>
      <c r="L5292" s="4" t="s">
        <v>60</v>
      </c>
      <c r="M5292" s="4" t="s">
        <v>1446</v>
      </c>
      <c r="N5292" s="4"/>
      <c r="O5292" s="4" t="s">
        <v>63</v>
      </c>
      <c r="P5292" s="4" t="s">
        <v>64</v>
      </c>
    </row>
    <row r="5293">
      <c r="A5293" s="4" t="s">
        <v>1446</v>
      </c>
      <c r="B5293" s="4" t="s">
        <v>7138</v>
      </c>
      <c r="C5293" s="4">
        <v>275.0</v>
      </c>
      <c r="D5293" s="5" t="str">
        <f t="shared" si="1481"/>
        <v>Open Ad</v>
      </c>
      <c r="E5293" s="4" t="s">
        <v>78</v>
      </c>
      <c r="F5293" s="4" t="s">
        <v>6765</v>
      </c>
      <c r="G5293" s="4" t="s">
        <v>7195</v>
      </c>
      <c r="H5293" s="4" t="s">
        <v>49</v>
      </c>
      <c r="I5293" s="4" t="s">
        <v>7140</v>
      </c>
      <c r="J5293" s="4" t="s">
        <v>78</v>
      </c>
      <c r="K5293" s="7" t="str">
        <f t="shared" si="1482"/>
        <v>View Creative</v>
      </c>
      <c r="L5293" s="4" t="s">
        <v>60</v>
      </c>
      <c r="M5293" s="4" t="s">
        <v>1446</v>
      </c>
      <c r="N5293" s="4"/>
      <c r="O5293" s="4" t="s">
        <v>63</v>
      </c>
      <c r="P5293" s="4" t="s">
        <v>64</v>
      </c>
    </row>
    <row r="5294">
      <c r="A5294" s="4" t="s">
        <v>1446</v>
      </c>
      <c r="B5294" s="4" t="s">
        <v>7138</v>
      </c>
      <c r="C5294" s="4">
        <v>276.0</v>
      </c>
      <c r="D5294" s="5" t="str">
        <f>HYPERLINK("https://www.linkedin.com/ad-library/detail/1244013294","Open Ad")</f>
        <v>Open Ad</v>
      </c>
      <c r="E5294" s="4" t="s">
        <v>52</v>
      </c>
      <c r="F5294" s="4" t="s">
        <v>6765</v>
      </c>
      <c r="G5294" s="4" t="s">
        <v>7253</v>
      </c>
      <c r="H5294" s="4" t="s">
        <v>49</v>
      </c>
      <c r="I5294" s="4" t="s">
        <v>7140</v>
      </c>
      <c r="J5294" s="4" t="s">
        <v>52</v>
      </c>
      <c r="K5294" s="4" t="s">
        <v>59</v>
      </c>
      <c r="L5294" s="4" t="s">
        <v>60</v>
      </c>
      <c r="M5294" s="4" t="s">
        <v>1446</v>
      </c>
      <c r="N5294" s="4"/>
      <c r="O5294" s="4" t="s">
        <v>63</v>
      </c>
      <c r="P5294" s="4" t="s">
        <v>64</v>
      </c>
    </row>
    <row r="5295">
      <c r="A5295" s="4" t="s">
        <v>1446</v>
      </c>
      <c r="B5295" s="4" t="s">
        <v>7138</v>
      </c>
      <c r="C5295" s="4">
        <v>277.0</v>
      </c>
      <c r="D5295" s="5" t="str">
        <f t="shared" ref="D5295:D5297" si="1483">HYPERLINK("https://www.linkedin.com/ad-library/detail/1240951954","Open Ad")</f>
        <v>Open Ad</v>
      </c>
      <c r="E5295" s="4" t="s">
        <v>52</v>
      </c>
      <c r="F5295" s="4" t="s">
        <v>6765</v>
      </c>
      <c r="G5295" s="4" t="s">
        <v>7254</v>
      </c>
      <c r="H5295" s="4" t="s">
        <v>49</v>
      </c>
      <c r="I5295" s="4" t="s">
        <v>7140</v>
      </c>
      <c r="J5295" s="4" t="s">
        <v>52</v>
      </c>
      <c r="K5295" s="4" t="s">
        <v>59</v>
      </c>
      <c r="L5295" s="4" t="s">
        <v>60</v>
      </c>
      <c r="M5295" s="4" t="s">
        <v>1446</v>
      </c>
      <c r="N5295" s="4"/>
      <c r="O5295" s="4" t="s">
        <v>63</v>
      </c>
      <c r="P5295" s="4" t="s">
        <v>64</v>
      </c>
    </row>
    <row r="5296">
      <c r="A5296" s="4" t="s">
        <v>1446</v>
      </c>
      <c r="B5296" s="4" t="s">
        <v>7138</v>
      </c>
      <c r="C5296" s="4">
        <v>278.0</v>
      </c>
      <c r="D5296" s="5" t="str">
        <f t="shared" si="1483"/>
        <v>Open Ad</v>
      </c>
      <c r="E5296" s="4" t="s">
        <v>52</v>
      </c>
      <c r="F5296" s="4" t="s">
        <v>6765</v>
      </c>
      <c r="G5296" s="4" t="s">
        <v>7254</v>
      </c>
      <c r="H5296" s="4" t="s">
        <v>49</v>
      </c>
      <c r="I5296" s="4" t="s">
        <v>7140</v>
      </c>
      <c r="J5296" s="4" t="s">
        <v>52</v>
      </c>
      <c r="K5296" s="4" t="s">
        <v>59</v>
      </c>
      <c r="L5296" s="4" t="s">
        <v>60</v>
      </c>
      <c r="M5296" s="4" t="s">
        <v>1446</v>
      </c>
      <c r="N5296" s="4"/>
      <c r="O5296" s="4" t="s">
        <v>63</v>
      </c>
      <c r="P5296" s="4" t="s">
        <v>64</v>
      </c>
    </row>
    <row r="5297">
      <c r="A5297" s="4" t="s">
        <v>1446</v>
      </c>
      <c r="B5297" s="4" t="s">
        <v>7138</v>
      </c>
      <c r="C5297" s="4">
        <v>279.0</v>
      </c>
      <c r="D5297" s="5" t="str">
        <f t="shared" si="1483"/>
        <v>Open Ad</v>
      </c>
      <c r="E5297" s="4" t="s">
        <v>52</v>
      </c>
      <c r="F5297" s="4" t="s">
        <v>6765</v>
      </c>
      <c r="G5297" s="4" t="s">
        <v>7254</v>
      </c>
      <c r="H5297" s="4" t="s">
        <v>49</v>
      </c>
      <c r="I5297" s="4" t="s">
        <v>7140</v>
      </c>
      <c r="J5297" s="4" t="s">
        <v>52</v>
      </c>
      <c r="K5297" s="4" t="s">
        <v>59</v>
      </c>
      <c r="L5297" s="4" t="s">
        <v>60</v>
      </c>
      <c r="M5297" s="4" t="s">
        <v>1446</v>
      </c>
      <c r="N5297" s="4"/>
      <c r="O5297" s="4" t="s">
        <v>63</v>
      </c>
      <c r="P5297" s="4" t="s">
        <v>64</v>
      </c>
    </row>
    <row r="5298">
      <c r="A5298" s="4" t="s">
        <v>1446</v>
      </c>
      <c r="B5298" s="4" t="s">
        <v>7138</v>
      </c>
      <c r="C5298" s="4">
        <v>280.0</v>
      </c>
      <c r="D5298" s="5" t="str">
        <f t="shared" ref="D5298:D5300" si="1484">HYPERLINK("https://www.linkedin.com/ad-library/detail/1241050014","Open Ad")</f>
        <v>Open Ad</v>
      </c>
      <c r="E5298" s="4" t="s">
        <v>52</v>
      </c>
      <c r="F5298" s="4" t="s">
        <v>6765</v>
      </c>
      <c r="G5298" s="4" t="s">
        <v>7255</v>
      </c>
      <c r="H5298" s="4" t="s">
        <v>49</v>
      </c>
      <c r="I5298" s="4" t="s">
        <v>7140</v>
      </c>
      <c r="J5298" s="4" t="s">
        <v>52</v>
      </c>
      <c r="K5298" s="4" t="s">
        <v>59</v>
      </c>
      <c r="L5298" s="4" t="s">
        <v>60</v>
      </c>
      <c r="M5298" s="4" t="s">
        <v>1446</v>
      </c>
      <c r="N5298" s="4"/>
      <c r="O5298" s="4" t="s">
        <v>63</v>
      </c>
      <c r="P5298" s="4" t="s">
        <v>64</v>
      </c>
    </row>
    <row r="5299">
      <c r="A5299" s="4" t="s">
        <v>1446</v>
      </c>
      <c r="B5299" s="4" t="s">
        <v>7138</v>
      </c>
      <c r="C5299" s="4">
        <v>281.0</v>
      </c>
      <c r="D5299" s="5" t="str">
        <f t="shared" si="1484"/>
        <v>Open Ad</v>
      </c>
      <c r="E5299" s="4" t="s">
        <v>52</v>
      </c>
      <c r="F5299" s="4" t="s">
        <v>6765</v>
      </c>
      <c r="G5299" s="4" t="s">
        <v>7255</v>
      </c>
      <c r="H5299" s="4" t="s">
        <v>49</v>
      </c>
      <c r="I5299" s="4" t="s">
        <v>7140</v>
      </c>
      <c r="J5299" s="4" t="s">
        <v>52</v>
      </c>
      <c r="K5299" s="4" t="s">
        <v>59</v>
      </c>
      <c r="L5299" s="4" t="s">
        <v>60</v>
      </c>
      <c r="M5299" s="4" t="s">
        <v>1446</v>
      </c>
      <c r="N5299" s="4"/>
      <c r="O5299" s="4" t="s">
        <v>63</v>
      </c>
      <c r="P5299" s="4" t="s">
        <v>64</v>
      </c>
    </row>
    <row r="5300">
      <c r="A5300" s="4" t="s">
        <v>1446</v>
      </c>
      <c r="B5300" s="4" t="s">
        <v>7138</v>
      </c>
      <c r="C5300" s="4">
        <v>282.0</v>
      </c>
      <c r="D5300" s="5" t="str">
        <f t="shared" si="1484"/>
        <v>Open Ad</v>
      </c>
      <c r="E5300" s="4" t="s">
        <v>52</v>
      </c>
      <c r="F5300" s="4" t="s">
        <v>6765</v>
      </c>
      <c r="G5300" s="4" t="s">
        <v>7255</v>
      </c>
      <c r="H5300" s="4" t="s">
        <v>49</v>
      </c>
      <c r="I5300" s="4" t="s">
        <v>7140</v>
      </c>
      <c r="J5300" s="4" t="s">
        <v>52</v>
      </c>
      <c r="K5300" s="4" t="s">
        <v>59</v>
      </c>
      <c r="L5300" s="4" t="s">
        <v>60</v>
      </c>
      <c r="M5300" s="4" t="s">
        <v>1446</v>
      </c>
      <c r="N5300" s="4"/>
      <c r="O5300" s="4" t="s">
        <v>63</v>
      </c>
      <c r="P5300" s="4" t="s">
        <v>64</v>
      </c>
    </row>
    <row r="5301">
      <c r="A5301" s="4" t="s">
        <v>1446</v>
      </c>
      <c r="B5301" s="4" t="s">
        <v>7138</v>
      </c>
      <c r="C5301" s="4">
        <v>283.0</v>
      </c>
      <c r="D5301" s="5" t="str">
        <f>HYPERLINK("https://www.linkedin.com/ad-library/detail/1237301974","Open Ad")</f>
        <v>Open Ad</v>
      </c>
      <c r="E5301" s="4" t="s">
        <v>52</v>
      </c>
      <c r="F5301" s="4" t="s">
        <v>6765</v>
      </c>
      <c r="G5301" s="4" t="s">
        <v>7256</v>
      </c>
      <c r="H5301" s="4" t="s">
        <v>49</v>
      </c>
      <c r="I5301" s="4" t="s">
        <v>7140</v>
      </c>
      <c r="J5301" s="4" t="s">
        <v>52</v>
      </c>
      <c r="K5301" s="4" t="s">
        <v>59</v>
      </c>
      <c r="L5301" s="4" t="s">
        <v>60</v>
      </c>
      <c r="M5301" s="4" t="s">
        <v>1446</v>
      </c>
      <c r="N5301" s="4"/>
      <c r="O5301" s="4" t="s">
        <v>63</v>
      </c>
      <c r="P5301" s="4" t="s">
        <v>64</v>
      </c>
    </row>
    <row r="5302">
      <c r="A5302" s="4" t="s">
        <v>1446</v>
      </c>
      <c r="B5302" s="4" t="s">
        <v>7138</v>
      </c>
      <c r="C5302" s="4">
        <v>284.0</v>
      </c>
      <c r="D5302" s="5" t="str">
        <f>HYPERLINK("https://www.linkedin.com/ad-library/detail/1236302324","Open Ad")</f>
        <v>Open Ad</v>
      </c>
      <c r="E5302" s="4" t="s">
        <v>52</v>
      </c>
      <c r="F5302" s="4" t="s">
        <v>6765</v>
      </c>
      <c r="G5302" s="4" t="s">
        <v>7257</v>
      </c>
      <c r="H5302" s="4" t="s">
        <v>49</v>
      </c>
      <c r="I5302" s="4" t="s">
        <v>7140</v>
      </c>
      <c r="J5302" s="4" t="s">
        <v>52</v>
      </c>
      <c r="K5302" s="4" t="s">
        <v>59</v>
      </c>
      <c r="L5302" s="4" t="s">
        <v>60</v>
      </c>
      <c r="M5302" s="4" t="s">
        <v>1446</v>
      </c>
      <c r="N5302" s="4"/>
      <c r="O5302" s="4" t="s">
        <v>63</v>
      </c>
      <c r="P5302" s="4" t="s">
        <v>64</v>
      </c>
    </row>
    <row r="5303">
      <c r="A5303" s="4" t="s">
        <v>1446</v>
      </c>
      <c r="B5303" s="4" t="s">
        <v>7138</v>
      </c>
      <c r="C5303" s="4">
        <v>285.0</v>
      </c>
      <c r="D5303" s="5" t="str">
        <f t="shared" ref="D5303:D5304" si="1485">HYPERLINK("https://www.linkedin.com/ad-library/detail/1233925554","Open Ad")</f>
        <v>Open Ad</v>
      </c>
      <c r="E5303" s="4" t="s">
        <v>78</v>
      </c>
      <c r="F5303" s="4" t="s">
        <v>6765</v>
      </c>
      <c r="G5303" s="4" t="s">
        <v>7258</v>
      </c>
      <c r="H5303" s="4" t="s">
        <v>49</v>
      </c>
      <c r="I5303" s="4" t="s">
        <v>7140</v>
      </c>
      <c r="J5303" s="4" t="s">
        <v>78</v>
      </c>
      <c r="K5303" s="7" t="str">
        <f t="shared" ref="K5303:K5304" si="1486">HYPERLINK("https://media.licdn.com/dms/image/v2/D5610AQFbTkkfWJdJkA/image-shrink_1280/B56Z0caThZJIAc-/0/1774298151457?e=2147483647&amp;v=beta&amp;t=NYg0LriGH04Lf0bvk1GbLy6qLp2Cj71eDN9bb_vqwoE","View Creative")</f>
        <v>View Creative</v>
      </c>
      <c r="L5303" s="4" t="s">
        <v>60</v>
      </c>
      <c r="M5303" s="4" t="s">
        <v>1446</v>
      </c>
      <c r="N5303" s="4"/>
      <c r="O5303" s="4" t="s">
        <v>63</v>
      </c>
      <c r="P5303" s="4" t="s">
        <v>64</v>
      </c>
    </row>
    <row r="5304">
      <c r="A5304" s="4" t="s">
        <v>1446</v>
      </c>
      <c r="B5304" s="4" t="s">
        <v>7138</v>
      </c>
      <c r="C5304" s="4">
        <v>286.0</v>
      </c>
      <c r="D5304" s="5" t="str">
        <f t="shared" si="1485"/>
        <v>Open Ad</v>
      </c>
      <c r="E5304" s="4" t="s">
        <v>78</v>
      </c>
      <c r="F5304" s="4" t="s">
        <v>6765</v>
      </c>
      <c r="G5304" s="4" t="s">
        <v>7258</v>
      </c>
      <c r="H5304" s="4" t="s">
        <v>49</v>
      </c>
      <c r="I5304" s="4" t="s">
        <v>7140</v>
      </c>
      <c r="J5304" s="4" t="s">
        <v>78</v>
      </c>
      <c r="K5304" s="7" t="str">
        <f t="shared" si="1486"/>
        <v>View Creative</v>
      </c>
      <c r="L5304" s="4" t="s">
        <v>60</v>
      </c>
      <c r="M5304" s="4" t="s">
        <v>1446</v>
      </c>
      <c r="N5304" s="4"/>
      <c r="O5304" s="4" t="s">
        <v>63</v>
      </c>
      <c r="P5304" s="4" t="s">
        <v>64</v>
      </c>
    </row>
    <row r="5305">
      <c r="A5305" s="4" t="s">
        <v>1446</v>
      </c>
      <c r="B5305" s="4" t="s">
        <v>7138</v>
      </c>
      <c r="C5305" s="4">
        <v>287.0</v>
      </c>
      <c r="D5305" s="5" t="str">
        <f>HYPERLINK("https://www.linkedin.com/ad-library/detail/1238518584","Open Ad")</f>
        <v>Open Ad</v>
      </c>
      <c r="E5305" s="4" t="s">
        <v>52</v>
      </c>
      <c r="F5305" s="4" t="s">
        <v>6765</v>
      </c>
      <c r="G5305" s="4" t="s">
        <v>7154</v>
      </c>
      <c r="H5305" s="4" t="s">
        <v>49</v>
      </c>
      <c r="I5305" s="4" t="s">
        <v>7140</v>
      </c>
      <c r="J5305" s="4" t="s">
        <v>52</v>
      </c>
      <c r="K5305" s="4" t="s">
        <v>59</v>
      </c>
      <c r="L5305" s="4" t="s">
        <v>60</v>
      </c>
      <c r="M5305" s="4" t="s">
        <v>1446</v>
      </c>
      <c r="N5305" s="4"/>
      <c r="O5305" s="4" t="s">
        <v>63</v>
      </c>
      <c r="P5305" s="4" t="s">
        <v>64</v>
      </c>
    </row>
    <row r="5306">
      <c r="A5306" s="4" t="s">
        <v>1446</v>
      </c>
      <c r="B5306" s="4" t="s">
        <v>7138</v>
      </c>
      <c r="C5306" s="4">
        <v>288.0</v>
      </c>
      <c r="D5306" s="5" t="str">
        <f>HYPERLINK("https://www.linkedin.com/ad-library/detail/1244369364","Open Ad")</f>
        <v>Open Ad</v>
      </c>
      <c r="E5306" s="4" t="s">
        <v>52</v>
      </c>
      <c r="F5306" s="4" t="s">
        <v>6765</v>
      </c>
      <c r="G5306" s="4" t="s">
        <v>7142</v>
      </c>
      <c r="H5306" s="4" t="s">
        <v>49</v>
      </c>
      <c r="I5306" s="4" t="s">
        <v>7140</v>
      </c>
      <c r="J5306" s="4" t="s">
        <v>52</v>
      </c>
      <c r="K5306" s="4" t="s">
        <v>59</v>
      </c>
      <c r="L5306" s="4" t="s">
        <v>60</v>
      </c>
      <c r="M5306" s="4" t="s">
        <v>1446</v>
      </c>
      <c r="N5306" s="4"/>
      <c r="O5306" s="4" t="s">
        <v>63</v>
      </c>
      <c r="P5306" s="4" t="s">
        <v>64</v>
      </c>
    </row>
    <row r="5307">
      <c r="A5307" s="4" t="s">
        <v>1446</v>
      </c>
      <c r="B5307" s="4" t="s">
        <v>7138</v>
      </c>
      <c r="C5307" s="4">
        <v>289.0</v>
      </c>
      <c r="D5307" s="5" t="str">
        <f>HYPERLINK("https://www.linkedin.com/ad-library/detail/1241066934","Open Ad")</f>
        <v>Open Ad</v>
      </c>
      <c r="E5307" s="4" t="s">
        <v>52</v>
      </c>
      <c r="F5307" s="4" t="s">
        <v>6765</v>
      </c>
      <c r="G5307" s="4" t="s">
        <v>7259</v>
      </c>
      <c r="H5307" s="4" t="s">
        <v>49</v>
      </c>
      <c r="I5307" s="4" t="s">
        <v>7140</v>
      </c>
      <c r="J5307" s="4" t="s">
        <v>52</v>
      </c>
      <c r="K5307" s="4" t="s">
        <v>59</v>
      </c>
      <c r="L5307" s="4" t="s">
        <v>60</v>
      </c>
      <c r="M5307" s="4" t="s">
        <v>1446</v>
      </c>
      <c r="N5307" s="4"/>
      <c r="O5307" s="4" t="s">
        <v>63</v>
      </c>
      <c r="P5307" s="4" t="s">
        <v>64</v>
      </c>
    </row>
    <row r="5308">
      <c r="A5308" s="4" t="s">
        <v>1446</v>
      </c>
      <c r="B5308" s="4" t="s">
        <v>7138</v>
      </c>
      <c r="C5308" s="4">
        <v>290.0</v>
      </c>
      <c r="D5308" s="5" t="str">
        <f t="shared" ref="D5308:D5310" si="1487">HYPERLINK("https://www.linkedin.com/ad-library/detail/1244681714","Open Ad")</f>
        <v>Open Ad</v>
      </c>
      <c r="E5308" s="4" t="s">
        <v>52</v>
      </c>
      <c r="F5308" s="4" t="s">
        <v>6765</v>
      </c>
      <c r="G5308" s="4" t="s">
        <v>7260</v>
      </c>
      <c r="H5308" s="4" t="s">
        <v>49</v>
      </c>
      <c r="I5308" s="4" t="s">
        <v>7140</v>
      </c>
      <c r="J5308" s="4" t="s">
        <v>52</v>
      </c>
      <c r="K5308" s="4" t="s">
        <v>59</v>
      </c>
      <c r="L5308" s="4" t="s">
        <v>60</v>
      </c>
      <c r="M5308" s="4" t="s">
        <v>1446</v>
      </c>
      <c r="N5308" s="4"/>
      <c r="O5308" s="4" t="s">
        <v>63</v>
      </c>
      <c r="P5308" s="4" t="s">
        <v>64</v>
      </c>
    </row>
    <row r="5309">
      <c r="A5309" s="4" t="s">
        <v>1446</v>
      </c>
      <c r="B5309" s="4" t="s">
        <v>7138</v>
      </c>
      <c r="C5309" s="4">
        <v>291.0</v>
      </c>
      <c r="D5309" s="5" t="str">
        <f t="shared" si="1487"/>
        <v>Open Ad</v>
      </c>
      <c r="E5309" s="4" t="s">
        <v>52</v>
      </c>
      <c r="F5309" s="4" t="s">
        <v>6765</v>
      </c>
      <c r="G5309" s="4" t="s">
        <v>7260</v>
      </c>
      <c r="H5309" s="4" t="s">
        <v>49</v>
      </c>
      <c r="I5309" s="4" t="s">
        <v>7140</v>
      </c>
      <c r="J5309" s="4" t="s">
        <v>52</v>
      </c>
      <c r="K5309" s="4" t="s">
        <v>59</v>
      </c>
      <c r="L5309" s="4" t="s">
        <v>60</v>
      </c>
      <c r="M5309" s="4" t="s">
        <v>1446</v>
      </c>
      <c r="N5309" s="4"/>
      <c r="O5309" s="4" t="s">
        <v>63</v>
      </c>
      <c r="P5309" s="4" t="s">
        <v>64</v>
      </c>
    </row>
    <row r="5310">
      <c r="A5310" s="4" t="s">
        <v>1446</v>
      </c>
      <c r="B5310" s="4" t="s">
        <v>7138</v>
      </c>
      <c r="C5310" s="4">
        <v>292.0</v>
      </c>
      <c r="D5310" s="5" t="str">
        <f t="shared" si="1487"/>
        <v>Open Ad</v>
      </c>
      <c r="E5310" s="4" t="s">
        <v>52</v>
      </c>
      <c r="F5310" s="4" t="s">
        <v>6765</v>
      </c>
      <c r="G5310" s="4" t="s">
        <v>7260</v>
      </c>
      <c r="H5310" s="4" t="s">
        <v>49</v>
      </c>
      <c r="I5310" s="4" t="s">
        <v>7140</v>
      </c>
      <c r="J5310" s="4" t="s">
        <v>52</v>
      </c>
      <c r="K5310" s="4" t="s">
        <v>59</v>
      </c>
      <c r="L5310" s="4" t="s">
        <v>60</v>
      </c>
      <c r="M5310" s="4" t="s">
        <v>1446</v>
      </c>
      <c r="N5310" s="4"/>
      <c r="O5310" s="4" t="s">
        <v>63</v>
      </c>
      <c r="P5310" s="4" t="s">
        <v>64</v>
      </c>
    </row>
    <row r="5311">
      <c r="A5311" s="4" t="s">
        <v>1446</v>
      </c>
      <c r="B5311" s="4" t="s">
        <v>7138</v>
      </c>
      <c r="C5311" s="4">
        <v>293.0</v>
      </c>
      <c r="D5311" s="5" t="str">
        <f t="shared" ref="D5311:D5313" si="1488">HYPERLINK("https://www.linkedin.com/ad-library/detail/1244781554","Open Ad")</f>
        <v>Open Ad</v>
      </c>
      <c r="E5311" s="4" t="s">
        <v>52</v>
      </c>
      <c r="F5311" s="4" t="s">
        <v>6765</v>
      </c>
      <c r="G5311" s="4" t="s">
        <v>7261</v>
      </c>
      <c r="H5311" s="4" t="s">
        <v>49</v>
      </c>
      <c r="I5311" s="4" t="s">
        <v>7140</v>
      </c>
      <c r="J5311" s="4" t="s">
        <v>52</v>
      </c>
      <c r="K5311" s="4" t="s">
        <v>59</v>
      </c>
      <c r="L5311" s="4" t="s">
        <v>60</v>
      </c>
      <c r="M5311" s="4" t="s">
        <v>1446</v>
      </c>
      <c r="N5311" s="4"/>
      <c r="O5311" s="4" t="s">
        <v>63</v>
      </c>
      <c r="P5311" s="4" t="s">
        <v>64</v>
      </c>
    </row>
    <row r="5312">
      <c r="A5312" s="4" t="s">
        <v>1446</v>
      </c>
      <c r="B5312" s="4" t="s">
        <v>7138</v>
      </c>
      <c r="C5312" s="4">
        <v>294.0</v>
      </c>
      <c r="D5312" s="5" t="str">
        <f t="shared" si="1488"/>
        <v>Open Ad</v>
      </c>
      <c r="E5312" s="4" t="s">
        <v>52</v>
      </c>
      <c r="F5312" s="4" t="s">
        <v>6765</v>
      </c>
      <c r="G5312" s="4" t="s">
        <v>7261</v>
      </c>
      <c r="H5312" s="4" t="s">
        <v>49</v>
      </c>
      <c r="I5312" s="4" t="s">
        <v>7140</v>
      </c>
      <c r="J5312" s="4" t="s">
        <v>52</v>
      </c>
      <c r="K5312" s="4" t="s">
        <v>59</v>
      </c>
      <c r="L5312" s="4" t="s">
        <v>60</v>
      </c>
      <c r="M5312" s="4" t="s">
        <v>1446</v>
      </c>
      <c r="N5312" s="4"/>
      <c r="O5312" s="4" t="s">
        <v>63</v>
      </c>
      <c r="P5312" s="4" t="s">
        <v>64</v>
      </c>
    </row>
    <row r="5313">
      <c r="A5313" s="4" t="s">
        <v>1446</v>
      </c>
      <c r="B5313" s="4" t="s">
        <v>7138</v>
      </c>
      <c r="C5313" s="4">
        <v>295.0</v>
      </c>
      <c r="D5313" s="5" t="str">
        <f t="shared" si="1488"/>
        <v>Open Ad</v>
      </c>
      <c r="E5313" s="4" t="s">
        <v>52</v>
      </c>
      <c r="F5313" s="4" t="s">
        <v>6765</v>
      </c>
      <c r="G5313" s="4" t="s">
        <v>7261</v>
      </c>
      <c r="H5313" s="4" t="s">
        <v>49</v>
      </c>
      <c r="I5313" s="4" t="s">
        <v>7140</v>
      </c>
      <c r="J5313" s="4" t="s">
        <v>52</v>
      </c>
      <c r="K5313" s="4" t="s">
        <v>59</v>
      </c>
      <c r="L5313" s="4" t="s">
        <v>60</v>
      </c>
      <c r="M5313" s="4" t="s">
        <v>1446</v>
      </c>
      <c r="N5313" s="4"/>
      <c r="O5313" s="4" t="s">
        <v>63</v>
      </c>
      <c r="P5313" s="4" t="s">
        <v>64</v>
      </c>
    </row>
    <row r="5314">
      <c r="A5314" s="4" t="s">
        <v>1446</v>
      </c>
      <c r="B5314" s="4" t="s">
        <v>7138</v>
      </c>
      <c r="C5314" s="4">
        <v>296.0</v>
      </c>
      <c r="D5314" s="5" t="str">
        <f>HYPERLINK("https://www.linkedin.com/ad-library/detail/1240968924","Open Ad")</f>
        <v>Open Ad</v>
      </c>
      <c r="E5314" s="4" t="s">
        <v>52</v>
      </c>
      <c r="F5314" s="4" t="s">
        <v>6765</v>
      </c>
      <c r="G5314" s="4" t="s">
        <v>7262</v>
      </c>
      <c r="H5314" s="4" t="s">
        <v>49</v>
      </c>
      <c r="I5314" s="4" t="s">
        <v>7140</v>
      </c>
      <c r="J5314" s="4" t="s">
        <v>52</v>
      </c>
      <c r="K5314" s="4" t="s">
        <v>59</v>
      </c>
      <c r="L5314" s="4" t="s">
        <v>60</v>
      </c>
      <c r="M5314" s="4" t="s">
        <v>1446</v>
      </c>
      <c r="N5314" s="4"/>
      <c r="O5314" s="4" t="s">
        <v>63</v>
      </c>
      <c r="P5314" s="4" t="s">
        <v>64</v>
      </c>
    </row>
    <row r="5315">
      <c r="A5315" s="4" t="s">
        <v>1446</v>
      </c>
      <c r="B5315" s="4" t="s">
        <v>7138</v>
      </c>
      <c r="C5315" s="4">
        <v>297.0</v>
      </c>
      <c r="D5315" s="5" t="str">
        <f>HYPERLINK("https://www.linkedin.com/ad-library/detail/1244713754","Open Ad")</f>
        <v>Open Ad</v>
      </c>
      <c r="E5315" s="4" t="s">
        <v>52</v>
      </c>
      <c r="F5315" s="4" t="s">
        <v>6765</v>
      </c>
      <c r="G5315" s="4" t="s">
        <v>7263</v>
      </c>
      <c r="H5315" s="4" t="s">
        <v>49</v>
      </c>
      <c r="I5315" s="4" t="s">
        <v>7140</v>
      </c>
      <c r="J5315" s="4" t="s">
        <v>52</v>
      </c>
      <c r="K5315" s="4" t="s">
        <v>59</v>
      </c>
      <c r="L5315" s="4" t="s">
        <v>60</v>
      </c>
      <c r="M5315" s="4" t="s">
        <v>1446</v>
      </c>
      <c r="N5315" s="4"/>
      <c r="O5315" s="4" t="s">
        <v>63</v>
      </c>
      <c r="P5315" s="4" t="s">
        <v>64</v>
      </c>
    </row>
    <row r="5316">
      <c r="A5316" s="4" t="s">
        <v>1446</v>
      </c>
      <c r="B5316" s="4" t="s">
        <v>7138</v>
      </c>
      <c r="C5316" s="4">
        <v>298.0</v>
      </c>
      <c r="D5316" s="5" t="str">
        <f>HYPERLINK("https://www.linkedin.com/ad-library/detail/1244281474","Open Ad")</f>
        <v>Open Ad</v>
      </c>
      <c r="E5316" s="4" t="s">
        <v>52</v>
      </c>
      <c r="F5316" s="4" t="s">
        <v>6765</v>
      </c>
      <c r="G5316" s="4" t="s">
        <v>7142</v>
      </c>
      <c r="H5316" s="4" t="s">
        <v>49</v>
      </c>
      <c r="I5316" s="4" t="s">
        <v>7140</v>
      </c>
      <c r="J5316" s="4" t="s">
        <v>52</v>
      </c>
      <c r="K5316" s="4" t="s">
        <v>59</v>
      </c>
      <c r="L5316" s="4" t="s">
        <v>60</v>
      </c>
      <c r="M5316" s="4" t="s">
        <v>1446</v>
      </c>
      <c r="N5316" s="4"/>
      <c r="O5316" s="4" t="s">
        <v>63</v>
      </c>
      <c r="P5316" s="4" t="s">
        <v>64</v>
      </c>
    </row>
    <row r="5317">
      <c r="A5317" s="4" t="s">
        <v>1446</v>
      </c>
      <c r="B5317" s="4" t="s">
        <v>7138</v>
      </c>
      <c r="C5317" s="4">
        <v>299.0</v>
      </c>
      <c r="D5317" s="5" t="str">
        <f t="shared" ref="D5317:D5318" si="1489">HYPERLINK("https://www.linkedin.com/ad-library/detail/1244221194","Open Ad")</f>
        <v>Open Ad</v>
      </c>
      <c r="E5317" s="4" t="s">
        <v>78</v>
      </c>
      <c r="F5317" s="4" t="s">
        <v>6765</v>
      </c>
      <c r="G5317" s="4" t="s">
        <v>7195</v>
      </c>
      <c r="H5317" s="4" t="s">
        <v>49</v>
      </c>
      <c r="I5317" s="4" t="s">
        <v>7140</v>
      </c>
      <c r="J5317" s="4" t="s">
        <v>78</v>
      </c>
      <c r="K5317" s="7" t="str">
        <f t="shared" ref="K5317:K5318" si="1490">HYPERLINK("https://media.licdn.com/dms/image/v2/D4E22AQEe6Kn8FzbO6A/feedshare-image-high-res/B4EZ1oq9ZZJEAU-/0/1775577585791?e=2147483647&amp;v=beta&amp;t=bKCZ4NWsxF52e0yGjdDUpw3Ba3gvRDYiO-A21-3uLr8","View Creative")</f>
        <v>View Creative</v>
      </c>
      <c r="L5317" s="4" t="s">
        <v>60</v>
      </c>
      <c r="M5317" s="4" t="s">
        <v>1446</v>
      </c>
      <c r="N5317" s="4"/>
      <c r="O5317" s="4" t="s">
        <v>63</v>
      </c>
      <c r="P5317" s="4" t="s">
        <v>64</v>
      </c>
    </row>
    <row r="5318">
      <c r="A5318" s="4" t="s">
        <v>1446</v>
      </c>
      <c r="B5318" s="4" t="s">
        <v>7138</v>
      </c>
      <c r="C5318" s="4">
        <v>300.0</v>
      </c>
      <c r="D5318" s="5" t="str">
        <f t="shared" si="1489"/>
        <v>Open Ad</v>
      </c>
      <c r="E5318" s="4" t="s">
        <v>78</v>
      </c>
      <c r="F5318" s="4" t="s">
        <v>6765</v>
      </c>
      <c r="G5318" s="4" t="s">
        <v>7195</v>
      </c>
      <c r="H5318" s="4" t="s">
        <v>49</v>
      </c>
      <c r="I5318" s="4" t="s">
        <v>7140</v>
      </c>
      <c r="J5318" s="4" t="s">
        <v>78</v>
      </c>
      <c r="K5318" s="7" t="str">
        <f t="shared" si="1490"/>
        <v>View Creative</v>
      </c>
      <c r="L5318" s="4" t="s">
        <v>60</v>
      </c>
      <c r="M5318" s="4" t="s">
        <v>1446</v>
      </c>
      <c r="N5318" s="4"/>
      <c r="O5318" s="4" t="s">
        <v>63</v>
      </c>
      <c r="P5318" s="4" t="s">
        <v>64</v>
      </c>
    </row>
    <row r="5319">
      <c r="A5319" s="4" t="s">
        <v>1446</v>
      </c>
      <c r="B5319" s="4" t="s">
        <v>7138</v>
      </c>
      <c r="C5319" s="4">
        <v>301.0</v>
      </c>
      <c r="D5319" s="5" t="str">
        <f t="shared" ref="D5319:D5320" si="1491">HYPERLINK("https://www.linkedin.com/ad-library/detail/1244971664","Open Ad")</f>
        <v>Open Ad</v>
      </c>
      <c r="E5319" s="4" t="s">
        <v>78</v>
      </c>
      <c r="F5319" s="4" t="s">
        <v>6765</v>
      </c>
      <c r="G5319" s="4" t="s">
        <v>7264</v>
      </c>
      <c r="H5319" s="4" t="s">
        <v>49</v>
      </c>
      <c r="I5319" s="4" t="s">
        <v>7140</v>
      </c>
      <c r="J5319" s="4" t="s">
        <v>78</v>
      </c>
      <c r="K5319" s="7" t="str">
        <f t="shared" ref="K5319:K5320" si="1492">HYPERLINK("https://media.licdn.com/dms/image/v2/D5610AQE_Y0J7ci6FkQ/image-shrink_1280/B56Z2SalBnGgAc-/0/1776277934671?e=2147483647&amp;v=beta&amp;t=hltrIlgzAmZFwxf3xcj9kyKDe3crjop7vklIl7Ihi1o","View Creative")</f>
        <v>View Creative</v>
      </c>
      <c r="L5319" s="4" t="s">
        <v>60</v>
      </c>
      <c r="M5319" s="4" t="s">
        <v>1446</v>
      </c>
      <c r="N5319" s="4"/>
      <c r="O5319" s="4" t="s">
        <v>63</v>
      </c>
      <c r="P5319" s="4" t="s">
        <v>64</v>
      </c>
    </row>
    <row r="5320">
      <c r="A5320" s="4" t="s">
        <v>1446</v>
      </c>
      <c r="B5320" s="4" t="s">
        <v>7138</v>
      </c>
      <c r="C5320" s="4">
        <v>302.0</v>
      </c>
      <c r="D5320" s="5" t="str">
        <f t="shared" si="1491"/>
        <v>Open Ad</v>
      </c>
      <c r="E5320" s="4" t="s">
        <v>78</v>
      </c>
      <c r="F5320" s="4" t="s">
        <v>6765</v>
      </c>
      <c r="G5320" s="4" t="s">
        <v>7264</v>
      </c>
      <c r="H5320" s="4" t="s">
        <v>49</v>
      </c>
      <c r="I5320" s="4" t="s">
        <v>7140</v>
      </c>
      <c r="J5320" s="4" t="s">
        <v>78</v>
      </c>
      <c r="K5320" s="7" t="str">
        <f t="shared" si="1492"/>
        <v>View Creative</v>
      </c>
      <c r="L5320" s="4" t="s">
        <v>60</v>
      </c>
      <c r="M5320" s="4" t="s">
        <v>1446</v>
      </c>
      <c r="N5320" s="4"/>
      <c r="O5320" s="4" t="s">
        <v>63</v>
      </c>
      <c r="P5320" s="4" t="s">
        <v>64</v>
      </c>
    </row>
    <row r="5321">
      <c r="A5321" s="4" t="s">
        <v>1446</v>
      </c>
      <c r="B5321" s="4" t="s">
        <v>7138</v>
      </c>
      <c r="C5321" s="4">
        <v>303.0</v>
      </c>
      <c r="D5321" s="5" t="str">
        <f>HYPERLINK("https://www.linkedin.com/ad-library/detail/1244713744","Open Ad")</f>
        <v>Open Ad</v>
      </c>
      <c r="E5321" s="4" t="s">
        <v>52</v>
      </c>
      <c r="F5321" s="4" t="s">
        <v>6765</v>
      </c>
      <c r="G5321" s="4" t="s">
        <v>7265</v>
      </c>
      <c r="H5321" s="4" t="s">
        <v>49</v>
      </c>
      <c r="I5321" s="4" t="s">
        <v>7140</v>
      </c>
      <c r="J5321" s="4" t="s">
        <v>52</v>
      </c>
      <c r="K5321" s="4" t="s">
        <v>59</v>
      </c>
      <c r="L5321" s="4" t="s">
        <v>60</v>
      </c>
      <c r="M5321" s="4" t="s">
        <v>1446</v>
      </c>
      <c r="N5321" s="4"/>
      <c r="O5321" s="4" t="s">
        <v>63</v>
      </c>
      <c r="P5321" s="4" t="s">
        <v>64</v>
      </c>
    </row>
    <row r="5322">
      <c r="A5322" s="4" t="s">
        <v>1446</v>
      </c>
      <c r="B5322" s="4" t="s">
        <v>7138</v>
      </c>
      <c r="C5322" s="4">
        <v>304.0</v>
      </c>
      <c r="D5322" s="5" t="str">
        <f t="shared" ref="D5322:D5323" si="1493">HYPERLINK("https://www.linkedin.com/ad-library/detail/1234913594","Open Ad")</f>
        <v>Open Ad</v>
      </c>
      <c r="E5322" s="4" t="s">
        <v>78</v>
      </c>
      <c r="F5322" s="4" t="s">
        <v>6765</v>
      </c>
      <c r="G5322" s="4" t="s">
        <v>7258</v>
      </c>
      <c r="H5322" s="4" t="s">
        <v>49</v>
      </c>
      <c r="I5322" s="4" t="s">
        <v>7140</v>
      </c>
      <c r="J5322" s="4" t="s">
        <v>78</v>
      </c>
      <c r="K5322" s="7" t="str">
        <f t="shared" ref="K5322:K5323" si="1494">HYPERLINK("https://media.licdn.com/dms/image/v2/D5610AQECFo_-CdHjuw/image-shrink_1280/B56Z0caaZCG8Ac-/0/1774298179414?e=2147483647&amp;v=beta&amp;t=PiPadwjWqyrJcgWEgDIgSkm4vQON6N72zcL76WhJPmQ","View Creative")</f>
        <v>View Creative</v>
      </c>
      <c r="L5322" s="4" t="s">
        <v>60</v>
      </c>
      <c r="M5322" s="4" t="s">
        <v>1446</v>
      </c>
      <c r="N5322" s="4"/>
      <c r="O5322" s="4" t="s">
        <v>63</v>
      </c>
      <c r="P5322" s="4" t="s">
        <v>64</v>
      </c>
    </row>
    <row r="5323">
      <c r="A5323" s="4" t="s">
        <v>1446</v>
      </c>
      <c r="B5323" s="4" t="s">
        <v>7138</v>
      </c>
      <c r="C5323" s="4">
        <v>305.0</v>
      </c>
      <c r="D5323" s="5" t="str">
        <f t="shared" si="1493"/>
        <v>Open Ad</v>
      </c>
      <c r="E5323" s="4" t="s">
        <v>78</v>
      </c>
      <c r="F5323" s="4" t="s">
        <v>6765</v>
      </c>
      <c r="G5323" s="4" t="s">
        <v>7258</v>
      </c>
      <c r="H5323" s="4" t="s">
        <v>49</v>
      </c>
      <c r="I5323" s="4" t="s">
        <v>7140</v>
      </c>
      <c r="J5323" s="4" t="s">
        <v>78</v>
      </c>
      <c r="K5323" s="7" t="str">
        <f t="shared" si="1494"/>
        <v>View Creative</v>
      </c>
      <c r="L5323" s="4" t="s">
        <v>60</v>
      </c>
      <c r="M5323" s="4" t="s">
        <v>1446</v>
      </c>
      <c r="N5323" s="4"/>
      <c r="O5323" s="4" t="s">
        <v>63</v>
      </c>
      <c r="P5323" s="4" t="s">
        <v>64</v>
      </c>
    </row>
    <row r="5324">
      <c r="A5324" s="4" t="s">
        <v>1446</v>
      </c>
      <c r="B5324" s="4" t="s">
        <v>7138</v>
      </c>
      <c r="C5324" s="4">
        <v>306.0</v>
      </c>
      <c r="D5324" s="5" t="str">
        <f t="shared" ref="D5324:D5325" si="1495">HYPERLINK("https://www.linkedin.com/ad-library/detail/1235202364","Open Ad")</f>
        <v>Open Ad</v>
      </c>
      <c r="E5324" s="4" t="s">
        <v>121</v>
      </c>
      <c r="F5324" s="4" t="s">
        <v>6765</v>
      </c>
      <c r="G5324" s="4" t="s">
        <v>7266</v>
      </c>
      <c r="H5324" s="4" t="s">
        <v>49</v>
      </c>
      <c r="I5324" s="4" t="s">
        <v>7140</v>
      </c>
      <c r="J5324" s="4" t="s">
        <v>121</v>
      </c>
      <c r="K5324" s="7" t="str">
        <f t="shared" ref="K5324:K5325" si="1496">HYPERLINK("https://dms.licdn.com/playlist/vid/v2/D5605AQHSz_vo9FwHQQ/mp4-640p-30fp-crf28/B56Z0BQ5nbKIBw-/0/1773842709421?e=2147483647&amp;v=beta&amp;t=I39tz-aKM_nrvS7atKZ_KcsWKszByaxzAJpIM1P1gD8","View Creative")</f>
        <v>View Creative</v>
      </c>
      <c r="L5324" s="4" t="s">
        <v>60</v>
      </c>
      <c r="M5324" s="4" t="s">
        <v>1446</v>
      </c>
      <c r="N5324" s="4"/>
      <c r="O5324" s="4" t="s">
        <v>63</v>
      </c>
      <c r="P5324" s="4" t="s">
        <v>64</v>
      </c>
    </row>
    <row r="5325">
      <c r="A5325" s="4" t="s">
        <v>1446</v>
      </c>
      <c r="B5325" s="4" t="s">
        <v>7138</v>
      </c>
      <c r="C5325" s="4">
        <v>307.0</v>
      </c>
      <c r="D5325" s="5" t="str">
        <f t="shared" si="1495"/>
        <v>Open Ad</v>
      </c>
      <c r="E5325" s="4" t="s">
        <v>121</v>
      </c>
      <c r="F5325" s="4" t="s">
        <v>6765</v>
      </c>
      <c r="G5325" s="4" t="s">
        <v>7266</v>
      </c>
      <c r="H5325" s="4" t="s">
        <v>49</v>
      </c>
      <c r="I5325" s="4" t="s">
        <v>7140</v>
      </c>
      <c r="J5325" s="4" t="s">
        <v>121</v>
      </c>
      <c r="K5325" s="7" t="str">
        <f t="shared" si="1496"/>
        <v>View Creative</v>
      </c>
      <c r="L5325" s="4" t="s">
        <v>60</v>
      </c>
      <c r="M5325" s="4" t="s">
        <v>1446</v>
      </c>
      <c r="N5325" s="4"/>
      <c r="O5325" s="4" t="s">
        <v>63</v>
      </c>
      <c r="P5325" s="4" t="s">
        <v>64</v>
      </c>
    </row>
    <row r="5326">
      <c r="A5326" s="4" t="s">
        <v>1446</v>
      </c>
      <c r="B5326" s="4" t="s">
        <v>7138</v>
      </c>
      <c r="C5326" s="4">
        <v>308.0</v>
      </c>
      <c r="D5326" s="5" t="str">
        <f t="shared" ref="D5326:D5327" si="1497">HYPERLINK("https://www.linkedin.com/ad-library/detail/1229432744","Open Ad")</f>
        <v>Open Ad</v>
      </c>
      <c r="E5326" s="4" t="s">
        <v>121</v>
      </c>
      <c r="F5326" s="4" t="s">
        <v>6765</v>
      </c>
      <c r="G5326" s="4" t="s">
        <v>7180</v>
      </c>
      <c r="H5326" s="4" t="s">
        <v>49</v>
      </c>
      <c r="I5326" s="4" t="s">
        <v>7140</v>
      </c>
      <c r="J5326" s="4" t="s">
        <v>121</v>
      </c>
      <c r="K5326" s="7" t="str">
        <f t="shared" ref="K5326:K5329" si="1498">HYPERLINK("https://dms.licdn.com/playlist/vid/v2/D5605AQEmxVlPHBLZkQ/mp4-720p-30fp-crf28/B56ZzYQFWqGQCI-/0/1773154630789?e=2147483647&amp;v=beta&amp;t=_JAszrfLzQkAhoCf8voYsNUfx6oL6Y1ScMDAiqjrXCI","View Creative")</f>
        <v>View Creative</v>
      </c>
      <c r="L5326" s="4" t="s">
        <v>60</v>
      </c>
      <c r="M5326" s="4" t="s">
        <v>1446</v>
      </c>
      <c r="N5326" s="4"/>
      <c r="O5326" s="4" t="s">
        <v>63</v>
      </c>
      <c r="P5326" s="4" t="s">
        <v>64</v>
      </c>
    </row>
    <row r="5327">
      <c r="A5327" s="4" t="s">
        <v>1446</v>
      </c>
      <c r="B5327" s="4" t="s">
        <v>7138</v>
      </c>
      <c r="C5327" s="4">
        <v>309.0</v>
      </c>
      <c r="D5327" s="5" t="str">
        <f t="shared" si="1497"/>
        <v>Open Ad</v>
      </c>
      <c r="E5327" s="4" t="s">
        <v>121</v>
      </c>
      <c r="F5327" s="4" t="s">
        <v>6765</v>
      </c>
      <c r="G5327" s="4" t="s">
        <v>7180</v>
      </c>
      <c r="H5327" s="4" t="s">
        <v>49</v>
      </c>
      <c r="I5327" s="4" t="s">
        <v>7140</v>
      </c>
      <c r="J5327" s="4" t="s">
        <v>121</v>
      </c>
      <c r="K5327" s="7" t="str">
        <f t="shared" si="1498"/>
        <v>View Creative</v>
      </c>
      <c r="L5327" s="4" t="s">
        <v>60</v>
      </c>
      <c r="M5327" s="4" t="s">
        <v>1446</v>
      </c>
      <c r="N5327" s="4"/>
      <c r="O5327" s="4" t="s">
        <v>63</v>
      </c>
      <c r="P5327" s="4" t="s">
        <v>64</v>
      </c>
    </row>
    <row r="5328">
      <c r="A5328" s="4" t="s">
        <v>1446</v>
      </c>
      <c r="B5328" s="4" t="s">
        <v>7138</v>
      </c>
      <c r="C5328" s="4">
        <v>310.0</v>
      </c>
      <c r="D5328" s="5" t="str">
        <f t="shared" ref="D5328:D5329" si="1499">HYPERLINK("https://www.linkedin.com/ad-library/detail/1230412484","Open Ad")</f>
        <v>Open Ad</v>
      </c>
      <c r="E5328" s="4" t="s">
        <v>121</v>
      </c>
      <c r="F5328" s="4" t="s">
        <v>6765</v>
      </c>
      <c r="G5328" s="4" t="s">
        <v>7180</v>
      </c>
      <c r="H5328" s="4" t="s">
        <v>49</v>
      </c>
      <c r="I5328" s="4" t="s">
        <v>7140</v>
      </c>
      <c r="J5328" s="4" t="s">
        <v>121</v>
      </c>
      <c r="K5328" s="7" t="str">
        <f t="shared" si="1498"/>
        <v>View Creative</v>
      </c>
      <c r="L5328" s="4" t="s">
        <v>60</v>
      </c>
      <c r="M5328" s="4" t="s">
        <v>1446</v>
      </c>
      <c r="N5328" s="4"/>
      <c r="O5328" s="4" t="s">
        <v>63</v>
      </c>
      <c r="P5328" s="4" t="s">
        <v>64</v>
      </c>
    </row>
    <row r="5329">
      <c r="A5329" s="4" t="s">
        <v>1446</v>
      </c>
      <c r="B5329" s="4" t="s">
        <v>7138</v>
      </c>
      <c r="C5329" s="4">
        <v>311.0</v>
      </c>
      <c r="D5329" s="5" t="str">
        <f t="shared" si="1499"/>
        <v>Open Ad</v>
      </c>
      <c r="E5329" s="4" t="s">
        <v>121</v>
      </c>
      <c r="F5329" s="4" t="s">
        <v>6765</v>
      </c>
      <c r="G5329" s="4" t="s">
        <v>7180</v>
      </c>
      <c r="H5329" s="4" t="s">
        <v>49</v>
      </c>
      <c r="I5329" s="4" t="s">
        <v>7140</v>
      </c>
      <c r="J5329" s="4" t="s">
        <v>121</v>
      </c>
      <c r="K5329" s="7" t="str">
        <f t="shared" si="1498"/>
        <v>View Creative</v>
      </c>
      <c r="L5329" s="4" t="s">
        <v>60</v>
      </c>
      <c r="M5329" s="4" t="s">
        <v>1446</v>
      </c>
      <c r="N5329" s="4"/>
      <c r="O5329" s="4" t="s">
        <v>63</v>
      </c>
      <c r="P5329" s="4" t="s">
        <v>64</v>
      </c>
    </row>
    <row r="5330">
      <c r="A5330" s="4" t="s">
        <v>1446</v>
      </c>
      <c r="B5330" s="4" t="s">
        <v>7138</v>
      </c>
      <c r="C5330" s="4">
        <v>312.0</v>
      </c>
      <c r="D5330" s="5" t="str">
        <f t="shared" ref="D5330:D5331" si="1500">HYPERLINK("https://www.linkedin.com/ad-library/detail/1229995834","Open Ad")</f>
        <v>Open Ad</v>
      </c>
      <c r="E5330" s="4" t="s">
        <v>121</v>
      </c>
      <c r="F5330" s="4" t="s">
        <v>6765</v>
      </c>
      <c r="G5330" s="4" t="s">
        <v>7267</v>
      </c>
      <c r="H5330" s="4" t="s">
        <v>49</v>
      </c>
      <c r="I5330" s="4" t="s">
        <v>7140</v>
      </c>
      <c r="J5330" s="4" t="s">
        <v>121</v>
      </c>
      <c r="K5330" s="7" t="str">
        <f t="shared" ref="K5330:K5331" si="1501">HYPERLINK("https://dms.licdn.com/playlist/vid/v2/D5605AQF-WXlH9UN8XA/mp4-720p-30fp-crf28/B56ZwkM5jrI4CI-/0/1770133910390?e=2147483647&amp;v=beta&amp;t=2--W0YV2wqt-_hylX_H8XgQLMhzmAN25ocXhbdzk4p8","View Creative")</f>
        <v>View Creative</v>
      </c>
      <c r="L5330" s="4" t="s">
        <v>60</v>
      </c>
      <c r="M5330" s="4" t="s">
        <v>1446</v>
      </c>
      <c r="N5330" s="4"/>
      <c r="O5330" s="4" t="s">
        <v>63</v>
      </c>
      <c r="P5330" s="4" t="s">
        <v>64</v>
      </c>
    </row>
    <row r="5331">
      <c r="A5331" s="4" t="s">
        <v>1446</v>
      </c>
      <c r="B5331" s="4" t="s">
        <v>7138</v>
      </c>
      <c r="C5331" s="4">
        <v>313.0</v>
      </c>
      <c r="D5331" s="5" t="str">
        <f t="shared" si="1500"/>
        <v>Open Ad</v>
      </c>
      <c r="E5331" s="4" t="s">
        <v>121</v>
      </c>
      <c r="F5331" s="4" t="s">
        <v>6765</v>
      </c>
      <c r="G5331" s="4" t="s">
        <v>7267</v>
      </c>
      <c r="H5331" s="4" t="s">
        <v>49</v>
      </c>
      <c r="I5331" s="4" t="s">
        <v>7140</v>
      </c>
      <c r="J5331" s="4" t="s">
        <v>121</v>
      </c>
      <c r="K5331" s="7" t="str">
        <f t="shared" si="1501"/>
        <v>View Creative</v>
      </c>
      <c r="L5331" s="4" t="s">
        <v>60</v>
      </c>
      <c r="M5331" s="4" t="s">
        <v>1446</v>
      </c>
      <c r="N5331" s="4"/>
      <c r="O5331" s="4" t="s">
        <v>63</v>
      </c>
      <c r="P5331" s="4" t="s">
        <v>64</v>
      </c>
    </row>
    <row r="5332">
      <c r="A5332" s="4" t="s">
        <v>1446</v>
      </c>
      <c r="B5332" s="4" t="s">
        <v>7138</v>
      </c>
      <c r="C5332" s="4">
        <v>314.0</v>
      </c>
      <c r="D5332" s="5" t="str">
        <f t="shared" ref="D5332:D5333" si="1502">HYPERLINK("https://www.linkedin.com/ad-library/detail/1235310884","Open Ad")</f>
        <v>Open Ad</v>
      </c>
      <c r="E5332" s="4" t="s">
        <v>78</v>
      </c>
      <c r="F5332" s="4" t="s">
        <v>6765</v>
      </c>
      <c r="G5332" s="4" t="s">
        <v>7268</v>
      </c>
      <c r="H5332" s="4" t="s">
        <v>49</v>
      </c>
      <c r="I5332" s="4" t="s">
        <v>7140</v>
      </c>
      <c r="J5332" s="4" t="s">
        <v>78</v>
      </c>
      <c r="K5332" s="7" t="str">
        <f t="shared" ref="K5332:K5333" si="1503">HYPERLINK("https://media.licdn.com/dms/image/v2/D5610AQE6n1cdPoSW_A/image-shrink_1280/B56Z0caFScHoAc-/0/1774298093307?e=2147483647&amp;v=beta&amp;t=ka-X0TnZQOeWIcNeqJK_6_kptExsPW9NjpJ8jubG-NI","View Creative")</f>
        <v>View Creative</v>
      </c>
      <c r="L5332" s="4" t="s">
        <v>60</v>
      </c>
      <c r="M5332" s="4" t="s">
        <v>1446</v>
      </c>
      <c r="N5332" s="4"/>
      <c r="O5332" s="4" t="s">
        <v>63</v>
      </c>
      <c r="P5332" s="4" t="s">
        <v>64</v>
      </c>
    </row>
    <row r="5333">
      <c r="A5333" s="4" t="s">
        <v>1446</v>
      </c>
      <c r="B5333" s="4" t="s">
        <v>7138</v>
      </c>
      <c r="C5333" s="4">
        <v>315.0</v>
      </c>
      <c r="D5333" s="5" t="str">
        <f t="shared" si="1502"/>
        <v>Open Ad</v>
      </c>
      <c r="E5333" s="4" t="s">
        <v>78</v>
      </c>
      <c r="F5333" s="4" t="s">
        <v>6765</v>
      </c>
      <c r="G5333" s="4" t="s">
        <v>7268</v>
      </c>
      <c r="H5333" s="4" t="s">
        <v>49</v>
      </c>
      <c r="I5333" s="4" t="s">
        <v>7140</v>
      </c>
      <c r="J5333" s="4" t="s">
        <v>78</v>
      </c>
      <c r="K5333" s="7" t="str">
        <f t="shared" si="1503"/>
        <v>View Creative</v>
      </c>
      <c r="L5333" s="4" t="s">
        <v>60</v>
      </c>
      <c r="M5333" s="4" t="s">
        <v>1446</v>
      </c>
      <c r="N5333" s="4"/>
      <c r="O5333" s="4" t="s">
        <v>63</v>
      </c>
      <c r="P5333" s="4" t="s">
        <v>64</v>
      </c>
    </row>
    <row r="5334">
      <c r="A5334" s="4" t="s">
        <v>1446</v>
      </c>
      <c r="B5334" s="4" t="s">
        <v>7138</v>
      </c>
      <c r="C5334" s="4">
        <v>316.0</v>
      </c>
      <c r="D5334" s="5" t="str">
        <f t="shared" ref="D5334:D5335" si="1504">HYPERLINK("https://www.linkedin.com/ad-library/detail/1234125284","Open Ad")</f>
        <v>Open Ad</v>
      </c>
      <c r="E5334" s="4" t="s">
        <v>78</v>
      </c>
      <c r="F5334" s="4" t="s">
        <v>6765</v>
      </c>
      <c r="G5334" s="4" t="s">
        <v>7258</v>
      </c>
      <c r="H5334" s="4" t="s">
        <v>49</v>
      </c>
      <c r="I5334" s="4" t="s">
        <v>7140</v>
      </c>
      <c r="J5334" s="4" t="s">
        <v>78</v>
      </c>
      <c r="K5334" s="7" t="str">
        <f t="shared" ref="K5334:K5335" si="1505">HYPERLINK("https://media.licdn.com/dms/image/v2/D5610AQHQSqI8PdVPvA/image-shrink_1280/B56Z0caMYgJgAc-/0/1774298122459?e=2147483647&amp;v=beta&amp;t=mOW8K2nYfYa3tb-1LMWS3teYRydKlDzYj0ob0NGa9eI","View Creative")</f>
        <v>View Creative</v>
      </c>
      <c r="L5334" s="4" t="s">
        <v>60</v>
      </c>
      <c r="M5334" s="4" t="s">
        <v>1446</v>
      </c>
      <c r="N5334" s="4"/>
      <c r="O5334" s="4" t="s">
        <v>63</v>
      </c>
      <c r="P5334" s="4" t="s">
        <v>64</v>
      </c>
    </row>
    <row r="5335">
      <c r="A5335" s="4" t="s">
        <v>1446</v>
      </c>
      <c r="B5335" s="4" t="s">
        <v>7138</v>
      </c>
      <c r="C5335" s="4">
        <v>317.0</v>
      </c>
      <c r="D5335" s="5" t="str">
        <f t="shared" si="1504"/>
        <v>Open Ad</v>
      </c>
      <c r="E5335" s="4" t="s">
        <v>78</v>
      </c>
      <c r="F5335" s="4" t="s">
        <v>6765</v>
      </c>
      <c r="G5335" s="4" t="s">
        <v>7258</v>
      </c>
      <c r="H5335" s="4" t="s">
        <v>49</v>
      </c>
      <c r="I5335" s="4" t="s">
        <v>7140</v>
      </c>
      <c r="J5335" s="4" t="s">
        <v>78</v>
      </c>
      <c r="K5335" s="7" t="str">
        <f t="shared" si="1505"/>
        <v>View Creative</v>
      </c>
      <c r="L5335" s="4" t="s">
        <v>60</v>
      </c>
      <c r="M5335" s="4" t="s">
        <v>1446</v>
      </c>
      <c r="N5335" s="4"/>
      <c r="O5335" s="4" t="s">
        <v>63</v>
      </c>
      <c r="P5335" s="4" t="s">
        <v>64</v>
      </c>
    </row>
    <row r="5336">
      <c r="A5336" s="4" t="s">
        <v>1446</v>
      </c>
      <c r="B5336" s="4" t="s">
        <v>7138</v>
      </c>
      <c r="C5336" s="4">
        <v>318.0</v>
      </c>
      <c r="D5336" s="5" t="str">
        <f>HYPERLINK("https://www.linkedin.com/ad-library/detail/1229507524","Open Ad")</f>
        <v>Open Ad</v>
      </c>
      <c r="E5336" s="4" t="s">
        <v>52</v>
      </c>
      <c r="F5336" s="4" t="s">
        <v>6765</v>
      </c>
      <c r="G5336" s="4" t="s">
        <v>7205</v>
      </c>
      <c r="H5336" s="4" t="s">
        <v>49</v>
      </c>
      <c r="I5336" s="4" t="s">
        <v>7140</v>
      </c>
      <c r="J5336" s="4" t="s">
        <v>52</v>
      </c>
      <c r="K5336" s="4" t="s">
        <v>59</v>
      </c>
      <c r="L5336" s="4" t="s">
        <v>60</v>
      </c>
      <c r="M5336" s="4" t="s">
        <v>1446</v>
      </c>
      <c r="N5336" s="4"/>
      <c r="O5336" s="4" t="s">
        <v>63</v>
      </c>
      <c r="P5336" s="4" t="s">
        <v>64</v>
      </c>
    </row>
    <row r="5337">
      <c r="A5337" s="4" t="s">
        <v>1446</v>
      </c>
      <c r="B5337" s="4" t="s">
        <v>7138</v>
      </c>
      <c r="C5337" s="4">
        <v>319.0</v>
      </c>
      <c r="D5337" s="5" t="str">
        <f>HYPERLINK("https://www.linkedin.com/ad-library/detail/1235009504","Open Ad")</f>
        <v>Open Ad</v>
      </c>
      <c r="E5337" s="4" t="s">
        <v>52</v>
      </c>
      <c r="F5337" s="4" t="s">
        <v>6765</v>
      </c>
      <c r="G5337" s="4" t="s">
        <v>7269</v>
      </c>
      <c r="H5337" s="4" t="s">
        <v>49</v>
      </c>
      <c r="I5337" s="4" t="s">
        <v>7140</v>
      </c>
      <c r="J5337" s="4" t="s">
        <v>52</v>
      </c>
      <c r="K5337" s="4" t="s">
        <v>59</v>
      </c>
      <c r="L5337" s="4" t="s">
        <v>60</v>
      </c>
      <c r="M5337" s="4" t="s">
        <v>1446</v>
      </c>
      <c r="N5337" s="4"/>
      <c r="O5337" s="4" t="s">
        <v>63</v>
      </c>
      <c r="P5337" s="4" t="s">
        <v>64</v>
      </c>
    </row>
    <row r="5338">
      <c r="A5338" s="4" t="s">
        <v>1446</v>
      </c>
      <c r="B5338" s="4" t="s">
        <v>7138</v>
      </c>
      <c r="C5338" s="4">
        <v>320.0</v>
      </c>
      <c r="D5338" s="5" t="str">
        <f t="shared" ref="D5338:D5339" si="1506">HYPERLINK("https://www.linkedin.com/ad-library/detail/1234125274","Open Ad")</f>
        <v>Open Ad</v>
      </c>
      <c r="E5338" s="4" t="s">
        <v>78</v>
      </c>
      <c r="F5338" s="4" t="s">
        <v>6765</v>
      </c>
      <c r="G5338" s="4" t="s">
        <v>7270</v>
      </c>
      <c r="H5338" s="4" t="s">
        <v>49</v>
      </c>
      <c r="I5338" s="4" t="s">
        <v>7140</v>
      </c>
      <c r="J5338" s="4" t="s">
        <v>78</v>
      </c>
      <c r="K5338" s="7" t="str">
        <f t="shared" ref="K5338:K5339" si="1507">HYPERLINK("https://media.licdn.com/dms/image/v2/D5610AQFBIT4fFKpHhA/image-shrink_1280/B56Z0caFZUKYAc-/0/1774298093913?e=2147483647&amp;v=beta&amp;t=o8KXdV7MIrsahg62wPxeMdeXy4fbuVoxqF9B2u2-Y4k","View Creative")</f>
        <v>View Creative</v>
      </c>
      <c r="L5338" s="4" t="s">
        <v>60</v>
      </c>
      <c r="M5338" s="4" t="s">
        <v>1446</v>
      </c>
      <c r="N5338" s="4"/>
      <c r="O5338" s="4" t="s">
        <v>63</v>
      </c>
      <c r="P5338" s="4" t="s">
        <v>64</v>
      </c>
    </row>
    <row r="5339">
      <c r="A5339" s="4" t="s">
        <v>1446</v>
      </c>
      <c r="B5339" s="4" t="s">
        <v>7138</v>
      </c>
      <c r="C5339" s="4">
        <v>321.0</v>
      </c>
      <c r="D5339" s="5" t="str">
        <f t="shared" si="1506"/>
        <v>Open Ad</v>
      </c>
      <c r="E5339" s="4" t="s">
        <v>78</v>
      </c>
      <c r="F5339" s="4" t="s">
        <v>6765</v>
      </c>
      <c r="G5339" s="4" t="s">
        <v>7270</v>
      </c>
      <c r="H5339" s="4" t="s">
        <v>49</v>
      </c>
      <c r="I5339" s="4" t="s">
        <v>7140</v>
      </c>
      <c r="J5339" s="4" t="s">
        <v>78</v>
      </c>
      <c r="K5339" s="7" t="str">
        <f t="shared" si="1507"/>
        <v>View Creative</v>
      </c>
      <c r="L5339" s="4" t="s">
        <v>60</v>
      </c>
      <c r="M5339" s="4" t="s">
        <v>1446</v>
      </c>
      <c r="N5339" s="4"/>
      <c r="O5339" s="4" t="s">
        <v>63</v>
      </c>
      <c r="P5339" s="4" t="s">
        <v>64</v>
      </c>
    </row>
    <row r="5340">
      <c r="A5340" s="4" t="s">
        <v>1446</v>
      </c>
      <c r="B5340" s="4" t="s">
        <v>7138</v>
      </c>
      <c r="C5340" s="4">
        <v>322.0</v>
      </c>
      <c r="D5340" s="5" t="str">
        <f t="shared" ref="D5340:D5341" si="1508">HYPERLINK("https://www.linkedin.com/ad-library/detail/1234422444","Open Ad")</f>
        <v>Open Ad</v>
      </c>
      <c r="E5340" s="4" t="s">
        <v>78</v>
      </c>
      <c r="F5340" s="4" t="s">
        <v>6765</v>
      </c>
      <c r="G5340" s="4" t="s">
        <v>7270</v>
      </c>
      <c r="H5340" s="4" t="s">
        <v>49</v>
      </c>
      <c r="I5340" s="4" t="s">
        <v>7140</v>
      </c>
      <c r="J5340" s="4" t="s">
        <v>78</v>
      </c>
      <c r="K5340" s="7" t="str">
        <f t="shared" ref="K5340:K5341" si="1509">HYPERLINK("https://media.licdn.com/dms/image/v2/D5610AQFne4p45AC0BQ/image-shrink_1280/B56Z0cZ3PXKkAc-/0/1774298035887?e=2147483647&amp;v=beta&amp;t=GFPj3XuHIPsBHlQaJT6nfKNMMEpmrAvducJsjVAKftc","View Creative")</f>
        <v>View Creative</v>
      </c>
      <c r="L5340" s="4" t="s">
        <v>60</v>
      </c>
      <c r="M5340" s="4" t="s">
        <v>1446</v>
      </c>
      <c r="N5340" s="4"/>
      <c r="O5340" s="4" t="s">
        <v>63</v>
      </c>
      <c r="P5340" s="4" t="s">
        <v>64</v>
      </c>
    </row>
    <row r="5341">
      <c r="A5341" s="4" t="s">
        <v>1446</v>
      </c>
      <c r="B5341" s="4" t="s">
        <v>7138</v>
      </c>
      <c r="C5341" s="4">
        <v>323.0</v>
      </c>
      <c r="D5341" s="5" t="str">
        <f t="shared" si="1508"/>
        <v>Open Ad</v>
      </c>
      <c r="E5341" s="4" t="s">
        <v>78</v>
      </c>
      <c r="F5341" s="4" t="s">
        <v>6765</v>
      </c>
      <c r="G5341" s="4" t="s">
        <v>7270</v>
      </c>
      <c r="H5341" s="4" t="s">
        <v>49</v>
      </c>
      <c r="I5341" s="4" t="s">
        <v>7140</v>
      </c>
      <c r="J5341" s="4" t="s">
        <v>78</v>
      </c>
      <c r="K5341" s="7" t="str">
        <f t="shared" si="1509"/>
        <v>View Creative</v>
      </c>
      <c r="L5341" s="4" t="s">
        <v>60</v>
      </c>
      <c r="M5341" s="4" t="s">
        <v>1446</v>
      </c>
      <c r="N5341" s="4"/>
      <c r="O5341" s="4" t="s">
        <v>63</v>
      </c>
      <c r="P5341" s="4" t="s">
        <v>64</v>
      </c>
    </row>
    <row r="5342">
      <c r="A5342" s="4" t="s">
        <v>1446</v>
      </c>
      <c r="B5342" s="4" t="s">
        <v>7138</v>
      </c>
      <c r="C5342" s="4">
        <v>324.0</v>
      </c>
      <c r="D5342" s="5" t="str">
        <f>HYPERLINK("https://www.linkedin.com/ad-library/detail/1231418804","Open Ad")</f>
        <v>Open Ad</v>
      </c>
      <c r="E5342" s="4" t="s">
        <v>52</v>
      </c>
      <c r="F5342" s="4" t="s">
        <v>6765</v>
      </c>
      <c r="G5342" s="4" t="s">
        <v>7271</v>
      </c>
      <c r="H5342" s="4" t="s">
        <v>49</v>
      </c>
      <c r="I5342" s="4" t="s">
        <v>7140</v>
      </c>
      <c r="J5342" s="4" t="s">
        <v>52</v>
      </c>
      <c r="K5342" s="4" t="s">
        <v>59</v>
      </c>
      <c r="L5342" s="4" t="s">
        <v>60</v>
      </c>
      <c r="M5342" s="4" t="s">
        <v>1446</v>
      </c>
      <c r="N5342" s="4"/>
      <c r="O5342" s="4" t="s">
        <v>63</v>
      </c>
      <c r="P5342" s="4" t="s">
        <v>64</v>
      </c>
    </row>
    <row r="5343">
      <c r="A5343" s="4" t="s">
        <v>1446</v>
      </c>
      <c r="B5343" s="4" t="s">
        <v>7138</v>
      </c>
      <c r="C5343" s="4">
        <v>325.0</v>
      </c>
      <c r="D5343" s="5" t="str">
        <f>HYPERLINK("https://www.linkedin.com/ad-library/detail/1228510594","Open Ad")</f>
        <v>Open Ad</v>
      </c>
      <c r="E5343" s="4" t="s">
        <v>52</v>
      </c>
      <c r="F5343" s="4" t="s">
        <v>6765</v>
      </c>
      <c r="G5343" s="4" t="s">
        <v>7205</v>
      </c>
      <c r="H5343" s="4" t="s">
        <v>49</v>
      </c>
      <c r="I5343" s="4" t="s">
        <v>7140</v>
      </c>
      <c r="J5343" s="4" t="s">
        <v>52</v>
      </c>
      <c r="K5343" s="4" t="s">
        <v>59</v>
      </c>
      <c r="L5343" s="4" t="s">
        <v>60</v>
      </c>
      <c r="M5343" s="4" t="s">
        <v>1446</v>
      </c>
      <c r="N5343" s="4"/>
      <c r="O5343" s="4" t="s">
        <v>63</v>
      </c>
      <c r="P5343" s="4" t="s">
        <v>64</v>
      </c>
    </row>
    <row r="5344">
      <c r="A5344" s="4" t="s">
        <v>1446</v>
      </c>
      <c r="B5344" s="4" t="s">
        <v>7138</v>
      </c>
      <c r="C5344" s="4">
        <v>326.0</v>
      </c>
      <c r="D5344" s="5" t="str">
        <f t="shared" ref="D5344:D5345" si="1510">HYPERLINK("https://www.linkedin.com/ad-library/detail/1228510584","Open Ad")</f>
        <v>Open Ad</v>
      </c>
      <c r="E5344" s="4" t="s">
        <v>121</v>
      </c>
      <c r="F5344" s="4" t="s">
        <v>6765</v>
      </c>
      <c r="G5344" s="4" t="s">
        <v>7267</v>
      </c>
      <c r="H5344" s="4" t="s">
        <v>49</v>
      </c>
      <c r="I5344" s="4" t="s">
        <v>7140</v>
      </c>
      <c r="J5344" s="4" t="s">
        <v>121</v>
      </c>
      <c r="K5344" s="7" t="str">
        <f t="shared" ref="K5344:K5345" si="1511">HYPERLINK("https://dms.licdn.com/playlist/vid/v2/D5605AQF-WXlH9UN8XA/mp4-720p-30fp-crf28/B56ZwkM5jrI4CI-/0/1770133910390?e=2147483647&amp;v=beta&amp;t=2--W0YV2wqt-_hylX_H8XgQLMhzmAN25ocXhbdzk4p8","View Creative")</f>
        <v>View Creative</v>
      </c>
      <c r="L5344" s="4" t="s">
        <v>60</v>
      </c>
      <c r="M5344" s="4" t="s">
        <v>1446</v>
      </c>
      <c r="N5344" s="4"/>
      <c r="O5344" s="4" t="s">
        <v>63</v>
      </c>
      <c r="P5344" s="4" t="s">
        <v>64</v>
      </c>
    </row>
    <row r="5345">
      <c r="A5345" s="4" t="s">
        <v>1446</v>
      </c>
      <c r="B5345" s="4" t="s">
        <v>7138</v>
      </c>
      <c r="C5345" s="4">
        <v>327.0</v>
      </c>
      <c r="D5345" s="5" t="str">
        <f t="shared" si="1510"/>
        <v>Open Ad</v>
      </c>
      <c r="E5345" s="4" t="s">
        <v>121</v>
      </c>
      <c r="F5345" s="4" t="s">
        <v>6765</v>
      </c>
      <c r="G5345" s="4" t="s">
        <v>7267</v>
      </c>
      <c r="H5345" s="4" t="s">
        <v>49</v>
      </c>
      <c r="I5345" s="4" t="s">
        <v>7140</v>
      </c>
      <c r="J5345" s="4" t="s">
        <v>121</v>
      </c>
      <c r="K5345" s="7" t="str">
        <f t="shared" si="1511"/>
        <v>View Creative</v>
      </c>
      <c r="L5345" s="4" t="s">
        <v>60</v>
      </c>
      <c r="M5345" s="4" t="s">
        <v>1446</v>
      </c>
      <c r="N5345" s="4"/>
      <c r="O5345" s="4" t="s">
        <v>63</v>
      </c>
      <c r="P5345" s="4" t="s">
        <v>64</v>
      </c>
    </row>
    <row r="5346">
      <c r="A5346" s="4" t="s">
        <v>1446</v>
      </c>
      <c r="B5346" s="4" t="s">
        <v>7138</v>
      </c>
      <c r="C5346" s="4">
        <v>328.0</v>
      </c>
      <c r="D5346" s="5" t="str">
        <f>HYPERLINK("https://www.linkedin.com/ad-library/detail/1234417914","Open Ad")</f>
        <v>Open Ad</v>
      </c>
      <c r="E5346" s="4" t="s">
        <v>52</v>
      </c>
      <c r="F5346" s="4" t="s">
        <v>6765</v>
      </c>
      <c r="G5346" s="4" t="s">
        <v>7272</v>
      </c>
      <c r="H5346" s="4" t="s">
        <v>49</v>
      </c>
      <c r="I5346" s="4" t="s">
        <v>7140</v>
      </c>
      <c r="J5346" s="4" t="s">
        <v>52</v>
      </c>
      <c r="K5346" s="4" t="s">
        <v>59</v>
      </c>
      <c r="L5346" s="4" t="s">
        <v>60</v>
      </c>
      <c r="M5346" s="4" t="s">
        <v>1446</v>
      </c>
      <c r="N5346" s="4"/>
      <c r="O5346" s="4" t="s">
        <v>63</v>
      </c>
      <c r="P5346" s="4" t="s">
        <v>64</v>
      </c>
    </row>
    <row r="5347">
      <c r="A5347" s="4" t="s">
        <v>1446</v>
      </c>
      <c r="B5347" s="4" t="s">
        <v>7138</v>
      </c>
      <c r="C5347" s="4">
        <v>329.0</v>
      </c>
      <c r="D5347" s="5" t="str">
        <f>HYPERLINK("https://www.linkedin.com/ad-library/detail/1234417924","Open Ad")</f>
        <v>Open Ad</v>
      </c>
      <c r="E5347" s="4" t="s">
        <v>52</v>
      </c>
      <c r="F5347" s="4" t="s">
        <v>6765</v>
      </c>
      <c r="G5347" s="4" t="s">
        <v>7273</v>
      </c>
      <c r="H5347" s="4" t="s">
        <v>49</v>
      </c>
      <c r="I5347" s="4" t="s">
        <v>7140</v>
      </c>
      <c r="J5347" s="4" t="s">
        <v>52</v>
      </c>
      <c r="K5347" s="4" t="s">
        <v>59</v>
      </c>
      <c r="L5347" s="4" t="s">
        <v>60</v>
      </c>
      <c r="M5347" s="4" t="s">
        <v>1446</v>
      </c>
      <c r="N5347" s="4"/>
      <c r="O5347" s="4" t="s">
        <v>63</v>
      </c>
      <c r="P5347" s="4" t="s">
        <v>64</v>
      </c>
    </row>
    <row r="5348">
      <c r="A5348" s="4" t="s">
        <v>1446</v>
      </c>
      <c r="B5348" s="4" t="s">
        <v>7138</v>
      </c>
      <c r="C5348" s="4">
        <v>330.0</v>
      </c>
      <c r="D5348" s="5" t="str">
        <f t="shared" ref="D5348:D5349" si="1512">HYPERLINK("https://www.linkedin.com/ad-library/detail/1233827614","Open Ad")</f>
        <v>Open Ad</v>
      </c>
      <c r="E5348" s="4" t="s">
        <v>78</v>
      </c>
      <c r="F5348" s="4" t="s">
        <v>6765</v>
      </c>
      <c r="G5348" s="4" t="s">
        <v>7270</v>
      </c>
      <c r="H5348" s="4" t="s">
        <v>49</v>
      </c>
      <c r="I5348" s="4" t="s">
        <v>7140</v>
      </c>
      <c r="J5348" s="4" t="s">
        <v>78</v>
      </c>
      <c r="K5348" s="7" t="str">
        <f t="shared" ref="K5348:K5349" si="1513">HYPERLINK("https://media.licdn.com/dms/image/v2/D5610AQGz40mMuY6eTA/image-shrink_1280/B56Z0cZ.flHwAc-/0/1774298065195?e=2147483647&amp;v=beta&amp;t=07LYvBWI6Twj32ux04eAuSKmRTr7vR2_jW41BUsyl8c","View Creative")</f>
        <v>View Creative</v>
      </c>
      <c r="L5348" s="4" t="s">
        <v>60</v>
      </c>
      <c r="M5348" s="4" t="s">
        <v>1446</v>
      </c>
      <c r="N5348" s="4"/>
      <c r="O5348" s="4" t="s">
        <v>63</v>
      </c>
      <c r="P5348" s="4" t="s">
        <v>64</v>
      </c>
    </row>
    <row r="5349">
      <c r="A5349" s="4" t="s">
        <v>1446</v>
      </c>
      <c r="B5349" s="4" t="s">
        <v>7138</v>
      </c>
      <c r="C5349" s="4">
        <v>331.0</v>
      </c>
      <c r="D5349" s="5" t="str">
        <f t="shared" si="1512"/>
        <v>Open Ad</v>
      </c>
      <c r="E5349" s="4" t="s">
        <v>78</v>
      </c>
      <c r="F5349" s="4" t="s">
        <v>6765</v>
      </c>
      <c r="G5349" s="4" t="s">
        <v>7270</v>
      </c>
      <c r="H5349" s="4" t="s">
        <v>49</v>
      </c>
      <c r="I5349" s="4" t="s">
        <v>7140</v>
      </c>
      <c r="J5349" s="4" t="s">
        <v>78</v>
      </c>
      <c r="K5349" s="7" t="str">
        <f t="shared" si="1513"/>
        <v>View Creative</v>
      </c>
      <c r="L5349" s="4" t="s">
        <v>60</v>
      </c>
      <c r="M5349" s="4" t="s">
        <v>1446</v>
      </c>
      <c r="N5349" s="4"/>
      <c r="O5349" s="4" t="s">
        <v>63</v>
      </c>
      <c r="P5349" s="4" t="s">
        <v>64</v>
      </c>
    </row>
    <row r="5350">
      <c r="A5350" s="4" t="s">
        <v>1446</v>
      </c>
      <c r="B5350" s="4" t="s">
        <v>7138</v>
      </c>
      <c r="C5350" s="4">
        <v>332.0</v>
      </c>
      <c r="D5350" s="5" t="str">
        <f t="shared" ref="D5350:D5351" si="1514">HYPERLINK("https://www.linkedin.com/ad-library/detail/1235406104","Open Ad")</f>
        <v>Open Ad</v>
      </c>
      <c r="E5350" s="4" t="s">
        <v>78</v>
      </c>
      <c r="F5350" s="4" t="s">
        <v>6765</v>
      </c>
      <c r="G5350" s="4" t="s">
        <v>7270</v>
      </c>
      <c r="H5350" s="4" t="s">
        <v>49</v>
      </c>
      <c r="I5350" s="4" t="s">
        <v>7140</v>
      </c>
      <c r="J5350" s="4" t="s">
        <v>78</v>
      </c>
      <c r="K5350" s="7" t="str">
        <f t="shared" ref="K5350:K5351" si="1515">HYPERLINK("https://media.licdn.com/dms/image/v2/D5610AQEYeznC98DMNw/image-shrink_1280/B56Z0cZwQLJ8Ac-/0/1774298006768?e=2147483647&amp;v=beta&amp;t=VB9sKccoGhMo6UOkbnFu6CsX5pL7gk5vIStoW3PFxJ0","View Creative")</f>
        <v>View Creative</v>
      </c>
      <c r="L5350" s="4" t="s">
        <v>60</v>
      </c>
      <c r="M5350" s="4" t="s">
        <v>1446</v>
      </c>
      <c r="N5350" s="4"/>
      <c r="O5350" s="4" t="s">
        <v>63</v>
      </c>
      <c r="P5350" s="4" t="s">
        <v>64</v>
      </c>
    </row>
    <row r="5351">
      <c r="A5351" s="4" t="s">
        <v>1446</v>
      </c>
      <c r="B5351" s="4" t="s">
        <v>7138</v>
      </c>
      <c r="C5351" s="4">
        <v>333.0</v>
      </c>
      <c r="D5351" s="5" t="str">
        <f t="shared" si="1514"/>
        <v>Open Ad</v>
      </c>
      <c r="E5351" s="4" t="s">
        <v>78</v>
      </c>
      <c r="F5351" s="4" t="s">
        <v>6765</v>
      </c>
      <c r="G5351" s="4" t="s">
        <v>7270</v>
      </c>
      <c r="H5351" s="4" t="s">
        <v>49</v>
      </c>
      <c r="I5351" s="4" t="s">
        <v>7140</v>
      </c>
      <c r="J5351" s="4" t="s">
        <v>78</v>
      </c>
      <c r="K5351" s="7" t="str">
        <f t="shared" si="1515"/>
        <v>View Creative</v>
      </c>
      <c r="L5351" s="4" t="s">
        <v>60</v>
      </c>
      <c r="M5351" s="4" t="s">
        <v>1446</v>
      </c>
      <c r="N5351" s="4"/>
      <c r="O5351" s="4" t="s">
        <v>63</v>
      </c>
      <c r="P5351" s="4" t="s">
        <v>64</v>
      </c>
    </row>
    <row r="5352">
      <c r="A5352" s="4" t="s">
        <v>1446</v>
      </c>
      <c r="B5352" s="4" t="s">
        <v>7138</v>
      </c>
      <c r="C5352" s="4">
        <v>334.0</v>
      </c>
      <c r="D5352" s="5" t="str">
        <f>HYPERLINK("https://www.linkedin.com/ad-library/detail/1235305964","Open Ad")</f>
        <v>Open Ad</v>
      </c>
      <c r="E5352" s="4" t="s">
        <v>52</v>
      </c>
      <c r="F5352" s="4" t="s">
        <v>6765</v>
      </c>
      <c r="G5352" s="4" t="s">
        <v>7274</v>
      </c>
      <c r="H5352" s="4" t="s">
        <v>49</v>
      </c>
      <c r="I5352" s="4" t="s">
        <v>7140</v>
      </c>
      <c r="J5352" s="4" t="s">
        <v>52</v>
      </c>
      <c r="K5352" s="4" t="s">
        <v>59</v>
      </c>
      <c r="L5352" s="4" t="s">
        <v>60</v>
      </c>
      <c r="M5352" s="4" t="s">
        <v>1446</v>
      </c>
      <c r="N5352" s="4"/>
      <c r="O5352" s="4" t="s">
        <v>63</v>
      </c>
      <c r="P5352" s="4" t="s">
        <v>64</v>
      </c>
    </row>
    <row r="5353">
      <c r="A5353" s="4" t="s">
        <v>1446</v>
      </c>
      <c r="B5353" s="4" t="s">
        <v>7138</v>
      </c>
      <c r="C5353" s="4">
        <v>335.0</v>
      </c>
      <c r="D5353" s="5" t="str">
        <f t="shared" ref="D5353:D5354" si="1516">HYPERLINK("https://www.linkedin.com/ad-library/detail/1234608434","Open Ad")</f>
        <v>Open Ad</v>
      </c>
      <c r="E5353" s="4" t="s">
        <v>121</v>
      </c>
      <c r="F5353" s="4" t="s">
        <v>6765</v>
      </c>
      <c r="G5353" s="4" t="s">
        <v>7266</v>
      </c>
      <c r="H5353" s="4" t="s">
        <v>49</v>
      </c>
      <c r="I5353" s="4" t="s">
        <v>7140</v>
      </c>
      <c r="J5353" s="4" t="s">
        <v>121</v>
      </c>
      <c r="K5353" s="7" t="str">
        <f t="shared" ref="K5353:K5354" si="1517">HYPERLINK("https://dms.licdn.com/playlist/vid/v2/D5605AQHSz_vo9FwHQQ/mp4-640p-30fp-crf28/B56Z0BQ5nbKIBw-/0/1773842709421?e=2147483647&amp;v=beta&amp;t=I39tz-aKM_nrvS7atKZ_KcsWKszByaxzAJpIM1P1gD8","View Creative")</f>
        <v>View Creative</v>
      </c>
      <c r="L5353" s="4" t="s">
        <v>60</v>
      </c>
      <c r="M5353" s="4" t="s">
        <v>1446</v>
      </c>
      <c r="N5353" s="4"/>
      <c r="O5353" s="4" t="s">
        <v>63</v>
      </c>
      <c r="P5353" s="4" t="s">
        <v>64</v>
      </c>
    </row>
    <row r="5354">
      <c r="A5354" s="4" t="s">
        <v>1446</v>
      </c>
      <c r="B5354" s="4" t="s">
        <v>7138</v>
      </c>
      <c r="C5354" s="4">
        <v>336.0</v>
      </c>
      <c r="D5354" s="5" t="str">
        <f t="shared" si="1516"/>
        <v>Open Ad</v>
      </c>
      <c r="E5354" s="4" t="s">
        <v>121</v>
      </c>
      <c r="F5354" s="4" t="s">
        <v>6765</v>
      </c>
      <c r="G5354" s="4" t="s">
        <v>7266</v>
      </c>
      <c r="H5354" s="4" t="s">
        <v>49</v>
      </c>
      <c r="I5354" s="4" t="s">
        <v>7140</v>
      </c>
      <c r="J5354" s="4" t="s">
        <v>121</v>
      </c>
      <c r="K5354" s="7" t="str">
        <f t="shared" si="1517"/>
        <v>View Creative</v>
      </c>
      <c r="L5354" s="4" t="s">
        <v>60</v>
      </c>
      <c r="M5354" s="4" t="s">
        <v>1446</v>
      </c>
      <c r="N5354" s="4"/>
      <c r="O5354" s="4" t="s">
        <v>63</v>
      </c>
      <c r="P5354" s="4" t="s">
        <v>64</v>
      </c>
    </row>
    <row r="5355">
      <c r="A5355" s="4" t="s">
        <v>1446</v>
      </c>
      <c r="B5355" s="4" t="s">
        <v>7138</v>
      </c>
      <c r="C5355" s="4">
        <v>337.0</v>
      </c>
      <c r="D5355" s="5" t="str">
        <f>HYPERLINK("https://www.linkedin.com/ad-library/detail/1230828194","Open Ad")</f>
        <v>Open Ad</v>
      </c>
      <c r="E5355" s="4" t="s">
        <v>52</v>
      </c>
      <c r="F5355" s="4" t="s">
        <v>6765</v>
      </c>
      <c r="G5355" s="4" t="s">
        <v>7275</v>
      </c>
      <c r="H5355" s="4" t="s">
        <v>49</v>
      </c>
      <c r="I5355" s="4" t="s">
        <v>7140</v>
      </c>
      <c r="J5355" s="4" t="s">
        <v>52</v>
      </c>
      <c r="K5355" s="4" t="s">
        <v>59</v>
      </c>
      <c r="L5355" s="4" t="s">
        <v>60</v>
      </c>
      <c r="M5355" s="4" t="s">
        <v>1446</v>
      </c>
      <c r="N5355" s="4"/>
      <c r="O5355" s="4" t="s">
        <v>63</v>
      </c>
      <c r="P5355" s="4" t="s">
        <v>64</v>
      </c>
    </row>
    <row r="5356">
      <c r="A5356" s="4" t="s">
        <v>1446</v>
      </c>
      <c r="B5356" s="4" t="s">
        <v>7138</v>
      </c>
      <c r="C5356" s="4">
        <v>338.0</v>
      </c>
      <c r="D5356" s="5" t="str">
        <f>HYPERLINK("https://www.linkedin.com/ad-library/detail/1230828214","Open Ad")</f>
        <v>Open Ad</v>
      </c>
      <c r="E5356" s="4" t="s">
        <v>52</v>
      </c>
      <c r="F5356" s="4" t="s">
        <v>6765</v>
      </c>
      <c r="G5356" s="4" t="s">
        <v>7276</v>
      </c>
      <c r="H5356" s="4" t="s">
        <v>49</v>
      </c>
      <c r="I5356" s="4" t="s">
        <v>7140</v>
      </c>
      <c r="J5356" s="4" t="s">
        <v>52</v>
      </c>
      <c r="K5356" s="4" t="s">
        <v>59</v>
      </c>
      <c r="L5356" s="4" t="s">
        <v>60</v>
      </c>
      <c r="M5356" s="4" t="s">
        <v>1446</v>
      </c>
      <c r="N5356" s="4"/>
      <c r="O5356" s="4" t="s">
        <v>63</v>
      </c>
      <c r="P5356" s="4" t="s">
        <v>64</v>
      </c>
    </row>
    <row r="5357">
      <c r="A5357" s="4" t="s">
        <v>1446</v>
      </c>
      <c r="B5357" s="4" t="s">
        <v>7138</v>
      </c>
      <c r="C5357" s="4">
        <v>339.0</v>
      </c>
      <c r="D5357" s="5" t="str">
        <f t="shared" ref="D5357:D5358" si="1518">HYPERLINK("https://www.linkedin.com/ad-library/detail/1235301154","Open Ad")</f>
        <v>Open Ad</v>
      </c>
      <c r="E5357" s="4" t="s">
        <v>121</v>
      </c>
      <c r="F5357" s="4" t="s">
        <v>6765</v>
      </c>
      <c r="G5357" s="4" t="s">
        <v>7185</v>
      </c>
      <c r="H5357" s="4" t="s">
        <v>49</v>
      </c>
      <c r="I5357" s="4" t="s">
        <v>7140</v>
      </c>
      <c r="J5357" s="4" t="s">
        <v>121</v>
      </c>
      <c r="K5357" s="7" t="str">
        <f t="shared" ref="K5357:K5360" si="1519">HYPERLINK("https://dms.licdn.com/playlist/vid/v2/D5605AQEs6LQnnTNLog/mp4-640p-30fp-crf28/B56Z0BOKwvHkB4-/0/1773841991778?e=2147483647&amp;v=beta&amp;t=qT_i7Elj41v8cqTDj0Pm1MBIWZ5u7xwONWxM16xoyU8","View Creative")</f>
        <v>View Creative</v>
      </c>
      <c r="L5357" s="4" t="s">
        <v>60</v>
      </c>
      <c r="M5357" s="4" t="s">
        <v>1446</v>
      </c>
      <c r="N5357" s="4"/>
      <c r="O5357" s="4" t="s">
        <v>63</v>
      </c>
      <c r="P5357" s="4" t="s">
        <v>64</v>
      </c>
    </row>
    <row r="5358">
      <c r="A5358" s="4" t="s">
        <v>1446</v>
      </c>
      <c r="B5358" s="4" t="s">
        <v>7138</v>
      </c>
      <c r="C5358" s="4">
        <v>340.0</v>
      </c>
      <c r="D5358" s="5" t="str">
        <f t="shared" si="1518"/>
        <v>Open Ad</v>
      </c>
      <c r="E5358" s="4" t="s">
        <v>121</v>
      </c>
      <c r="F5358" s="4" t="s">
        <v>6765</v>
      </c>
      <c r="G5358" s="4" t="s">
        <v>7185</v>
      </c>
      <c r="H5358" s="4" t="s">
        <v>49</v>
      </c>
      <c r="I5358" s="4" t="s">
        <v>7140</v>
      </c>
      <c r="J5358" s="4" t="s">
        <v>121</v>
      </c>
      <c r="K5358" s="7" t="str">
        <f t="shared" si="1519"/>
        <v>View Creative</v>
      </c>
      <c r="L5358" s="4" t="s">
        <v>60</v>
      </c>
      <c r="M5358" s="4" t="s">
        <v>1446</v>
      </c>
      <c r="N5358" s="4"/>
      <c r="O5358" s="4" t="s">
        <v>63</v>
      </c>
      <c r="P5358" s="4" t="s">
        <v>64</v>
      </c>
    </row>
    <row r="5359">
      <c r="A5359" s="4" t="s">
        <v>1446</v>
      </c>
      <c r="B5359" s="4" t="s">
        <v>7138</v>
      </c>
      <c r="C5359" s="4">
        <v>341.0</v>
      </c>
      <c r="D5359" s="5" t="str">
        <f t="shared" ref="D5359:D5360" si="1520">HYPERLINK("https://www.linkedin.com/ad-library/detail/1233916314","Open Ad")</f>
        <v>Open Ad</v>
      </c>
      <c r="E5359" s="4" t="s">
        <v>121</v>
      </c>
      <c r="F5359" s="4" t="s">
        <v>6765</v>
      </c>
      <c r="G5359" s="4" t="s">
        <v>7185</v>
      </c>
      <c r="H5359" s="4" t="s">
        <v>49</v>
      </c>
      <c r="I5359" s="4" t="s">
        <v>7140</v>
      </c>
      <c r="J5359" s="4" t="s">
        <v>121</v>
      </c>
      <c r="K5359" s="7" t="str">
        <f t="shared" si="1519"/>
        <v>View Creative</v>
      </c>
      <c r="L5359" s="4" t="s">
        <v>60</v>
      </c>
      <c r="M5359" s="4" t="s">
        <v>1446</v>
      </c>
      <c r="N5359" s="4"/>
      <c r="O5359" s="4" t="s">
        <v>63</v>
      </c>
      <c r="P5359" s="4" t="s">
        <v>64</v>
      </c>
    </row>
    <row r="5360">
      <c r="A5360" s="4" t="s">
        <v>1446</v>
      </c>
      <c r="B5360" s="4" t="s">
        <v>7138</v>
      </c>
      <c r="C5360" s="4">
        <v>342.0</v>
      </c>
      <c r="D5360" s="5" t="str">
        <f t="shared" si="1520"/>
        <v>Open Ad</v>
      </c>
      <c r="E5360" s="4" t="s">
        <v>121</v>
      </c>
      <c r="F5360" s="4" t="s">
        <v>6765</v>
      </c>
      <c r="G5360" s="4" t="s">
        <v>7185</v>
      </c>
      <c r="H5360" s="4" t="s">
        <v>49</v>
      </c>
      <c r="I5360" s="4" t="s">
        <v>7140</v>
      </c>
      <c r="J5360" s="4" t="s">
        <v>121</v>
      </c>
      <c r="K5360" s="7" t="str">
        <f t="shared" si="1519"/>
        <v>View Creative</v>
      </c>
      <c r="L5360" s="4" t="s">
        <v>60</v>
      </c>
      <c r="M5360" s="4" t="s">
        <v>1446</v>
      </c>
      <c r="N5360" s="4"/>
      <c r="O5360" s="4" t="s">
        <v>63</v>
      </c>
      <c r="P5360" s="4" t="s">
        <v>64</v>
      </c>
    </row>
    <row r="5361">
      <c r="A5361" s="4" t="s">
        <v>1446</v>
      </c>
      <c r="B5361" s="4" t="s">
        <v>7138</v>
      </c>
      <c r="C5361" s="4">
        <v>343.0</v>
      </c>
      <c r="D5361" s="5" t="str">
        <f>HYPERLINK("https://www.linkedin.com/ad-library/detail/1148891254","Open Ad")</f>
        <v>Open Ad</v>
      </c>
      <c r="E5361" s="4" t="s">
        <v>52</v>
      </c>
      <c r="F5361" s="4" t="s">
        <v>6765</v>
      </c>
      <c r="G5361" s="4" t="s">
        <v>7277</v>
      </c>
      <c r="H5361" s="4" t="s">
        <v>49</v>
      </c>
      <c r="I5361" s="4" t="s">
        <v>7140</v>
      </c>
      <c r="J5361" s="4" t="s">
        <v>52</v>
      </c>
      <c r="K5361" s="4" t="s">
        <v>59</v>
      </c>
      <c r="L5361" s="4" t="s">
        <v>60</v>
      </c>
      <c r="M5361" s="4" t="s">
        <v>1446</v>
      </c>
      <c r="N5361" s="4"/>
      <c r="O5361" s="4" t="s">
        <v>63</v>
      </c>
      <c r="P5361" s="4" t="s">
        <v>64</v>
      </c>
    </row>
    <row r="5362">
      <c r="A5362" s="4" t="s">
        <v>1446</v>
      </c>
      <c r="B5362" s="4" t="s">
        <v>7138</v>
      </c>
      <c r="C5362" s="4">
        <v>344.0</v>
      </c>
      <c r="D5362" s="5" t="str">
        <f t="shared" ref="D5362:D5363" si="1521">HYPERLINK("https://www.linkedin.com/ad-library/detail/1090890674","Open Ad")</f>
        <v>Open Ad</v>
      </c>
      <c r="E5362" s="4" t="s">
        <v>78</v>
      </c>
      <c r="F5362" s="4" t="s">
        <v>6765</v>
      </c>
      <c r="G5362" s="4" t="s">
        <v>7278</v>
      </c>
      <c r="H5362" s="4" t="s">
        <v>49</v>
      </c>
      <c r="I5362" s="4" t="s">
        <v>7140</v>
      </c>
      <c r="J5362" s="4" t="s">
        <v>78</v>
      </c>
      <c r="K5362" s="7" t="str">
        <f t="shared" ref="K5362:K5363" si="1522">HYPERLINK("https://media.licdn.com/dms/image/v2/D4E22AQEbP7o5_3rpwQ/image_627_1200/B56Zu8TZZKIUAY-/0/1768390760385?e=2147483647&amp;v=beta&amp;t=Nz2NjmwCOv94LPNIQAgFRmj71fEWR6D0v57dtbGcyuY","View Creative")</f>
        <v>View Creative</v>
      </c>
      <c r="L5362" s="4" t="s">
        <v>60</v>
      </c>
      <c r="M5362" s="4" t="s">
        <v>1446</v>
      </c>
      <c r="N5362" s="4"/>
      <c r="O5362" s="4" t="s">
        <v>63</v>
      </c>
      <c r="P5362" s="4" t="s">
        <v>64</v>
      </c>
    </row>
    <row r="5363">
      <c r="A5363" s="4" t="s">
        <v>1446</v>
      </c>
      <c r="B5363" s="4" t="s">
        <v>7138</v>
      </c>
      <c r="C5363" s="4">
        <v>345.0</v>
      </c>
      <c r="D5363" s="5" t="str">
        <f t="shared" si="1521"/>
        <v>Open Ad</v>
      </c>
      <c r="E5363" s="4" t="s">
        <v>78</v>
      </c>
      <c r="F5363" s="4" t="s">
        <v>6765</v>
      </c>
      <c r="G5363" s="4" t="s">
        <v>7278</v>
      </c>
      <c r="H5363" s="4" t="s">
        <v>49</v>
      </c>
      <c r="I5363" s="4" t="s">
        <v>7140</v>
      </c>
      <c r="J5363" s="4" t="s">
        <v>78</v>
      </c>
      <c r="K5363" s="7" t="str">
        <f t="shared" si="1522"/>
        <v>View Creative</v>
      </c>
      <c r="L5363" s="4" t="s">
        <v>60</v>
      </c>
      <c r="M5363" s="4" t="s">
        <v>1446</v>
      </c>
      <c r="N5363" s="4"/>
      <c r="O5363" s="4" t="s">
        <v>63</v>
      </c>
      <c r="P5363" s="4" t="s">
        <v>64</v>
      </c>
    </row>
    <row r="5364">
      <c r="A5364" s="4" t="s">
        <v>1446</v>
      </c>
      <c r="B5364" s="4" t="s">
        <v>7138</v>
      </c>
      <c r="C5364" s="4">
        <v>346.0</v>
      </c>
      <c r="D5364" s="5" t="str">
        <f>HYPERLINK("https://www.linkedin.com/ad-library/detail/1150791134","Open Ad")</f>
        <v>Open Ad</v>
      </c>
      <c r="E5364" s="4" t="s">
        <v>52</v>
      </c>
      <c r="F5364" s="4" t="s">
        <v>6765</v>
      </c>
      <c r="G5364" s="4" t="s">
        <v>7279</v>
      </c>
      <c r="H5364" s="4" t="s">
        <v>49</v>
      </c>
      <c r="I5364" s="4" t="s">
        <v>7140</v>
      </c>
      <c r="J5364" s="4" t="s">
        <v>52</v>
      </c>
      <c r="K5364" s="4" t="s">
        <v>59</v>
      </c>
      <c r="L5364" s="4" t="s">
        <v>60</v>
      </c>
      <c r="M5364" s="4" t="s">
        <v>1446</v>
      </c>
      <c r="N5364" s="4"/>
      <c r="O5364" s="4" t="s">
        <v>63</v>
      </c>
      <c r="P5364" s="4" t="s">
        <v>64</v>
      </c>
    </row>
    <row r="5365">
      <c r="A5365" s="4" t="s">
        <v>1446</v>
      </c>
      <c r="B5365" s="4" t="s">
        <v>7138</v>
      </c>
      <c r="C5365" s="4">
        <v>347.0</v>
      </c>
      <c r="D5365" s="5" t="str">
        <f>HYPERLINK("https://www.linkedin.com/ad-library/detail/1150090854","Open Ad")</f>
        <v>Open Ad</v>
      </c>
      <c r="E5365" s="4" t="s">
        <v>52</v>
      </c>
      <c r="F5365" s="4" t="s">
        <v>6765</v>
      </c>
      <c r="G5365" s="4" t="s">
        <v>7276</v>
      </c>
      <c r="H5365" s="4" t="s">
        <v>49</v>
      </c>
      <c r="I5365" s="4" t="s">
        <v>7140</v>
      </c>
      <c r="J5365" s="4" t="s">
        <v>52</v>
      </c>
      <c r="K5365" s="4" t="s">
        <v>59</v>
      </c>
      <c r="L5365" s="4" t="s">
        <v>60</v>
      </c>
      <c r="M5365" s="4" t="s">
        <v>1446</v>
      </c>
      <c r="N5365" s="4"/>
      <c r="O5365" s="4" t="s">
        <v>63</v>
      </c>
      <c r="P5365" s="4" t="s">
        <v>64</v>
      </c>
    </row>
    <row r="5366">
      <c r="A5366" s="4" t="s">
        <v>1446</v>
      </c>
      <c r="B5366" s="4" t="s">
        <v>7138</v>
      </c>
      <c r="C5366" s="4">
        <v>348.0</v>
      </c>
      <c r="D5366" s="5" t="str">
        <f t="shared" ref="D5366:D5367" si="1523">HYPERLINK("https://www.linkedin.com/ad-library/detail/1133804134","Open Ad")</f>
        <v>Open Ad</v>
      </c>
      <c r="E5366" s="4" t="s">
        <v>78</v>
      </c>
      <c r="F5366" s="4" t="s">
        <v>6765</v>
      </c>
      <c r="G5366" s="4" t="s">
        <v>7280</v>
      </c>
      <c r="H5366" s="4" t="s">
        <v>49</v>
      </c>
      <c r="I5366" s="4" t="s">
        <v>7140</v>
      </c>
      <c r="J5366" s="4" t="s">
        <v>78</v>
      </c>
      <c r="K5366" s="7" t="str">
        <f t="shared" ref="K5366:K5367" si="1524">HYPERLINK("https://media.licdn.com/dms/image/sync/v2/D5627AQHobEloU-YqGQ/articleshare-shrink_1280_800/B56ZsnpaBoJsBc-/0/1765896730838?e=2147483647&amp;v=beta&amp;t=05xV6mZ4TeowepE5wUfyR7iZR2ONyX8FOR_xKcs6KJ4","View Creative")</f>
        <v>View Creative</v>
      </c>
      <c r="L5366" s="4" t="s">
        <v>60</v>
      </c>
      <c r="M5366" s="4" t="s">
        <v>1446</v>
      </c>
      <c r="N5366" s="4"/>
      <c r="O5366" s="4" t="s">
        <v>63</v>
      </c>
      <c r="P5366" s="4" t="s">
        <v>64</v>
      </c>
    </row>
    <row r="5367">
      <c r="A5367" s="4" t="s">
        <v>1446</v>
      </c>
      <c r="B5367" s="4" t="s">
        <v>7138</v>
      </c>
      <c r="C5367" s="4">
        <v>349.0</v>
      </c>
      <c r="D5367" s="5" t="str">
        <f t="shared" si="1523"/>
        <v>Open Ad</v>
      </c>
      <c r="E5367" s="4" t="s">
        <v>78</v>
      </c>
      <c r="F5367" s="4" t="s">
        <v>6765</v>
      </c>
      <c r="G5367" s="4" t="s">
        <v>7280</v>
      </c>
      <c r="H5367" s="4" t="s">
        <v>49</v>
      </c>
      <c r="I5367" s="4" t="s">
        <v>7140</v>
      </c>
      <c r="J5367" s="4" t="s">
        <v>78</v>
      </c>
      <c r="K5367" s="7" t="str">
        <f t="shared" si="1524"/>
        <v>View Creative</v>
      </c>
      <c r="L5367" s="4" t="s">
        <v>60</v>
      </c>
      <c r="M5367" s="4" t="s">
        <v>1446</v>
      </c>
      <c r="N5367" s="4"/>
      <c r="O5367" s="4" t="s">
        <v>63</v>
      </c>
      <c r="P5367" s="4" t="s">
        <v>64</v>
      </c>
    </row>
    <row r="5368">
      <c r="A5368" s="4" t="s">
        <v>1446</v>
      </c>
      <c r="B5368" s="4" t="s">
        <v>7138</v>
      </c>
      <c r="C5368" s="4">
        <v>350.0</v>
      </c>
      <c r="D5368" s="5" t="str">
        <f>HYPERLINK("https://www.linkedin.com/ad-library/detail/1150791014","Open Ad")</f>
        <v>Open Ad</v>
      </c>
      <c r="E5368" s="4" t="s">
        <v>52</v>
      </c>
      <c r="F5368" s="4" t="s">
        <v>6765</v>
      </c>
      <c r="G5368" s="4" t="s">
        <v>7271</v>
      </c>
      <c r="H5368" s="4" t="s">
        <v>49</v>
      </c>
      <c r="I5368" s="4" t="s">
        <v>7140</v>
      </c>
      <c r="J5368" s="4" t="s">
        <v>52</v>
      </c>
      <c r="K5368" s="4" t="s">
        <v>59</v>
      </c>
      <c r="L5368" s="4" t="s">
        <v>60</v>
      </c>
      <c r="M5368" s="4" t="s">
        <v>1446</v>
      </c>
      <c r="N5368" s="4"/>
      <c r="O5368" s="4" t="s">
        <v>63</v>
      </c>
      <c r="P5368" s="4" t="s">
        <v>64</v>
      </c>
    </row>
    <row r="5369">
      <c r="A5369" s="4" t="s">
        <v>1446</v>
      </c>
      <c r="B5369" s="4" t="s">
        <v>7138</v>
      </c>
      <c r="C5369" s="4">
        <v>351.0</v>
      </c>
      <c r="D5369" s="5" t="str">
        <f>HYPERLINK("https://www.linkedin.com/ad-library/detail/1150390804","Open Ad")</f>
        <v>Open Ad</v>
      </c>
      <c r="E5369" s="4" t="s">
        <v>52</v>
      </c>
      <c r="F5369" s="4" t="s">
        <v>6765</v>
      </c>
      <c r="G5369" s="4" t="s">
        <v>7281</v>
      </c>
      <c r="H5369" s="4" t="s">
        <v>49</v>
      </c>
      <c r="I5369" s="4" t="s">
        <v>7140</v>
      </c>
      <c r="J5369" s="4" t="s">
        <v>52</v>
      </c>
      <c r="K5369" s="4" t="s">
        <v>59</v>
      </c>
      <c r="L5369" s="4" t="s">
        <v>60</v>
      </c>
      <c r="M5369" s="4" t="s">
        <v>1446</v>
      </c>
      <c r="N5369" s="4"/>
      <c r="O5369" s="4" t="s">
        <v>63</v>
      </c>
      <c r="P5369" s="4" t="s">
        <v>64</v>
      </c>
    </row>
    <row r="5370">
      <c r="A5370" s="4" t="s">
        <v>1446</v>
      </c>
      <c r="B5370" s="4" t="s">
        <v>7138</v>
      </c>
      <c r="C5370" s="4">
        <v>352.0</v>
      </c>
      <c r="D5370" s="5" t="str">
        <f>HYPERLINK("https://www.linkedin.com/ad-library/detail/1148791224","Open Ad")</f>
        <v>Open Ad</v>
      </c>
      <c r="E5370" s="4" t="s">
        <v>52</v>
      </c>
      <c r="F5370" s="4" t="s">
        <v>6765</v>
      </c>
      <c r="G5370" s="4" t="s">
        <v>7275</v>
      </c>
      <c r="H5370" s="4" t="s">
        <v>49</v>
      </c>
      <c r="I5370" s="4" t="s">
        <v>7140</v>
      </c>
      <c r="J5370" s="4" t="s">
        <v>52</v>
      </c>
      <c r="K5370" s="4" t="s">
        <v>59</v>
      </c>
      <c r="L5370" s="4" t="s">
        <v>60</v>
      </c>
      <c r="M5370" s="4" t="s">
        <v>1446</v>
      </c>
      <c r="N5370" s="4"/>
      <c r="O5370" s="4" t="s">
        <v>63</v>
      </c>
      <c r="P5370" s="4" t="s">
        <v>64</v>
      </c>
    </row>
    <row r="5371">
      <c r="A5371" s="4" t="s">
        <v>1446</v>
      </c>
      <c r="B5371" s="4" t="s">
        <v>7138</v>
      </c>
      <c r="C5371" s="4">
        <v>353.0</v>
      </c>
      <c r="D5371" s="5" t="str">
        <f>HYPERLINK("https://www.linkedin.com/ad-library/detail/1088199204","Open Ad")</f>
        <v>Open Ad</v>
      </c>
      <c r="E5371" s="4" t="s">
        <v>52</v>
      </c>
      <c r="F5371" s="4" t="s">
        <v>6765</v>
      </c>
      <c r="G5371" s="4" t="s">
        <v>7210</v>
      </c>
      <c r="H5371" s="4" t="s">
        <v>49</v>
      </c>
      <c r="I5371" s="4" t="s">
        <v>7140</v>
      </c>
      <c r="J5371" s="4" t="s">
        <v>52</v>
      </c>
      <c r="K5371" s="4" t="s">
        <v>59</v>
      </c>
      <c r="L5371" s="4" t="s">
        <v>60</v>
      </c>
      <c r="M5371" s="4" t="s">
        <v>1446</v>
      </c>
      <c r="N5371" s="4"/>
      <c r="O5371" s="4" t="s">
        <v>63</v>
      </c>
      <c r="P5371" s="4" t="s">
        <v>64</v>
      </c>
    </row>
    <row r="5372">
      <c r="A5372" s="4" t="s">
        <v>1446</v>
      </c>
      <c r="B5372" s="4" t="s">
        <v>7138</v>
      </c>
      <c r="C5372" s="4">
        <v>354.0</v>
      </c>
      <c r="D5372" s="5" t="str">
        <f>HYPERLINK("https://www.linkedin.com/ad-library/detail/1145096494","Open Ad")</f>
        <v>Open Ad</v>
      </c>
      <c r="E5372" s="4" t="s">
        <v>52</v>
      </c>
      <c r="F5372" s="4" t="s">
        <v>6765</v>
      </c>
      <c r="G5372" s="4" t="s">
        <v>7282</v>
      </c>
      <c r="H5372" s="4" t="s">
        <v>49</v>
      </c>
      <c r="I5372" s="4" t="s">
        <v>7140</v>
      </c>
      <c r="J5372" s="4" t="s">
        <v>52</v>
      </c>
      <c r="K5372" s="4" t="s">
        <v>59</v>
      </c>
      <c r="L5372" s="4" t="s">
        <v>60</v>
      </c>
      <c r="M5372" s="4" t="s">
        <v>1446</v>
      </c>
      <c r="N5372" s="4"/>
      <c r="O5372" s="4" t="s">
        <v>63</v>
      </c>
      <c r="P5372" s="4" t="s">
        <v>64</v>
      </c>
    </row>
    <row r="5373">
      <c r="A5373" s="4" t="s">
        <v>1446</v>
      </c>
      <c r="B5373" s="4" t="s">
        <v>7138</v>
      </c>
      <c r="C5373" s="4">
        <v>355.0</v>
      </c>
      <c r="D5373" s="5" t="str">
        <f>HYPERLINK("https://www.linkedin.com/ad-library/detail/1149491644","Open Ad")</f>
        <v>Open Ad</v>
      </c>
      <c r="E5373" s="4" t="s">
        <v>52</v>
      </c>
      <c r="F5373" s="4" t="s">
        <v>6765</v>
      </c>
      <c r="G5373" s="4" t="s">
        <v>7283</v>
      </c>
      <c r="H5373" s="4" t="s">
        <v>49</v>
      </c>
      <c r="I5373" s="4" t="s">
        <v>7140</v>
      </c>
      <c r="J5373" s="4" t="s">
        <v>52</v>
      </c>
      <c r="K5373" s="4" t="s">
        <v>59</v>
      </c>
      <c r="L5373" s="4" t="s">
        <v>60</v>
      </c>
      <c r="M5373" s="4" t="s">
        <v>1446</v>
      </c>
      <c r="N5373" s="4"/>
      <c r="O5373" s="4" t="s">
        <v>63</v>
      </c>
      <c r="P5373" s="4" t="s">
        <v>64</v>
      </c>
    </row>
    <row r="5374">
      <c r="A5374" s="4" t="s">
        <v>1446</v>
      </c>
      <c r="B5374" s="4" t="s">
        <v>7138</v>
      </c>
      <c r="C5374" s="4">
        <v>356.0</v>
      </c>
      <c r="D5374" s="5" t="str">
        <f>HYPERLINK("https://www.linkedin.com/ad-library/detail/1144997434","Open Ad")</f>
        <v>Open Ad</v>
      </c>
      <c r="E5374" s="4" t="s">
        <v>52</v>
      </c>
      <c r="F5374" s="4" t="s">
        <v>6765</v>
      </c>
      <c r="G5374" s="4" t="s">
        <v>7282</v>
      </c>
      <c r="H5374" s="4" t="s">
        <v>49</v>
      </c>
      <c r="I5374" s="4" t="s">
        <v>7140</v>
      </c>
      <c r="J5374" s="4" t="s">
        <v>52</v>
      </c>
      <c r="K5374" s="4" t="s">
        <v>59</v>
      </c>
      <c r="L5374" s="4" t="s">
        <v>60</v>
      </c>
      <c r="M5374" s="4" t="s">
        <v>1446</v>
      </c>
      <c r="N5374" s="4"/>
      <c r="O5374" s="4" t="s">
        <v>63</v>
      </c>
      <c r="P5374" s="4" t="s">
        <v>64</v>
      </c>
    </row>
    <row r="5375">
      <c r="A5375" s="4" t="s">
        <v>1446</v>
      </c>
      <c r="B5375" s="4" t="s">
        <v>7138</v>
      </c>
      <c r="C5375" s="4">
        <v>357.0</v>
      </c>
      <c r="D5375" s="5" t="str">
        <f>HYPERLINK("https://www.linkedin.com/ad-library/detail/1141918424","Open Ad")</f>
        <v>Open Ad</v>
      </c>
      <c r="E5375" s="4" t="s">
        <v>52</v>
      </c>
      <c r="F5375" s="4" t="s">
        <v>6765</v>
      </c>
      <c r="G5375" s="4" t="s">
        <v>7284</v>
      </c>
      <c r="H5375" s="4" t="s">
        <v>49</v>
      </c>
      <c r="I5375" s="4" t="s">
        <v>7140</v>
      </c>
      <c r="J5375" s="4" t="s">
        <v>52</v>
      </c>
      <c r="K5375" s="4" t="s">
        <v>59</v>
      </c>
      <c r="L5375" s="4" t="s">
        <v>60</v>
      </c>
      <c r="M5375" s="4" t="s">
        <v>1446</v>
      </c>
      <c r="N5375" s="4"/>
      <c r="O5375" s="4" t="s">
        <v>63</v>
      </c>
      <c r="P5375" s="4" t="s">
        <v>64</v>
      </c>
    </row>
    <row r="5376">
      <c r="A5376" s="4" t="s">
        <v>1446</v>
      </c>
      <c r="B5376" s="4" t="s">
        <v>7138</v>
      </c>
      <c r="C5376" s="4">
        <v>358.0</v>
      </c>
      <c r="D5376" s="5" t="str">
        <f t="shared" ref="D5376:D5377" si="1525">HYPERLINK("https://www.linkedin.com/ad-library/detail/1132205324","Open Ad")</f>
        <v>Open Ad</v>
      </c>
      <c r="E5376" s="4" t="s">
        <v>78</v>
      </c>
      <c r="F5376" s="4" t="s">
        <v>6765</v>
      </c>
      <c r="G5376" s="4" t="s">
        <v>7285</v>
      </c>
      <c r="H5376" s="4" t="s">
        <v>49</v>
      </c>
      <c r="I5376" s="4" t="s">
        <v>7140</v>
      </c>
      <c r="J5376" s="4" t="s">
        <v>78</v>
      </c>
      <c r="K5376" s="7" t="str">
        <f t="shared" ref="K5376:K5377" si="1526">HYPERLINK("https://media.licdn.com/dms/image/v2/D5622AQGuQ9ff2JIP5g/feedshare-shrink_1280/B56ZwAc6.IHAAc-/0/1769534129653?e=2147483647&amp;v=beta&amp;t=dLCuAduYaYwaMGwLp4oAhMNDgrxTX8U0lxn8ETLE-ns","View Creative")</f>
        <v>View Creative</v>
      </c>
      <c r="L5376" s="4" t="s">
        <v>60</v>
      </c>
      <c r="M5376" s="4" t="s">
        <v>1446</v>
      </c>
      <c r="N5376" s="4"/>
      <c r="O5376" s="4" t="s">
        <v>63</v>
      </c>
      <c r="P5376" s="4" t="s">
        <v>64</v>
      </c>
    </row>
    <row r="5377">
      <c r="A5377" s="4" t="s">
        <v>1446</v>
      </c>
      <c r="B5377" s="4" t="s">
        <v>7138</v>
      </c>
      <c r="C5377" s="4">
        <v>359.0</v>
      </c>
      <c r="D5377" s="5" t="str">
        <f t="shared" si="1525"/>
        <v>Open Ad</v>
      </c>
      <c r="E5377" s="4" t="s">
        <v>78</v>
      </c>
      <c r="F5377" s="4" t="s">
        <v>6765</v>
      </c>
      <c r="G5377" s="4" t="s">
        <v>7285</v>
      </c>
      <c r="H5377" s="4" t="s">
        <v>49</v>
      </c>
      <c r="I5377" s="4" t="s">
        <v>7140</v>
      </c>
      <c r="J5377" s="4" t="s">
        <v>78</v>
      </c>
      <c r="K5377" s="7" t="str">
        <f t="shared" si="1526"/>
        <v>View Creative</v>
      </c>
      <c r="L5377" s="4" t="s">
        <v>60</v>
      </c>
      <c r="M5377" s="4" t="s">
        <v>1446</v>
      </c>
      <c r="N5377" s="4"/>
      <c r="O5377" s="4" t="s">
        <v>63</v>
      </c>
      <c r="P5377" s="4" t="s">
        <v>64</v>
      </c>
    </row>
    <row r="5378">
      <c r="A5378" s="4" t="s">
        <v>1446</v>
      </c>
      <c r="B5378" s="4" t="s">
        <v>7138</v>
      </c>
      <c r="C5378" s="4">
        <v>360.0</v>
      </c>
      <c r="D5378" s="5" t="str">
        <f>HYPERLINK("https://www.linkedin.com/ad-library/detail/1150690194","Open Ad")</f>
        <v>Open Ad</v>
      </c>
      <c r="E5378" s="4" t="s">
        <v>52</v>
      </c>
      <c r="F5378" s="4" t="s">
        <v>6765</v>
      </c>
      <c r="G5378" s="4" t="s">
        <v>7286</v>
      </c>
      <c r="H5378" s="4" t="s">
        <v>49</v>
      </c>
      <c r="I5378" s="4" t="s">
        <v>7140</v>
      </c>
      <c r="J5378" s="4" t="s">
        <v>52</v>
      </c>
      <c r="K5378" s="4" t="s">
        <v>59</v>
      </c>
      <c r="L5378" s="4" t="s">
        <v>60</v>
      </c>
      <c r="M5378" s="4" t="s">
        <v>1446</v>
      </c>
      <c r="N5378" s="4"/>
      <c r="O5378" s="4" t="s">
        <v>63</v>
      </c>
      <c r="P5378" s="4" t="s">
        <v>64</v>
      </c>
    </row>
    <row r="5379">
      <c r="A5379" s="4" t="s">
        <v>1446</v>
      </c>
      <c r="B5379" s="4" t="s">
        <v>7138</v>
      </c>
      <c r="C5379" s="4">
        <v>361.0</v>
      </c>
      <c r="D5379" s="5" t="str">
        <f t="shared" ref="D5379:D5380" si="1527">HYPERLINK("https://www.linkedin.com/ad-library/detail/1083888104","Open Ad")</f>
        <v>Open Ad</v>
      </c>
      <c r="E5379" s="4" t="s">
        <v>121</v>
      </c>
      <c r="F5379" s="4" t="s">
        <v>6765</v>
      </c>
      <c r="G5379" s="4" t="s">
        <v>7287</v>
      </c>
      <c r="H5379" s="4" t="s">
        <v>49</v>
      </c>
      <c r="I5379" s="4" t="s">
        <v>7140</v>
      </c>
      <c r="J5379" s="4" t="s">
        <v>121</v>
      </c>
      <c r="K5379" s="7" t="str">
        <f t="shared" ref="K5379:K5380" si="1528">HYPERLINK("https://dms.licdn.com/playlist/vid/v2/D5605AQEQ-S2pZ9cm8w/mp4-640p-30fp-crf28/B56ZuZpEVdGwB0-/0/1767809248781?e=2147483647&amp;v=beta&amp;t=6ClzzLn6lcYBiqAg-uuhO-HXbPLjHA51E1eithG7oxo","View Creative")</f>
        <v>View Creative</v>
      </c>
      <c r="L5379" s="4" t="s">
        <v>60</v>
      </c>
      <c r="M5379" s="4" t="s">
        <v>1446</v>
      </c>
      <c r="N5379" s="4"/>
      <c r="O5379" s="4" t="s">
        <v>63</v>
      </c>
      <c r="P5379" s="4" t="s">
        <v>64</v>
      </c>
    </row>
    <row r="5380">
      <c r="A5380" s="4" t="s">
        <v>1446</v>
      </c>
      <c r="B5380" s="4" t="s">
        <v>7138</v>
      </c>
      <c r="C5380" s="4">
        <v>362.0</v>
      </c>
      <c r="D5380" s="5" t="str">
        <f t="shared" si="1527"/>
        <v>Open Ad</v>
      </c>
      <c r="E5380" s="4" t="s">
        <v>121</v>
      </c>
      <c r="F5380" s="4" t="s">
        <v>6765</v>
      </c>
      <c r="G5380" s="4" t="s">
        <v>7287</v>
      </c>
      <c r="H5380" s="4" t="s">
        <v>49</v>
      </c>
      <c r="I5380" s="4" t="s">
        <v>7140</v>
      </c>
      <c r="J5380" s="4" t="s">
        <v>121</v>
      </c>
      <c r="K5380" s="7" t="str">
        <f t="shared" si="1528"/>
        <v>View Creative</v>
      </c>
      <c r="L5380" s="4" t="s">
        <v>60</v>
      </c>
      <c r="M5380" s="4" t="s">
        <v>1446</v>
      </c>
      <c r="N5380" s="4"/>
      <c r="O5380" s="4" t="s">
        <v>63</v>
      </c>
      <c r="P5380" s="4" t="s">
        <v>64</v>
      </c>
    </row>
    <row r="5381">
      <c r="A5381" s="4" t="s">
        <v>1446</v>
      </c>
      <c r="B5381" s="4" t="s">
        <v>7138</v>
      </c>
      <c r="C5381" s="4">
        <v>363.0</v>
      </c>
      <c r="D5381" s="5" t="str">
        <f>HYPERLINK("https://www.linkedin.com/ad-library/detail/1145394774","Open Ad")</f>
        <v>Open Ad</v>
      </c>
      <c r="E5381" s="4" t="s">
        <v>52</v>
      </c>
      <c r="F5381" s="4" t="s">
        <v>6765</v>
      </c>
      <c r="G5381" s="4" t="s">
        <v>7288</v>
      </c>
      <c r="H5381" s="4" t="s">
        <v>49</v>
      </c>
      <c r="I5381" s="4" t="s">
        <v>7140</v>
      </c>
      <c r="J5381" s="4" t="s">
        <v>52</v>
      </c>
      <c r="K5381" s="4" t="s">
        <v>59</v>
      </c>
      <c r="L5381" s="4" t="s">
        <v>60</v>
      </c>
      <c r="M5381" s="4" t="s">
        <v>1446</v>
      </c>
      <c r="N5381" s="4"/>
      <c r="O5381" s="4" t="s">
        <v>63</v>
      </c>
      <c r="P5381" s="4" t="s">
        <v>64</v>
      </c>
    </row>
    <row r="5382">
      <c r="A5382" s="4" t="s">
        <v>1446</v>
      </c>
      <c r="B5382" s="4" t="s">
        <v>7138</v>
      </c>
      <c r="C5382" s="4">
        <v>364.0</v>
      </c>
      <c r="D5382" s="5" t="str">
        <f>HYPERLINK("https://www.linkedin.com/ad-library/detail/1088299714","Open Ad")</f>
        <v>Open Ad</v>
      </c>
      <c r="E5382" s="4" t="s">
        <v>52</v>
      </c>
      <c r="F5382" s="4" t="s">
        <v>6765</v>
      </c>
      <c r="G5382" s="4" t="s">
        <v>7210</v>
      </c>
      <c r="H5382" s="4" t="s">
        <v>49</v>
      </c>
      <c r="I5382" s="4" t="s">
        <v>7140</v>
      </c>
      <c r="J5382" s="4" t="s">
        <v>52</v>
      </c>
      <c r="K5382" s="4" t="s">
        <v>59</v>
      </c>
      <c r="L5382" s="4" t="s">
        <v>60</v>
      </c>
      <c r="M5382" s="4" t="s">
        <v>1446</v>
      </c>
      <c r="N5382" s="4"/>
      <c r="O5382" s="4" t="s">
        <v>63</v>
      </c>
      <c r="P5382" s="4" t="s">
        <v>64</v>
      </c>
    </row>
    <row r="5383">
      <c r="A5383" s="4" t="s">
        <v>1446</v>
      </c>
      <c r="B5383" s="4" t="s">
        <v>7138</v>
      </c>
      <c r="C5383" s="4">
        <v>365.0</v>
      </c>
      <c r="D5383" s="5" t="str">
        <f>HYPERLINK("https://www.linkedin.com/ad-library/detail/1145196064","Open Ad")</f>
        <v>Open Ad</v>
      </c>
      <c r="E5383" s="4" t="s">
        <v>52</v>
      </c>
      <c r="F5383" s="4" t="s">
        <v>6765</v>
      </c>
      <c r="G5383" s="4" t="s">
        <v>7284</v>
      </c>
      <c r="H5383" s="4" t="s">
        <v>49</v>
      </c>
      <c r="I5383" s="4" t="s">
        <v>7140</v>
      </c>
      <c r="J5383" s="4" t="s">
        <v>52</v>
      </c>
      <c r="K5383" s="4" t="s">
        <v>59</v>
      </c>
      <c r="L5383" s="4" t="s">
        <v>60</v>
      </c>
      <c r="M5383" s="4" t="s">
        <v>1446</v>
      </c>
      <c r="N5383" s="4"/>
      <c r="O5383" s="4" t="s">
        <v>63</v>
      </c>
      <c r="P5383" s="4" t="s">
        <v>64</v>
      </c>
    </row>
    <row r="5384">
      <c r="A5384" s="4" t="s">
        <v>1446</v>
      </c>
      <c r="B5384" s="4" t="s">
        <v>7289</v>
      </c>
      <c r="C5384" s="4">
        <v>366.0</v>
      </c>
      <c r="D5384" s="5" t="str">
        <f>HYPERLINK("https://www.linkedin.com/ad-library/detail/1176683443","Open Ad")</f>
        <v>Open Ad</v>
      </c>
      <c r="E5384" s="4" t="s">
        <v>52</v>
      </c>
      <c r="F5384" s="4" t="s">
        <v>6765</v>
      </c>
      <c r="G5384" s="4" t="s">
        <v>7290</v>
      </c>
      <c r="H5384" s="4" t="s">
        <v>49</v>
      </c>
      <c r="I5384" s="4" t="s">
        <v>7140</v>
      </c>
      <c r="J5384" s="4" t="s">
        <v>52</v>
      </c>
      <c r="K5384" s="4" t="s">
        <v>59</v>
      </c>
      <c r="L5384" s="4" t="s">
        <v>60</v>
      </c>
      <c r="M5384" s="4" t="s">
        <v>1446</v>
      </c>
      <c r="N5384" s="4"/>
      <c r="O5384" s="4" t="s">
        <v>63</v>
      </c>
      <c r="P5384" s="4" t="s">
        <v>64</v>
      </c>
    </row>
    <row r="5385">
      <c r="A5385" s="4" t="s">
        <v>1446</v>
      </c>
      <c r="B5385" s="4" t="s">
        <v>7138</v>
      </c>
      <c r="C5385" s="4">
        <v>367.0</v>
      </c>
      <c r="D5385" s="5" t="str">
        <f>HYPERLINK("https://www.linkedin.com/ad-library/detail/1148891174","Open Ad")</f>
        <v>Open Ad</v>
      </c>
      <c r="E5385" s="4" t="s">
        <v>52</v>
      </c>
      <c r="F5385" s="4" t="s">
        <v>6765</v>
      </c>
      <c r="G5385" s="4" t="s">
        <v>7291</v>
      </c>
      <c r="H5385" s="4" t="s">
        <v>49</v>
      </c>
      <c r="I5385" s="4" t="s">
        <v>7140</v>
      </c>
      <c r="J5385" s="4" t="s">
        <v>52</v>
      </c>
      <c r="K5385" s="4" t="s">
        <v>59</v>
      </c>
      <c r="L5385" s="4" t="s">
        <v>60</v>
      </c>
      <c r="M5385" s="4" t="s">
        <v>1446</v>
      </c>
      <c r="N5385" s="4"/>
      <c r="O5385" s="4" t="s">
        <v>63</v>
      </c>
      <c r="P5385" s="4" t="s">
        <v>64</v>
      </c>
    </row>
    <row r="5386">
      <c r="A5386" s="4" t="s">
        <v>1446</v>
      </c>
      <c r="B5386" s="4" t="s">
        <v>7138</v>
      </c>
      <c r="C5386" s="4">
        <v>368.0</v>
      </c>
      <c r="D5386" s="5" t="str">
        <f t="shared" ref="D5386:D5387" si="1529">HYPERLINK("https://www.linkedin.com/ad-library/detail/1132404794","Open Ad")</f>
        <v>Open Ad</v>
      </c>
      <c r="E5386" s="4" t="s">
        <v>121</v>
      </c>
      <c r="F5386" s="4" t="s">
        <v>6765</v>
      </c>
      <c r="G5386" s="4" t="s">
        <v>7292</v>
      </c>
      <c r="H5386" s="4" t="s">
        <v>49</v>
      </c>
      <c r="I5386" s="4" t="s">
        <v>7140</v>
      </c>
      <c r="J5386" s="4" t="s">
        <v>121</v>
      </c>
      <c r="K5386" s="7" t="str">
        <f t="shared" ref="K5386:K5387" si="1530">HYPERLINK("https://dms.licdn.com/playlist/vid/v2/D4E05AQHGm900zKDHIQ/mp4-720p-30fp-crf28/B4EZv7Sb_uKYCE-/0/1769447486892?e=2147483647&amp;v=beta&amp;t=-DU6jD65cGERcHmPhrWzJ1fgoicZnV4-7tHoEEAQsyY","View Creative")</f>
        <v>View Creative</v>
      </c>
      <c r="L5386" s="4" t="s">
        <v>60</v>
      </c>
      <c r="M5386" s="4" t="s">
        <v>1446</v>
      </c>
      <c r="N5386" s="4"/>
      <c r="O5386" s="4" t="s">
        <v>63</v>
      </c>
      <c r="P5386" s="4" t="s">
        <v>64</v>
      </c>
    </row>
    <row r="5387">
      <c r="A5387" s="4" t="s">
        <v>1446</v>
      </c>
      <c r="B5387" s="4" t="s">
        <v>7138</v>
      </c>
      <c r="C5387" s="4">
        <v>369.0</v>
      </c>
      <c r="D5387" s="5" t="str">
        <f t="shared" si="1529"/>
        <v>Open Ad</v>
      </c>
      <c r="E5387" s="4" t="s">
        <v>121</v>
      </c>
      <c r="F5387" s="4" t="s">
        <v>6765</v>
      </c>
      <c r="G5387" s="4" t="s">
        <v>7292</v>
      </c>
      <c r="H5387" s="4" t="s">
        <v>49</v>
      </c>
      <c r="I5387" s="4" t="s">
        <v>7140</v>
      </c>
      <c r="J5387" s="4" t="s">
        <v>121</v>
      </c>
      <c r="K5387" s="7" t="str">
        <f t="shared" si="1530"/>
        <v>View Creative</v>
      </c>
      <c r="L5387" s="4" t="s">
        <v>60</v>
      </c>
      <c r="M5387" s="4" t="s">
        <v>1446</v>
      </c>
      <c r="N5387" s="4"/>
      <c r="O5387" s="4" t="s">
        <v>63</v>
      </c>
      <c r="P5387" s="4" t="s">
        <v>64</v>
      </c>
    </row>
    <row r="5388">
      <c r="A5388" s="4" t="s">
        <v>1446</v>
      </c>
      <c r="B5388" s="4" t="s">
        <v>7138</v>
      </c>
      <c r="C5388" s="4">
        <v>370.0</v>
      </c>
      <c r="D5388" s="5" t="str">
        <f>HYPERLINK("https://www.linkedin.com/ad-library/detail/1144898454","Open Ad")</f>
        <v>Open Ad</v>
      </c>
      <c r="E5388" s="4" t="s">
        <v>52</v>
      </c>
      <c r="F5388" s="4" t="s">
        <v>6765</v>
      </c>
      <c r="G5388" s="4" t="s">
        <v>7288</v>
      </c>
      <c r="H5388" s="4" t="s">
        <v>49</v>
      </c>
      <c r="I5388" s="4" t="s">
        <v>7140</v>
      </c>
      <c r="J5388" s="4" t="s">
        <v>52</v>
      </c>
      <c r="K5388" s="4" t="s">
        <v>59</v>
      </c>
      <c r="L5388" s="4" t="s">
        <v>60</v>
      </c>
      <c r="M5388" s="4" t="s">
        <v>1446</v>
      </c>
      <c r="N5388" s="4"/>
      <c r="O5388" s="4" t="s">
        <v>63</v>
      </c>
      <c r="P5388" s="4" t="s">
        <v>64</v>
      </c>
    </row>
    <row r="5389">
      <c r="A5389" s="4" t="s">
        <v>1446</v>
      </c>
      <c r="B5389" s="4" t="s">
        <v>7138</v>
      </c>
      <c r="C5389" s="4">
        <v>371.0</v>
      </c>
      <c r="D5389" s="5" t="str">
        <f t="shared" ref="D5389:D5390" si="1531">HYPERLINK("https://www.linkedin.com/ad-library/detail/1134697714","Open Ad")</f>
        <v>Open Ad</v>
      </c>
      <c r="E5389" s="4" t="s">
        <v>121</v>
      </c>
      <c r="F5389" s="4" t="s">
        <v>6765</v>
      </c>
      <c r="G5389" s="4" t="s">
        <v>7292</v>
      </c>
      <c r="H5389" s="4" t="s">
        <v>49</v>
      </c>
      <c r="I5389" s="4" t="s">
        <v>7140</v>
      </c>
      <c r="J5389" s="4" t="s">
        <v>121</v>
      </c>
      <c r="K5389" s="7" t="str">
        <f t="shared" ref="K5389:K5390" si="1532">HYPERLINK("https://dms.licdn.com/playlist/vid/v2/D4E05AQHGm900zKDHIQ/mp4-720p-30fp-crf28/B4EZv7Sb_uKYCE-/0/1769447486892?e=2147483647&amp;v=beta&amp;t=-DU6jD65cGERcHmPhrWzJ1fgoicZnV4-7tHoEEAQsyY","View Creative")</f>
        <v>View Creative</v>
      </c>
      <c r="L5389" s="4" t="s">
        <v>60</v>
      </c>
      <c r="M5389" s="4" t="s">
        <v>1446</v>
      </c>
      <c r="N5389" s="4"/>
      <c r="O5389" s="4" t="s">
        <v>63</v>
      </c>
      <c r="P5389" s="4" t="s">
        <v>64</v>
      </c>
    </row>
    <row r="5390">
      <c r="A5390" s="4" t="s">
        <v>1446</v>
      </c>
      <c r="B5390" s="4" t="s">
        <v>7138</v>
      </c>
      <c r="C5390" s="4">
        <v>372.0</v>
      </c>
      <c r="D5390" s="5" t="str">
        <f t="shared" si="1531"/>
        <v>Open Ad</v>
      </c>
      <c r="E5390" s="4" t="s">
        <v>121</v>
      </c>
      <c r="F5390" s="4" t="s">
        <v>6765</v>
      </c>
      <c r="G5390" s="4" t="s">
        <v>7292</v>
      </c>
      <c r="H5390" s="4" t="s">
        <v>49</v>
      </c>
      <c r="I5390" s="4" t="s">
        <v>7140</v>
      </c>
      <c r="J5390" s="4" t="s">
        <v>121</v>
      </c>
      <c r="K5390" s="7" t="str">
        <f t="shared" si="1532"/>
        <v>View Creative</v>
      </c>
      <c r="L5390" s="4" t="s">
        <v>60</v>
      </c>
      <c r="M5390" s="4" t="s">
        <v>1446</v>
      </c>
      <c r="N5390" s="4"/>
      <c r="O5390" s="4" t="s">
        <v>63</v>
      </c>
      <c r="P5390" s="4" t="s">
        <v>64</v>
      </c>
    </row>
    <row r="5391">
      <c r="A5391" s="4" t="s">
        <v>1446</v>
      </c>
      <c r="B5391" s="4" t="s">
        <v>7138</v>
      </c>
      <c r="C5391" s="4">
        <v>373.0</v>
      </c>
      <c r="D5391" s="5" t="str">
        <f t="shared" ref="D5391:D5392" si="1533">HYPERLINK("https://www.linkedin.com/ad-library/detail/1090692844","Open Ad")</f>
        <v>Open Ad</v>
      </c>
      <c r="E5391" s="4" t="s">
        <v>78</v>
      </c>
      <c r="F5391" s="4" t="s">
        <v>6765</v>
      </c>
      <c r="G5391" s="4" t="s">
        <v>7278</v>
      </c>
      <c r="H5391" s="4" t="s">
        <v>49</v>
      </c>
      <c r="I5391" s="4" t="s">
        <v>7140</v>
      </c>
      <c r="J5391" s="4" t="s">
        <v>78</v>
      </c>
      <c r="K5391" s="7" t="str">
        <f t="shared" ref="K5391:K5392" si="1534">HYPERLINK("https://media.licdn.com/dms/image/v2/D4E22AQEbP7o5_3rpwQ/image_627_1200/B56Zu8TZZKIUAY-/0/1768390760385?e=2147483647&amp;v=beta&amp;t=Nz2NjmwCOv94LPNIQAgFRmj71fEWR6D0v57dtbGcyuY","View Creative")</f>
        <v>View Creative</v>
      </c>
      <c r="L5391" s="4" t="s">
        <v>60</v>
      </c>
      <c r="M5391" s="4" t="s">
        <v>1446</v>
      </c>
      <c r="N5391" s="4"/>
      <c r="O5391" s="4" t="s">
        <v>63</v>
      </c>
      <c r="P5391" s="4" t="s">
        <v>64</v>
      </c>
    </row>
    <row r="5392">
      <c r="A5392" s="4" t="s">
        <v>1446</v>
      </c>
      <c r="B5392" s="4" t="s">
        <v>7138</v>
      </c>
      <c r="C5392" s="4">
        <v>374.0</v>
      </c>
      <c r="D5392" s="5" t="str">
        <f t="shared" si="1533"/>
        <v>Open Ad</v>
      </c>
      <c r="E5392" s="4" t="s">
        <v>78</v>
      </c>
      <c r="F5392" s="4" t="s">
        <v>6765</v>
      </c>
      <c r="G5392" s="4" t="s">
        <v>7278</v>
      </c>
      <c r="H5392" s="4" t="s">
        <v>49</v>
      </c>
      <c r="I5392" s="4" t="s">
        <v>7140</v>
      </c>
      <c r="J5392" s="4" t="s">
        <v>78</v>
      </c>
      <c r="K5392" s="7" t="str">
        <f t="shared" si="1534"/>
        <v>View Creative</v>
      </c>
      <c r="L5392" s="4" t="s">
        <v>60</v>
      </c>
      <c r="M5392" s="4" t="s">
        <v>1446</v>
      </c>
      <c r="N5392" s="4"/>
      <c r="O5392" s="4" t="s">
        <v>63</v>
      </c>
      <c r="P5392" s="4" t="s">
        <v>64</v>
      </c>
    </row>
    <row r="5393">
      <c r="A5393" s="4" t="s">
        <v>1446</v>
      </c>
      <c r="B5393" s="4" t="s">
        <v>7138</v>
      </c>
      <c r="C5393" s="4">
        <v>375.0</v>
      </c>
      <c r="D5393" s="5" t="str">
        <f t="shared" ref="D5393:D5394" si="1535">HYPERLINK("https://www.linkedin.com/ad-library/detail/910667514","Open Ad")</f>
        <v>Open Ad</v>
      </c>
      <c r="E5393" s="4" t="s">
        <v>121</v>
      </c>
      <c r="F5393" s="4" t="s">
        <v>6765</v>
      </c>
      <c r="G5393" s="4" t="s">
        <v>7293</v>
      </c>
      <c r="H5393" s="4" t="s">
        <v>49</v>
      </c>
      <c r="I5393" s="4" t="s">
        <v>7140</v>
      </c>
      <c r="J5393" s="4" t="s">
        <v>121</v>
      </c>
      <c r="K5393" s="7" t="str">
        <f t="shared" ref="K5393:K5394" si="1536">HYPERLINK("https://dms.licdn.com/playlist/vid/v2/D5605AQHZth89m6ru_w/mp4-640p-30fp-crf28/B56Zp.gmhlHkBs-/0/1763059105931?e=2147483647&amp;v=beta&amp;t=gnsk2YGBYFTeuWE0Lwx2dwzoNb2-raV1xXrPDh2_lUQ","View Creative")</f>
        <v>View Creative</v>
      </c>
      <c r="L5393" s="4" t="s">
        <v>60</v>
      </c>
      <c r="M5393" s="4" t="s">
        <v>1446</v>
      </c>
      <c r="N5393" s="4"/>
      <c r="O5393" s="4" t="s">
        <v>63</v>
      </c>
      <c r="P5393" s="4" t="s">
        <v>64</v>
      </c>
    </row>
    <row r="5394">
      <c r="A5394" s="4" t="s">
        <v>1446</v>
      </c>
      <c r="B5394" s="4" t="s">
        <v>7138</v>
      </c>
      <c r="C5394" s="4">
        <v>376.0</v>
      </c>
      <c r="D5394" s="5" t="str">
        <f t="shared" si="1535"/>
        <v>Open Ad</v>
      </c>
      <c r="E5394" s="4" t="s">
        <v>121</v>
      </c>
      <c r="F5394" s="4" t="s">
        <v>6765</v>
      </c>
      <c r="G5394" s="4" t="s">
        <v>7293</v>
      </c>
      <c r="H5394" s="4" t="s">
        <v>49</v>
      </c>
      <c r="I5394" s="4" t="s">
        <v>7140</v>
      </c>
      <c r="J5394" s="4" t="s">
        <v>121</v>
      </c>
      <c r="K5394" s="7" t="str">
        <f t="shared" si="1536"/>
        <v>View Creative</v>
      </c>
      <c r="L5394" s="4" t="s">
        <v>60</v>
      </c>
      <c r="M5394" s="4" t="s">
        <v>1446</v>
      </c>
      <c r="N5394" s="4"/>
      <c r="O5394" s="4" t="s">
        <v>63</v>
      </c>
      <c r="P5394" s="4" t="s">
        <v>64</v>
      </c>
    </row>
    <row r="5395">
      <c r="A5395" s="4" t="s">
        <v>1446</v>
      </c>
      <c r="B5395" s="4" t="s">
        <v>7294</v>
      </c>
      <c r="C5395" s="4">
        <v>377.0</v>
      </c>
      <c r="D5395" s="5" t="str">
        <f t="shared" ref="D5395:D5396" si="1537">HYPERLINK("https://www.linkedin.com/ad-library/detail/986954336","Open Ad")</f>
        <v>Open Ad</v>
      </c>
      <c r="E5395" s="4" t="s">
        <v>121</v>
      </c>
      <c r="F5395" s="4" t="s">
        <v>6765</v>
      </c>
      <c r="G5395" s="4" t="s">
        <v>7295</v>
      </c>
      <c r="H5395" s="4" t="s">
        <v>7296</v>
      </c>
      <c r="I5395" s="4" t="s">
        <v>7140</v>
      </c>
      <c r="J5395" s="4" t="s">
        <v>121</v>
      </c>
      <c r="K5395" s="7" t="str">
        <f t="shared" ref="K5395:K5396" si="1538">HYPERLINK("https://dms.licdn.com/playlist/vid/v2/D5605AQEsoZSk6klxNw/mp4-720p-30fp-crf28/B56Zr_rsEGMICI-/0/1765226333367?e=2147483647&amp;v=beta&amp;t=4ExoCJr51mbkZjPMp6WLjBFfGLBpimSZP_ngKQ4cjZc","View Creative")</f>
        <v>View Creative</v>
      </c>
      <c r="L5395" s="4" t="s">
        <v>60</v>
      </c>
      <c r="M5395" s="4" t="s">
        <v>1446</v>
      </c>
      <c r="N5395" s="4"/>
      <c r="O5395" s="4" t="s">
        <v>63</v>
      </c>
      <c r="P5395" s="4" t="s">
        <v>64</v>
      </c>
    </row>
    <row r="5396">
      <c r="A5396" s="4" t="s">
        <v>1446</v>
      </c>
      <c r="B5396" s="4" t="s">
        <v>7294</v>
      </c>
      <c r="C5396" s="4">
        <v>378.0</v>
      </c>
      <c r="D5396" s="5" t="str">
        <f t="shared" si="1537"/>
        <v>Open Ad</v>
      </c>
      <c r="E5396" s="4" t="s">
        <v>121</v>
      </c>
      <c r="F5396" s="4" t="s">
        <v>6765</v>
      </c>
      <c r="G5396" s="4" t="s">
        <v>7295</v>
      </c>
      <c r="H5396" s="4" t="s">
        <v>7296</v>
      </c>
      <c r="I5396" s="4" t="s">
        <v>7140</v>
      </c>
      <c r="J5396" s="4" t="s">
        <v>121</v>
      </c>
      <c r="K5396" s="7" t="str">
        <f t="shared" si="1538"/>
        <v>View Creative</v>
      </c>
      <c r="L5396" s="4" t="s">
        <v>60</v>
      </c>
      <c r="M5396" s="4" t="s">
        <v>1446</v>
      </c>
      <c r="N5396" s="4"/>
      <c r="O5396" s="4" t="s">
        <v>63</v>
      </c>
      <c r="P5396" s="4" t="s">
        <v>64</v>
      </c>
    </row>
    <row r="5397">
      <c r="A5397" s="4" t="s">
        <v>1446</v>
      </c>
      <c r="B5397" s="4" t="s">
        <v>7138</v>
      </c>
      <c r="C5397" s="4">
        <v>379.0</v>
      </c>
      <c r="D5397" s="5" t="str">
        <f t="shared" ref="D5397:D5398" si="1539">HYPERLINK("https://www.linkedin.com/ad-library/detail/1074877354","Open Ad")</f>
        <v>Open Ad</v>
      </c>
      <c r="E5397" s="4" t="s">
        <v>78</v>
      </c>
      <c r="F5397" s="4" t="s">
        <v>6765</v>
      </c>
      <c r="G5397" s="4" t="s">
        <v>7203</v>
      </c>
      <c r="H5397" s="4" t="s">
        <v>49</v>
      </c>
      <c r="I5397" s="4" t="s">
        <v>7140</v>
      </c>
      <c r="J5397" s="4" t="s">
        <v>78</v>
      </c>
      <c r="K5397" s="7" t="str">
        <f t="shared" ref="K5397:K5398" si="1540">HYPERLINK("https://media.licdn.com/dms/image/v2/D4E22AQFt-dFjadE7eA/feedshare-shrink_1280/B4EZssv3KoKgAs-/0/1765982305047?e=2147483647&amp;v=beta&amp;t=KNpTRDqCPAIvuxG8CzOoY0lQSVaw7ZCK_imSxQf1V6M","View Creative")</f>
        <v>View Creative</v>
      </c>
      <c r="L5397" s="4" t="s">
        <v>60</v>
      </c>
      <c r="M5397" s="4" t="s">
        <v>1446</v>
      </c>
      <c r="N5397" s="4"/>
      <c r="O5397" s="4" t="s">
        <v>63</v>
      </c>
      <c r="P5397" s="4" t="s">
        <v>64</v>
      </c>
    </row>
    <row r="5398">
      <c r="A5398" s="4" t="s">
        <v>1446</v>
      </c>
      <c r="B5398" s="4" t="s">
        <v>7138</v>
      </c>
      <c r="C5398" s="4">
        <v>380.0</v>
      </c>
      <c r="D5398" s="5" t="str">
        <f t="shared" si="1539"/>
        <v>Open Ad</v>
      </c>
      <c r="E5398" s="4" t="s">
        <v>78</v>
      </c>
      <c r="F5398" s="4" t="s">
        <v>6765</v>
      </c>
      <c r="G5398" s="4" t="s">
        <v>7203</v>
      </c>
      <c r="H5398" s="4" t="s">
        <v>49</v>
      </c>
      <c r="I5398" s="4" t="s">
        <v>7140</v>
      </c>
      <c r="J5398" s="4" t="s">
        <v>78</v>
      </c>
      <c r="K5398" s="7" t="str">
        <f t="shared" si="1540"/>
        <v>View Creative</v>
      </c>
      <c r="L5398" s="4" t="s">
        <v>60</v>
      </c>
      <c r="M5398" s="4" t="s">
        <v>1446</v>
      </c>
      <c r="N5398" s="4"/>
      <c r="O5398" s="4" t="s">
        <v>63</v>
      </c>
      <c r="P5398" s="4" t="s">
        <v>64</v>
      </c>
    </row>
    <row r="5399">
      <c r="A5399" s="4" t="s">
        <v>1446</v>
      </c>
      <c r="B5399" s="4" t="s">
        <v>7138</v>
      </c>
      <c r="C5399" s="4">
        <v>381.0</v>
      </c>
      <c r="D5399" s="5" t="str">
        <f t="shared" ref="D5399:D5400" si="1541">HYPERLINK("https://www.linkedin.com/ad-library/detail/935097834","Open Ad")</f>
        <v>Open Ad</v>
      </c>
      <c r="E5399" s="4" t="s">
        <v>121</v>
      </c>
      <c r="F5399" s="4" t="s">
        <v>6765</v>
      </c>
      <c r="G5399" s="4" t="s">
        <v>7297</v>
      </c>
      <c r="H5399" s="4" t="s">
        <v>49</v>
      </c>
      <c r="I5399" s="4" t="s">
        <v>7140</v>
      </c>
      <c r="J5399" s="4" t="s">
        <v>121</v>
      </c>
      <c r="K5399" s="7" t="str">
        <f t="shared" ref="K5399:K5400" si="1542">HYPERLINK("https://dms.licdn.com/playlist/vid/v2/D5605AQFv6_u0MEmRcA/mp4-720p-30fp-crf28/B56ZrqaHtiL4CI-/0/1764869322973?e=2147483647&amp;v=beta&amp;t=O2VGO3kPJBvNH8_Zc_Py-EHZD7g42eZKxY6rB3WDJGY","View Creative")</f>
        <v>View Creative</v>
      </c>
      <c r="L5399" s="4" t="s">
        <v>60</v>
      </c>
      <c r="M5399" s="4" t="s">
        <v>1446</v>
      </c>
      <c r="N5399" s="4"/>
      <c r="O5399" s="4" t="s">
        <v>63</v>
      </c>
      <c r="P5399" s="4" t="s">
        <v>64</v>
      </c>
    </row>
    <row r="5400">
      <c r="A5400" s="4" t="s">
        <v>1446</v>
      </c>
      <c r="B5400" s="4" t="s">
        <v>7138</v>
      </c>
      <c r="C5400" s="4">
        <v>382.0</v>
      </c>
      <c r="D5400" s="5" t="str">
        <f t="shared" si="1541"/>
        <v>Open Ad</v>
      </c>
      <c r="E5400" s="4" t="s">
        <v>121</v>
      </c>
      <c r="F5400" s="4" t="s">
        <v>6765</v>
      </c>
      <c r="G5400" s="4" t="s">
        <v>7297</v>
      </c>
      <c r="H5400" s="4" t="s">
        <v>49</v>
      </c>
      <c r="I5400" s="4" t="s">
        <v>7140</v>
      </c>
      <c r="J5400" s="4" t="s">
        <v>121</v>
      </c>
      <c r="K5400" s="7" t="str">
        <f t="shared" si="1542"/>
        <v>View Creative</v>
      </c>
      <c r="L5400" s="4" t="s">
        <v>60</v>
      </c>
      <c r="M5400" s="4" t="s">
        <v>1446</v>
      </c>
      <c r="N5400" s="4"/>
      <c r="O5400" s="4" t="s">
        <v>63</v>
      </c>
      <c r="P5400" s="4" t="s">
        <v>64</v>
      </c>
    </row>
    <row r="5401">
      <c r="A5401" s="4" t="s">
        <v>1446</v>
      </c>
      <c r="B5401" s="4" t="s">
        <v>7138</v>
      </c>
      <c r="C5401" s="4">
        <v>383.0</v>
      </c>
      <c r="D5401" s="5" t="str">
        <f t="shared" ref="D5401:D5402" si="1543">HYPERLINK("https://www.linkedin.com/ad-library/detail/927102924","Open Ad")</f>
        <v>Open Ad</v>
      </c>
      <c r="E5401" s="4" t="s">
        <v>78</v>
      </c>
      <c r="F5401" s="4" t="s">
        <v>6765</v>
      </c>
      <c r="G5401" s="4" t="s">
        <v>7298</v>
      </c>
      <c r="H5401" s="4" t="s">
        <v>49</v>
      </c>
      <c r="I5401" s="4" t="s">
        <v>7140</v>
      </c>
      <c r="J5401" s="4" t="s">
        <v>78</v>
      </c>
      <c r="K5401" s="7" t="str">
        <f t="shared" ref="K5401:K5402" si="1544">HYPERLINK("https://media.licdn.com/dms/image/v2/D5622AQEUYexUd7K3tA/feedshare-image-high-res/B56Zq9AIn8KsAo-/0/1764107521933?e=2147483647&amp;v=beta&amp;t=GAsNcHfug-1vRBpTpjtDlLLJLoxRWILFrjCn19XuBwU","View Creative")</f>
        <v>View Creative</v>
      </c>
      <c r="L5401" s="4" t="s">
        <v>60</v>
      </c>
      <c r="M5401" s="4" t="s">
        <v>1446</v>
      </c>
      <c r="N5401" s="4"/>
      <c r="O5401" s="4" t="s">
        <v>63</v>
      </c>
      <c r="P5401" s="4" t="s">
        <v>64</v>
      </c>
    </row>
    <row r="5402">
      <c r="A5402" s="4" t="s">
        <v>1446</v>
      </c>
      <c r="B5402" s="4" t="s">
        <v>7138</v>
      </c>
      <c r="C5402" s="4">
        <v>384.0</v>
      </c>
      <c r="D5402" s="5" t="str">
        <f t="shared" si="1543"/>
        <v>Open Ad</v>
      </c>
      <c r="E5402" s="4" t="s">
        <v>78</v>
      </c>
      <c r="F5402" s="4" t="s">
        <v>6765</v>
      </c>
      <c r="G5402" s="4" t="s">
        <v>7298</v>
      </c>
      <c r="H5402" s="4" t="s">
        <v>49</v>
      </c>
      <c r="I5402" s="4" t="s">
        <v>7140</v>
      </c>
      <c r="J5402" s="4" t="s">
        <v>78</v>
      </c>
      <c r="K5402" s="7" t="str">
        <f t="shared" si="1544"/>
        <v>View Creative</v>
      </c>
      <c r="L5402" s="4" t="s">
        <v>60</v>
      </c>
      <c r="M5402" s="4" t="s">
        <v>1446</v>
      </c>
      <c r="N5402" s="4"/>
      <c r="O5402" s="4" t="s">
        <v>63</v>
      </c>
      <c r="P5402" s="4" t="s">
        <v>64</v>
      </c>
    </row>
    <row r="5403">
      <c r="A5403" s="4" t="s">
        <v>1446</v>
      </c>
      <c r="B5403" s="4" t="s">
        <v>7138</v>
      </c>
      <c r="C5403" s="4">
        <v>385.0</v>
      </c>
      <c r="D5403" s="5" t="str">
        <f t="shared" ref="D5403:D5404" si="1545">HYPERLINK("https://www.linkedin.com/ad-library/detail/910775964","Open Ad")</f>
        <v>Open Ad</v>
      </c>
      <c r="E5403" s="4" t="s">
        <v>121</v>
      </c>
      <c r="F5403" s="4" t="s">
        <v>6765</v>
      </c>
      <c r="G5403" s="4" t="s">
        <v>7299</v>
      </c>
      <c r="H5403" s="4" t="s">
        <v>49</v>
      </c>
      <c r="I5403" s="4" t="s">
        <v>7140</v>
      </c>
      <c r="J5403" s="4" t="s">
        <v>121</v>
      </c>
      <c r="K5403" s="7" t="str">
        <f t="shared" ref="K5403:K5406" si="1546">HYPERLINK("https://dms.licdn.com/playlist/vid/v2/D5605AQEEfUnTMJkLoA/mp4-720p-30fp-crf28/B56Zp4y2JjKABw-/0/1762963295228?e=2147483647&amp;v=beta&amp;t=0IIv_OLrWg6jbEwbsyfSTC653uIZpHCWE2o8Er6ObcA","View Creative")</f>
        <v>View Creative</v>
      </c>
      <c r="L5403" s="4" t="s">
        <v>60</v>
      </c>
      <c r="M5403" s="4" t="s">
        <v>1446</v>
      </c>
      <c r="N5403" s="4"/>
      <c r="O5403" s="4" t="s">
        <v>63</v>
      </c>
      <c r="P5403" s="4" t="s">
        <v>64</v>
      </c>
    </row>
    <row r="5404">
      <c r="A5404" s="4" t="s">
        <v>1446</v>
      </c>
      <c r="B5404" s="4" t="s">
        <v>7138</v>
      </c>
      <c r="C5404" s="4">
        <v>386.0</v>
      </c>
      <c r="D5404" s="5" t="str">
        <f t="shared" si="1545"/>
        <v>Open Ad</v>
      </c>
      <c r="E5404" s="4" t="s">
        <v>121</v>
      </c>
      <c r="F5404" s="4" t="s">
        <v>6765</v>
      </c>
      <c r="G5404" s="4" t="s">
        <v>7299</v>
      </c>
      <c r="H5404" s="4" t="s">
        <v>49</v>
      </c>
      <c r="I5404" s="4" t="s">
        <v>7140</v>
      </c>
      <c r="J5404" s="4" t="s">
        <v>121</v>
      </c>
      <c r="K5404" s="7" t="str">
        <f t="shared" si="1546"/>
        <v>View Creative</v>
      </c>
      <c r="L5404" s="4" t="s">
        <v>60</v>
      </c>
      <c r="M5404" s="4" t="s">
        <v>1446</v>
      </c>
      <c r="N5404" s="4"/>
      <c r="O5404" s="4" t="s">
        <v>63</v>
      </c>
      <c r="P5404" s="4" t="s">
        <v>64</v>
      </c>
    </row>
    <row r="5405">
      <c r="A5405" s="4" t="s">
        <v>1446</v>
      </c>
      <c r="B5405" s="4" t="s">
        <v>7138</v>
      </c>
      <c r="C5405" s="4">
        <v>387.0</v>
      </c>
      <c r="D5405" s="5" t="str">
        <f t="shared" ref="D5405:D5406" si="1547">HYPERLINK("https://www.linkedin.com/ad-library/detail/910598584","Open Ad")</f>
        <v>Open Ad</v>
      </c>
      <c r="E5405" s="4" t="s">
        <v>121</v>
      </c>
      <c r="F5405" s="4" t="s">
        <v>6765</v>
      </c>
      <c r="G5405" s="4" t="s">
        <v>7299</v>
      </c>
      <c r="H5405" s="4" t="s">
        <v>49</v>
      </c>
      <c r="I5405" s="4" t="s">
        <v>7140</v>
      </c>
      <c r="J5405" s="4" t="s">
        <v>121</v>
      </c>
      <c r="K5405" s="7" t="str">
        <f t="shared" si="1546"/>
        <v>View Creative</v>
      </c>
      <c r="L5405" s="4" t="s">
        <v>60</v>
      </c>
      <c r="M5405" s="4" t="s">
        <v>1446</v>
      </c>
      <c r="N5405" s="4"/>
      <c r="O5405" s="4" t="s">
        <v>63</v>
      </c>
      <c r="P5405" s="4" t="s">
        <v>64</v>
      </c>
    </row>
    <row r="5406">
      <c r="A5406" s="4" t="s">
        <v>1446</v>
      </c>
      <c r="B5406" s="4" t="s">
        <v>7138</v>
      </c>
      <c r="C5406" s="4">
        <v>388.0</v>
      </c>
      <c r="D5406" s="5" t="str">
        <f t="shared" si="1547"/>
        <v>Open Ad</v>
      </c>
      <c r="E5406" s="4" t="s">
        <v>121</v>
      </c>
      <c r="F5406" s="4" t="s">
        <v>6765</v>
      </c>
      <c r="G5406" s="4" t="s">
        <v>7299</v>
      </c>
      <c r="H5406" s="4" t="s">
        <v>49</v>
      </c>
      <c r="I5406" s="4" t="s">
        <v>7140</v>
      </c>
      <c r="J5406" s="4" t="s">
        <v>121</v>
      </c>
      <c r="K5406" s="7" t="str">
        <f t="shared" si="1546"/>
        <v>View Creative</v>
      </c>
      <c r="L5406" s="4" t="s">
        <v>60</v>
      </c>
      <c r="M5406" s="4" t="s">
        <v>1446</v>
      </c>
      <c r="N5406" s="4"/>
      <c r="O5406" s="4" t="s">
        <v>63</v>
      </c>
      <c r="P5406" s="4" t="s">
        <v>64</v>
      </c>
    </row>
    <row r="5407">
      <c r="A5407" s="4" t="s">
        <v>1446</v>
      </c>
      <c r="B5407" s="4" t="s">
        <v>7138</v>
      </c>
      <c r="C5407" s="4">
        <v>389.0</v>
      </c>
      <c r="D5407" s="5" t="str">
        <f t="shared" ref="D5407:D5408" si="1548">HYPERLINK("https://www.linkedin.com/ad-library/detail/943186694","Open Ad")</f>
        <v>Open Ad</v>
      </c>
      <c r="E5407" s="4" t="s">
        <v>121</v>
      </c>
      <c r="F5407" s="4" t="s">
        <v>6765</v>
      </c>
      <c r="G5407" s="4" t="s">
        <v>7297</v>
      </c>
      <c r="H5407" s="4" t="s">
        <v>49</v>
      </c>
      <c r="I5407" s="4" t="s">
        <v>7140</v>
      </c>
      <c r="J5407" s="4" t="s">
        <v>121</v>
      </c>
      <c r="K5407" s="7" t="str">
        <f t="shared" ref="K5407:K5408" si="1549">HYPERLINK("https://dms.licdn.com/playlist/vid/v2/D5605AQFv6_u0MEmRcA/mp4-720p-30fp-crf28/B56ZrqaHtiL4CI-/0/1764869322973?e=2147483647&amp;v=beta&amp;t=O2VGO3kPJBvNH8_Zc_Py-EHZD7g42eZKxY6rB3WDJGY","View Creative")</f>
        <v>View Creative</v>
      </c>
      <c r="L5407" s="4" t="s">
        <v>60</v>
      </c>
      <c r="M5407" s="4" t="s">
        <v>1446</v>
      </c>
      <c r="N5407" s="4"/>
      <c r="O5407" s="4" t="s">
        <v>63</v>
      </c>
      <c r="P5407" s="4" t="s">
        <v>64</v>
      </c>
    </row>
    <row r="5408">
      <c r="A5408" s="4" t="s">
        <v>1446</v>
      </c>
      <c r="B5408" s="4" t="s">
        <v>7138</v>
      </c>
      <c r="C5408" s="4">
        <v>390.0</v>
      </c>
      <c r="D5408" s="5" t="str">
        <f t="shared" si="1548"/>
        <v>Open Ad</v>
      </c>
      <c r="E5408" s="4" t="s">
        <v>121</v>
      </c>
      <c r="F5408" s="4" t="s">
        <v>6765</v>
      </c>
      <c r="G5408" s="4" t="s">
        <v>7297</v>
      </c>
      <c r="H5408" s="4" t="s">
        <v>49</v>
      </c>
      <c r="I5408" s="4" t="s">
        <v>7140</v>
      </c>
      <c r="J5408" s="4" t="s">
        <v>121</v>
      </c>
      <c r="K5408" s="7" t="str">
        <f t="shared" si="1549"/>
        <v>View Creative</v>
      </c>
      <c r="L5408" s="4" t="s">
        <v>60</v>
      </c>
      <c r="M5408" s="4" t="s">
        <v>1446</v>
      </c>
      <c r="N5408" s="4"/>
      <c r="O5408" s="4" t="s">
        <v>63</v>
      </c>
      <c r="P5408" s="4" t="s">
        <v>64</v>
      </c>
    </row>
    <row r="5409">
      <c r="A5409" s="4" t="s">
        <v>1446</v>
      </c>
      <c r="B5409" s="4" t="s">
        <v>7138</v>
      </c>
      <c r="C5409" s="4">
        <v>391.0</v>
      </c>
      <c r="D5409" s="5" t="str">
        <f t="shared" ref="D5409:D5410" si="1550">HYPERLINK("https://www.linkedin.com/ad-library/detail/919557754","Open Ad")</f>
        <v>Open Ad</v>
      </c>
      <c r="E5409" s="4" t="s">
        <v>121</v>
      </c>
      <c r="F5409" s="4" t="s">
        <v>6765</v>
      </c>
      <c r="G5409" s="4" t="s">
        <v>7173</v>
      </c>
      <c r="H5409" s="4" t="s">
        <v>7174</v>
      </c>
      <c r="I5409" s="4" t="s">
        <v>7140</v>
      </c>
      <c r="J5409" s="4" t="s">
        <v>121</v>
      </c>
      <c r="K5409" s="7" t="str">
        <f t="shared" ref="K5409:K5410" si="1551">HYPERLINK("https://dms.licdn.com/playlist/vid/v2/D4D05AQHnmIEEyRX-XQ/mp4-640p-30fp-crf28/B4DZqiqSThJMB4-/0/1763665591076?e=2147483647&amp;v=beta&amp;t=z_-Yle32SHQ35KpshG1IXh2KghCKdx17hxgQTsQb9DM","View Creative")</f>
        <v>View Creative</v>
      </c>
      <c r="L5409" s="4" t="s">
        <v>60</v>
      </c>
      <c r="M5409" s="4" t="s">
        <v>1446</v>
      </c>
      <c r="N5409" s="4"/>
      <c r="O5409" s="4" t="s">
        <v>63</v>
      </c>
      <c r="P5409" s="4" t="s">
        <v>64</v>
      </c>
    </row>
    <row r="5410">
      <c r="A5410" s="4" t="s">
        <v>1446</v>
      </c>
      <c r="B5410" s="4" t="s">
        <v>7138</v>
      </c>
      <c r="C5410" s="4">
        <v>392.0</v>
      </c>
      <c r="D5410" s="5" t="str">
        <f t="shared" si="1550"/>
        <v>Open Ad</v>
      </c>
      <c r="E5410" s="4" t="s">
        <v>121</v>
      </c>
      <c r="F5410" s="4" t="s">
        <v>6765</v>
      </c>
      <c r="G5410" s="4" t="s">
        <v>7173</v>
      </c>
      <c r="H5410" s="4" t="s">
        <v>7174</v>
      </c>
      <c r="I5410" s="4" t="s">
        <v>7140</v>
      </c>
      <c r="J5410" s="4" t="s">
        <v>121</v>
      </c>
      <c r="K5410" s="7" t="str">
        <f t="shared" si="1551"/>
        <v>View Creative</v>
      </c>
      <c r="L5410" s="4" t="s">
        <v>60</v>
      </c>
      <c r="M5410" s="4" t="s">
        <v>1446</v>
      </c>
      <c r="N5410" s="4"/>
      <c r="O5410" s="4" t="s">
        <v>63</v>
      </c>
      <c r="P5410" s="4" t="s">
        <v>64</v>
      </c>
    </row>
    <row r="5411">
      <c r="A5411" s="4" t="s">
        <v>1446</v>
      </c>
      <c r="B5411" s="4" t="s">
        <v>7138</v>
      </c>
      <c r="C5411" s="4">
        <v>393.0</v>
      </c>
      <c r="D5411" s="5" t="str">
        <f t="shared" ref="D5411:D5412" si="1552">HYPERLINK("https://www.linkedin.com/ad-library/detail/910756384","Open Ad")</f>
        <v>Open Ad</v>
      </c>
      <c r="E5411" s="4" t="s">
        <v>121</v>
      </c>
      <c r="F5411" s="4" t="s">
        <v>6765</v>
      </c>
      <c r="G5411" s="4" t="s">
        <v>7293</v>
      </c>
      <c r="H5411" s="4" t="s">
        <v>49</v>
      </c>
      <c r="I5411" s="4" t="s">
        <v>7140</v>
      </c>
      <c r="J5411" s="4" t="s">
        <v>121</v>
      </c>
      <c r="K5411" s="7" t="str">
        <f t="shared" ref="K5411:K5412" si="1553">HYPERLINK("https://dms.licdn.com/playlist/vid/v2/D5605AQHZth89m6ru_w/mp4-640p-30fp-crf28/B56Zp.gmhlHkBs-/0/1763059105931?e=2147483647&amp;v=beta&amp;t=gnsk2YGBYFTeuWE0Lwx2dwzoNb2-raV1xXrPDh2_lUQ","View Creative")</f>
        <v>View Creative</v>
      </c>
      <c r="L5411" s="4" t="s">
        <v>60</v>
      </c>
      <c r="M5411" s="4" t="s">
        <v>1446</v>
      </c>
      <c r="N5411" s="4"/>
      <c r="O5411" s="4" t="s">
        <v>63</v>
      </c>
      <c r="P5411" s="4" t="s">
        <v>64</v>
      </c>
    </row>
    <row r="5412">
      <c r="A5412" s="4" t="s">
        <v>1446</v>
      </c>
      <c r="B5412" s="4" t="s">
        <v>7138</v>
      </c>
      <c r="C5412" s="4">
        <v>394.0</v>
      </c>
      <c r="D5412" s="5" t="str">
        <f t="shared" si="1552"/>
        <v>Open Ad</v>
      </c>
      <c r="E5412" s="4" t="s">
        <v>121</v>
      </c>
      <c r="F5412" s="4" t="s">
        <v>6765</v>
      </c>
      <c r="G5412" s="4" t="s">
        <v>7293</v>
      </c>
      <c r="H5412" s="4" t="s">
        <v>49</v>
      </c>
      <c r="I5412" s="4" t="s">
        <v>7140</v>
      </c>
      <c r="J5412" s="4" t="s">
        <v>121</v>
      </c>
      <c r="K5412" s="7" t="str">
        <f t="shared" si="1553"/>
        <v>View Creative</v>
      </c>
      <c r="L5412" s="4" t="s">
        <v>60</v>
      </c>
      <c r="M5412" s="4" t="s">
        <v>1446</v>
      </c>
      <c r="N5412" s="4"/>
      <c r="O5412" s="4" t="s">
        <v>63</v>
      </c>
      <c r="P5412" s="4" t="s">
        <v>64</v>
      </c>
    </row>
    <row r="5413">
      <c r="A5413" s="4" t="s">
        <v>1446</v>
      </c>
      <c r="B5413" s="4" t="s">
        <v>7138</v>
      </c>
      <c r="C5413" s="4">
        <v>395.0</v>
      </c>
      <c r="D5413" s="5" t="str">
        <f t="shared" ref="D5413:D5414" si="1554">HYPERLINK("https://www.linkedin.com/ad-library/detail/1073679734","Open Ad")</f>
        <v>Open Ad</v>
      </c>
      <c r="E5413" s="4" t="s">
        <v>78</v>
      </c>
      <c r="F5413" s="4" t="s">
        <v>6765</v>
      </c>
      <c r="G5413" s="4" t="s">
        <v>7300</v>
      </c>
      <c r="H5413" s="4" t="s">
        <v>49</v>
      </c>
      <c r="I5413" s="4" t="s">
        <v>7140</v>
      </c>
      <c r="J5413" s="4" t="s">
        <v>78</v>
      </c>
      <c r="K5413" s="7" t="str">
        <f t="shared" ref="K5413:K5414" si="1555">HYPERLINK("https://media.licdn.com/dms/image/v2/D5622AQGjlA26hD2Dyg/feedshare-shrink_1280/B56Zsn9KtvIAAs-/0/1765902049443?e=2147483647&amp;v=beta&amp;t=IuuD7NK4xZBgdXS6-uz39PVwWonbYNUBiSfBjd2BPMw","View Creative")</f>
        <v>View Creative</v>
      </c>
      <c r="L5413" s="4" t="s">
        <v>60</v>
      </c>
      <c r="M5413" s="4" t="s">
        <v>1446</v>
      </c>
      <c r="N5413" s="4"/>
      <c r="O5413" s="4" t="s">
        <v>63</v>
      </c>
      <c r="P5413" s="4" t="s">
        <v>64</v>
      </c>
    </row>
    <row r="5414">
      <c r="A5414" s="4" t="s">
        <v>1446</v>
      </c>
      <c r="B5414" s="4" t="s">
        <v>7138</v>
      </c>
      <c r="C5414" s="4">
        <v>396.0</v>
      </c>
      <c r="D5414" s="5" t="str">
        <f t="shared" si="1554"/>
        <v>Open Ad</v>
      </c>
      <c r="E5414" s="4" t="s">
        <v>78</v>
      </c>
      <c r="F5414" s="4" t="s">
        <v>6765</v>
      </c>
      <c r="G5414" s="4" t="s">
        <v>7300</v>
      </c>
      <c r="H5414" s="4" t="s">
        <v>49</v>
      </c>
      <c r="I5414" s="4" t="s">
        <v>7140</v>
      </c>
      <c r="J5414" s="4" t="s">
        <v>78</v>
      </c>
      <c r="K5414" s="7" t="str">
        <f t="shared" si="1555"/>
        <v>View Creative</v>
      </c>
      <c r="L5414" s="4" t="s">
        <v>60</v>
      </c>
      <c r="M5414" s="4" t="s">
        <v>1446</v>
      </c>
      <c r="N5414" s="4"/>
      <c r="O5414" s="4" t="s">
        <v>63</v>
      </c>
      <c r="P5414" s="4" t="s">
        <v>64</v>
      </c>
    </row>
    <row r="5415">
      <c r="A5415" s="4" t="s">
        <v>1446</v>
      </c>
      <c r="B5415" s="4" t="s">
        <v>7138</v>
      </c>
      <c r="C5415" s="4">
        <v>397.0</v>
      </c>
      <c r="D5415" s="5" t="str">
        <f t="shared" ref="D5415:D5416" si="1556">HYPERLINK("https://www.linkedin.com/ad-library/detail/934977464","Open Ad")</f>
        <v>Open Ad</v>
      </c>
      <c r="E5415" s="4" t="s">
        <v>78</v>
      </c>
      <c r="F5415" s="4" t="s">
        <v>6765</v>
      </c>
      <c r="G5415" s="4" t="s">
        <v>7301</v>
      </c>
      <c r="H5415" s="4" t="s">
        <v>49</v>
      </c>
      <c r="I5415" s="4" t="s">
        <v>7140</v>
      </c>
      <c r="J5415" s="4" t="s">
        <v>78</v>
      </c>
      <c r="K5415" s="7" t="str">
        <f t="shared" ref="K5415:K5416" si="1557">HYPERLINK("https://media.licdn.com/dms/image/v2/D4E22AQEINw0FJ9S7Cw/feedshare-image-high-res/B4EZrkpZwHGUAo-/0/1764772651983?e=2147483647&amp;v=beta&amp;t=a62aeASApSnZ7XXyHw2JHVO-oJAH40CZMwk3moJBvuk","View Creative")</f>
        <v>View Creative</v>
      </c>
      <c r="L5415" s="4" t="s">
        <v>60</v>
      </c>
      <c r="M5415" s="4" t="s">
        <v>1446</v>
      </c>
      <c r="N5415" s="4"/>
      <c r="O5415" s="4" t="s">
        <v>63</v>
      </c>
      <c r="P5415" s="4" t="s">
        <v>64</v>
      </c>
    </row>
    <row r="5416">
      <c r="A5416" s="4" t="s">
        <v>1446</v>
      </c>
      <c r="B5416" s="4" t="s">
        <v>7138</v>
      </c>
      <c r="C5416" s="4">
        <v>398.0</v>
      </c>
      <c r="D5416" s="5" t="str">
        <f t="shared" si="1556"/>
        <v>Open Ad</v>
      </c>
      <c r="E5416" s="4" t="s">
        <v>78</v>
      </c>
      <c r="F5416" s="4" t="s">
        <v>6765</v>
      </c>
      <c r="G5416" s="4" t="s">
        <v>7301</v>
      </c>
      <c r="H5416" s="4" t="s">
        <v>49</v>
      </c>
      <c r="I5416" s="4" t="s">
        <v>7140</v>
      </c>
      <c r="J5416" s="4" t="s">
        <v>78</v>
      </c>
      <c r="K5416" s="7" t="str">
        <f t="shared" si="1557"/>
        <v>View Creative</v>
      </c>
      <c r="L5416" s="4" t="s">
        <v>60</v>
      </c>
      <c r="M5416" s="4" t="s">
        <v>1446</v>
      </c>
      <c r="N5416" s="4"/>
      <c r="O5416" s="4" t="s">
        <v>63</v>
      </c>
      <c r="P5416" s="4" t="s">
        <v>64</v>
      </c>
    </row>
    <row r="5417">
      <c r="A5417" s="4" t="s">
        <v>1446</v>
      </c>
      <c r="B5417" s="4" t="s">
        <v>7138</v>
      </c>
      <c r="C5417" s="4">
        <v>399.0</v>
      </c>
      <c r="D5417" s="5" t="str">
        <f t="shared" ref="D5417:D5418" si="1558">HYPERLINK("https://www.linkedin.com/ad-library/detail/919497654","Open Ad")</f>
        <v>Open Ad</v>
      </c>
      <c r="E5417" s="4" t="s">
        <v>78</v>
      </c>
      <c r="F5417" s="4" t="s">
        <v>6765</v>
      </c>
      <c r="G5417" s="4" t="s">
        <v>7302</v>
      </c>
      <c r="H5417" s="4" t="s">
        <v>49</v>
      </c>
      <c r="I5417" s="4" t="s">
        <v>7140</v>
      </c>
      <c r="J5417" s="4" t="s">
        <v>78</v>
      </c>
      <c r="K5417" s="7" t="str">
        <f t="shared" ref="K5417:K5418" si="1559">HYPERLINK("https://media.licdn.com/dms/image/v2/D5622AQEycv2coBm5zA/feedshare-image-high-res/B56Zo1vmk2I8Ao-/0/1761838264194?e=2147483647&amp;v=beta&amp;t=AG2kxfMbNu0Oi4KFZT4dZz4TW-_fNad-kLXCXTX4XaA","View Creative")</f>
        <v>View Creative</v>
      </c>
      <c r="L5417" s="4" t="s">
        <v>60</v>
      </c>
      <c r="M5417" s="4" t="s">
        <v>1446</v>
      </c>
      <c r="N5417" s="4"/>
      <c r="O5417" s="4" t="s">
        <v>63</v>
      </c>
      <c r="P5417" s="4" t="s">
        <v>64</v>
      </c>
    </row>
    <row r="5418">
      <c r="A5418" s="4" t="s">
        <v>1446</v>
      </c>
      <c r="B5418" s="4" t="s">
        <v>7138</v>
      </c>
      <c r="C5418" s="4">
        <v>400.0</v>
      </c>
      <c r="D5418" s="5" t="str">
        <f t="shared" si="1558"/>
        <v>Open Ad</v>
      </c>
      <c r="E5418" s="4" t="s">
        <v>78</v>
      </c>
      <c r="F5418" s="4" t="s">
        <v>6765</v>
      </c>
      <c r="G5418" s="4" t="s">
        <v>7302</v>
      </c>
      <c r="H5418" s="4" t="s">
        <v>49</v>
      </c>
      <c r="I5418" s="4" t="s">
        <v>7140</v>
      </c>
      <c r="J5418" s="4" t="s">
        <v>78</v>
      </c>
      <c r="K5418" s="7" t="str">
        <f t="shared" si="1559"/>
        <v>View Creative</v>
      </c>
      <c r="L5418" s="4" t="s">
        <v>60</v>
      </c>
      <c r="M5418" s="4" t="s">
        <v>1446</v>
      </c>
      <c r="N5418" s="4"/>
      <c r="O5418" s="4" t="s">
        <v>63</v>
      </c>
      <c r="P5418" s="4" t="s">
        <v>64</v>
      </c>
    </row>
    <row r="5419">
      <c r="A5419" s="4" t="s">
        <v>1446</v>
      </c>
      <c r="B5419" s="4" t="s">
        <v>7138</v>
      </c>
      <c r="C5419" s="4">
        <v>401.0</v>
      </c>
      <c r="D5419" s="5" t="str">
        <f t="shared" ref="D5419:D5420" si="1560">HYPERLINK("https://www.linkedin.com/ad-library/detail/919586844","Open Ad")</f>
        <v>Open Ad</v>
      </c>
      <c r="E5419" s="4" t="s">
        <v>78</v>
      </c>
      <c r="F5419" s="4" t="s">
        <v>6765</v>
      </c>
      <c r="G5419" s="4" t="s">
        <v>7303</v>
      </c>
      <c r="H5419" s="4" t="s">
        <v>49</v>
      </c>
      <c r="I5419" s="4" t="s">
        <v>7140</v>
      </c>
      <c r="J5419" s="4" t="s">
        <v>78</v>
      </c>
      <c r="K5419" s="7" t="str">
        <f t="shared" ref="K5419:K5420" si="1561">HYPERLINK("https://media.licdn.com/dms/image/v2/D5622AQGqEM-fY6IlNg/feedshare-image-high-res/B56ZqdThdiG0Ao-/0/1763575733252?e=2147483647&amp;v=beta&amp;t=Ps3KwYmCoCx1dy6qj9lHV8Ky1LGyDn73ryOtqUKvnX4","View Creative")</f>
        <v>View Creative</v>
      </c>
      <c r="L5419" s="4" t="s">
        <v>60</v>
      </c>
      <c r="M5419" s="4" t="s">
        <v>1446</v>
      </c>
      <c r="N5419" s="4"/>
      <c r="O5419" s="4" t="s">
        <v>63</v>
      </c>
      <c r="P5419" s="4" t="s">
        <v>64</v>
      </c>
    </row>
    <row r="5420">
      <c r="A5420" s="4" t="s">
        <v>1446</v>
      </c>
      <c r="B5420" s="4" t="s">
        <v>7138</v>
      </c>
      <c r="C5420" s="4">
        <v>402.0</v>
      </c>
      <c r="D5420" s="5" t="str">
        <f t="shared" si="1560"/>
        <v>Open Ad</v>
      </c>
      <c r="E5420" s="4" t="s">
        <v>78</v>
      </c>
      <c r="F5420" s="4" t="s">
        <v>6765</v>
      </c>
      <c r="G5420" s="4" t="s">
        <v>7303</v>
      </c>
      <c r="H5420" s="4" t="s">
        <v>49</v>
      </c>
      <c r="I5420" s="4" t="s">
        <v>7140</v>
      </c>
      <c r="J5420" s="4" t="s">
        <v>78</v>
      </c>
      <c r="K5420" s="7" t="str">
        <f t="shared" si="1561"/>
        <v>View Creative</v>
      </c>
      <c r="L5420" s="4" t="s">
        <v>60</v>
      </c>
      <c r="M5420" s="4" t="s">
        <v>1446</v>
      </c>
      <c r="N5420" s="4"/>
      <c r="O5420" s="4" t="s">
        <v>63</v>
      </c>
      <c r="P5420" s="4" t="s">
        <v>64</v>
      </c>
    </row>
    <row r="5421">
      <c r="A5421" s="4" t="s">
        <v>1446</v>
      </c>
      <c r="B5421" s="4" t="s">
        <v>7138</v>
      </c>
      <c r="C5421" s="4">
        <v>403.0</v>
      </c>
      <c r="D5421" s="5" t="str">
        <f t="shared" ref="D5421:D5422" si="1562">HYPERLINK("https://www.linkedin.com/ad-library/detail/919507594","Open Ad")</f>
        <v>Open Ad</v>
      </c>
      <c r="E5421" s="4" t="s">
        <v>78</v>
      </c>
      <c r="F5421" s="4" t="s">
        <v>6765</v>
      </c>
      <c r="G5421" s="4" t="s">
        <v>7304</v>
      </c>
      <c r="H5421" s="4" t="s">
        <v>49</v>
      </c>
      <c r="I5421" s="4" t="s">
        <v>7140</v>
      </c>
      <c r="J5421" s="4" t="s">
        <v>78</v>
      </c>
      <c r="K5421" s="7" t="str">
        <f t="shared" ref="K5421:K5422" si="1563">HYPERLINK("https://media.licdn.com/dms/image/v2/D5622AQG6g6xCSX16pQ/feedshare-image-high-res/B56Zo1iYXMHYAo-/0/1761834797865?e=2147483647&amp;v=beta&amp;t=w1l-m1TyswJIoxWYdtc2vT9l-_kcB5cOD_Eknt72Y5M","View Creative")</f>
        <v>View Creative</v>
      </c>
      <c r="L5421" s="4" t="s">
        <v>60</v>
      </c>
      <c r="M5421" s="4" t="s">
        <v>1446</v>
      </c>
      <c r="N5421" s="4"/>
      <c r="O5421" s="4" t="s">
        <v>63</v>
      </c>
      <c r="P5421" s="4" t="s">
        <v>64</v>
      </c>
    </row>
    <row r="5422">
      <c r="A5422" s="4" t="s">
        <v>1446</v>
      </c>
      <c r="B5422" s="4" t="s">
        <v>7138</v>
      </c>
      <c r="C5422" s="4">
        <v>404.0</v>
      </c>
      <c r="D5422" s="5" t="str">
        <f t="shared" si="1562"/>
        <v>Open Ad</v>
      </c>
      <c r="E5422" s="4" t="s">
        <v>78</v>
      </c>
      <c r="F5422" s="4" t="s">
        <v>6765</v>
      </c>
      <c r="G5422" s="4" t="s">
        <v>7304</v>
      </c>
      <c r="H5422" s="4" t="s">
        <v>49</v>
      </c>
      <c r="I5422" s="4" t="s">
        <v>7140</v>
      </c>
      <c r="J5422" s="4" t="s">
        <v>78</v>
      </c>
      <c r="K5422" s="7" t="str">
        <f t="shared" si="1563"/>
        <v>View Creative</v>
      </c>
      <c r="L5422" s="4" t="s">
        <v>60</v>
      </c>
      <c r="M5422" s="4" t="s">
        <v>1446</v>
      </c>
      <c r="N5422" s="4"/>
      <c r="O5422" s="4" t="s">
        <v>63</v>
      </c>
      <c r="P5422" s="4" t="s">
        <v>64</v>
      </c>
    </row>
    <row r="5423">
      <c r="A5423" s="4" t="s">
        <v>1446</v>
      </c>
      <c r="B5423" s="4" t="s">
        <v>7138</v>
      </c>
      <c r="C5423" s="4">
        <v>405.0</v>
      </c>
      <c r="D5423" s="5" t="str">
        <f t="shared" ref="D5423:D5424" si="1564">HYPERLINK("https://www.linkedin.com/ad-library/detail/1075781884","Open Ad")</f>
        <v>Open Ad</v>
      </c>
      <c r="E5423" s="4" t="s">
        <v>78</v>
      </c>
      <c r="F5423" s="4" t="s">
        <v>6765</v>
      </c>
      <c r="G5423" s="4" t="s">
        <v>7203</v>
      </c>
      <c r="H5423" s="4" t="s">
        <v>49</v>
      </c>
      <c r="I5423" s="4" t="s">
        <v>7140</v>
      </c>
      <c r="J5423" s="4" t="s">
        <v>78</v>
      </c>
      <c r="K5423" s="7" t="str">
        <f t="shared" ref="K5423:K5424" si="1565">HYPERLINK("https://media.licdn.com/dms/image/v2/D4E22AQFt-dFjadE7eA/feedshare-shrink_1280/B4EZssv3KoKgAs-/0/1765982305047?e=2147483647&amp;v=beta&amp;t=KNpTRDqCPAIvuxG8CzOoY0lQSVaw7ZCK_imSxQf1V6M","View Creative")</f>
        <v>View Creative</v>
      </c>
      <c r="L5423" s="4" t="s">
        <v>60</v>
      </c>
      <c r="M5423" s="4" t="s">
        <v>1446</v>
      </c>
      <c r="N5423" s="4"/>
      <c r="O5423" s="4" t="s">
        <v>63</v>
      </c>
      <c r="P5423" s="4" t="s">
        <v>64</v>
      </c>
    </row>
    <row r="5424">
      <c r="A5424" s="4" t="s">
        <v>1446</v>
      </c>
      <c r="B5424" s="4" t="s">
        <v>7138</v>
      </c>
      <c r="C5424" s="4">
        <v>406.0</v>
      </c>
      <c r="D5424" s="5" t="str">
        <f t="shared" si="1564"/>
        <v>Open Ad</v>
      </c>
      <c r="E5424" s="4" t="s">
        <v>78</v>
      </c>
      <c r="F5424" s="4" t="s">
        <v>6765</v>
      </c>
      <c r="G5424" s="4" t="s">
        <v>7203</v>
      </c>
      <c r="H5424" s="4" t="s">
        <v>49</v>
      </c>
      <c r="I5424" s="4" t="s">
        <v>7140</v>
      </c>
      <c r="J5424" s="4" t="s">
        <v>78</v>
      </c>
      <c r="K5424" s="7" t="str">
        <f t="shared" si="1565"/>
        <v>View Creative</v>
      </c>
      <c r="L5424" s="4" t="s">
        <v>60</v>
      </c>
      <c r="M5424" s="4" t="s">
        <v>1446</v>
      </c>
      <c r="N5424" s="4"/>
      <c r="O5424" s="4" t="s">
        <v>63</v>
      </c>
      <c r="P5424" s="4" t="s">
        <v>64</v>
      </c>
    </row>
    <row r="5425">
      <c r="A5425" s="4" t="s">
        <v>1446</v>
      </c>
      <c r="B5425" s="4" t="s">
        <v>7138</v>
      </c>
      <c r="C5425" s="4">
        <v>407.0</v>
      </c>
      <c r="D5425" s="5" t="str">
        <f t="shared" ref="D5425:D5426" si="1566">HYPERLINK("https://www.linkedin.com/ad-library/detail/935056244","Open Ad")</f>
        <v>Open Ad</v>
      </c>
      <c r="E5425" s="4" t="s">
        <v>78</v>
      </c>
      <c r="F5425" s="4" t="s">
        <v>6765</v>
      </c>
      <c r="G5425" s="4" t="s">
        <v>7301</v>
      </c>
      <c r="H5425" s="4" t="s">
        <v>49</v>
      </c>
      <c r="I5425" s="4" t="s">
        <v>7140</v>
      </c>
      <c r="J5425" s="4" t="s">
        <v>78</v>
      </c>
      <c r="K5425" s="7" t="str">
        <f t="shared" ref="K5425:K5426" si="1567">HYPERLINK("https://media.licdn.com/dms/image/v2/D4E22AQEINw0FJ9S7Cw/feedshare-image-high-res/B4EZrkpZwHGUAo-/0/1764772651983?e=2147483647&amp;v=beta&amp;t=a62aeASApSnZ7XXyHw2JHVO-oJAH40CZMwk3moJBvuk","View Creative")</f>
        <v>View Creative</v>
      </c>
      <c r="L5425" s="4" t="s">
        <v>60</v>
      </c>
      <c r="M5425" s="4" t="s">
        <v>1446</v>
      </c>
      <c r="N5425" s="4"/>
      <c r="O5425" s="4" t="s">
        <v>63</v>
      </c>
      <c r="P5425" s="4" t="s">
        <v>64</v>
      </c>
    </row>
    <row r="5426">
      <c r="A5426" s="4" t="s">
        <v>1446</v>
      </c>
      <c r="B5426" s="4" t="s">
        <v>7138</v>
      </c>
      <c r="C5426" s="4">
        <v>408.0</v>
      </c>
      <c r="D5426" s="5" t="str">
        <f t="shared" si="1566"/>
        <v>Open Ad</v>
      </c>
      <c r="E5426" s="4" t="s">
        <v>78</v>
      </c>
      <c r="F5426" s="4" t="s">
        <v>6765</v>
      </c>
      <c r="G5426" s="4" t="s">
        <v>7301</v>
      </c>
      <c r="H5426" s="4" t="s">
        <v>49</v>
      </c>
      <c r="I5426" s="4" t="s">
        <v>7140</v>
      </c>
      <c r="J5426" s="4" t="s">
        <v>78</v>
      </c>
      <c r="K5426" s="7" t="str">
        <f t="shared" si="1567"/>
        <v>View Creative</v>
      </c>
      <c r="L5426" s="4" t="s">
        <v>60</v>
      </c>
      <c r="M5426" s="4" t="s">
        <v>1446</v>
      </c>
      <c r="N5426" s="4"/>
      <c r="O5426" s="4" t="s">
        <v>63</v>
      </c>
      <c r="P5426" s="4" t="s">
        <v>64</v>
      </c>
    </row>
    <row r="5427">
      <c r="A5427" s="4" t="s">
        <v>1446</v>
      </c>
      <c r="B5427" s="4" t="s">
        <v>7138</v>
      </c>
      <c r="C5427" s="4">
        <v>409.0</v>
      </c>
      <c r="D5427" s="5" t="str">
        <f>HYPERLINK("https://www.linkedin.com/ad-library/detail/934960444","Open Ad")</f>
        <v>Open Ad</v>
      </c>
      <c r="E5427" s="4" t="s">
        <v>52</v>
      </c>
      <c r="F5427" s="4" t="s">
        <v>6765</v>
      </c>
      <c r="G5427" s="4" t="s">
        <v>7200</v>
      </c>
      <c r="H5427" s="4" t="s">
        <v>49</v>
      </c>
      <c r="I5427" s="4" t="s">
        <v>7140</v>
      </c>
      <c r="J5427" s="4" t="s">
        <v>52</v>
      </c>
      <c r="K5427" s="4" t="s">
        <v>59</v>
      </c>
      <c r="L5427" s="4" t="s">
        <v>60</v>
      </c>
      <c r="M5427" s="4" t="s">
        <v>1446</v>
      </c>
      <c r="N5427" s="4"/>
      <c r="O5427" s="4" t="s">
        <v>63</v>
      </c>
      <c r="P5427" s="4" t="s">
        <v>64</v>
      </c>
    </row>
    <row r="5428">
      <c r="A5428" s="4" t="s">
        <v>1446</v>
      </c>
      <c r="B5428" s="4" t="s">
        <v>7138</v>
      </c>
      <c r="C5428" s="4">
        <v>410.0</v>
      </c>
      <c r="D5428" s="5" t="str">
        <f t="shared" ref="D5428:D5429" si="1568">HYPERLINK("https://www.linkedin.com/ad-library/detail/926954334","Open Ad")</f>
        <v>Open Ad</v>
      </c>
      <c r="E5428" s="4" t="s">
        <v>78</v>
      </c>
      <c r="F5428" s="4" t="s">
        <v>6765</v>
      </c>
      <c r="G5428" s="4" t="s">
        <v>7298</v>
      </c>
      <c r="H5428" s="4" t="s">
        <v>49</v>
      </c>
      <c r="I5428" s="4" t="s">
        <v>7140</v>
      </c>
      <c r="J5428" s="4" t="s">
        <v>78</v>
      </c>
      <c r="K5428" s="7" t="str">
        <f t="shared" ref="K5428:K5429" si="1569">HYPERLINK("https://media.licdn.com/dms/image/v2/D5622AQEUYexUd7K3tA/feedshare-image-high-res/B56Zq9AIn8KsAo-/0/1764107521933?e=2147483647&amp;v=beta&amp;t=GAsNcHfug-1vRBpTpjtDlLLJLoxRWILFrjCn19XuBwU","View Creative")</f>
        <v>View Creative</v>
      </c>
      <c r="L5428" s="4" t="s">
        <v>60</v>
      </c>
      <c r="M5428" s="4" t="s">
        <v>1446</v>
      </c>
      <c r="N5428" s="4"/>
      <c r="O5428" s="4" t="s">
        <v>63</v>
      </c>
      <c r="P5428" s="4" t="s">
        <v>64</v>
      </c>
    </row>
    <row r="5429">
      <c r="A5429" s="4" t="s">
        <v>1446</v>
      </c>
      <c r="B5429" s="4" t="s">
        <v>7138</v>
      </c>
      <c r="C5429" s="4">
        <v>411.0</v>
      </c>
      <c r="D5429" s="5" t="str">
        <f t="shared" si="1568"/>
        <v>Open Ad</v>
      </c>
      <c r="E5429" s="4" t="s">
        <v>78</v>
      </c>
      <c r="F5429" s="4" t="s">
        <v>6765</v>
      </c>
      <c r="G5429" s="4" t="s">
        <v>7298</v>
      </c>
      <c r="H5429" s="4" t="s">
        <v>49</v>
      </c>
      <c r="I5429" s="4" t="s">
        <v>7140</v>
      </c>
      <c r="J5429" s="4" t="s">
        <v>78</v>
      </c>
      <c r="K5429" s="7" t="str">
        <f t="shared" si="1569"/>
        <v>View Creative</v>
      </c>
      <c r="L5429" s="4" t="s">
        <v>60</v>
      </c>
      <c r="M5429" s="4" t="s">
        <v>1446</v>
      </c>
      <c r="N5429" s="4"/>
      <c r="O5429" s="4" t="s">
        <v>63</v>
      </c>
      <c r="P5429" s="4" t="s">
        <v>64</v>
      </c>
    </row>
    <row r="5430">
      <c r="A5430" s="4" t="s">
        <v>1446</v>
      </c>
      <c r="B5430" s="4" t="s">
        <v>7138</v>
      </c>
      <c r="C5430" s="4">
        <v>412.0</v>
      </c>
      <c r="D5430" s="5" t="str">
        <f t="shared" ref="D5430:D5431" si="1570">HYPERLINK("https://www.linkedin.com/ad-library/detail/1074379024","Open Ad")</f>
        <v>Open Ad</v>
      </c>
      <c r="E5430" s="4" t="s">
        <v>78</v>
      </c>
      <c r="F5430" s="4" t="s">
        <v>6765</v>
      </c>
      <c r="G5430" s="4" t="s">
        <v>7300</v>
      </c>
      <c r="H5430" s="4" t="s">
        <v>49</v>
      </c>
      <c r="I5430" s="4" t="s">
        <v>7140</v>
      </c>
      <c r="J5430" s="4" t="s">
        <v>78</v>
      </c>
      <c r="K5430" s="7" t="str">
        <f t="shared" ref="K5430:K5431" si="1571">HYPERLINK("https://media.licdn.com/dms/image/v2/D5622AQGjlA26hD2Dyg/feedshare-shrink_1280/B56Zsn9KtvIAAs-/0/1765902049443?e=2147483647&amp;v=beta&amp;t=IuuD7NK4xZBgdXS6-uz39PVwWonbYNUBiSfBjd2BPMw","View Creative")</f>
        <v>View Creative</v>
      </c>
      <c r="L5430" s="4" t="s">
        <v>60</v>
      </c>
      <c r="M5430" s="4" t="s">
        <v>1446</v>
      </c>
      <c r="N5430" s="4"/>
      <c r="O5430" s="4" t="s">
        <v>63</v>
      </c>
      <c r="P5430" s="4" t="s">
        <v>64</v>
      </c>
    </row>
    <row r="5431">
      <c r="A5431" s="4" t="s">
        <v>1446</v>
      </c>
      <c r="B5431" s="4" t="s">
        <v>7138</v>
      </c>
      <c r="C5431" s="4">
        <v>413.0</v>
      </c>
      <c r="D5431" s="5" t="str">
        <f t="shared" si="1570"/>
        <v>Open Ad</v>
      </c>
      <c r="E5431" s="4" t="s">
        <v>78</v>
      </c>
      <c r="F5431" s="4" t="s">
        <v>6765</v>
      </c>
      <c r="G5431" s="4" t="s">
        <v>7300</v>
      </c>
      <c r="H5431" s="4" t="s">
        <v>49</v>
      </c>
      <c r="I5431" s="4" t="s">
        <v>7140</v>
      </c>
      <c r="J5431" s="4" t="s">
        <v>78</v>
      </c>
      <c r="K5431" s="7" t="str">
        <f t="shared" si="1571"/>
        <v>View Creative</v>
      </c>
      <c r="L5431" s="4" t="s">
        <v>60</v>
      </c>
      <c r="M5431" s="4" t="s">
        <v>1446</v>
      </c>
      <c r="N5431" s="4"/>
      <c r="O5431" s="4" t="s">
        <v>63</v>
      </c>
      <c r="P5431" s="4" t="s">
        <v>64</v>
      </c>
    </row>
    <row r="5432">
      <c r="A5432" s="4" t="s">
        <v>1446</v>
      </c>
      <c r="B5432" s="4" t="s">
        <v>7138</v>
      </c>
      <c r="C5432" s="4">
        <v>414.0</v>
      </c>
      <c r="D5432" s="5" t="str">
        <f>HYPERLINK("https://www.linkedin.com/ad-library/detail/934901294","Open Ad")</f>
        <v>Open Ad</v>
      </c>
      <c r="E5432" s="4" t="s">
        <v>52</v>
      </c>
      <c r="F5432" s="4" t="s">
        <v>6765</v>
      </c>
      <c r="G5432" s="4" t="s">
        <v>7200</v>
      </c>
      <c r="H5432" s="4" t="s">
        <v>49</v>
      </c>
      <c r="I5432" s="4" t="s">
        <v>7140</v>
      </c>
      <c r="J5432" s="4" t="s">
        <v>52</v>
      </c>
      <c r="K5432" s="4" t="s">
        <v>59</v>
      </c>
      <c r="L5432" s="4" t="s">
        <v>60</v>
      </c>
      <c r="M5432" s="4" t="s">
        <v>1446</v>
      </c>
      <c r="N5432" s="4"/>
      <c r="O5432" s="4" t="s">
        <v>63</v>
      </c>
      <c r="P5432" s="4" t="s">
        <v>64</v>
      </c>
    </row>
    <row r="5433">
      <c r="A5433" s="4" t="s">
        <v>1446</v>
      </c>
      <c r="B5433" s="4" t="s">
        <v>7138</v>
      </c>
      <c r="C5433" s="4">
        <v>415.0</v>
      </c>
      <c r="D5433" s="5" t="str">
        <f t="shared" ref="D5433:D5434" si="1572">HYPERLINK("https://www.linkedin.com/ad-library/detail/910569174","Open Ad")</f>
        <v>Open Ad</v>
      </c>
      <c r="E5433" s="4" t="s">
        <v>121</v>
      </c>
      <c r="F5433" s="4" t="s">
        <v>6765</v>
      </c>
      <c r="G5433" s="4" t="s">
        <v>7181</v>
      </c>
      <c r="H5433" s="4" t="s">
        <v>49</v>
      </c>
      <c r="I5433" s="4" t="s">
        <v>7140</v>
      </c>
      <c r="J5433" s="4" t="s">
        <v>121</v>
      </c>
      <c r="K5433" s="7" t="str">
        <f t="shared" ref="K5433:K5434" si="1573">HYPERLINK("https://dms.licdn.com/playlist/vid/v2/D5605AQFA8KADDGioVA/mp4-720p-30fp-crf28/B56Zp.NliIJQB0-/0/1763054106947?e=2147483647&amp;v=beta&amp;t=BbTucYSz0d9s4kJlyDnJayCgM6O0_TVjoKXC0Cpk8Qw","View Creative")</f>
        <v>View Creative</v>
      </c>
      <c r="L5433" s="4" t="s">
        <v>60</v>
      </c>
      <c r="M5433" s="4" t="s">
        <v>1446</v>
      </c>
      <c r="N5433" s="4"/>
      <c r="O5433" s="4" t="s">
        <v>63</v>
      </c>
      <c r="P5433" s="4" t="s">
        <v>64</v>
      </c>
    </row>
    <row r="5434">
      <c r="A5434" s="4" t="s">
        <v>1446</v>
      </c>
      <c r="B5434" s="4" t="s">
        <v>7138</v>
      </c>
      <c r="C5434" s="4">
        <v>416.0</v>
      </c>
      <c r="D5434" s="5" t="str">
        <f t="shared" si="1572"/>
        <v>Open Ad</v>
      </c>
      <c r="E5434" s="4" t="s">
        <v>121</v>
      </c>
      <c r="F5434" s="4" t="s">
        <v>6765</v>
      </c>
      <c r="G5434" s="4" t="s">
        <v>7181</v>
      </c>
      <c r="H5434" s="4" t="s">
        <v>49</v>
      </c>
      <c r="I5434" s="4" t="s">
        <v>7140</v>
      </c>
      <c r="J5434" s="4" t="s">
        <v>121</v>
      </c>
      <c r="K5434" s="7" t="str">
        <f t="shared" si="1573"/>
        <v>View Creative</v>
      </c>
      <c r="L5434" s="4" t="s">
        <v>60</v>
      </c>
      <c r="M5434" s="4" t="s">
        <v>1446</v>
      </c>
      <c r="N5434" s="4"/>
      <c r="O5434" s="4" t="s">
        <v>63</v>
      </c>
      <c r="P5434" s="4" t="s">
        <v>64</v>
      </c>
    </row>
    <row r="5435">
      <c r="A5435" s="4" t="s">
        <v>1446</v>
      </c>
      <c r="B5435" s="4" t="s">
        <v>7138</v>
      </c>
      <c r="C5435" s="4">
        <v>417.0</v>
      </c>
      <c r="D5435" s="5" t="str">
        <f t="shared" ref="D5435:D5436" si="1574">HYPERLINK("https://www.linkedin.com/ad-library/detail/919517344","Open Ad")</f>
        <v>Open Ad</v>
      </c>
      <c r="E5435" s="4" t="s">
        <v>78</v>
      </c>
      <c r="F5435" s="4" t="s">
        <v>6765</v>
      </c>
      <c r="G5435" s="4" t="s">
        <v>7303</v>
      </c>
      <c r="H5435" s="4" t="s">
        <v>49</v>
      </c>
      <c r="I5435" s="4" t="s">
        <v>7140</v>
      </c>
      <c r="J5435" s="4" t="s">
        <v>78</v>
      </c>
      <c r="K5435" s="7" t="str">
        <f t="shared" ref="K5435:K5436" si="1575">HYPERLINK("https://media.licdn.com/dms/image/v2/D5622AQGqEM-fY6IlNg/feedshare-image-high-res/B56ZqdThdiG0Ao-/0/1763575733252?e=2147483647&amp;v=beta&amp;t=Ps3KwYmCoCx1dy6qj9lHV8Ky1LGyDn73ryOtqUKvnX4","View Creative")</f>
        <v>View Creative</v>
      </c>
      <c r="L5435" s="4" t="s">
        <v>60</v>
      </c>
      <c r="M5435" s="4" t="s">
        <v>1446</v>
      </c>
      <c r="N5435" s="4"/>
      <c r="O5435" s="4" t="s">
        <v>63</v>
      </c>
      <c r="P5435" s="4" t="s">
        <v>64</v>
      </c>
    </row>
    <row r="5436">
      <c r="A5436" s="4" t="s">
        <v>1446</v>
      </c>
      <c r="B5436" s="4" t="s">
        <v>7138</v>
      </c>
      <c r="C5436" s="4">
        <v>418.0</v>
      </c>
      <c r="D5436" s="5" t="str">
        <f t="shared" si="1574"/>
        <v>Open Ad</v>
      </c>
      <c r="E5436" s="4" t="s">
        <v>78</v>
      </c>
      <c r="F5436" s="4" t="s">
        <v>6765</v>
      </c>
      <c r="G5436" s="4" t="s">
        <v>7303</v>
      </c>
      <c r="H5436" s="4" t="s">
        <v>49</v>
      </c>
      <c r="I5436" s="4" t="s">
        <v>7140</v>
      </c>
      <c r="J5436" s="4" t="s">
        <v>78</v>
      </c>
      <c r="K5436" s="7" t="str">
        <f t="shared" si="1575"/>
        <v>View Creative</v>
      </c>
      <c r="L5436" s="4" t="s">
        <v>60</v>
      </c>
      <c r="M5436" s="4" t="s">
        <v>1446</v>
      </c>
      <c r="N5436" s="4"/>
      <c r="O5436" s="4" t="s">
        <v>63</v>
      </c>
      <c r="P5436" s="4" t="s">
        <v>64</v>
      </c>
    </row>
    <row r="5437">
      <c r="A5437" s="4" t="s">
        <v>1446</v>
      </c>
      <c r="B5437" s="4" t="s">
        <v>7138</v>
      </c>
      <c r="C5437" s="4">
        <v>419.0</v>
      </c>
      <c r="D5437" s="5" t="str">
        <f t="shared" ref="D5437:D5438" si="1576">HYPERLINK("https://www.linkedin.com/ad-library/detail/919647134","Open Ad")</f>
        <v>Open Ad</v>
      </c>
      <c r="E5437" s="4" t="s">
        <v>78</v>
      </c>
      <c r="F5437" s="4" t="s">
        <v>6765</v>
      </c>
      <c r="G5437" s="4" t="s">
        <v>7304</v>
      </c>
      <c r="H5437" s="4" t="s">
        <v>49</v>
      </c>
      <c r="I5437" s="4" t="s">
        <v>7140</v>
      </c>
      <c r="J5437" s="4" t="s">
        <v>78</v>
      </c>
      <c r="K5437" s="7" t="str">
        <f t="shared" ref="K5437:K5438" si="1577">HYPERLINK("https://media.licdn.com/dms/image/v2/D5622AQG6g6xCSX16pQ/feedshare-image-high-res/B56Zo1iYXMHYAo-/0/1761834797865?e=2147483647&amp;v=beta&amp;t=w1l-m1TyswJIoxWYdtc2vT9l-_kcB5cOD_Eknt72Y5M","View Creative")</f>
        <v>View Creative</v>
      </c>
      <c r="L5437" s="4" t="s">
        <v>60</v>
      </c>
      <c r="M5437" s="4" t="s">
        <v>1446</v>
      </c>
      <c r="N5437" s="4"/>
      <c r="O5437" s="4" t="s">
        <v>63</v>
      </c>
      <c r="P5437" s="4" t="s">
        <v>64</v>
      </c>
    </row>
    <row r="5438">
      <c r="A5438" s="4" t="s">
        <v>1446</v>
      </c>
      <c r="B5438" s="4" t="s">
        <v>7138</v>
      </c>
      <c r="C5438" s="4">
        <v>420.0</v>
      </c>
      <c r="D5438" s="5" t="str">
        <f t="shared" si="1576"/>
        <v>Open Ad</v>
      </c>
      <c r="E5438" s="4" t="s">
        <v>78</v>
      </c>
      <c r="F5438" s="4" t="s">
        <v>6765</v>
      </c>
      <c r="G5438" s="4" t="s">
        <v>7304</v>
      </c>
      <c r="H5438" s="4" t="s">
        <v>49</v>
      </c>
      <c r="I5438" s="4" t="s">
        <v>7140</v>
      </c>
      <c r="J5438" s="4" t="s">
        <v>78</v>
      </c>
      <c r="K5438" s="7" t="str">
        <f t="shared" si="1577"/>
        <v>View Creative</v>
      </c>
      <c r="L5438" s="4" t="s">
        <v>60</v>
      </c>
      <c r="M5438" s="4" t="s">
        <v>1446</v>
      </c>
      <c r="N5438" s="4"/>
      <c r="O5438" s="4" t="s">
        <v>63</v>
      </c>
      <c r="P5438" s="4" t="s">
        <v>64</v>
      </c>
    </row>
    <row r="5439">
      <c r="A5439" s="4" t="s">
        <v>1446</v>
      </c>
      <c r="B5439" s="4" t="s">
        <v>7138</v>
      </c>
      <c r="C5439" s="4">
        <v>421.0</v>
      </c>
      <c r="D5439" s="5" t="str">
        <f t="shared" ref="D5439:D5440" si="1578">HYPERLINK("https://www.linkedin.com/ad-library/detail/855584514","Open Ad")</f>
        <v>Open Ad</v>
      </c>
      <c r="E5439" s="4" t="s">
        <v>121</v>
      </c>
      <c r="F5439" s="4" t="s">
        <v>6765</v>
      </c>
      <c r="G5439" s="4" t="s">
        <v>7305</v>
      </c>
      <c r="H5439" s="4" t="s">
        <v>49</v>
      </c>
      <c r="I5439" s="4" t="s">
        <v>7140</v>
      </c>
      <c r="J5439" s="4" t="s">
        <v>121</v>
      </c>
      <c r="K5439" s="7" t="str">
        <f t="shared" ref="K5439:K5440" si="1579">HYPERLINK("https://dms.licdn.com/playlist/vid/v2/D4D05AQEXzuEN8JKKtw/mp4-640p-30fp-crf28/B4DZkvBut2JUB0-/0/1757430655070?e=2147483647&amp;v=beta&amp;t=x3vqNPp8mELYBYANSh9yldmLJI3sUngwKi6B3xNXxvw","View Creative")</f>
        <v>View Creative</v>
      </c>
      <c r="L5439" s="4" t="s">
        <v>60</v>
      </c>
      <c r="M5439" s="4" t="s">
        <v>1446</v>
      </c>
      <c r="N5439" s="4"/>
      <c r="O5439" s="4" t="s">
        <v>63</v>
      </c>
      <c r="P5439" s="4" t="s">
        <v>64</v>
      </c>
    </row>
    <row r="5440">
      <c r="A5440" s="4" t="s">
        <v>1446</v>
      </c>
      <c r="B5440" s="4" t="s">
        <v>7138</v>
      </c>
      <c r="C5440" s="4">
        <v>422.0</v>
      </c>
      <c r="D5440" s="5" t="str">
        <f t="shared" si="1578"/>
        <v>Open Ad</v>
      </c>
      <c r="E5440" s="4" t="s">
        <v>121</v>
      </c>
      <c r="F5440" s="4" t="s">
        <v>6765</v>
      </c>
      <c r="G5440" s="4" t="s">
        <v>7305</v>
      </c>
      <c r="H5440" s="4" t="s">
        <v>49</v>
      </c>
      <c r="I5440" s="4" t="s">
        <v>7140</v>
      </c>
      <c r="J5440" s="4" t="s">
        <v>121</v>
      </c>
      <c r="K5440" s="7" t="str">
        <f t="shared" si="1579"/>
        <v>View Creative</v>
      </c>
      <c r="L5440" s="4" t="s">
        <v>60</v>
      </c>
      <c r="M5440" s="4" t="s">
        <v>1446</v>
      </c>
      <c r="N5440" s="4"/>
      <c r="O5440" s="4" t="s">
        <v>63</v>
      </c>
      <c r="P5440" s="4" t="s">
        <v>64</v>
      </c>
    </row>
    <row r="5441">
      <c r="A5441" s="4" t="s">
        <v>1446</v>
      </c>
      <c r="B5441" s="4" t="s">
        <v>7138</v>
      </c>
      <c r="C5441" s="4">
        <v>423.0</v>
      </c>
      <c r="D5441" s="5" t="str">
        <f t="shared" ref="D5441:D5442" si="1580">HYPERLINK("https://www.linkedin.com/ad-library/detail/855534654","Open Ad")</f>
        <v>Open Ad</v>
      </c>
      <c r="E5441" s="4" t="s">
        <v>121</v>
      </c>
      <c r="F5441" s="4" t="s">
        <v>6765</v>
      </c>
      <c r="G5441" s="4" t="s">
        <v>7306</v>
      </c>
      <c r="H5441" s="4" t="s">
        <v>49</v>
      </c>
      <c r="I5441" s="4" t="s">
        <v>7140</v>
      </c>
      <c r="J5441" s="4" t="s">
        <v>121</v>
      </c>
      <c r="K5441" s="7" t="str">
        <f t="shared" ref="K5441:K5442" si="1581">HYPERLINK("https://dms.licdn.com/playlist/vid/v2/D5605AQFndflU8FCH2w/mp4-720p-30fp-crf28/B56ZnOnbijIABk-/0/1760108071696?e=2147483647&amp;v=beta&amp;t=WyPQBbJN-firaB52FdgczDyTZWfE6D_U8hzEUW9SVvA","View Creative")</f>
        <v>View Creative</v>
      </c>
      <c r="L5441" s="4" t="s">
        <v>60</v>
      </c>
      <c r="M5441" s="4" t="s">
        <v>1446</v>
      </c>
      <c r="N5441" s="4"/>
      <c r="O5441" s="4" t="s">
        <v>63</v>
      </c>
      <c r="P5441" s="4" t="s">
        <v>64</v>
      </c>
    </row>
    <row r="5442">
      <c r="A5442" s="4" t="s">
        <v>1446</v>
      </c>
      <c r="B5442" s="4" t="s">
        <v>7138</v>
      </c>
      <c r="C5442" s="4">
        <v>424.0</v>
      </c>
      <c r="D5442" s="5" t="str">
        <f t="shared" si="1580"/>
        <v>Open Ad</v>
      </c>
      <c r="E5442" s="4" t="s">
        <v>121</v>
      </c>
      <c r="F5442" s="4" t="s">
        <v>6765</v>
      </c>
      <c r="G5442" s="4" t="s">
        <v>7306</v>
      </c>
      <c r="H5442" s="4" t="s">
        <v>49</v>
      </c>
      <c r="I5442" s="4" t="s">
        <v>7140</v>
      </c>
      <c r="J5442" s="4" t="s">
        <v>121</v>
      </c>
      <c r="K5442" s="7" t="str">
        <f t="shared" si="1581"/>
        <v>View Creative</v>
      </c>
      <c r="L5442" s="4" t="s">
        <v>60</v>
      </c>
      <c r="M5442" s="4" t="s">
        <v>1446</v>
      </c>
      <c r="N5442" s="4"/>
      <c r="O5442" s="4" t="s">
        <v>63</v>
      </c>
      <c r="P5442" s="4" t="s">
        <v>64</v>
      </c>
    </row>
    <row r="5443">
      <c r="A5443" s="4" t="s">
        <v>1446</v>
      </c>
      <c r="B5443" s="4" t="s">
        <v>7138</v>
      </c>
      <c r="C5443" s="4">
        <v>425.0</v>
      </c>
      <c r="D5443" s="5" t="str">
        <f>HYPERLINK("https://www.linkedin.com/ad-library/detail/855614664","Open Ad")</f>
        <v>Open Ad</v>
      </c>
      <c r="E5443" s="4" t="s">
        <v>52</v>
      </c>
      <c r="F5443" s="4" t="s">
        <v>6765</v>
      </c>
      <c r="G5443" s="4" t="s">
        <v>7204</v>
      </c>
      <c r="H5443" s="4" t="s">
        <v>49</v>
      </c>
      <c r="I5443" s="4" t="s">
        <v>7140</v>
      </c>
      <c r="J5443" s="4" t="s">
        <v>52</v>
      </c>
      <c r="K5443" s="4" t="s">
        <v>59</v>
      </c>
      <c r="L5443" s="4" t="s">
        <v>60</v>
      </c>
      <c r="M5443" s="4" t="s">
        <v>1446</v>
      </c>
      <c r="N5443" s="4"/>
      <c r="O5443" s="4" t="s">
        <v>63</v>
      </c>
      <c r="P5443" s="4" t="s">
        <v>64</v>
      </c>
    </row>
    <row r="5444">
      <c r="A5444" s="4" t="s">
        <v>1446</v>
      </c>
      <c r="B5444" s="4" t="s">
        <v>7138</v>
      </c>
      <c r="C5444" s="4">
        <v>426.0</v>
      </c>
      <c r="D5444" s="5" t="str">
        <f t="shared" ref="D5444:D5445" si="1582">HYPERLINK("https://www.linkedin.com/ad-library/detail/855584534","Open Ad")</f>
        <v>Open Ad</v>
      </c>
      <c r="E5444" s="4" t="s">
        <v>78</v>
      </c>
      <c r="F5444" s="4" t="s">
        <v>6765</v>
      </c>
      <c r="G5444" s="4" t="s">
        <v>7307</v>
      </c>
      <c r="H5444" s="4" t="s">
        <v>49</v>
      </c>
      <c r="I5444" s="4" t="s">
        <v>7140</v>
      </c>
      <c r="J5444" s="4" t="s">
        <v>78</v>
      </c>
      <c r="K5444" s="7" t="str">
        <f t="shared" ref="K5444:K5445" si="1583">HYPERLINK("https://media.licdn.com/dms/image/sync/v2/D4D27AQH_JGINraWyBA/articleshare-shrink_1280_800/B4DZgyzpmQGsAQ-/0/1776365108072?e=2147483647&amp;v=beta&amp;t=KxkNB9_bX4DraQLG8on_7GuisRNE3Z477OYaNHFfkDQ","View Creative")</f>
        <v>View Creative</v>
      </c>
      <c r="L5444" s="4" t="s">
        <v>60</v>
      </c>
      <c r="M5444" s="4" t="s">
        <v>1446</v>
      </c>
      <c r="N5444" s="4"/>
      <c r="O5444" s="4" t="s">
        <v>63</v>
      </c>
      <c r="P5444" s="4" t="s">
        <v>64</v>
      </c>
    </row>
    <row r="5445">
      <c r="A5445" s="4" t="s">
        <v>1446</v>
      </c>
      <c r="B5445" s="4" t="s">
        <v>7138</v>
      </c>
      <c r="C5445" s="4">
        <v>427.0</v>
      </c>
      <c r="D5445" s="5" t="str">
        <f t="shared" si="1582"/>
        <v>Open Ad</v>
      </c>
      <c r="E5445" s="4" t="s">
        <v>78</v>
      </c>
      <c r="F5445" s="4" t="s">
        <v>6765</v>
      </c>
      <c r="G5445" s="4" t="s">
        <v>7307</v>
      </c>
      <c r="H5445" s="4" t="s">
        <v>49</v>
      </c>
      <c r="I5445" s="4" t="s">
        <v>7140</v>
      </c>
      <c r="J5445" s="4" t="s">
        <v>78</v>
      </c>
      <c r="K5445" s="7" t="str">
        <f t="shared" si="1583"/>
        <v>View Creative</v>
      </c>
      <c r="L5445" s="4" t="s">
        <v>60</v>
      </c>
      <c r="M5445" s="4" t="s">
        <v>1446</v>
      </c>
      <c r="N5445" s="4"/>
      <c r="O5445" s="4" t="s">
        <v>63</v>
      </c>
      <c r="P5445" s="4" t="s">
        <v>64</v>
      </c>
    </row>
    <row r="5446">
      <c r="A5446" s="4" t="s">
        <v>1446</v>
      </c>
      <c r="B5446" s="4" t="s">
        <v>7138</v>
      </c>
      <c r="C5446" s="4">
        <v>428.0</v>
      </c>
      <c r="D5446" s="5" t="str">
        <f t="shared" ref="D5446:D5447" si="1584">HYPERLINK("https://www.linkedin.com/ad-library/detail/849439804","Open Ad")</f>
        <v>Open Ad</v>
      </c>
      <c r="E5446" s="4" t="s">
        <v>121</v>
      </c>
      <c r="F5446" s="4" t="s">
        <v>6765</v>
      </c>
      <c r="G5446" s="4" t="s">
        <v>7192</v>
      </c>
      <c r="H5446" s="4" t="s">
        <v>49</v>
      </c>
      <c r="I5446" s="4" t="s">
        <v>7140</v>
      </c>
      <c r="J5446" s="4" t="s">
        <v>121</v>
      </c>
      <c r="K5446" s="7" t="str">
        <f t="shared" ref="K5446:K5447" si="1585">HYPERLINK("https://dms.licdn.com/playlist/vid/v2/D5605AQEnXGujPLuU1g/mp4-640p-30fp-crf28/B56Zm_Qi.4J8Bg-/0/1759850427541?e=2147483647&amp;v=beta&amp;t=i5gJ3O9wOhnvkbquCdoiQzAjFKD2adxbMo_ajH9a5dI","View Creative")</f>
        <v>View Creative</v>
      </c>
      <c r="L5446" s="4" t="s">
        <v>60</v>
      </c>
      <c r="M5446" s="4" t="s">
        <v>1446</v>
      </c>
      <c r="N5446" s="4"/>
      <c r="O5446" s="4" t="s">
        <v>63</v>
      </c>
      <c r="P5446" s="4" t="s">
        <v>64</v>
      </c>
    </row>
    <row r="5447">
      <c r="A5447" s="4" t="s">
        <v>1446</v>
      </c>
      <c r="B5447" s="4" t="s">
        <v>7138</v>
      </c>
      <c r="C5447" s="4">
        <v>429.0</v>
      </c>
      <c r="D5447" s="5" t="str">
        <f t="shared" si="1584"/>
        <v>Open Ad</v>
      </c>
      <c r="E5447" s="4" t="s">
        <v>121</v>
      </c>
      <c r="F5447" s="4" t="s">
        <v>6765</v>
      </c>
      <c r="G5447" s="4" t="s">
        <v>7192</v>
      </c>
      <c r="H5447" s="4" t="s">
        <v>49</v>
      </c>
      <c r="I5447" s="4" t="s">
        <v>7140</v>
      </c>
      <c r="J5447" s="4" t="s">
        <v>121</v>
      </c>
      <c r="K5447" s="7" t="str">
        <f t="shared" si="1585"/>
        <v>View Creative</v>
      </c>
      <c r="L5447" s="4" t="s">
        <v>60</v>
      </c>
      <c r="M5447" s="4" t="s">
        <v>1446</v>
      </c>
      <c r="N5447" s="4"/>
      <c r="O5447" s="4" t="s">
        <v>63</v>
      </c>
      <c r="P5447" s="4" t="s">
        <v>64</v>
      </c>
    </row>
    <row r="5448">
      <c r="A5448" s="4" t="s">
        <v>1446</v>
      </c>
      <c r="B5448" s="4" t="s">
        <v>7138</v>
      </c>
      <c r="C5448" s="4">
        <v>430.0</v>
      </c>
      <c r="D5448" s="5" t="str">
        <f t="shared" ref="D5448:D5449" si="1586">HYPERLINK("https://www.linkedin.com/ad-library/detail/894967514","Open Ad")</f>
        <v>Open Ad</v>
      </c>
      <c r="E5448" s="4" t="s">
        <v>121</v>
      </c>
      <c r="F5448" s="4" t="s">
        <v>6765</v>
      </c>
      <c r="G5448" s="4" t="s">
        <v>7178</v>
      </c>
      <c r="H5448" s="4" t="s">
        <v>49</v>
      </c>
      <c r="I5448" s="4" t="s">
        <v>7140</v>
      </c>
      <c r="J5448" s="4" t="s">
        <v>121</v>
      </c>
      <c r="K5448" s="7" t="str">
        <f t="shared" ref="K5448:K5449" si="1587">HYPERLINK("https://dms.licdn.com/playlist/vid/v2/D5605AQE6Z0zqfcpW3g/mp4-640p-30fp-crf28/B56Zorq7IeJoBg-/0/1761669283314?e=2147483647&amp;v=beta&amp;t=KST58Ce3LTVWDWkFRWzAAmLwhm80S6p0s59Ezqw-4tM","View Creative")</f>
        <v>View Creative</v>
      </c>
      <c r="L5448" s="4" t="s">
        <v>60</v>
      </c>
      <c r="M5448" s="4" t="s">
        <v>1446</v>
      </c>
      <c r="N5448" s="4"/>
      <c r="O5448" s="4" t="s">
        <v>63</v>
      </c>
      <c r="P5448" s="4" t="s">
        <v>64</v>
      </c>
    </row>
    <row r="5449">
      <c r="A5449" s="4" t="s">
        <v>1446</v>
      </c>
      <c r="B5449" s="4" t="s">
        <v>7138</v>
      </c>
      <c r="C5449" s="4">
        <v>431.0</v>
      </c>
      <c r="D5449" s="5" t="str">
        <f t="shared" si="1586"/>
        <v>Open Ad</v>
      </c>
      <c r="E5449" s="4" t="s">
        <v>121</v>
      </c>
      <c r="F5449" s="4" t="s">
        <v>6765</v>
      </c>
      <c r="G5449" s="4" t="s">
        <v>7178</v>
      </c>
      <c r="H5449" s="4" t="s">
        <v>49</v>
      </c>
      <c r="I5449" s="4" t="s">
        <v>7140</v>
      </c>
      <c r="J5449" s="4" t="s">
        <v>121</v>
      </c>
      <c r="K5449" s="7" t="str">
        <f t="shared" si="1587"/>
        <v>View Creative</v>
      </c>
      <c r="L5449" s="4" t="s">
        <v>60</v>
      </c>
      <c r="M5449" s="4" t="s">
        <v>1446</v>
      </c>
      <c r="N5449" s="4"/>
      <c r="O5449" s="4" t="s">
        <v>63</v>
      </c>
      <c r="P5449" s="4" t="s">
        <v>64</v>
      </c>
    </row>
    <row r="5450">
      <c r="A5450" s="4" t="s">
        <v>1446</v>
      </c>
      <c r="B5450" s="4" t="s">
        <v>7138</v>
      </c>
      <c r="C5450" s="4">
        <v>432.0</v>
      </c>
      <c r="D5450" s="5" t="str">
        <f t="shared" ref="D5450:D5451" si="1588">HYPERLINK("https://www.linkedin.com/ad-library/detail/856126874","Open Ad")</f>
        <v>Open Ad</v>
      </c>
      <c r="E5450" s="4" t="s">
        <v>78</v>
      </c>
      <c r="F5450" s="4" t="s">
        <v>6765</v>
      </c>
      <c r="G5450" s="4" t="s">
        <v>7194</v>
      </c>
      <c r="H5450" s="4" t="s">
        <v>49</v>
      </c>
      <c r="I5450" s="4" t="s">
        <v>7140</v>
      </c>
      <c r="J5450" s="4" t="s">
        <v>78</v>
      </c>
      <c r="K5450" s="7" t="str">
        <f t="shared" ref="K5450:K5451" si="1589">HYPERLINK("https://media.licdn.com/dms/image/v2/D4D22AQFwO3o6RjQUBg/feedshare-image-high-res/B4DZnhv0kaGgAo-/0/1760429034955?e=2147483647&amp;v=beta&amp;t=WGHfi72vlu9jHhP6cp_qXehBo9lLbGkE9-C--BfL7EA","View Creative")</f>
        <v>View Creative</v>
      </c>
      <c r="L5450" s="4" t="s">
        <v>60</v>
      </c>
      <c r="M5450" s="4" t="s">
        <v>1446</v>
      </c>
      <c r="N5450" s="4"/>
      <c r="O5450" s="4" t="s">
        <v>63</v>
      </c>
      <c r="P5450" s="4" t="s">
        <v>64</v>
      </c>
    </row>
    <row r="5451">
      <c r="A5451" s="4" t="s">
        <v>1446</v>
      </c>
      <c r="B5451" s="4" t="s">
        <v>7138</v>
      </c>
      <c r="C5451" s="4">
        <v>433.0</v>
      </c>
      <c r="D5451" s="5" t="str">
        <f t="shared" si="1588"/>
        <v>Open Ad</v>
      </c>
      <c r="E5451" s="4" t="s">
        <v>78</v>
      </c>
      <c r="F5451" s="4" t="s">
        <v>6765</v>
      </c>
      <c r="G5451" s="4" t="s">
        <v>7194</v>
      </c>
      <c r="H5451" s="4" t="s">
        <v>49</v>
      </c>
      <c r="I5451" s="4" t="s">
        <v>7140</v>
      </c>
      <c r="J5451" s="4" t="s">
        <v>78</v>
      </c>
      <c r="K5451" s="7" t="str">
        <f t="shared" si="1589"/>
        <v>View Creative</v>
      </c>
      <c r="L5451" s="4" t="s">
        <v>60</v>
      </c>
      <c r="M5451" s="4" t="s">
        <v>1446</v>
      </c>
      <c r="N5451" s="4"/>
      <c r="O5451" s="4" t="s">
        <v>63</v>
      </c>
      <c r="P5451" s="4" t="s">
        <v>64</v>
      </c>
    </row>
    <row r="5452">
      <c r="A5452" s="4" t="s">
        <v>1446</v>
      </c>
      <c r="B5452" s="4" t="s">
        <v>7138</v>
      </c>
      <c r="C5452" s="4">
        <v>434.0</v>
      </c>
      <c r="D5452" s="5" t="str">
        <f t="shared" ref="D5452:D5453" si="1590">HYPERLINK("https://www.linkedin.com/ad-library/detail/894839704","Open Ad")</f>
        <v>Open Ad</v>
      </c>
      <c r="E5452" s="4" t="s">
        <v>121</v>
      </c>
      <c r="F5452" s="4" t="s">
        <v>6765</v>
      </c>
      <c r="G5452" s="4" t="s">
        <v>7178</v>
      </c>
      <c r="H5452" s="4" t="s">
        <v>49</v>
      </c>
      <c r="I5452" s="4" t="s">
        <v>7140</v>
      </c>
      <c r="J5452" s="4" t="s">
        <v>121</v>
      </c>
      <c r="K5452" s="7" t="str">
        <f t="shared" ref="K5452:K5453" si="1591">HYPERLINK("https://dms.licdn.com/playlist/vid/v2/D5605AQE6Z0zqfcpW3g/mp4-640p-30fp-crf28/B56Zorq7IeJoBg-/0/1761669283314?e=2147483647&amp;v=beta&amp;t=KST58Ce3LTVWDWkFRWzAAmLwhm80S6p0s59Ezqw-4tM","View Creative")</f>
        <v>View Creative</v>
      </c>
      <c r="L5452" s="4" t="s">
        <v>60</v>
      </c>
      <c r="M5452" s="4" t="s">
        <v>1446</v>
      </c>
      <c r="N5452" s="4"/>
      <c r="O5452" s="4" t="s">
        <v>63</v>
      </c>
      <c r="P5452" s="4" t="s">
        <v>64</v>
      </c>
    </row>
    <row r="5453">
      <c r="A5453" s="4" t="s">
        <v>1446</v>
      </c>
      <c r="B5453" s="4" t="s">
        <v>7138</v>
      </c>
      <c r="C5453" s="4">
        <v>435.0</v>
      </c>
      <c r="D5453" s="5" t="str">
        <f t="shared" si="1590"/>
        <v>Open Ad</v>
      </c>
      <c r="E5453" s="4" t="s">
        <v>121</v>
      </c>
      <c r="F5453" s="4" t="s">
        <v>6765</v>
      </c>
      <c r="G5453" s="4" t="s">
        <v>7178</v>
      </c>
      <c r="H5453" s="4" t="s">
        <v>49</v>
      </c>
      <c r="I5453" s="4" t="s">
        <v>7140</v>
      </c>
      <c r="J5453" s="4" t="s">
        <v>121</v>
      </c>
      <c r="K5453" s="7" t="str">
        <f t="shared" si="1591"/>
        <v>View Creative</v>
      </c>
      <c r="L5453" s="4" t="s">
        <v>60</v>
      </c>
      <c r="M5453" s="4" t="s">
        <v>1446</v>
      </c>
      <c r="N5453" s="4"/>
      <c r="O5453" s="4" t="s">
        <v>63</v>
      </c>
      <c r="P5453" s="4" t="s">
        <v>64</v>
      </c>
    </row>
    <row r="5454">
      <c r="A5454" s="4" t="s">
        <v>1446</v>
      </c>
      <c r="B5454" s="4" t="s">
        <v>7138</v>
      </c>
      <c r="C5454" s="4">
        <v>436.0</v>
      </c>
      <c r="D5454" s="5" t="str">
        <f>HYPERLINK("https://www.linkedin.com/ad-library/detail/862733724","Open Ad")</f>
        <v>Open Ad</v>
      </c>
      <c r="E5454" s="4" t="s">
        <v>52</v>
      </c>
      <c r="F5454" s="4" t="s">
        <v>6765</v>
      </c>
      <c r="G5454" s="4" t="s">
        <v>7209</v>
      </c>
      <c r="H5454" s="4" t="s">
        <v>49</v>
      </c>
      <c r="I5454" s="4" t="s">
        <v>7140</v>
      </c>
      <c r="J5454" s="4" t="s">
        <v>52</v>
      </c>
      <c r="K5454" s="4" t="s">
        <v>59</v>
      </c>
      <c r="L5454" s="4" t="s">
        <v>60</v>
      </c>
      <c r="M5454" s="4" t="s">
        <v>1446</v>
      </c>
      <c r="N5454" s="4"/>
      <c r="O5454" s="4" t="s">
        <v>63</v>
      </c>
      <c r="P5454" s="4" t="s">
        <v>64</v>
      </c>
    </row>
    <row r="5455">
      <c r="A5455" s="4" t="s">
        <v>1446</v>
      </c>
      <c r="B5455" s="4" t="s">
        <v>7138</v>
      </c>
      <c r="C5455" s="4">
        <v>437.0</v>
      </c>
      <c r="D5455" s="5" t="str">
        <f t="shared" ref="D5455:D5456" si="1592">HYPERLINK("https://www.linkedin.com/ad-library/detail/855997604","Open Ad")</f>
        <v>Open Ad</v>
      </c>
      <c r="E5455" s="4" t="s">
        <v>78</v>
      </c>
      <c r="F5455" s="4" t="s">
        <v>6765</v>
      </c>
      <c r="G5455" s="4" t="s">
        <v>7194</v>
      </c>
      <c r="H5455" s="4" t="s">
        <v>49</v>
      </c>
      <c r="I5455" s="4" t="s">
        <v>7140</v>
      </c>
      <c r="J5455" s="4" t="s">
        <v>78</v>
      </c>
      <c r="K5455" s="7" t="str">
        <f t="shared" ref="K5455:K5456" si="1593">HYPERLINK("https://media.licdn.com/dms/image/v2/D4D22AQFwO3o6RjQUBg/feedshare-image-high-res/B4DZnhv0kaGgAo-/0/1760429034955?e=2147483647&amp;v=beta&amp;t=WGHfi72vlu9jHhP6cp_qXehBo9lLbGkE9-C--BfL7EA","View Creative")</f>
        <v>View Creative</v>
      </c>
      <c r="L5455" s="4" t="s">
        <v>60</v>
      </c>
      <c r="M5455" s="4" t="s">
        <v>1446</v>
      </c>
      <c r="N5455" s="4"/>
      <c r="O5455" s="4" t="s">
        <v>63</v>
      </c>
      <c r="P5455" s="4" t="s">
        <v>64</v>
      </c>
    </row>
    <row r="5456">
      <c r="A5456" s="4" t="s">
        <v>1446</v>
      </c>
      <c r="B5456" s="4" t="s">
        <v>7138</v>
      </c>
      <c r="C5456" s="4">
        <v>438.0</v>
      </c>
      <c r="D5456" s="5" t="str">
        <f t="shared" si="1592"/>
        <v>Open Ad</v>
      </c>
      <c r="E5456" s="4" t="s">
        <v>78</v>
      </c>
      <c r="F5456" s="4" t="s">
        <v>6765</v>
      </c>
      <c r="G5456" s="4" t="s">
        <v>7194</v>
      </c>
      <c r="H5456" s="4" t="s">
        <v>49</v>
      </c>
      <c r="I5456" s="4" t="s">
        <v>7140</v>
      </c>
      <c r="J5456" s="4" t="s">
        <v>78</v>
      </c>
      <c r="K5456" s="7" t="str">
        <f t="shared" si="1593"/>
        <v>View Creative</v>
      </c>
      <c r="L5456" s="4" t="s">
        <v>60</v>
      </c>
      <c r="M5456" s="4" t="s">
        <v>1446</v>
      </c>
      <c r="N5456" s="4"/>
      <c r="O5456" s="4" t="s">
        <v>63</v>
      </c>
      <c r="P5456" s="4" t="s">
        <v>64</v>
      </c>
    </row>
    <row r="5457">
      <c r="A5457" s="4" t="s">
        <v>1446</v>
      </c>
      <c r="B5457" s="4" t="s">
        <v>7138</v>
      </c>
      <c r="C5457" s="4">
        <v>439.0</v>
      </c>
      <c r="D5457" s="5" t="str">
        <f t="shared" ref="D5457:D5458" si="1594">HYPERLINK("https://www.linkedin.com/ad-library/detail/894878504","Open Ad")</f>
        <v>Open Ad</v>
      </c>
      <c r="E5457" s="4" t="s">
        <v>78</v>
      </c>
      <c r="F5457" s="4" t="s">
        <v>6765</v>
      </c>
      <c r="G5457" s="4" t="s">
        <v>7308</v>
      </c>
      <c r="H5457" s="4" t="s">
        <v>49</v>
      </c>
      <c r="I5457" s="4" t="s">
        <v>7140</v>
      </c>
      <c r="J5457" s="4" t="s">
        <v>78</v>
      </c>
      <c r="K5457" s="7" t="str">
        <f t="shared" ref="K5457:K5458" si="1595">HYPERLINK("https://media.licdn.com/dms/image/v2/D5622AQHLyeQZVkRL_w/feedshare-image-high-res/B56ZpQMBtFHQAo-/0/1762281922579?e=2147483647&amp;v=beta&amp;t=ipzrWoW1HLCYvoZUZVtB3fUZMYCgPqKjeRYCPioXzdY","View Creative")</f>
        <v>View Creative</v>
      </c>
      <c r="L5457" s="4" t="s">
        <v>60</v>
      </c>
      <c r="M5457" s="4" t="s">
        <v>1446</v>
      </c>
      <c r="N5457" s="4"/>
      <c r="O5457" s="4" t="s">
        <v>63</v>
      </c>
      <c r="P5457" s="4" t="s">
        <v>64</v>
      </c>
    </row>
    <row r="5458">
      <c r="A5458" s="4" t="s">
        <v>1446</v>
      </c>
      <c r="B5458" s="4" t="s">
        <v>7138</v>
      </c>
      <c r="C5458" s="4">
        <v>440.0</v>
      </c>
      <c r="D5458" s="5" t="str">
        <f t="shared" si="1594"/>
        <v>Open Ad</v>
      </c>
      <c r="E5458" s="4" t="s">
        <v>78</v>
      </c>
      <c r="F5458" s="4" t="s">
        <v>6765</v>
      </c>
      <c r="G5458" s="4" t="s">
        <v>7308</v>
      </c>
      <c r="H5458" s="4" t="s">
        <v>49</v>
      </c>
      <c r="I5458" s="4" t="s">
        <v>7140</v>
      </c>
      <c r="J5458" s="4" t="s">
        <v>78</v>
      </c>
      <c r="K5458" s="7" t="str">
        <f t="shared" si="1595"/>
        <v>View Creative</v>
      </c>
      <c r="L5458" s="4" t="s">
        <v>60</v>
      </c>
      <c r="M5458" s="4" t="s">
        <v>1446</v>
      </c>
      <c r="N5458" s="4"/>
      <c r="O5458" s="4" t="s">
        <v>63</v>
      </c>
      <c r="P5458" s="4" t="s">
        <v>64</v>
      </c>
    </row>
    <row r="5459">
      <c r="A5459" s="4" t="s">
        <v>1446</v>
      </c>
      <c r="B5459" s="4" t="s">
        <v>7138</v>
      </c>
      <c r="C5459" s="4">
        <v>441.0</v>
      </c>
      <c r="D5459" s="5" t="str">
        <f t="shared" ref="D5459:D5460" si="1596">HYPERLINK("https://www.linkedin.com/ad-library/detail/855634484","Open Ad")</f>
        <v>Open Ad</v>
      </c>
      <c r="E5459" s="4" t="s">
        <v>121</v>
      </c>
      <c r="F5459" s="4" t="s">
        <v>6765</v>
      </c>
      <c r="G5459" s="4" t="s">
        <v>7184</v>
      </c>
      <c r="H5459" s="4" t="s">
        <v>49</v>
      </c>
      <c r="I5459" s="4" t="s">
        <v>7140</v>
      </c>
      <c r="J5459" s="4" t="s">
        <v>121</v>
      </c>
      <c r="K5459" s="7" t="str">
        <f t="shared" ref="K5459:K5460" si="1597">HYPERLINK("https://dms.licdn.com/playlist/vid/v2/D5605AQE0F7ZDIPBBTA/mp4-720p-30fp-crf28/B56Zkv4WpiHMBw-/0/1757445067909?e=2147483647&amp;v=beta&amp;t=SsVsQm34F-kSMWOhLdKS6pPdDhnQyddTlZHda5YEUDQ","View Creative")</f>
        <v>View Creative</v>
      </c>
      <c r="L5459" s="4" t="s">
        <v>60</v>
      </c>
      <c r="M5459" s="4" t="s">
        <v>1446</v>
      </c>
      <c r="N5459" s="4"/>
      <c r="O5459" s="4" t="s">
        <v>63</v>
      </c>
      <c r="P5459" s="4" t="s">
        <v>64</v>
      </c>
    </row>
    <row r="5460">
      <c r="A5460" s="4" t="s">
        <v>1446</v>
      </c>
      <c r="B5460" s="4" t="s">
        <v>7138</v>
      </c>
      <c r="C5460" s="4">
        <v>442.0</v>
      </c>
      <c r="D5460" s="5" t="str">
        <f t="shared" si="1596"/>
        <v>Open Ad</v>
      </c>
      <c r="E5460" s="4" t="s">
        <v>121</v>
      </c>
      <c r="F5460" s="4" t="s">
        <v>6765</v>
      </c>
      <c r="G5460" s="4" t="s">
        <v>7184</v>
      </c>
      <c r="H5460" s="4" t="s">
        <v>49</v>
      </c>
      <c r="I5460" s="4" t="s">
        <v>7140</v>
      </c>
      <c r="J5460" s="4" t="s">
        <v>121</v>
      </c>
      <c r="K5460" s="7" t="str">
        <f t="shared" si="1597"/>
        <v>View Creative</v>
      </c>
      <c r="L5460" s="4" t="s">
        <v>60</v>
      </c>
      <c r="M5460" s="4" t="s">
        <v>1446</v>
      </c>
      <c r="N5460" s="4"/>
      <c r="O5460" s="4" t="s">
        <v>63</v>
      </c>
      <c r="P5460" s="4" t="s">
        <v>64</v>
      </c>
    </row>
    <row r="5461">
      <c r="A5461" s="4" t="s">
        <v>1446</v>
      </c>
      <c r="B5461" s="4" t="s">
        <v>7138</v>
      </c>
      <c r="C5461" s="4">
        <v>443.0</v>
      </c>
      <c r="D5461" s="5" t="str">
        <f t="shared" ref="D5461:D5462" si="1598">HYPERLINK("https://www.linkedin.com/ad-library/detail/855485384","Open Ad")</f>
        <v>Open Ad</v>
      </c>
      <c r="E5461" s="4" t="s">
        <v>121</v>
      </c>
      <c r="F5461" s="4" t="s">
        <v>6765</v>
      </c>
      <c r="G5461" s="4" t="s">
        <v>7309</v>
      </c>
      <c r="H5461" s="4" t="s">
        <v>49</v>
      </c>
      <c r="I5461" s="4" t="s">
        <v>7140</v>
      </c>
      <c r="J5461" s="4" t="s">
        <v>121</v>
      </c>
      <c r="K5461" s="7" t="str">
        <f t="shared" ref="K5461:K5462" si="1599">HYPERLINK("https://dms.licdn.com/playlist/vid/v2/D5605AQFI8sTra5Yk1w/mp4-720p-30fp-crf28/B56ZmWWGCsJkBk-/0/1759164212144?e=2147483647&amp;v=beta&amp;t=9sc9XSz0ro19Xhr5ym4lQF5SnjXX4QT4hE3jHkpUQcM","View Creative")</f>
        <v>View Creative</v>
      </c>
      <c r="L5461" s="4" t="s">
        <v>60</v>
      </c>
      <c r="M5461" s="4" t="s">
        <v>1446</v>
      </c>
      <c r="N5461" s="4"/>
      <c r="O5461" s="4" t="s">
        <v>63</v>
      </c>
      <c r="P5461" s="4" t="s">
        <v>64</v>
      </c>
    </row>
    <row r="5462">
      <c r="A5462" s="4" t="s">
        <v>1446</v>
      </c>
      <c r="B5462" s="4" t="s">
        <v>7138</v>
      </c>
      <c r="C5462" s="4">
        <v>444.0</v>
      </c>
      <c r="D5462" s="5" t="str">
        <f t="shared" si="1598"/>
        <v>Open Ad</v>
      </c>
      <c r="E5462" s="4" t="s">
        <v>121</v>
      </c>
      <c r="F5462" s="4" t="s">
        <v>6765</v>
      </c>
      <c r="G5462" s="4" t="s">
        <v>7309</v>
      </c>
      <c r="H5462" s="4" t="s">
        <v>49</v>
      </c>
      <c r="I5462" s="4" t="s">
        <v>7140</v>
      </c>
      <c r="J5462" s="4" t="s">
        <v>121</v>
      </c>
      <c r="K5462" s="7" t="str">
        <f t="shared" si="1599"/>
        <v>View Creative</v>
      </c>
      <c r="L5462" s="4" t="s">
        <v>60</v>
      </c>
      <c r="M5462" s="4" t="s">
        <v>1446</v>
      </c>
      <c r="N5462" s="4"/>
      <c r="O5462" s="4" t="s">
        <v>63</v>
      </c>
      <c r="P5462" s="4" t="s">
        <v>64</v>
      </c>
    </row>
    <row r="5463">
      <c r="A5463" s="4" t="s">
        <v>1446</v>
      </c>
      <c r="B5463" s="4" t="s">
        <v>7138</v>
      </c>
      <c r="C5463" s="4">
        <v>445.0</v>
      </c>
      <c r="D5463" s="5" t="str">
        <f>HYPERLINK("https://www.linkedin.com/ad-library/detail/849330254","Open Ad")</f>
        <v>Open Ad</v>
      </c>
      <c r="E5463" s="4" t="s">
        <v>52</v>
      </c>
      <c r="F5463" s="4" t="s">
        <v>6765</v>
      </c>
      <c r="G5463" s="4" t="s">
        <v>7206</v>
      </c>
      <c r="H5463" s="4" t="s">
        <v>49</v>
      </c>
      <c r="I5463" s="4" t="s">
        <v>7140</v>
      </c>
      <c r="J5463" s="4" t="s">
        <v>52</v>
      </c>
      <c r="K5463" s="4" t="s">
        <v>59</v>
      </c>
      <c r="L5463" s="4" t="s">
        <v>60</v>
      </c>
      <c r="M5463" s="4" t="s">
        <v>1446</v>
      </c>
      <c r="N5463" s="4"/>
      <c r="O5463" s="4" t="s">
        <v>63</v>
      </c>
      <c r="P5463" s="4" t="s">
        <v>64</v>
      </c>
    </row>
    <row r="5464">
      <c r="A5464" s="4" t="s">
        <v>1446</v>
      </c>
      <c r="B5464" s="4" t="s">
        <v>7138</v>
      </c>
      <c r="C5464" s="4">
        <v>446.0</v>
      </c>
      <c r="D5464" s="5" t="str">
        <f t="shared" ref="D5464:D5465" si="1600">HYPERLINK("https://www.linkedin.com/ad-library/detail/855545124","Open Ad")</f>
        <v>Open Ad</v>
      </c>
      <c r="E5464" s="4" t="s">
        <v>121</v>
      </c>
      <c r="F5464" s="4" t="s">
        <v>6765</v>
      </c>
      <c r="G5464" s="4" t="s">
        <v>7177</v>
      </c>
      <c r="H5464" s="4" t="s">
        <v>49</v>
      </c>
      <c r="I5464" s="4" t="s">
        <v>7140</v>
      </c>
      <c r="J5464" s="4" t="s">
        <v>121</v>
      </c>
      <c r="K5464" s="7" t="str">
        <f t="shared" ref="K5464:K5465" si="1601">HYPERLINK("https://dms.licdn.com/playlist/vid/v2/D5605AQEC0dg2UxS9Eg/mp4-640p-30fp-crf28/B56ZlTHaUaHUBg-/0/1758036109121?e=2147483647&amp;v=beta&amp;t=r2TUXg6IriE5bWcka5TTw3bcHXSbabgRxdDfRqQaIQ0","View Creative")</f>
        <v>View Creative</v>
      </c>
      <c r="L5464" s="4" t="s">
        <v>60</v>
      </c>
      <c r="M5464" s="4" t="s">
        <v>1446</v>
      </c>
      <c r="N5464" s="4"/>
      <c r="O5464" s="4" t="s">
        <v>63</v>
      </c>
      <c r="P5464" s="4" t="s">
        <v>64</v>
      </c>
    </row>
    <row r="5465">
      <c r="A5465" s="4" t="s">
        <v>1446</v>
      </c>
      <c r="B5465" s="4" t="s">
        <v>7138</v>
      </c>
      <c r="C5465" s="4">
        <v>447.0</v>
      </c>
      <c r="D5465" s="5" t="str">
        <f t="shared" si="1600"/>
        <v>Open Ad</v>
      </c>
      <c r="E5465" s="4" t="s">
        <v>121</v>
      </c>
      <c r="F5465" s="4" t="s">
        <v>6765</v>
      </c>
      <c r="G5465" s="4" t="s">
        <v>7177</v>
      </c>
      <c r="H5465" s="4" t="s">
        <v>49</v>
      </c>
      <c r="I5465" s="4" t="s">
        <v>7140</v>
      </c>
      <c r="J5465" s="4" t="s">
        <v>121</v>
      </c>
      <c r="K5465" s="7" t="str">
        <f t="shared" si="1601"/>
        <v>View Creative</v>
      </c>
      <c r="L5465" s="4" t="s">
        <v>60</v>
      </c>
      <c r="M5465" s="4" t="s">
        <v>1446</v>
      </c>
      <c r="N5465" s="4"/>
      <c r="O5465" s="4" t="s">
        <v>63</v>
      </c>
      <c r="P5465" s="4" t="s">
        <v>64</v>
      </c>
    </row>
    <row r="5466">
      <c r="A5466" s="4" t="s">
        <v>1446</v>
      </c>
      <c r="B5466" s="4" t="s">
        <v>7138</v>
      </c>
      <c r="C5466" s="4">
        <v>448.0</v>
      </c>
      <c r="D5466" s="5" t="str">
        <f t="shared" ref="D5466:D5467" si="1602">HYPERLINK("https://www.linkedin.com/ad-library/detail/855545114","Open Ad")</f>
        <v>Open Ad</v>
      </c>
      <c r="E5466" s="4" t="s">
        <v>121</v>
      </c>
      <c r="F5466" s="4" t="s">
        <v>6765</v>
      </c>
      <c r="G5466" s="4" t="s">
        <v>7192</v>
      </c>
      <c r="H5466" s="4" t="s">
        <v>49</v>
      </c>
      <c r="I5466" s="4" t="s">
        <v>7140</v>
      </c>
      <c r="J5466" s="4" t="s">
        <v>121</v>
      </c>
      <c r="K5466" s="7" t="str">
        <f t="shared" ref="K5466:K5467" si="1603">HYPERLINK("https://dms.licdn.com/playlist/vid/v2/D5605AQEnXGujPLuU1g/mp4-640p-30fp-crf28/B56Zm_Qi.4J8Bg-/0/1759850427541?e=2147483647&amp;v=beta&amp;t=i5gJ3O9wOhnvkbquCdoiQzAjFKD2adxbMo_ajH9a5dI","View Creative")</f>
        <v>View Creative</v>
      </c>
      <c r="L5466" s="4" t="s">
        <v>60</v>
      </c>
      <c r="M5466" s="4" t="s">
        <v>1446</v>
      </c>
      <c r="N5466" s="4"/>
      <c r="O5466" s="4" t="s">
        <v>63</v>
      </c>
      <c r="P5466" s="4" t="s">
        <v>64</v>
      </c>
    </row>
    <row r="5467">
      <c r="A5467" s="4" t="s">
        <v>1446</v>
      </c>
      <c r="B5467" s="4" t="s">
        <v>7138</v>
      </c>
      <c r="C5467" s="4">
        <v>449.0</v>
      </c>
      <c r="D5467" s="5" t="str">
        <f t="shared" si="1602"/>
        <v>Open Ad</v>
      </c>
      <c r="E5467" s="4" t="s">
        <v>121</v>
      </c>
      <c r="F5467" s="4" t="s">
        <v>6765</v>
      </c>
      <c r="G5467" s="4" t="s">
        <v>7192</v>
      </c>
      <c r="H5467" s="4" t="s">
        <v>49</v>
      </c>
      <c r="I5467" s="4" t="s">
        <v>7140</v>
      </c>
      <c r="J5467" s="4" t="s">
        <v>121</v>
      </c>
      <c r="K5467" s="7" t="str">
        <f t="shared" si="1603"/>
        <v>View Creative</v>
      </c>
      <c r="L5467" s="4" t="s">
        <v>60</v>
      </c>
      <c r="M5467" s="4" t="s">
        <v>1446</v>
      </c>
      <c r="N5467" s="4"/>
      <c r="O5467" s="4" t="s">
        <v>63</v>
      </c>
      <c r="P5467" s="4" t="s">
        <v>64</v>
      </c>
    </row>
    <row r="5468">
      <c r="A5468" s="4" t="s">
        <v>1446</v>
      </c>
      <c r="B5468" s="4" t="s">
        <v>7138</v>
      </c>
      <c r="C5468" s="4">
        <v>450.0</v>
      </c>
      <c r="D5468" s="5" t="str">
        <f t="shared" ref="D5468:D5469" si="1604">HYPERLINK("https://www.linkedin.com/ad-library/detail/895562274","Open Ad")</f>
        <v>Open Ad</v>
      </c>
      <c r="E5468" s="4" t="s">
        <v>78</v>
      </c>
      <c r="F5468" s="4" t="s">
        <v>6765</v>
      </c>
      <c r="G5468" s="4" t="s">
        <v>7310</v>
      </c>
      <c r="H5468" s="4" t="s">
        <v>49</v>
      </c>
      <c r="I5468" s="4" t="s">
        <v>7140</v>
      </c>
      <c r="J5468" s="4" t="s">
        <v>78</v>
      </c>
      <c r="K5468" s="7" t="str">
        <f t="shared" ref="K5468:K5469" si="1605">HYPERLINK("https://media.licdn.com/dms/image/sync/v2/D5627AQENwE4b0yEeeg/articleshare-shrink_800/B56Zo2adZ7IsAI-/0/1776159456272?e=2147483647&amp;v=beta&amp;t=dO0dHMHxXoMw3cbb5i9dD9M5o5Dpav8ZnFE-Bkb-Ct0","View Creative")</f>
        <v>View Creative</v>
      </c>
      <c r="L5468" s="4" t="s">
        <v>60</v>
      </c>
      <c r="M5468" s="4" t="s">
        <v>1446</v>
      </c>
      <c r="N5468" s="4"/>
      <c r="O5468" s="4" t="s">
        <v>63</v>
      </c>
      <c r="P5468" s="4" t="s">
        <v>64</v>
      </c>
    </row>
    <row r="5469">
      <c r="A5469" s="4" t="s">
        <v>1446</v>
      </c>
      <c r="B5469" s="4" t="s">
        <v>7138</v>
      </c>
      <c r="C5469" s="4">
        <v>451.0</v>
      </c>
      <c r="D5469" s="5" t="str">
        <f t="shared" si="1604"/>
        <v>Open Ad</v>
      </c>
      <c r="E5469" s="4" t="s">
        <v>78</v>
      </c>
      <c r="F5469" s="4" t="s">
        <v>6765</v>
      </c>
      <c r="G5469" s="4" t="s">
        <v>7310</v>
      </c>
      <c r="H5469" s="4" t="s">
        <v>49</v>
      </c>
      <c r="I5469" s="4" t="s">
        <v>7140</v>
      </c>
      <c r="J5469" s="4" t="s">
        <v>78</v>
      </c>
      <c r="K5469" s="7" t="str">
        <f t="shared" si="1605"/>
        <v>View Creative</v>
      </c>
      <c r="L5469" s="4" t="s">
        <v>60</v>
      </c>
      <c r="M5469" s="4" t="s">
        <v>1446</v>
      </c>
      <c r="N5469" s="4"/>
      <c r="O5469" s="4" t="s">
        <v>63</v>
      </c>
      <c r="P5469" s="4" t="s">
        <v>64</v>
      </c>
    </row>
    <row r="5470">
      <c r="A5470" s="4" t="s">
        <v>1446</v>
      </c>
      <c r="B5470" s="4" t="s">
        <v>7138</v>
      </c>
      <c r="C5470" s="4">
        <v>452.0</v>
      </c>
      <c r="D5470" s="5" t="str">
        <f t="shared" ref="D5470:D5471" si="1606">HYPERLINK("https://www.linkedin.com/ad-library/detail/910569134","Open Ad")</f>
        <v>Open Ad</v>
      </c>
      <c r="E5470" s="4" t="s">
        <v>121</v>
      </c>
      <c r="F5470" s="4" t="s">
        <v>6765</v>
      </c>
      <c r="G5470" s="4" t="s">
        <v>7181</v>
      </c>
      <c r="H5470" s="4" t="s">
        <v>49</v>
      </c>
      <c r="I5470" s="4" t="s">
        <v>7140</v>
      </c>
      <c r="J5470" s="4" t="s">
        <v>121</v>
      </c>
      <c r="K5470" s="7" t="str">
        <f t="shared" ref="K5470:K5471" si="1607">HYPERLINK("https://dms.licdn.com/playlist/vid/v2/D5605AQFA8KADDGioVA/mp4-720p-30fp-crf28/B56Zp.NliIJQB0-/0/1763054106947?e=2147483647&amp;v=beta&amp;t=BbTucYSz0d9s4kJlyDnJayCgM6O0_TVjoKXC0Cpk8Qw","View Creative")</f>
        <v>View Creative</v>
      </c>
      <c r="L5470" s="4" t="s">
        <v>60</v>
      </c>
      <c r="M5470" s="4" t="s">
        <v>1446</v>
      </c>
      <c r="N5470" s="4"/>
      <c r="O5470" s="4" t="s">
        <v>63</v>
      </c>
      <c r="P5470" s="4" t="s">
        <v>64</v>
      </c>
    </row>
    <row r="5471">
      <c r="A5471" s="4" t="s">
        <v>1446</v>
      </c>
      <c r="B5471" s="4" t="s">
        <v>7138</v>
      </c>
      <c r="C5471" s="4">
        <v>453.0</v>
      </c>
      <c r="D5471" s="5" t="str">
        <f t="shared" si="1606"/>
        <v>Open Ad</v>
      </c>
      <c r="E5471" s="4" t="s">
        <v>121</v>
      </c>
      <c r="F5471" s="4" t="s">
        <v>6765</v>
      </c>
      <c r="G5471" s="4" t="s">
        <v>7181</v>
      </c>
      <c r="H5471" s="4" t="s">
        <v>49</v>
      </c>
      <c r="I5471" s="4" t="s">
        <v>7140</v>
      </c>
      <c r="J5471" s="4" t="s">
        <v>121</v>
      </c>
      <c r="K5471" s="7" t="str">
        <f t="shared" si="1607"/>
        <v>View Creative</v>
      </c>
      <c r="L5471" s="4" t="s">
        <v>60</v>
      </c>
      <c r="M5471" s="4" t="s">
        <v>1446</v>
      </c>
      <c r="N5471" s="4"/>
      <c r="O5471" s="4" t="s">
        <v>63</v>
      </c>
      <c r="P5471" s="4" t="s">
        <v>64</v>
      </c>
    </row>
    <row r="5472">
      <c r="A5472" s="4" t="s">
        <v>1446</v>
      </c>
      <c r="B5472" s="4" t="s">
        <v>7138</v>
      </c>
      <c r="C5472" s="4">
        <v>454.0</v>
      </c>
      <c r="D5472" s="5" t="str">
        <f t="shared" ref="D5472:D5473" si="1608">HYPERLINK("https://www.linkedin.com/ad-library/detail/855545134","Open Ad")</f>
        <v>Open Ad</v>
      </c>
      <c r="E5472" s="4" t="s">
        <v>78</v>
      </c>
      <c r="F5472" s="4" t="s">
        <v>6765</v>
      </c>
      <c r="G5472" s="4" t="s">
        <v>7196</v>
      </c>
      <c r="H5472" s="4" t="s">
        <v>49</v>
      </c>
      <c r="I5472" s="4" t="s">
        <v>7140</v>
      </c>
      <c r="J5472" s="4" t="s">
        <v>78</v>
      </c>
      <c r="K5472" s="7" t="str">
        <f t="shared" ref="K5472:K5473" si="1609">HYPERLINK("https://media.licdn.com/dms/image/v2/D5622AQGo9_bFMxOuLA/feedshare-image-high-res/B56Zl3NffVJoAo-/0/1758641650656?e=2147483647&amp;v=beta&amp;t=nc7qQvk9vZoL1vbnj6_lM6slAxYZ8frA_D4qnCfNKmc","View Creative")</f>
        <v>View Creative</v>
      </c>
      <c r="L5472" s="4" t="s">
        <v>60</v>
      </c>
      <c r="M5472" s="4" t="s">
        <v>1446</v>
      </c>
      <c r="N5472" s="4"/>
      <c r="O5472" s="4" t="s">
        <v>63</v>
      </c>
      <c r="P5472" s="4" t="s">
        <v>64</v>
      </c>
    </row>
    <row r="5473">
      <c r="A5473" s="4" t="s">
        <v>1446</v>
      </c>
      <c r="B5473" s="4" t="s">
        <v>7138</v>
      </c>
      <c r="C5473" s="4">
        <v>455.0</v>
      </c>
      <c r="D5473" s="5" t="str">
        <f t="shared" si="1608"/>
        <v>Open Ad</v>
      </c>
      <c r="E5473" s="4" t="s">
        <v>78</v>
      </c>
      <c r="F5473" s="4" t="s">
        <v>6765</v>
      </c>
      <c r="G5473" s="4" t="s">
        <v>7196</v>
      </c>
      <c r="H5473" s="4" t="s">
        <v>49</v>
      </c>
      <c r="I5473" s="4" t="s">
        <v>7140</v>
      </c>
      <c r="J5473" s="4" t="s">
        <v>78</v>
      </c>
      <c r="K5473" s="7" t="str">
        <f t="shared" si="1609"/>
        <v>View Creative</v>
      </c>
      <c r="L5473" s="4" t="s">
        <v>60</v>
      </c>
      <c r="M5473" s="4" t="s">
        <v>1446</v>
      </c>
      <c r="N5473" s="4"/>
      <c r="O5473" s="4" t="s">
        <v>63</v>
      </c>
      <c r="P5473" s="4" t="s">
        <v>64</v>
      </c>
    </row>
    <row r="5474">
      <c r="A5474" s="4" t="s">
        <v>1446</v>
      </c>
      <c r="B5474" s="4" t="s">
        <v>7138</v>
      </c>
      <c r="C5474" s="4">
        <v>456.0</v>
      </c>
      <c r="D5474" s="5" t="str">
        <f>HYPERLINK("https://www.linkedin.com/ad-library/detail/862873084","Open Ad")</f>
        <v>Open Ad</v>
      </c>
      <c r="E5474" s="4" t="s">
        <v>52</v>
      </c>
      <c r="F5474" s="4" t="s">
        <v>6765</v>
      </c>
      <c r="G5474" s="4" t="s">
        <v>7209</v>
      </c>
      <c r="H5474" s="4" t="s">
        <v>49</v>
      </c>
      <c r="I5474" s="4" t="s">
        <v>7140</v>
      </c>
      <c r="J5474" s="4" t="s">
        <v>52</v>
      </c>
      <c r="K5474" s="4" t="s">
        <v>59</v>
      </c>
      <c r="L5474" s="4" t="s">
        <v>60</v>
      </c>
      <c r="M5474" s="4" t="s">
        <v>1446</v>
      </c>
      <c r="N5474" s="4"/>
      <c r="O5474" s="4" t="s">
        <v>63</v>
      </c>
      <c r="P5474" s="4" t="s">
        <v>64</v>
      </c>
    </row>
    <row r="5475">
      <c r="A5475" s="4" t="s">
        <v>1446</v>
      </c>
      <c r="B5475" s="4" t="s">
        <v>7138</v>
      </c>
      <c r="C5475" s="4">
        <v>457.0</v>
      </c>
      <c r="D5475" s="5" t="str">
        <f>HYPERLINK("https://www.linkedin.com/ad-library/detail/855624414","Open Ad")</f>
        <v>Open Ad</v>
      </c>
      <c r="E5475" s="4" t="s">
        <v>52</v>
      </c>
      <c r="F5475" s="4" t="s">
        <v>6765</v>
      </c>
      <c r="G5475" s="4" t="s">
        <v>7208</v>
      </c>
      <c r="H5475" s="4" t="s">
        <v>7174</v>
      </c>
      <c r="I5475" s="4" t="s">
        <v>7140</v>
      </c>
      <c r="J5475" s="4" t="s">
        <v>52</v>
      </c>
      <c r="K5475" s="4" t="s">
        <v>59</v>
      </c>
      <c r="L5475" s="4" t="s">
        <v>60</v>
      </c>
      <c r="M5475" s="4" t="s">
        <v>1446</v>
      </c>
      <c r="N5475" s="4"/>
      <c r="O5475" s="4" t="s">
        <v>63</v>
      </c>
      <c r="P5475" s="4" t="s">
        <v>64</v>
      </c>
    </row>
    <row r="5476">
      <c r="A5476" s="4" t="s">
        <v>1446</v>
      </c>
      <c r="B5476" s="4" t="s">
        <v>7138</v>
      </c>
      <c r="C5476" s="4">
        <v>458.0</v>
      </c>
      <c r="D5476" s="5" t="str">
        <f t="shared" ref="D5476:D5477" si="1610">HYPERLINK("https://www.linkedin.com/ad-library/detail/894829494","Open Ad")</f>
        <v>Open Ad</v>
      </c>
      <c r="E5476" s="4" t="s">
        <v>78</v>
      </c>
      <c r="F5476" s="4" t="s">
        <v>6765</v>
      </c>
      <c r="G5476" s="4" t="s">
        <v>7308</v>
      </c>
      <c r="H5476" s="4" t="s">
        <v>49</v>
      </c>
      <c r="I5476" s="4" t="s">
        <v>7140</v>
      </c>
      <c r="J5476" s="4" t="s">
        <v>78</v>
      </c>
      <c r="K5476" s="7" t="str">
        <f t="shared" ref="K5476:K5477" si="1611">HYPERLINK("https://media.licdn.com/dms/image/v2/D5622AQHLyeQZVkRL_w/feedshare-image-high-res/B56ZpQMBtFHQAo-/0/1762281922579?e=2147483647&amp;v=beta&amp;t=ipzrWoW1HLCYvoZUZVtB3fUZMYCgPqKjeRYCPioXzdY","View Creative")</f>
        <v>View Creative</v>
      </c>
      <c r="L5476" s="4" t="s">
        <v>60</v>
      </c>
      <c r="M5476" s="4" t="s">
        <v>1446</v>
      </c>
      <c r="N5476" s="4"/>
      <c r="O5476" s="4" t="s">
        <v>63</v>
      </c>
      <c r="P5476" s="4" t="s">
        <v>64</v>
      </c>
    </row>
    <row r="5477">
      <c r="A5477" s="4" t="s">
        <v>1446</v>
      </c>
      <c r="B5477" s="4" t="s">
        <v>7138</v>
      </c>
      <c r="C5477" s="4">
        <v>459.0</v>
      </c>
      <c r="D5477" s="5" t="str">
        <f t="shared" si="1610"/>
        <v>Open Ad</v>
      </c>
      <c r="E5477" s="4" t="s">
        <v>78</v>
      </c>
      <c r="F5477" s="4" t="s">
        <v>6765</v>
      </c>
      <c r="G5477" s="4" t="s">
        <v>7308</v>
      </c>
      <c r="H5477" s="4" t="s">
        <v>49</v>
      </c>
      <c r="I5477" s="4" t="s">
        <v>7140</v>
      </c>
      <c r="J5477" s="4" t="s">
        <v>78</v>
      </c>
      <c r="K5477" s="7" t="str">
        <f t="shared" si="1611"/>
        <v>View Creative</v>
      </c>
      <c r="L5477" s="4" t="s">
        <v>60</v>
      </c>
      <c r="M5477" s="4" t="s">
        <v>1446</v>
      </c>
      <c r="N5477" s="4"/>
      <c r="O5477" s="4" t="s">
        <v>63</v>
      </c>
      <c r="P5477" s="4" t="s">
        <v>64</v>
      </c>
    </row>
    <row r="5478">
      <c r="A5478" s="4" t="s">
        <v>1446</v>
      </c>
      <c r="B5478" s="4" t="s">
        <v>7138</v>
      </c>
      <c r="C5478" s="4">
        <v>460.0</v>
      </c>
      <c r="D5478" s="5" t="str">
        <f>HYPERLINK("https://www.linkedin.com/ad-library/detail/855624434","Open Ad")</f>
        <v>Open Ad</v>
      </c>
      <c r="E5478" s="4" t="s">
        <v>52</v>
      </c>
      <c r="F5478" s="4" t="s">
        <v>6765</v>
      </c>
      <c r="G5478" s="4" t="s">
        <v>7197</v>
      </c>
      <c r="H5478" s="4" t="s">
        <v>49</v>
      </c>
      <c r="I5478" s="4" t="s">
        <v>7140</v>
      </c>
      <c r="J5478" s="4" t="s">
        <v>52</v>
      </c>
      <c r="K5478" s="4" t="s">
        <v>59</v>
      </c>
      <c r="L5478" s="4" t="s">
        <v>60</v>
      </c>
      <c r="M5478" s="4" t="s">
        <v>1446</v>
      </c>
      <c r="N5478" s="4"/>
      <c r="O5478" s="4" t="s">
        <v>63</v>
      </c>
      <c r="P5478" s="4" t="s">
        <v>64</v>
      </c>
    </row>
    <row r="5479">
      <c r="A5479" s="4" t="s">
        <v>1446</v>
      </c>
      <c r="B5479" s="4" t="s">
        <v>7138</v>
      </c>
      <c r="C5479" s="4">
        <v>461.0</v>
      </c>
      <c r="D5479" s="5" t="str">
        <f t="shared" ref="D5479:D5480" si="1612">HYPERLINK("https://www.linkedin.com/ad-library/detail/895454184","Open Ad")</f>
        <v>Open Ad</v>
      </c>
      <c r="E5479" s="4" t="s">
        <v>78</v>
      </c>
      <c r="F5479" s="4" t="s">
        <v>6765</v>
      </c>
      <c r="G5479" s="4" t="s">
        <v>7311</v>
      </c>
      <c r="H5479" s="4" t="s">
        <v>49</v>
      </c>
      <c r="I5479" s="4" t="s">
        <v>7140</v>
      </c>
      <c r="J5479" s="4" t="s">
        <v>78</v>
      </c>
      <c r="K5479" s="7" t="str">
        <f t="shared" ref="K5479:K5480" si="1613">HYPERLINK("https://media.licdn.com/dms/image/v2/D5622AQF_2UXnxaqr_Q/feedshare-shrink_1280/B56ZpZ8Ks2J8A0-/0/1762445536440?e=2147483647&amp;v=beta&amp;t=_2JA5kMKRtJDZGyd7td6pyYrDONCa6xJyjP7VF_4y1Y","View Creative")</f>
        <v>View Creative</v>
      </c>
      <c r="L5479" s="4" t="s">
        <v>60</v>
      </c>
      <c r="M5479" s="4" t="s">
        <v>1446</v>
      </c>
      <c r="N5479" s="4"/>
      <c r="O5479" s="4" t="s">
        <v>63</v>
      </c>
      <c r="P5479" s="4" t="s">
        <v>64</v>
      </c>
    </row>
    <row r="5480">
      <c r="A5480" s="4" t="s">
        <v>1446</v>
      </c>
      <c r="B5480" s="4" t="s">
        <v>7138</v>
      </c>
      <c r="C5480" s="4">
        <v>462.0</v>
      </c>
      <c r="D5480" s="5" t="str">
        <f t="shared" si="1612"/>
        <v>Open Ad</v>
      </c>
      <c r="E5480" s="4" t="s">
        <v>78</v>
      </c>
      <c r="F5480" s="4" t="s">
        <v>6765</v>
      </c>
      <c r="G5480" s="4" t="s">
        <v>7311</v>
      </c>
      <c r="H5480" s="4" t="s">
        <v>49</v>
      </c>
      <c r="I5480" s="4" t="s">
        <v>7140</v>
      </c>
      <c r="J5480" s="4" t="s">
        <v>78</v>
      </c>
      <c r="K5480" s="7" t="str">
        <f t="shared" si="1613"/>
        <v>View Creative</v>
      </c>
      <c r="L5480" s="4" t="s">
        <v>60</v>
      </c>
      <c r="M5480" s="4" t="s">
        <v>1446</v>
      </c>
      <c r="N5480" s="4"/>
      <c r="O5480" s="4" t="s">
        <v>63</v>
      </c>
      <c r="P5480" s="4" t="s">
        <v>64</v>
      </c>
    </row>
    <row r="5481">
      <c r="A5481" s="4" t="s">
        <v>1446</v>
      </c>
      <c r="B5481" s="4" t="s">
        <v>7138</v>
      </c>
      <c r="C5481" s="4">
        <v>463.0</v>
      </c>
      <c r="D5481" s="5" t="str">
        <f t="shared" ref="D5481:D5482" si="1614">HYPERLINK("https://www.linkedin.com/ad-library/detail/839185694","Open Ad")</f>
        <v>Open Ad</v>
      </c>
      <c r="E5481" s="4" t="s">
        <v>121</v>
      </c>
      <c r="F5481" s="4" t="s">
        <v>6765</v>
      </c>
      <c r="G5481" s="4" t="s">
        <v>7312</v>
      </c>
      <c r="H5481" s="4" t="s">
        <v>49</v>
      </c>
      <c r="I5481" s="4" t="s">
        <v>7140</v>
      </c>
      <c r="J5481" s="4" t="s">
        <v>121</v>
      </c>
      <c r="K5481" s="7" t="str">
        <f t="shared" ref="K5481:K5482" si="1615">HYPERLINK("https://dms.licdn.com/playlist/vid/v2/D5605AQF3k2Qp0dEH4g/mp4-640p-30fp-crf28/B56ZmCNLfdJkBg-/0/1758826132870?e=2147483647&amp;v=beta&amp;t=xE0-fXSA8EOQ6alwm7tfa511iPU7KrXtAjUWlwyzle8","View Creative")</f>
        <v>View Creative</v>
      </c>
      <c r="L5481" s="4" t="s">
        <v>60</v>
      </c>
      <c r="M5481" s="4" t="s">
        <v>1446</v>
      </c>
      <c r="N5481" s="4"/>
      <c r="O5481" s="4" t="s">
        <v>63</v>
      </c>
      <c r="P5481" s="4" t="s">
        <v>64</v>
      </c>
    </row>
    <row r="5482">
      <c r="A5482" s="4" t="s">
        <v>1446</v>
      </c>
      <c r="B5482" s="4" t="s">
        <v>7138</v>
      </c>
      <c r="C5482" s="4">
        <v>464.0</v>
      </c>
      <c r="D5482" s="5" t="str">
        <f t="shared" si="1614"/>
        <v>Open Ad</v>
      </c>
      <c r="E5482" s="4" t="s">
        <v>121</v>
      </c>
      <c r="F5482" s="4" t="s">
        <v>6765</v>
      </c>
      <c r="G5482" s="4" t="s">
        <v>7312</v>
      </c>
      <c r="H5482" s="4" t="s">
        <v>49</v>
      </c>
      <c r="I5482" s="4" t="s">
        <v>7140</v>
      </c>
      <c r="J5482" s="4" t="s">
        <v>121</v>
      </c>
      <c r="K5482" s="7" t="str">
        <f t="shared" si="1615"/>
        <v>View Creative</v>
      </c>
      <c r="L5482" s="4" t="s">
        <v>60</v>
      </c>
      <c r="M5482" s="4" t="s">
        <v>1446</v>
      </c>
      <c r="N5482" s="4"/>
      <c r="O5482" s="4" t="s">
        <v>63</v>
      </c>
      <c r="P5482" s="4" t="s">
        <v>64</v>
      </c>
    </row>
    <row r="5483">
      <c r="A5483" s="4" t="s">
        <v>1446</v>
      </c>
      <c r="B5483" s="4" t="s">
        <v>7138</v>
      </c>
      <c r="C5483" s="4">
        <v>465.0</v>
      </c>
      <c r="D5483" s="5" t="str">
        <f t="shared" ref="D5483:D5484" si="1616">HYPERLINK("https://www.linkedin.com/ad-library/detail/733570574","Open Ad")</f>
        <v>Open Ad</v>
      </c>
      <c r="E5483" s="4" t="s">
        <v>121</v>
      </c>
      <c r="F5483" s="4" t="s">
        <v>6765</v>
      </c>
      <c r="G5483" s="4" t="s">
        <v>7313</v>
      </c>
      <c r="H5483" s="4" t="s">
        <v>49</v>
      </c>
      <c r="I5483" s="4" t="s">
        <v>7140</v>
      </c>
      <c r="J5483" s="4" t="s">
        <v>121</v>
      </c>
      <c r="K5483" s="7" t="str">
        <f t="shared" ref="K5483:K5484" si="1617">HYPERLINK("https://dms.licdn.com/playlist/vid/v2/D4E10AQHyidjsVmhczw/mp4-360p-30fp-crf28/B4EZiuHvbQHECM-/0/1755267923338/2507-Srunch-LinkedInAds-Square-KG-C-03mp4?e=2147483647&amp;v=beta&amp;t=irUbxyjFT5K02x5aQE0xZvmTNyVjx2sPA78owaC4eZs","View Creative")</f>
        <v>View Creative</v>
      </c>
      <c r="L5483" s="4" t="s">
        <v>60</v>
      </c>
      <c r="M5483" s="4" t="s">
        <v>1446</v>
      </c>
      <c r="N5483" s="4"/>
      <c r="O5483" s="4" t="s">
        <v>63</v>
      </c>
      <c r="P5483" s="4" t="s">
        <v>64</v>
      </c>
    </row>
    <row r="5484">
      <c r="A5484" s="4" t="s">
        <v>1446</v>
      </c>
      <c r="B5484" s="4" t="s">
        <v>7138</v>
      </c>
      <c r="C5484" s="4">
        <v>466.0</v>
      </c>
      <c r="D5484" s="5" t="str">
        <f t="shared" si="1616"/>
        <v>Open Ad</v>
      </c>
      <c r="E5484" s="4" t="s">
        <v>121</v>
      </c>
      <c r="F5484" s="4" t="s">
        <v>6765</v>
      </c>
      <c r="G5484" s="4" t="s">
        <v>7313</v>
      </c>
      <c r="H5484" s="4" t="s">
        <v>49</v>
      </c>
      <c r="I5484" s="4" t="s">
        <v>7140</v>
      </c>
      <c r="J5484" s="4" t="s">
        <v>121</v>
      </c>
      <c r="K5484" s="7" t="str">
        <f t="shared" si="1617"/>
        <v>View Creative</v>
      </c>
      <c r="L5484" s="4" t="s">
        <v>60</v>
      </c>
      <c r="M5484" s="4" t="s">
        <v>1446</v>
      </c>
      <c r="N5484" s="4"/>
      <c r="O5484" s="4" t="s">
        <v>63</v>
      </c>
      <c r="P5484" s="4" t="s">
        <v>64</v>
      </c>
    </row>
    <row r="5485">
      <c r="A5485" s="4" t="s">
        <v>1446</v>
      </c>
      <c r="B5485" s="4" t="s">
        <v>7138</v>
      </c>
      <c r="C5485" s="4">
        <v>467.0</v>
      </c>
      <c r="D5485" s="5" t="str">
        <f t="shared" ref="D5485:D5486" si="1618">HYPERLINK("https://www.linkedin.com/ad-library/detail/733526844","Open Ad")</f>
        <v>Open Ad</v>
      </c>
      <c r="E5485" s="4" t="s">
        <v>121</v>
      </c>
      <c r="F5485" s="4" t="s">
        <v>6765</v>
      </c>
      <c r="G5485" s="4" t="s">
        <v>7314</v>
      </c>
      <c r="H5485" s="4" t="s">
        <v>49</v>
      </c>
      <c r="I5485" s="4" t="s">
        <v>7140</v>
      </c>
      <c r="J5485" s="4" t="s">
        <v>121</v>
      </c>
      <c r="K5485" s="7" t="str">
        <f t="shared" ref="K5485:K5486" si="1619">HYPERLINK("https://dms.licdn.com/playlist/vid/v2/D4E10AQHnjERs-GR1lA/mp4-640p-30fp-crf28/B4EZiuFyRNHgBc-/0/1755267417581/2507-Srunch-LinkedInAds-Square-KG-A-03mp4?e=2147483647&amp;v=beta&amp;t=cfKXa2XrKkr9NTe3GSyB5QYlnufcBhrrQ6z2CYqsvLo","View Creative")</f>
        <v>View Creative</v>
      </c>
      <c r="L5485" s="4" t="s">
        <v>60</v>
      </c>
      <c r="M5485" s="4" t="s">
        <v>1446</v>
      </c>
      <c r="N5485" s="4"/>
      <c r="O5485" s="4" t="s">
        <v>63</v>
      </c>
      <c r="P5485" s="4" t="s">
        <v>64</v>
      </c>
    </row>
    <row r="5486">
      <c r="A5486" s="4" t="s">
        <v>1446</v>
      </c>
      <c r="B5486" s="4" t="s">
        <v>7138</v>
      </c>
      <c r="C5486" s="4">
        <v>468.0</v>
      </c>
      <c r="D5486" s="5" t="str">
        <f t="shared" si="1618"/>
        <v>Open Ad</v>
      </c>
      <c r="E5486" s="4" t="s">
        <v>121</v>
      </c>
      <c r="F5486" s="4" t="s">
        <v>6765</v>
      </c>
      <c r="G5486" s="4" t="s">
        <v>7314</v>
      </c>
      <c r="H5486" s="4" t="s">
        <v>49</v>
      </c>
      <c r="I5486" s="4" t="s">
        <v>7140</v>
      </c>
      <c r="J5486" s="4" t="s">
        <v>121</v>
      </c>
      <c r="K5486" s="7" t="str">
        <f t="shared" si="1619"/>
        <v>View Creative</v>
      </c>
      <c r="L5486" s="4" t="s">
        <v>60</v>
      </c>
      <c r="M5486" s="4" t="s">
        <v>1446</v>
      </c>
      <c r="N5486" s="4"/>
      <c r="O5486" s="4" t="s">
        <v>63</v>
      </c>
      <c r="P5486" s="4" t="s">
        <v>64</v>
      </c>
    </row>
    <row r="5487">
      <c r="A5487" s="4" t="s">
        <v>1446</v>
      </c>
      <c r="B5487" s="4" t="s">
        <v>7138</v>
      </c>
      <c r="C5487" s="4">
        <v>469.0</v>
      </c>
      <c r="D5487" s="5" t="str">
        <f t="shared" ref="D5487:D5488" si="1620">HYPERLINK("https://www.linkedin.com/ad-library/detail/827067914","Open Ad")</f>
        <v>Open Ad</v>
      </c>
      <c r="E5487" s="4" t="s">
        <v>121</v>
      </c>
      <c r="F5487" s="4" t="s">
        <v>6765</v>
      </c>
      <c r="G5487" s="4" t="s">
        <v>7184</v>
      </c>
      <c r="H5487" s="4" t="s">
        <v>49</v>
      </c>
      <c r="I5487" s="4" t="s">
        <v>7140</v>
      </c>
      <c r="J5487" s="4" t="s">
        <v>121</v>
      </c>
      <c r="K5487" s="7" t="str">
        <f t="shared" ref="K5487:K5488" si="1621">HYPERLINK("https://dms.licdn.com/playlist/vid/v2/D5605AQE0F7ZDIPBBTA/mp4-720p-30fp-crf28/B56Zkv4WpiHMBw-/0/1757445067909?e=2147483647&amp;v=beta&amp;t=SsVsQm34F-kSMWOhLdKS6pPdDhnQyddTlZHda5YEUDQ","View Creative")</f>
        <v>View Creative</v>
      </c>
      <c r="L5487" s="4" t="s">
        <v>60</v>
      </c>
      <c r="M5487" s="4" t="s">
        <v>1446</v>
      </c>
      <c r="N5487" s="4"/>
      <c r="O5487" s="4" t="s">
        <v>63</v>
      </c>
      <c r="P5487" s="4" t="s">
        <v>64</v>
      </c>
    </row>
    <row r="5488">
      <c r="A5488" s="4" t="s">
        <v>1446</v>
      </c>
      <c r="B5488" s="4" t="s">
        <v>7138</v>
      </c>
      <c r="C5488" s="4">
        <v>470.0</v>
      </c>
      <c r="D5488" s="5" t="str">
        <f t="shared" si="1620"/>
        <v>Open Ad</v>
      </c>
      <c r="E5488" s="4" t="s">
        <v>121</v>
      </c>
      <c r="F5488" s="4" t="s">
        <v>6765</v>
      </c>
      <c r="G5488" s="4" t="s">
        <v>7184</v>
      </c>
      <c r="H5488" s="4" t="s">
        <v>49</v>
      </c>
      <c r="I5488" s="4" t="s">
        <v>7140</v>
      </c>
      <c r="J5488" s="4" t="s">
        <v>121</v>
      </c>
      <c r="K5488" s="7" t="str">
        <f t="shared" si="1621"/>
        <v>View Creative</v>
      </c>
      <c r="L5488" s="4" t="s">
        <v>60</v>
      </c>
      <c r="M5488" s="4" t="s">
        <v>1446</v>
      </c>
      <c r="N5488" s="4"/>
      <c r="O5488" s="4" t="s">
        <v>63</v>
      </c>
      <c r="P5488" s="4" t="s">
        <v>64</v>
      </c>
    </row>
    <row r="5489">
      <c r="A5489" s="4" t="s">
        <v>1446</v>
      </c>
      <c r="B5489" s="4" t="s">
        <v>7138</v>
      </c>
      <c r="C5489" s="4">
        <v>471.0</v>
      </c>
      <c r="D5489" s="5" t="str">
        <f t="shared" ref="D5489:D5490" si="1622">HYPERLINK("https://www.linkedin.com/ad-library/detail/827146264","Open Ad")</f>
        <v>Open Ad</v>
      </c>
      <c r="E5489" s="4" t="s">
        <v>78</v>
      </c>
      <c r="F5489" s="4" t="s">
        <v>6765</v>
      </c>
      <c r="G5489" s="4" t="s">
        <v>7315</v>
      </c>
      <c r="H5489" s="4" t="s">
        <v>49</v>
      </c>
      <c r="I5489" s="4" t="s">
        <v>7140</v>
      </c>
      <c r="J5489" s="4" t="s">
        <v>78</v>
      </c>
      <c r="K5489" s="7" t="str">
        <f t="shared" ref="K5489:K5490" si="1623">HYPERLINK("https://media.licdn.com/dms/image/v2/D5622AQFU5fmQ4he9AQ/feedshare-image-high-res/B56ZhTGJdzHUAs-/0/1753740777712?e=2147483647&amp;v=beta&amp;t=56q5Lo5w-Ayrg9gPrsjPmsOqJeXUxSfqkPPTVhRnVso","View Creative")</f>
        <v>View Creative</v>
      </c>
      <c r="L5489" s="4" t="s">
        <v>60</v>
      </c>
      <c r="M5489" s="4" t="s">
        <v>1446</v>
      </c>
      <c r="N5489" s="4"/>
      <c r="O5489" s="4" t="s">
        <v>63</v>
      </c>
      <c r="P5489" s="4" t="s">
        <v>64</v>
      </c>
    </row>
    <row r="5490">
      <c r="A5490" s="4" t="s">
        <v>1446</v>
      </c>
      <c r="B5490" s="4" t="s">
        <v>7138</v>
      </c>
      <c r="C5490" s="4">
        <v>472.0</v>
      </c>
      <c r="D5490" s="5" t="str">
        <f t="shared" si="1622"/>
        <v>Open Ad</v>
      </c>
      <c r="E5490" s="4" t="s">
        <v>78</v>
      </c>
      <c r="F5490" s="4" t="s">
        <v>6765</v>
      </c>
      <c r="G5490" s="4" t="s">
        <v>7315</v>
      </c>
      <c r="H5490" s="4" t="s">
        <v>49</v>
      </c>
      <c r="I5490" s="4" t="s">
        <v>7140</v>
      </c>
      <c r="J5490" s="4" t="s">
        <v>78</v>
      </c>
      <c r="K5490" s="7" t="str">
        <f t="shared" si="1623"/>
        <v>View Creative</v>
      </c>
      <c r="L5490" s="4" t="s">
        <v>60</v>
      </c>
      <c r="M5490" s="4" t="s">
        <v>1446</v>
      </c>
      <c r="N5490" s="4"/>
      <c r="O5490" s="4" t="s">
        <v>63</v>
      </c>
      <c r="P5490" s="4" t="s">
        <v>64</v>
      </c>
    </row>
    <row r="5491">
      <c r="A5491" s="4" t="s">
        <v>1446</v>
      </c>
      <c r="B5491" s="4" t="s">
        <v>7138</v>
      </c>
      <c r="C5491" s="4">
        <v>473.0</v>
      </c>
      <c r="D5491" s="5" t="str">
        <f t="shared" ref="D5491:D5492" si="1624">HYPERLINK("https://www.linkedin.com/ad-library/detail/766335974","Open Ad")</f>
        <v>Open Ad</v>
      </c>
      <c r="E5491" s="4" t="s">
        <v>78</v>
      </c>
      <c r="F5491" s="4" t="s">
        <v>6765</v>
      </c>
      <c r="G5491" s="4" t="s">
        <v>7316</v>
      </c>
      <c r="H5491" s="4" t="s">
        <v>49</v>
      </c>
      <c r="I5491" s="4" t="s">
        <v>7140</v>
      </c>
      <c r="J5491" s="4" t="s">
        <v>78</v>
      </c>
      <c r="K5491" s="7" t="str">
        <f t="shared" ref="K5491:K5492" si="1625">HYPERLINK("https://media.licdn.com/dms/image/v2/D5622AQGen1HBEHd6Hg/feedshare-shrink_1280/B56ZgtXJK.G4Aw-/0/1753107700172?e=2147483647&amp;v=beta&amp;t=S4xIihhrCvYHKnZViCs6_u9xTMf9biMA4xeqzjaVxzo","View Creative")</f>
        <v>View Creative</v>
      </c>
      <c r="L5491" s="4" t="s">
        <v>60</v>
      </c>
      <c r="M5491" s="4" t="s">
        <v>1446</v>
      </c>
      <c r="N5491" s="4"/>
      <c r="O5491" s="4" t="s">
        <v>63</v>
      </c>
      <c r="P5491" s="4" t="s">
        <v>64</v>
      </c>
    </row>
    <row r="5492">
      <c r="A5492" s="4" t="s">
        <v>1446</v>
      </c>
      <c r="B5492" s="4" t="s">
        <v>7138</v>
      </c>
      <c r="C5492" s="4">
        <v>474.0</v>
      </c>
      <c r="D5492" s="5" t="str">
        <f t="shared" si="1624"/>
        <v>Open Ad</v>
      </c>
      <c r="E5492" s="4" t="s">
        <v>78</v>
      </c>
      <c r="F5492" s="4" t="s">
        <v>6765</v>
      </c>
      <c r="G5492" s="4" t="s">
        <v>7316</v>
      </c>
      <c r="H5492" s="4" t="s">
        <v>49</v>
      </c>
      <c r="I5492" s="4" t="s">
        <v>7140</v>
      </c>
      <c r="J5492" s="4" t="s">
        <v>78</v>
      </c>
      <c r="K5492" s="7" t="str">
        <f t="shared" si="1625"/>
        <v>View Creative</v>
      </c>
      <c r="L5492" s="4" t="s">
        <v>60</v>
      </c>
      <c r="M5492" s="4" t="s">
        <v>1446</v>
      </c>
      <c r="N5492" s="4"/>
      <c r="O5492" s="4" t="s">
        <v>63</v>
      </c>
      <c r="P5492" s="4" t="s">
        <v>64</v>
      </c>
    </row>
    <row r="5493">
      <c r="A5493" s="4" t="s">
        <v>1446</v>
      </c>
      <c r="B5493" s="4" t="s">
        <v>7138</v>
      </c>
      <c r="C5493" s="4">
        <v>475.0</v>
      </c>
      <c r="D5493" s="5" t="str">
        <f t="shared" ref="D5493:D5494" si="1626">HYPERLINK("https://www.linkedin.com/ad-library/detail/714578744","Open Ad")</f>
        <v>Open Ad</v>
      </c>
      <c r="E5493" s="4" t="s">
        <v>78</v>
      </c>
      <c r="F5493" s="4" t="s">
        <v>6765</v>
      </c>
      <c r="G5493" s="4" t="s">
        <v>7317</v>
      </c>
      <c r="H5493" s="4" t="s">
        <v>49</v>
      </c>
      <c r="I5493" s="4" t="s">
        <v>7140</v>
      </c>
      <c r="J5493" s="4" t="s">
        <v>78</v>
      </c>
      <c r="K5493" s="7" t="str">
        <f t="shared" ref="K5493:K5494" si="1627">HYPERLINK("https://media.licdn.com/dms/image/v2/D5622AQEB6KqkeR-1vw/feedshare-shrink_1280/B56ZfmCGtMHoAo-/0/1751911001401?e=2147483647&amp;v=beta&amp;t=e6wT7R-GCe9onlI383NgdAOIxF3G34nb0Qfyn2gnOLA","View Creative")</f>
        <v>View Creative</v>
      </c>
      <c r="L5493" s="4" t="s">
        <v>60</v>
      </c>
      <c r="M5493" s="4" t="s">
        <v>1446</v>
      </c>
      <c r="N5493" s="4"/>
      <c r="O5493" s="4" t="s">
        <v>63</v>
      </c>
      <c r="P5493" s="4" t="s">
        <v>64</v>
      </c>
    </row>
    <row r="5494">
      <c r="A5494" s="4" t="s">
        <v>1446</v>
      </c>
      <c r="B5494" s="4" t="s">
        <v>7138</v>
      </c>
      <c r="C5494" s="4">
        <v>476.0</v>
      </c>
      <c r="D5494" s="5" t="str">
        <f t="shared" si="1626"/>
        <v>Open Ad</v>
      </c>
      <c r="E5494" s="4" t="s">
        <v>78</v>
      </c>
      <c r="F5494" s="4" t="s">
        <v>6765</v>
      </c>
      <c r="G5494" s="4" t="s">
        <v>7317</v>
      </c>
      <c r="H5494" s="4" t="s">
        <v>49</v>
      </c>
      <c r="I5494" s="4" t="s">
        <v>7140</v>
      </c>
      <c r="J5494" s="4" t="s">
        <v>78</v>
      </c>
      <c r="K5494" s="7" t="str">
        <f t="shared" si="1627"/>
        <v>View Creative</v>
      </c>
      <c r="L5494" s="4" t="s">
        <v>60</v>
      </c>
      <c r="M5494" s="4" t="s">
        <v>1446</v>
      </c>
      <c r="N5494" s="4"/>
      <c r="O5494" s="4" t="s">
        <v>63</v>
      </c>
      <c r="P5494" s="4" t="s">
        <v>64</v>
      </c>
    </row>
    <row r="5495">
      <c r="A5495" s="4" t="s">
        <v>1446</v>
      </c>
      <c r="B5495" s="4" t="s">
        <v>7138</v>
      </c>
      <c r="C5495" s="4">
        <v>477.0</v>
      </c>
      <c r="D5495" s="5" t="str">
        <f t="shared" ref="D5495:D5496" si="1628">HYPERLINK("https://www.linkedin.com/ad-library/detail/733509394","Open Ad")</f>
        <v>Open Ad</v>
      </c>
      <c r="E5495" s="4" t="s">
        <v>121</v>
      </c>
      <c r="F5495" s="4" t="s">
        <v>6765</v>
      </c>
      <c r="G5495" s="4" t="s">
        <v>7314</v>
      </c>
      <c r="H5495" s="4" t="s">
        <v>49</v>
      </c>
      <c r="I5495" s="4" t="s">
        <v>7140</v>
      </c>
      <c r="J5495" s="4" t="s">
        <v>121</v>
      </c>
      <c r="K5495" s="7" t="str">
        <f t="shared" ref="K5495:K5496" si="1629">HYPERLINK("https://dms.licdn.com/playlist/vid/v2/D4E10AQFDTuUq8TW_gA/mp4-720p-30fp-crf28/B4EZiuF2J2GYCQ-/0/1755267436005/2507-Srunch-LinkedInAds-Vertical-KG-A-03mp4?e=2147483647&amp;v=beta&amp;t=N_6VtDyHiktflg4dMooWn8kvmOoEqI9I_5snBiKPBDw","View Creative")</f>
        <v>View Creative</v>
      </c>
      <c r="L5495" s="4" t="s">
        <v>60</v>
      </c>
      <c r="M5495" s="4" t="s">
        <v>1446</v>
      </c>
      <c r="N5495" s="4"/>
      <c r="O5495" s="4" t="s">
        <v>63</v>
      </c>
      <c r="P5495" s="4" t="s">
        <v>64</v>
      </c>
    </row>
    <row r="5496">
      <c r="A5496" s="4" t="s">
        <v>1446</v>
      </c>
      <c r="B5496" s="4" t="s">
        <v>7138</v>
      </c>
      <c r="C5496" s="4">
        <v>478.0</v>
      </c>
      <c r="D5496" s="5" t="str">
        <f t="shared" si="1628"/>
        <v>Open Ad</v>
      </c>
      <c r="E5496" s="4" t="s">
        <v>121</v>
      </c>
      <c r="F5496" s="4" t="s">
        <v>6765</v>
      </c>
      <c r="G5496" s="4" t="s">
        <v>7314</v>
      </c>
      <c r="H5496" s="4" t="s">
        <v>49</v>
      </c>
      <c r="I5496" s="4" t="s">
        <v>7140</v>
      </c>
      <c r="J5496" s="4" t="s">
        <v>121</v>
      </c>
      <c r="K5496" s="7" t="str">
        <f t="shared" si="1629"/>
        <v>View Creative</v>
      </c>
      <c r="L5496" s="4" t="s">
        <v>60</v>
      </c>
      <c r="M5496" s="4" t="s">
        <v>1446</v>
      </c>
      <c r="N5496" s="4"/>
      <c r="O5496" s="4" t="s">
        <v>63</v>
      </c>
      <c r="P5496" s="4" t="s">
        <v>64</v>
      </c>
    </row>
    <row r="5497">
      <c r="A5497" s="4" t="s">
        <v>1446</v>
      </c>
      <c r="B5497" s="4" t="s">
        <v>7138</v>
      </c>
      <c r="C5497" s="4">
        <v>479.0</v>
      </c>
      <c r="D5497" s="5" t="str">
        <f t="shared" ref="D5497:D5498" si="1630">HYPERLINK("https://www.linkedin.com/ad-library/detail/827047674","Open Ad")</f>
        <v>Open Ad</v>
      </c>
      <c r="E5497" s="4" t="s">
        <v>121</v>
      </c>
      <c r="F5497" s="4" t="s">
        <v>6765</v>
      </c>
      <c r="G5497" s="4" t="s">
        <v>7177</v>
      </c>
      <c r="H5497" s="4" t="s">
        <v>49</v>
      </c>
      <c r="I5497" s="4" t="s">
        <v>7140</v>
      </c>
      <c r="J5497" s="4" t="s">
        <v>121</v>
      </c>
      <c r="K5497" s="7" t="str">
        <f t="shared" ref="K5497:K5498" si="1631">HYPERLINK("https://dms.licdn.com/playlist/vid/v2/D5605AQEC0dg2UxS9Eg/mp4-640p-30fp-crf28/B56ZlTHaUaHUBg-/0/1758036109121?e=2147483647&amp;v=beta&amp;t=r2TUXg6IriE5bWcka5TTw3bcHXSbabgRxdDfRqQaIQ0","View Creative")</f>
        <v>View Creative</v>
      </c>
      <c r="L5497" s="4" t="s">
        <v>60</v>
      </c>
      <c r="M5497" s="4" t="s">
        <v>1446</v>
      </c>
      <c r="N5497" s="4"/>
      <c r="O5497" s="4" t="s">
        <v>63</v>
      </c>
      <c r="P5497" s="4" t="s">
        <v>64</v>
      </c>
    </row>
    <row r="5498">
      <c r="A5498" s="4" t="s">
        <v>1446</v>
      </c>
      <c r="B5498" s="4" t="s">
        <v>7138</v>
      </c>
      <c r="C5498" s="4">
        <v>480.0</v>
      </c>
      <c r="D5498" s="5" t="str">
        <f t="shared" si="1630"/>
        <v>Open Ad</v>
      </c>
      <c r="E5498" s="4" t="s">
        <v>121</v>
      </c>
      <c r="F5498" s="4" t="s">
        <v>6765</v>
      </c>
      <c r="G5498" s="4" t="s">
        <v>7177</v>
      </c>
      <c r="H5498" s="4" t="s">
        <v>49</v>
      </c>
      <c r="I5498" s="4" t="s">
        <v>7140</v>
      </c>
      <c r="J5498" s="4" t="s">
        <v>121</v>
      </c>
      <c r="K5498" s="7" t="str">
        <f t="shared" si="1631"/>
        <v>View Creative</v>
      </c>
      <c r="L5498" s="4" t="s">
        <v>60</v>
      </c>
      <c r="M5498" s="4" t="s">
        <v>1446</v>
      </c>
      <c r="N5498" s="4"/>
      <c r="O5498" s="4" t="s">
        <v>63</v>
      </c>
      <c r="P5498" s="4" t="s">
        <v>64</v>
      </c>
    </row>
    <row r="5499">
      <c r="A5499" s="4" t="s">
        <v>1446</v>
      </c>
      <c r="B5499" s="4" t="s">
        <v>7138</v>
      </c>
      <c r="C5499" s="4">
        <v>481.0</v>
      </c>
      <c r="D5499" s="5" t="str">
        <f t="shared" ref="D5499:D5500" si="1632">HYPERLINK("https://www.linkedin.com/ad-library/detail/750896824","Open Ad")</f>
        <v>Open Ad</v>
      </c>
      <c r="E5499" s="4" t="s">
        <v>121</v>
      </c>
      <c r="F5499" s="4" t="s">
        <v>6765</v>
      </c>
      <c r="G5499" s="4" t="s">
        <v>7184</v>
      </c>
      <c r="H5499" s="4" t="s">
        <v>49</v>
      </c>
      <c r="I5499" s="4" t="s">
        <v>7140</v>
      </c>
      <c r="J5499" s="4" t="s">
        <v>121</v>
      </c>
      <c r="K5499" s="7" t="str">
        <f t="shared" ref="K5499:K5500" si="1633">HYPERLINK("https://dms.licdn.com/playlist/vid/v2/D5605AQE0F7ZDIPBBTA/mp4-720p-30fp-crf28/B56Zkv4WpiHMBw-/0/1757445067909?e=2147483647&amp;v=beta&amp;t=SsVsQm34F-kSMWOhLdKS6pPdDhnQyddTlZHda5YEUDQ","View Creative")</f>
        <v>View Creative</v>
      </c>
      <c r="L5499" s="4" t="s">
        <v>60</v>
      </c>
      <c r="M5499" s="4" t="s">
        <v>1446</v>
      </c>
      <c r="N5499" s="4"/>
      <c r="O5499" s="4" t="s">
        <v>63</v>
      </c>
      <c r="P5499" s="4" t="s">
        <v>64</v>
      </c>
    </row>
    <row r="5500">
      <c r="A5500" s="4" t="s">
        <v>1446</v>
      </c>
      <c r="B5500" s="4" t="s">
        <v>7138</v>
      </c>
      <c r="C5500" s="4">
        <v>482.0</v>
      </c>
      <c r="D5500" s="5" t="str">
        <f t="shared" si="1632"/>
        <v>Open Ad</v>
      </c>
      <c r="E5500" s="4" t="s">
        <v>121</v>
      </c>
      <c r="F5500" s="4" t="s">
        <v>6765</v>
      </c>
      <c r="G5500" s="4" t="s">
        <v>7184</v>
      </c>
      <c r="H5500" s="4" t="s">
        <v>49</v>
      </c>
      <c r="I5500" s="4" t="s">
        <v>7140</v>
      </c>
      <c r="J5500" s="4" t="s">
        <v>121</v>
      </c>
      <c r="K5500" s="7" t="str">
        <f t="shared" si="1633"/>
        <v>View Creative</v>
      </c>
      <c r="L5500" s="4" t="s">
        <v>60</v>
      </c>
      <c r="M5500" s="4" t="s">
        <v>1446</v>
      </c>
      <c r="N5500" s="4"/>
      <c r="O5500" s="4" t="s">
        <v>63</v>
      </c>
      <c r="P5500" s="4" t="s">
        <v>64</v>
      </c>
    </row>
    <row r="5501">
      <c r="A5501" s="4" t="s">
        <v>1446</v>
      </c>
      <c r="B5501" s="4" t="s">
        <v>7138</v>
      </c>
      <c r="C5501" s="4">
        <v>483.0</v>
      </c>
      <c r="D5501" s="5" t="str">
        <f t="shared" ref="D5501:D5502" si="1634">HYPERLINK("https://www.linkedin.com/ad-library/detail/714422864","Open Ad")</f>
        <v>Open Ad</v>
      </c>
      <c r="E5501" s="4" t="s">
        <v>78</v>
      </c>
      <c r="F5501" s="4" t="s">
        <v>6765</v>
      </c>
      <c r="G5501" s="4" t="s">
        <v>7318</v>
      </c>
      <c r="H5501" s="4" t="s">
        <v>7319</v>
      </c>
      <c r="I5501" s="4" t="s">
        <v>7140</v>
      </c>
      <c r="J5501" s="4" t="s">
        <v>78</v>
      </c>
      <c r="K5501" s="7" t="str">
        <f t="shared" ref="K5501:K5502" si="1635">HYPERLINK("https://media.licdn.com/dms/image/v2/D5622AQG7DnUIM3L6ag/feedshare-shrink_1280/B56Zf1_mtSGUAs-/0/1752178781588?e=2147483647&amp;v=beta&amp;t=1MHf0yvyjUKAJfLPRqZKPZZRK4BFbjDiRsBLs5awPb4","View Creative")</f>
        <v>View Creative</v>
      </c>
      <c r="L5501" s="4" t="s">
        <v>60</v>
      </c>
      <c r="M5501" s="4" t="s">
        <v>1446</v>
      </c>
      <c r="N5501" s="4"/>
      <c r="O5501" s="4" t="s">
        <v>63</v>
      </c>
      <c r="P5501" s="4" t="s">
        <v>64</v>
      </c>
    </row>
    <row r="5502">
      <c r="A5502" s="4" t="s">
        <v>1446</v>
      </c>
      <c r="B5502" s="4" t="s">
        <v>7138</v>
      </c>
      <c r="C5502" s="4">
        <v>484.0</v>
      </c>
      <c r="D5502" s="5" t="str">
        <f t="shared" si="1634"/>
        <v>Open Ad</v>
      </c>
      <c r="E5502" s="4" t="s">
        <v>78</v>
      </c>
      <c r="F5502" s="4" t="s">
        <v>6765</v>
      </c>
      <c r="G5502" s="4" t="s">
        <v>7318</v>
      </c>
      <c r="H5502" s="4" t="s">
        <v>7319</v>
      </c>
      <c r="I5502" s="4" t="s">
        <v>7140</v>
      </c>
      <c r="J5502" s="4" t="s">
        <v>78</v>
      </c>
      <c r="K5502" s="7" t="str">
        <f t="shared" si="1635"/>
        <v>View Creative</v>
      </c>
      <c r="L5502" s="4" t="s">
        <v>60</v>
      </c>
      <c r="M5502" s="4" t="s">
        <v>1446</v>
      </c>
      <c r="N5502" s="4"/>
      <c r="O5502" s="4" t="s">
        <v>63</v>
      </c>
      <c r="P5502" s="4" t="s">
        <v>64</v>
      </c>
    </row>
    <row r="5503">
      <c r="A5503" s="4" t="s">
        <v>1446</v>
      </c>
      <c r="B5503" s="4" t="s">
        <v>7138</v>
      </c>
      <c r="C5503" s="4">
        <v>485.0</v>
      </c>
      <c r="D5503" s="5" t="str">
        <f t="shared" ref="D5503:D5504" si="1636">HYPERLINK("https://www.linkedin.com/ad-library/detail/827077604","Open Ad")</f>
        <v>Open Ad</v>
      </c>
      <c r="E5503" s="4" t="s">
        <v>121</v>
      </c>
      <c r="F5503" s="4" t="s">
        <v>6765</v>
      </c>
      <c r="G5503" s="4" t="s">
        <v>7309</v>
      </c>
      <c r="H5503" s="4" t="s">
        <v>49</v>
      </c>
      <c r="I5503" s="4" t="s">
        <v>7140</v>
      </c>
      <c r="J5503" s="4" t="s">
        <v>121</v>
      </c>
      <c r="K5503" s="7" t="str">
        <f t="shared" ref="K5503:K5504" si="1637">HYPERLINK("https://dms.licdn.com/playlist/vid/v2/D5605AQFI8sTra5Yk1w/mp4-720p-30fp-crf28/B56ZmWWGCsJkBk-/0/1759164212144?e=2147483647&amp;v=beta&amp;t=9sc9XSz0ro19Xhr5ym4lQF5SnjXX4QT4hE3jHkpUQcM","View Creative")</f>
        <v>View Creative</v>
      </c>
      <c r="L5503" s="4" t="s">
        <v>60</v>
      </c>
      <c r="M5503" s="4" t="s">
        <v>1446</v>
      </c>
      <c r="N5503" s="4"/>
      <c r="O5503" s="4" t="s">
        <v>63</v>
      </c>
      <c r="P5503" s="4" t="s">
        <v>64</v>
      </c>
    </row>
    <row r="5504">
      <c r="A5504" s="4" t="s">
        <v>1446</v>
      </c>
      <c r="B5504" s="4" t="s">
        <v>7138</v>
      </c>
      <c r="C5504" s="4">
        <v>486.0</v>
      </c>
      <c r="D5504" s="5" t="str">
        <f t="shared" si="1636"/>
        <v>Open Ad</v>
      </c>
      <c r="E5504" s="4" t="s">
        <v>121</v>
      </c>
      <c r="F5504" s="4" t="s">
        <v>6765</v>
      </c>
      <c r="G5504" s="4" t="s">
        <v>7309</v>
      </c>
      <c r="H5504" s="4" t="s">
        <v>49</v>
      </c>
      <c r="I5504" s="4" t="s">
        <v>7140</v>
      </c>
      <c r="J5504" s="4" t="s">
        <v>121</v>
      </c>
      <c r="K5504" s="7" t="str">
        <f t="shared" si="1637"/>
        <v>View Creative</v>
      </c>
      <c r="L5504" s="4" t="s">
        <v>60</v>
      </c>
      <c r="M5504" s="4" t="s">
        <v>1446</v>
      </c>
      <c r="N5504" s="4"/>
      <c r="O5504" s="4" t="s">
        <v>63</v>
      </c>
      <c r="P5504" s="4" t="s">
        <v>64</v>
      </c>
    </row>
    <row r="5505">
      <c r="A5505" s="4" t="s">
        <v>1446</v>
      </c>
      <c r="B5505" s="4" t="s">
        <v>7138</v>
      </c>
      <c r="C5505" s="4">
        <v>487.0</v>
      </c>
      <c r="D5505" s="5" t="str">
        <f t="shared" ref="D5505:D5506" si="1638">HYPERLINK("https://www.linkedin.com/ad-library/detail/717268434","Open Ad")</f>
        <v>Open Ad</v>
      </c>
      <c r="E5505" s="4" t="s">
        <v>78</v>
      </c>
      <c r="F5505" s="4" t="s">
        <v>6765</v>
      </c>
      <c r="G5505" s="4" t="s">
        <v>7307</v>
      </c>
      <c r="H5505" s="4" t="s">
        <v>49</v>
      </c>
      <c r="I5505" s="4" t="s">
        <v>7140</v>
      </c>
      <c r="J5505" s="4" t="s">
        <v>78</v>
      </c>
      <c r="K5505" s="7" t="str">
        <f t="shared" ref="K5505:K5506" si="1639">HYPERLINK("https://media.licdn.com/dms/image/sync/v2/D4D27AQH_JGINraWyBA/articleshare-shrink_1280_800/B4DZgyzpmQGsAQ-/0/1776365108072?e=2147483647&amp;v=beta&amp;t=KxkNB9_bX4DraQLG8on_7GuisRNE3Z477OYaNHFfkDQ","View Creative")</f>
        <v>View Creative</v>
      </c>
      <c r="L5505" s="4" t="s">
        <v>60</v>
      </c>
      <c r="M5505" s="4" t="s">
        <v>1446</v>
      </c>
      <c r="N5505" s="4"/>
      <c r="O5505" s="4" t="s">
        <v>63</v>
      </c>
      <c r="P5505" s="4" t="s">
        <v>64</v>
      </c>
    </row>
    <row r="5506">
      <c r="A5506" s="4" t="s">
        <v>1446</v>
      </c>
      <c r="B5506" s="4" t="s">
        <v>7138</v>
      </c>
      <c r="C5506" s="4">
        <v>488.0</v>
      </c>
      <c r="D5506" s="5" t="str">
        <f t="shared" si="1638"/>
        <v>Open Ad</v>
      </c>
      <c r="E5506" s="4" t="s">
        <v>78</v>
      </c>
      <c r="F5506" s="4" t="s">
        <v>6765</v>
      </c>
      <c r="G5506" s="4" t="s">
        <v>7307</v>
      </c>
      <c r="H5506" s="4" t="s">
        <v>49</v>
      </c>
      <c r="I5506" s="4" t="s">
        <v>7140</v>
      </c>
      <c r="J5506" s="4" t="s">
        <v>78</v>
      </c>
      <c r="K5506" s="7" t="str">
        <f t="shared" si="1639"/>
        <v>View Creative</v>
      </c>
      <c r="L5506" s="4" t="s">
        <v>60</v>
      </c>
      <c r="M5506" s="4" t="s">
        <v>1446</v>
      </c>
      <c r="N5506" s="4"/>
      <c r="O5506" s="4" t="s">
        <v>63</v>
      </c>
      <c r="P5506" s="4" t="s">
        <v>64</v>
      </c>
    </row>
    <row r="5507">
      <c r="A5507" s="4" t="s">
        <v>1446</v>
      </c>
      <c r="B5507" s="4" t="s">
        <v>7138</v>
      </c>
      <c r="C5507" s="4">
        <v>489.0</v>
      </c>
      <c r="D5507" s="5" t="str">
        <f t="shared" ref="D5507:D5508" si="1640">HYPERLINK("https://www.linkedin.com/ad-library/detail/827127154","Open Ad")</f>
        <v>Open Ad</v>
      </c>
      <c r="E5507" s="4" t="s">
        <v>121</v>
      </c>
      <c r="F5507" s="4" t="s">
        <v>6765</v>
      </c>
      <c r="G5507" s="4" t="s">
        <v>7305</v>
      </c>
      <c r="H5507" s="4" t="s">
        <v>49</v>
      </c>
      <c r="I5507" s="4" t="s">
        <v>7140</v>
      </c>
      <c r="J5507" s="4" t="s">
        <v>121</v>
      </c>
      <c r="K5507" s="7" t="str">
        <f t="shared" ref="K5507:K5508" si="1641">HYPERLINK("https://dms.licdn.com/playlist/vid/v2/D4D05AQEXzuEN8JKKtw/mp4-640p-30fp-crf28/B4DZkvBut2JUB0-/0/1757430655070?e=2147483647&amp;v=beta&amp;t=x3vqNPp8mELYBYANSh9yldmLJI3sUngwKi6B3xNXxvw","View Creative")</f>
        <v>View Creative</v>
      </c>
      <c r="L5507" s="4" t="s">
        <v>60</v>
      </c>
      <c r="M5507" s="4" t="s">
        <v>1446</v>
      </c>
      <c r="N5507" s="4"/>
      <c r="O5507" s="4" t="s">
        <v>63</v>
      </c>
      <c r="P5507" s="4" t="s">
        <v>64</v>
      </c>
    </row>
    <row r="5508">
      <c r="A5508" s="4" t="s">
        <v>1446</v>
      </c>
      <c r="B5508" s="4" t="s">
        <v>7138</v>
      </c>
      <c r="C5508" s="4">
        <v>490.0</v>
      </c>
      <c r="D5508" s="5" t="str">
        <f t="shared" si="1640"/>
        <v>Open Ad</v>
      </c>
      <c r="E5508" s="4" t="s">
        <v>121</v>
      </c>
      <c r="F5508" s="4" t="s">
        <v>6765</v>
      </c>
      <c r="G5508" s="4" t="s">
        <v>7305</v>
      </c>
      <c r="H5508" s="4" t="s">
        <v>49</v>
      </c>
      <c r="I5508" s="4" t="s">
        <v>7140</v>
      </c>
      <c r="J5508" s="4" t="s">
        <v>121</v>
      </c>
      <c r="K5508" s="7" t="str">
        <f t="shared" si="1641"/>
        <v>View Creative</v>
      </c>
      <c r="L5508" s="4" t="s">
        <v>60</v>
      </c>
      <c r="M5508" s="4" t="s">
        <v>1446</v>
      </c>
      <c r="N5508" s="4"/>
      <c r="O5508" s="4" t="s">
        <v>63</v>
      </c>
      <c r="P5508" s="4" t="s">
        <v>64</v>
      </c>
    </row>
    <row r="5509">
      <c r="A5509" s="4" t="s">
        <v>1446</v>
      </c>
      <c r="B5509" s="4" t="s">
        <v>7138</v>
      </c>
      <c r="C5509" s="4">
        <v>491.0</v>
      </c>
      <c r="D5509" s="5" t="str">
        <f t="shared" ref="D5509:D5510" si="1642">HYPERLINK("https://www.linkedin.com/ad-library/detail/717268424","Open Ad")</f>
        <v>Open Ad</v>
      </c>
      <c r="E5509" s="4" t="s">
        <v>78</v>
      </c>
      <c r="F5509" s="4" t="s">
        <v>6765</v>
      </c>
      <c r="G5509" s="4" t="s">
        <v>7320</v>
      </c>
      <c r="H5509" s="4" t="s">
        <v>49</v>
      </c>
      <c r="I5509" s="4" t="s">
        <v>7140</v>
      </c>
      <c r="J5509" s="4" t="s">
        <v>78</v>
      </c>
      <c r="K5509" s="7" t="str">
        <f t="shared" ref="K5509:K5510" si="1643">HYPERLINK("https://media.licdn.com/dms/image/v2/D5622AQFlbFo3BD0nxQ/feedshare-image-high-res/B56ZgzI5UAH0Aw-/0/1753204628171?e=2147483647&amp;v=beta&amp;t=CnfW-88fgxbB_dMrac-iwuzMh5t-oE_gZpyB6igmHhg","View Creative")</f>
        <v>View Creative</v>
      </c>
      <c r="L5509" s="4" t="s">
        <v>60</v>
      </c>
      <c r="M5509" s="4" t="s">
        <v>1446</v>
      </c>
      <c r="N5509" s="4"/>
      <c r="O5509" s="4" t="s">
        <v>63</v>
      </c>
      <c r="P5509" s="4" t="s">
        <v>64</v>
      </c>
    </row>
    <row r="5510">
      <c r="A5510" s="4" t="s">
        <v>1446</v>
      </c>
      <c r="B5510" s="4" t="s">
        <v>7138</v>
      </c>
      <c r="C5510" s="4">
        <v>492.0</v>
      </c>
      <c r="D5510" s="5" t="str">
        <f t="shared" si="1642"/>
        <v>Open Ad</v>
      </c>
      <c r="E5510" s="4" t="s">
        <v>78</v>
      </c>
      <c r="F5510" s="4" t="s">
        <v>6765</v>
      </c>
      <c r="G5510" s="4" t="s">
        <v>7320</v>
      </c>
      <c r="H5510" s="4" t="s">
        <v>49</v>
      </c>
      <c r="I5510" s="4" t="s">
        <v>7140</v>
      </c>
      <c r="J5510" s="4" t="s">
        <v>78</v>
      </c>
      <c r="K5510" s="7" t="str">
        <f t="shared" si="1643"/>
        <v>View Creative</v>
      </c>
      <c r="L5510" s="4" t="s">
        <v>60</v>
      </c>
      <c r="M5510" s="4" t="s">
        <v>1446</v>
      </c>
      <c r="N5510" s="4"/>
      <c r="O5510" s="4" t="s">
        <v>63</v>
      </c>
      <c r="P5510" s="4" t="s">
        <v>64</v>
      </c>
    </row>
    <row r="5511">
      <c r="A5511" s="4" t="s">
        <v>1446</v>
      </c>
      <c r="B5511" s="4" t="s">
        <v>7138</v>
      </c>
      <c r="C5511" s="4">
        <v>493.0</v>
      </c>
      <c r="D5511" s="5" t="str">
        <f t="shared" ref="D5511:D5512" si="1644">HYPERLINK("https://www.linkedin.com/ad-library/detail/751027434","Open Ad")</f>
        <v>Open Ad</v>
      </c>
      <c r="E5511" s="4" t="s">
        <v>78</v>
      </c>
      <c r="F5511" s="4" t="s">
        <v>6765</v>
      </c>
      <c r="G5511" s="4" t="s">
        <v>7321</v>
      </c>
      <c r="H5511" s="4" t="s">
        <v>49</v>
      </c>
      <c r="I5511" s="4" t="s">
        <v>7140</v>
      </c>
      <c r="J5511" s="4" t="s">
        <v>78</v>
      </c>
      <c r="K5511" s="7" t="str">
        <f t="shared" ref="K5511:K5512" si="1645">HYPERLINK("https://media.licdn.com/dms/image/v2/D4E22AQF5Zr2x_cy2Pg/feedshare-image-high-res/B4EZic3kQrGYAs-/0/1754978473506?e=2147483647&amp;v=beta&amp;t=Ue3pAVpPAZS6OCWs9RVZk0HRGA_CdSk95NYWiBjS7DU","View Creative")</f>
        <v>View Creative</v>
      </c>
      <c r="L5511" s="4" t="s">
        <v>60</v>
      </c>
      <c r="M5511" s="4" t="s">
        <v>1446</v>
      </c>
      <c r="N5511" s="4"/>
      <c r="O5511" s="4" t="s">
        <v>63</v>
      </c>
      <c r="P5511" s="4" t="s">
        <v>64</v>
      </c>
    </row>
    <row r="5512">
      <c r="A5512" s="4" t="s">
        <v>1446</v>
      </c>
      <c r="B5512" s="4" t="s">
        <v>7138</v>
      </c>
      <c r="C5512" s="4">
        <v>494.0</v>
      </c>
      <c r="D5512" s="5" t="str">
        <f t="shared" si="1644"/>
        <v>Open Ad</v>
      </c>
      <c r="E5512" s="4" t="s">
        <v>78</v>
      </c>
      <c r="F5512" s="4" t="s">
        <v>6765</v>
      </c>
      <c r="G5512" s="4" t="s">
        <v>7321</v>
      </c>
      <c r="H5512" s="4" t="s">
        <v>49</v>
      </c>
      <c r="I5512" s="4" t="s">
        <v>7140</v>
      </c>
      <c r="J5512" s="4" t="s">
        <v>78</v>
      </c>
      <c r="K5512" s="7" t="str">
        <f t="shared" si="1645"/>
        <v>View Creative</v>
      </c>
      <c r="L5512" s="4" t="s">
        <v>60</v>
      </c>
      <c r="M5512" s="4" t="s">
        <v>1446</v>
      </c>
      <c r="N5512" s="4"/>
      <c r="O5512" s="4" t="s">
        <v>63</v>
      </c>
      <c r="P5512" s="4" t="s">
        <v>64</v>
      </c>
    </row>
    <row r="5513">
      <c r="A5513" s="4" t="s">
        <v>1446</v>
      </c>
      <c r="B5513" s="4" t="s">
        <v>7138</v>
      </c>
      <c r="C5513" s="4">
        <v>495.0</v>
      </c>
      <c r="D5513" s="5" t="str">
        <f t="shared" ref="D5513:D5514" si="1646">HYPERLINK("https://www.linkedin.com/ad-library/detail/839185724","Open Ad")</f>
        <v>Open Ad</v>
      </c>
      <c r="E5513" s="4" t="s">
        <v>78</v>
      </c>
      <c r="F5513" s="4" t="s">
        <v>6765</v>
      </c>
      <c r="G5513" s="4" t="s">
        <v>7196</v>
      </c>
      <c r="H5513" s="4" t="s">
        <v>49</v>
      </c>
      <c r="I5513" s="4" t="s">
        <v>7140</v>
      </c>
      <c r="J5513" s="4" t="s">
        <v>78</v>
      </c>
      <c r="K5513" s="7" t="str">
        <f t="shared" ref="K5513:K5514" si="1647">HYPERLINK("https://media.licdn.com/dms/image/v2/D5622AQGo9_bFMxOuLA/feedshare-image-high-res/B56Zl3NffVJoAo-/0/1758641650656?e=2147483647&amp;v=beta&amp;t=nc7qQvk9vZoL1vbnj6_lM6slAxYZ8frA_D4qnCfNKmc","View Creative")</f>
        <v>View Creative</v>
      </c>
      <c r="L5513" s="4" t="s">
        <v>60</v>
      </c>
      <c r="M5513" s="4" t="s">
        <v>1446</v>
      </c>
      <c r="N5513" s="4"/>
      <c r="O5513" s="4" t="s">
        <v>63</v>
      </c>
      <c r="P5513" s="4" t="s">
        <v>64</v>
      </c>
    </row>
    <row r="5514">
      <c r="A5514" s="4" t="s">
        <v>1446</v>
      </c>
      <c r="B5514" s="4" t="s">
        <v>7138</v>
      </c>
      <c r="C5514" s="4">
        <v>496.0</v>
      </c>
      <c r="D5514" s="5" t="str">
        <f t="shared" si="1646"/>
        <v>Open Ad</v>
      </c>
      <c r="E5514" s="4" t="s">
        <v>78</v>
      </c>
      <c r="F5514" s="4" t="s">
        <v>6765</v>
      </c>
      <c r="G5514" s="4" t="s">
        <v>7196</v>
      </c>
      <c r="H5514" s="4" t="s">
        <v>49</v>
      </c>
      <c r="I5514" s="4" t="s">
        <v>7140</v>
      </c>
      <c r="J5514" s="4" t="s">
        <v>78</v>
      </c>
      <c r="K5514" s="7" t="str">
        <f t="shared" si="1647"/>
        <v>View Creative</v>
      </c>
      <c r="L5514" s="4" t="s">
        <v>60</v>
      </c>
      <c r="M5514" s="4" t="s">
        <v>1446</v>
      </c>
      <c r="N5514" s="4"/>
      <c r="O5514" s="4" t="s">
        <v>63</v>
      </c>
      <c r="P5514" s="4" t="s">
        <v>64</v>
      </c>
    </row>
    <row r="5515">
      <c r="A5515" s="4" t="s">
        <v>1446</v>
      </c>
      <c r="B5515" s="4" t="s">
        <v>7138</v>
      </c>
      <c r="C5515" s="4">
        <v>497.0</v>
      </c>
      <c r="D5515" s="5" t="str">
        <f t="shared" ref="D5515:D5516" si="1648">HYPERLINK("https://www.linkedin.com/ad-library/detail/733534074","Open Ad")</f>
        <v>Open Ad</v>
      </c>
      <c r="E5515" s="4" t="s">
        <v>121</v>
      </c>
      <c r="F5515" s="4" t="s">
        <v>6765</v>
      </c>
      <c r="G5515" s="4" t="s">
        <v>7313</v>
      </c>
      <c r="H5515" s="4" t="s">
        <v>49</v>
      </c>
      <c r="I5515" s="4" t="s">
        <v>7140</v>
      </c>
      <c r="J5515" s="4" t="s">
        <v>121</v>
      </c>
      <c r="K5515" s="7" t="str">
        <f t="shared" ref="K5515:K5516" si="1649">HYPERLINK("https://dms.licdn.com/playlist/vid/v2/D4E10AQEC8MzxyGDASQ/mp4-720p-30fp-crf28/B4EZiuHy6WHgCQ-/0/1755267937931/2507-Srunch-LinkedInAds-Vertical-KG-C-03mp4?e=2147483647&amp;v=beta&amp;t=8Vg6MQTRvV8eo0R8jURKQ_dHeY5XbkttAnVm7qX5opQ","View Creative")</f>
        <v>View Creative</v>
      </c>
      <c r="L5515" s="4" t="s">
        <v>60</v>
      </c>
      <c r="M5515" s="4" t="s">
        <v>1446</v>
      </c>
      <c r="N5515" s="4"/>
      <c r="O5515" s="4" t="s">
        <v>63</v>
      </c>
      <c r="P5515" s="4" t="s">
        <v>64</v>
      </c>
    </row>
    <row r="5516">
      <c r="A5516" s="4" t="s">
        <v>1446</v>
      </c>
      <c r="B5516" s="4" t="s">
        <v>7138</v>
      </c>
      <c r="C5516" s="4">
        <v>498.0</v>
      </c>
      <c r="D5516" s="5" t="str">
        <f t="shared" si="1648"/>
        <v>Open Ad</v>
      </c>
      <c r="E5516" s="4" t="s">
        <v>121</v>
      </c>
      <c r="F5516" s="4" t="s">
        <v>6765</v>
      </c>
      <c r="G5516" s="4" t="s">
        <v>7313</v>
      </c>
      <c r="H5516" s="4" t="s">
        <v>49</v>
      </c>
      <c r="I5516" s="4" t="s">
        <v>7140</v>
      </c>
      <c r="J5516" s="4" t="s">
        <v>121</v>
      </c>
      <c r="K5516" s="7" t="str">
        <f t="shared" si="1649"/>
        <v>View Creative</v>
      </c>
      <c r="L5516" s="4" t="s">
        <v>60</v>
      </c>
      <c r="M5516" s="4" t="s">
        <v>1446</v>
      </c>
      <c r="N5516" s="4"/>
      <c r="O5516" s="4" t="s">
        <v>63</v>
      </c>
      <c r="P5516" s="4" t="s">
        <v>64</v>
      </c>
    </row>
    <row r="5517">
      <c r="A5517" s="4" t="s">
        <v>1446</v>
      </c>
      <c r="B5517" s="4" t="s">
        <v>7138</v>
      </c>
      <c r="C5517" s="4">
        <v>499.0</v>
      </c>
      <c r="D5517" s="5" t="str">
        <f>HYPERLINK("https://www.linkedin.com/ad-library/detail/827057394","Open Ad")</f>
        <v>Open Ad</v>
      </c>
      <c r="E5517" s="4" t="s">
        <v>52</v>
      </c>
      <c r="F5517" s="4" t="s">
        <v>6765</v>
      </c>
      <c r="G5517" s="4" t="s">
        <v>7208</v>
      </c>
      <c r="H5517" s="4" t="s">
        <v>7174</v>
      </c>
      <c r="I5517" s="4" t="s">
        <v>7140</v>
      </c>
      <c r="J5517" s="4" t="s">
        <v>52</v>
      </c>
      <c r="K5517" s="4" t="s">
        <v>59</v>
      </c>
      <c r="L5517" s="4" t="s">
        <v>60</v>
      </c>
      <c r="M5517" s="4" t="s">
        <v>1446</v>
      </c>
      <c r="N5517" s="4"/>
      <c r="O5517" s="4" t="s">
        <v>63</v>
      </c>
      <c r="P5517" s="4" t="s">
        <v>64</v>
      </c>
    </row>
    <row r="5518">
      <c r="A5518" s="4" t="s">
        <v>1446</v>
      </c>
      <c r="B5518" s="4" t="s">
        <v>7138</v>
      </c>
      <c r="C5518" s="4">
        <v>500.0</v>
      </c>
      <c r="D5518" s="5" t="str">
        <f t="shared" ref="D5518:D5519" si="1650">HYPERLINK("https://www.linkedin.com/ad-library/detail/714549414","Open Ad")</f>
        <v>Open Ad</v>
      </c>
      <c r="E5518" s="4" t="s">
        <v>78</v>
      </c>
      <c r="F5518" s="4" t="s">
        <v>6765</v>
      </c>
      <c r="G5518" s="4" t="s">
        <v>7322</v>
      </c>
      <c r="H5518" s="4" t="s">
        <v>49</v>
      </c>
      <c r="I5518" s="4" t="s">
        <v>7140</v>
      </c>
      <c r="J5518" s="4" t="s">
        <v>78</v>
      </c>
      <c r="K5518" s="7" t="str">
        <f t="shared" ref="K5518:K5519" si="1651">HYPERLINK("https://media.licdn.com/dms/image/v2/D5622AQEdUYi2Mmt7FA/feedshare-shrink_1280/B56ZfsDWLMHcAk-/0/1752011990078?e=2147483647&amp;v=beta&amp;t=B-3cl1jFTH21GNSXrn8g-byz8Q1KMuwCASCphVW_uxM","View Creative")</f>
        <v>View Creative</v>
      </c>
      <c r="L5518" s="4" t="s">
        <v>60</v>
      </c>
      <c r="M5518" s="4" t="s">
        <v>1446</v>
      </c>
      <c r="N5518" s="4"/>
      <c r="O5518" s="4" t="s">
        <v>63</v>
      </c>
      <c r="P5518" s="4" t="s">
        <v>64</v>
      </c>
    </row>
    <row r="5519">
      <c r="A5519" s="4" t="s">
        <v>1446</v>
      </c>
      <c r="B5519" s="4" t="s">
        <v>7138</v>
      </c>
      <c r="C5519" s="4">
        <v>501.0</v>
      </c>
      <c r="D5519" s="5" t="str">
        <f t="shared" si="1650"/>
        <v>Open Ad</v>
      </c>
      <c r="E5519" s="4" t="s">
        <v>78</v>
      </c>
      <c r="F5519" s="4" t="s">
        <v>6765</v>
      </c>
      <c r="G5519" s="4" t="s">
        <v>7322</v>
      </c>
      <c r="H5519" s="4" t="s">
        <v>49</v>
      </c>
      <c r="I5519" s="4" t="s">
        <v>7140</v>
      </c>
      <c r="J5519" s="4" t="s">
        <v>78</v>
      </c>
      <c r="K5519" s="7" t="str">
        <f t="shared" si="1651"/>
        <v>View Creative</v>
      </c>
      <c r="L5519" s="4" t="s">
        <v>60</v>
      </c>
      <c r="M5519" s="4" t="s">
        <v>1446</v>
      </c>
      <c r="N5519" s="4"/>
      <c r="O5519" s="4" t="s">
        <v>63</v>
      </c>
      <c r="P5519" s="4" t="s">
        <v>64</v>
      </c>
    </row>
    <row r="5520">
      <c r="A5520" s="4"/>
      <c r="B5520" s="4"/>
      <c r="C5520" s="4"/>
      <c r="E5520" s="4"/>
      <c r="F5520" s="4"/>
      <c r="G5520" s="4"/>
      <c r="H5520" s="4"/>
      <c r="I5520" s="4"/>
      <c r="J5520" s="4"/>
      <c r="K5520" s="4"/>
      <c r="L5520" s="4"/>
      <c r="M5520" s="4"/>
      <c r="N5520" s="4"/>
      <c r="O5520" s="4"/>
      <c r="P5520" s="4"/>
    </row>
    <row r="5521">
      <c r="A5521" s="4" t="s">
        <v>6304</v>
      </c>
      <c r="B5521" s="4" t="s">
        <v>7323</v>
      </c>
      <c r="C5521" s="4">
        <v>1.0</v>
      </c>
      <c r="D5521" s="5" t="str">
        <f t="shared" ref="D5521:D5522" si="1652">HYPERLINK("https://www.linkedin.com/ad-library/detail/1515868463","Open Ad")</f>
        <v>Open Ad</v>
      </c>
      <c r="E5521" s="4" t="s">
        <v>121</v>
      </c>
      <c r="F5521" s="4" t="s">
        <v>6765</v>
      </c>
      <c r="G5521" s="4" t="s">
        <v>7324</v>
      </c>
      <c r="H5521" s="4" t="s">
        <v>611</v>
      </c>
      <c r="I5521" s="4" t="s">
        <v>7325</v>
      </c>
      <c r="J5521" s="4" t="s">
        <v>121</v>
      </c>
      <c r="K5521" s="7" t="str">
        <f t="shared" ref="K5521:K5522" si="1653">HYPERLINK("https://dms.licdn.com/playlist/vid/v2/D4D10AQGPdE3l1cbdwQ/mp4-360p-30fp-crf28/B4DaBhk_8wK4CE-/0/1788343487038?e=2147483647&amp;v=beta&amp;t=O_9_GPEbMg84wA117RFCK4ur1rHqUtKhG-KwhsZlNkQ","View Creative")</f>
        <v>View Creative</v>
      </c>
      <c r="L5521" s="4" t="s">
        <v>60</v>
      </c>
      <c r="M5521" s="4" t="s">
        <v>6304</v>
      </c>
      <c r="N5521" s="4" t="s">
        <v>7326</v>
      </c>
      <c r="O5521" s="4" t="s">
        <v>63</v>
      </c>
      <c r="P5521" s="4" t="s">
        <v>64</v>
      </c>
    </row>
    <row r="5522">
      <c r="A5522" s="4" t="s">
        <v>6304</v>
      </c>
      <c r="B5522" s="4" t="s">
        <v>7323</v>
      </c>
      <c r="C5522" s="4">
        <v>2.0</v>
      </c>
      <c r="D5522" s="5" t="str">
        <f t="shared" si="1652"/>
        <v>Open Ad</v>
      </c>
      <c r="E5522" s="4" t="s">
        <v>121</v>
      </c>
      <c r="F5522" s="4" t="s">
        <v>6765</v>
      </c>
      <c r="G5522" s="4" t="s">
        <v>7324</v>
      </c>
      <c r="H5522" s="4" t="s">
        <v>611</v>
      </c>
      <c r="I5522" s="4" t="s">
        <v>7325</v>
      </c>
      <c r="J5522" s="4" t="s">
        <v>121</v>
      </c>
      <c r="K5522" s="7" t="str">
        <f t="shared" si="1653"/>
        <v>View Creative</v>
      </c>
      <c r="L5522" s="4" t="s">
        <v>60</v>
      </c>
      <c r="M5522" s="4" t="s">
        <v>6304</v>
      </c>
      <c r="N5522" s="4" t="s">
        <v>7326</v>
      </c>
      <c r="O5522" s="4" t="s">
        <v>63</v>
      </c>
      <c r="P5522" s="4" t="s">
        <v>64</v>
      </c>
    </row>
    <row r="5523">
      <c r="A5523" s="4" t="s">
        <v>6304</v>
      </c>
      <c r="B5523" s="4" t="s">
        <v>7323</v>
      </c>
      <c r="C5523" s="4">
        <v>3.0</v>
      </c>
      <c r="D5523" s="5" t="str">
        <f t="shared" ref="D5523:D5524" si="1654">HYPERLINK("https://www.linkedin.com/ad-library/detail/1470855033","Open Ad")</f>
        <v>Open Ad</v>
      </c>
      <c r="E5523" s="4" t="s">
        <v>78</v>
      </c>
      <c r="F5523" s="4" t="s">
        <v>6765</v>
      </c>
      <c r="G5523" s="4" t="s">
        <v>7327</v>
      </c>
      <c r="H5523" s="4" t="s">
        <v>49</v>
      </c>
      <c r="I5523" s="4" t="s">
        <v>7325</v>
      </c>
      <c r="J5523" s="4" t="s">
        <v>78</v>
      </c>
      <c r="K5523" s="7" t="str">
        <f t="shared" ref="K5523:K5524" si="1655">HYPERLINK("https://media.licdn.com/dms/image/v2/D4D22AQG1s-QCqO0wdA/feedshare-shrink_1280/B4DZ.xvQc3GkAM-/0/1785393383576?e=2147483647&amp;v=beta&amp;t=F1wz6wwJB6n8BgupM_ytBr8jfPYyU3ney1glc9FdLnU","View Creative")</f>
        <v>View Creative</v>
      </c>
      <c r="L5523" s="4" t="s">
        <v>60</v>
      </c>
      <c r="M5523" s="4" t="s">
        <v>6304</v>
      </c>
      <c r="N5523" s="4" t="s">
        <v>7328</v>
      </c>
      <c r="O5523" s="4" t="s">
        <v>63</v>
      </c>
      <c r="P5523" s="4" t="s">
        <v>64</v>
      </c>
    </row>
    <row r="5524">
      <c r="A5524" s="4" t="s">
        <v>6304</v>
      </c>
      <c r="B5524" s="4" t="s">
        <v>7323</v>
      </c>
      <c r="C5524" s="4">
        <v>4.0</v>
      </c>
      <c r="D5524" s="5" t="str">
        <f t="shared" si="1654"/>
        <v>Open Ad</v>
      </c>
      <c r="E5524" s="4" t="s">
        <v>78</v>
      </c>
      <c r="F5524" s="4" t="s">
        <v>6765</v>
      </c>
      <c r="G5524" s="4" t="s">
        <v>7327</v>
      </c>
      <c r="H5524" s="4" t="s">
        <v>49</v>
      </c>
      <c r="I5524" s="4" t="s">
        <v>7325</v>
      </c>
      <c r="J5524" s="4" t="s">
        <v>78</v>
      </c>
      <c r="K5524" s="7" t="str">
        <f t="shared" si="1655"/>
        <v>View Creative</v>
      </c>
      <c r="L5524" s="4" t="s">
        <v>60</v>
      </c>
      <c r="M5524" s="4" t="s">
        <v>6304</v>
      </c>
      <c r="N5524" s="4" t="s">
        <v>7328</v>
      </c>
      <c r="O5524" s="4" t="s">
        <v>63</v>
      </c>
      <c r="P5524" s="4" t="s">
        <v>64</v>
      </c>
    </row>
    <row r="5525">
      <c r="A5525" s="4" t="s">
        <v>6304</v>
      </c>
      <c r="B5525" s="4" t="s">
        <v>7323</v>
      </c>
      <c r="C5525" s="4">
        <v>5.0</v>
      </c>
      <c r="D5525" s="5" t="str">
        <f t="shared" ref="D5525:D5526" si="1656">HYPERLINK("https://www.linkedin.com/ad-library/detail/1478770513","Open Ad")</f>
        <v>Open Ad</v>
      </c>
      <c r="E5525" s="4" t="s">
        <v>78</v>
      </c>
      <c r="F5525" s="4" t="s">
        <v>6765</v>
      </c>
      <c r="G5525" s="4" t="s">
        <v>7329</v>
      </c>
      <c r="H5525" s="4" t="s">
        <v>7330</v>
      </c>
      <c r="I5525" s="4" t="s">
        <v>7325</v>
      </c>
      <c r="J5525" s="4" t="s">
        <v>78</v>
      </c>
      <c r="K5525" s="7" t="str">
        <f t="shared" ref="K5525:K5526" si="1657">HYPERLINK("https://media.licdn.com/dms/image/v2/D4E22AQFxIKvDWa1C-Q/feedshare-image-high-res/B4EZ_57hDtHwAU-/0/1786604556810?e=2147483647&amp;v=beta&amp;t=shbWhPpciIQGLQ3uwpfap1bVvkbPPfGlMF0Af7MK4eQ","View Creative")</f>
        <v>View Creative</v>
      </c>
      <c r="L5525" s="4" t="s">
        <v>60</v>
      </c>
      <c r="M5525" s="4" t="s">
        <v>6304</v>
      </c>
      <c r="N5525" s="4" t="s">
        <v>7331</v>
      </c>
      <c r="O5525" s="4" t="s">
        <v>63</v>
      </c>
      <c r="P5525" s="4" t="s">
        <v>64</v>
      </c>
    </row>
    <row r="5526">
      <c r="A5526" s="4" t="s">
        <v>6304</v>
      </c>
      <c r="B5526" s="4" t="s">
        <v>7323</v>
      </c>
      <c r="C5526" s="4">
        <v>6.0</v>
      </c>
      <c r="D5526" s="5" t="str">
        <f t="shared" si="1656"/>
        <v>Open Ad</v>
      </c>
      <c r="E5526" s="4" t="s">
        <v>78</v>
      </c>
      <c r="F5526" s="4" t="s">
        <v>6765</v>
      </c>
      <c r="G5526" s="4" t="s">
        <v>7329</v>
      </c>
      <c r="H5526" s="4" t="s">
        <v>7330</v>
      </c>
      <c r="I5526" s="4" t="s">
        <v>7325</v>
      </c>
      <c r="J5526" s="4" t="s">
        <v>78</v>
      </c>
      <c r="K5526" s="7" t="str">
        <f t="shared" si="1657"/>
        <v>View Creative</v>
      </c>
      <c r="L5526" s="4" t="s">
        <v>60</v>
      </c>
      <c r="M5526" s="4" t="s">
        <v>6304</v>
      </c>
      <c r="N5526" s="4" t="s">
        <v>7331</v>
      </c>
      <c r="O5526" s="4" t="s">
        <v>63</v>
      </c>
      <c r="P5526" s="4" t="s">
        <v>64</v>
      </c>
    </row>
    <row r="5527">
      <c r="A5527" s="4" t="s">
        <v>6304</v>
      </c>
      <c r="B5527" s="4" t="s">
        <v>7323</v>
      </c>
      <c r="C5527" s="4">
        <v>7.0</v>
      </c>
      <c r="D5527" s="5" t="str">
        <f t="shared" ref="D5527:D5528" si="1658">HYPERLINK("https://www.linkedin.com/ad-library/detail/1516081103","Open Ad")</f>
        <v>Open Ad</v>
      </c>
      <c r="E5527" s="4" t="s">
        <v>121</v>
      </c>
      <c r="F5527" s="4" t="s">
        <v>6765</v>
      </c>
      <c r="G5527" s="4" t="s">
        <v>7324</v>
      </c>
      <c r="H5527" s="4" t="s">
        <v>611</v>
      </c>
      <c r="I5527" s="4" t="s">
        <v>7325</v>
      </c>
      <c r="J5527" s="4" t="s">
        <v>121</v>
      </c>
      <c r="K5527" s="7" t="str">
        <f t="shared" ref="K5527:K5528" si="1659">HYPERLINK("https://dms.licdn.com/playlist/vid/v2/D4D10AQGitfdLiipwsQ/mp4-640p-30fp-crf28/B4DaBhlAzyJwBo-/0/1788343491889?e=2147483647&amp;v=beta&amp;t=lmAQT94FCGmRMR5QcJ9TElXKqQYTsLrDyscjtMvhAwc","View Creative")</f>
        <v>View Creative</v>
      </c>
      <c r="L5527" s="4" t="s">
        <v>60</v>
      </c>
      <c r="M5527" s="4" t="s">
        <v>6304</v>
      </c>
      <c r="N5527" s="4" t="s">
        <v>7326</v>
      </c>
      <c r="O5527" s="4" t="s">
        <v>63</v>
      </c>
      <c r="P5527" s="4" t="s">
        <v>64</v>
      </c>
    </row>
    <row r="5528">
      <c r="A5528" s="4" t="s">
        <v>6304</v>
      </c>
      <c r="B5528" s="4" t="s">
        <v>7323</v>
      </c>
      <c r="C5528" s="4">
        <v>8.0</v>
      </c>
      <c r="D5528" s="5" t="str">
        <f t="shared" si="1658"/>
        <v>Open Ad</v>
      </c>
      <c r="E5528" s="4" t="s">
        <v>121</v>
      </c>
      <c r="F5528" s="4" t="s">
        <v>6765</v>
      </c>
      <c r="G5528" s="4" t="s">
        <v>7324</v>
      </c>
      <c r="H5528" s="4" t="s">
        <v>611</v>
      </c>
      <c r="I5528" s="4" t="s">
        <v>7325</v>
      </c>
      <c r="J5528" s="4" t="s">
        <v>121</v>
      </c>
      <c r="K5528" s="7" t="str">
        <f t="shared" si="1659"/>
        <v>View Creative</v>
      </c>
      <c r="L5528" s="4" t="s">
        <v>60</v>
      </c>
      <c r="M5528" s="4" t="s">
        <v>6304</v>
      </c>
      <c r="N5528" s="4" t="s">
        <v>7326</v>
      </c>
      <c r="O5528" s="4" t="s">
        <v>63</v>
      </c>
      <c r="P5528" s="4" t="s">
        <v>64</v>
      </c>
    </row>
    <row r="5529">
      <c r="A5529" s="4" t="s">
        <v>6304</v>
      </c>
      <c r="B5529" s="4" t="s">
        <v>7323</v>
      </c>
      <c r="C5529" s="4">
        <v>9.0</v>
      </c>
      <c r="D5529" s="5" t="str">
        <f t="shared" ref="D5529:D5530" si="1660">HYPERLINK("https://www.linkedin.com/ad-library/detail/1470875023","Open Ad")</f>
        <v>Open Ad</v>
      </c>
      <c r="E5529" s="4" t="s">
        <v>78</v>
      </c>
      <c r="F5529" s="4" t="s">
        <v>6765</v>
      </c>
      <c r="G5529" s="4" t="s">
        <v>7332</v>
      </c>
      <c r="H5529" s="4" t="s">
        <v>49</v>
      </c>
      <c r="I5529" s="4" t="s">
        <v>7325</v>
      </c>
      <c r="J5529" s="4" t="s">
        <v>78</v>
      </c>
      <c r="K5529" s="7" t="str">
        <f t="shared" ref="K5529:K5530" si="1661">HYPERLINK("https://media.licdn.com/dms/image/v2/D4D22AQHtFrM-7FX4iQ/feedshare-shrink_1280/B4DZ9_MI29IEAU-/0/1784545316548?e=2147483647&amp;v=beta&amp;t=MgHCpObd6SQtVcqyN4IwFY3bchn5jwwSdUFJhQxAolw","View Creative")</f>
        <v>View Creative</v>
      </c>
      <c r="L5529" s="4" t="s">
        <v>60</v>
      </c>
      <c r="M5529" s="4" t="s">
        <v>6304</v>
      </c>
      <c r="N5529" s="4" t="s">
        <v>7328</v>
      </c>
      <c r="O5529" s="4" t="s">
        <v>63</v>
      </c>
      <c r="P5529" s="4" t="s">
        <v>64</v>
      </c>
    </row>
    <row r="5530">
      <c r="A5530" s="4" t="s">
        <v>6304</v>
      </c>
      <c r="B5530" s="4" t="s">
        <v>7323</v>
      </c>
      <c r="C5530" s="4">
        <v>10.0</v>
      </c>
      <c r="D5530" s="5" t="str">
        <f t="shared" si="1660"/>
        <v>Open Ad</v>
      </c>
      <c r="E5530" s="4" t="s">
        <v>78</v>
      </c>
      <c r="F5530" s="4" t="s">
        <v>6765</v>
      </c>
      <c r="G5530" s="4" t="s">
        <v>7332</v>
      </c>
      <c r="H5530" s="4" t="s">
        <v>49</v>
      </c>
      <c r="I5530" s="4" t="s">
        <v>7325</v>
      </c>
      <c r="J5530" s="4" t="s">
        <v>78</v>
      </c>
      <c r="K5530" s="7" t="str">
        <f t="shared" si="1661"/>
        <v>View Creative</v>
      </c>
      <c r="L5530" s="4" t="s">
        <v>60</v>
      </c>
      <c r="M5530" s="4" t="s">
        <v>6304</v>
      </c>
      <c r="N5530" s="4" t="s">
        <v>7328</v>
      </c>
      <c r="O5530" s="4" t="s">
        <v>63</v>
      </c>
      <c r="P5530" s="4" t="s">
        <v>64</v>
      </c>
    </row>
    <row r="5531">
      <c r="A5531" s="4" t="s">
        <v>6304</v>
      </c>
      <c r="B5531" s="4" t="s">
        <v>7323</v>
      </c>
      <c r="C5531" s="4">
        <v>11.0</v>
      </c>
      <c r="D5531" s="5" t="str">
        <f t="shared" ref="D5531:D5532" si="1662">HYPERLINK("https://www.linkedin.com/ad-library/detail/1471084963","Open Ad")</f>
        <v>Open Ad</v>
      </c>
      <c r="E5531" s="4" t="s">
        <v>121</v>
      </c>
      <c r="F5531" s="4" t="s">
        <v>6765</v>
      </c>
      <c r="G5531" s="4" t="s">
        <v>7333</v>
      </c>
      <c r="H5531" s="4" t="s">
        <v>49</v>
      </c>
      <c r="I5531" s="4" t="s">
        <v>7325</v>
      </c>
      <c r="J5531" s="4" t="s">
        <v>121</v>
      </c>
      <c r="K5531" s="7" t="str">
        <f t="shared" ref="K5531:K5532" si="1663">HYPERLINK("https://dms.licdn.com/playlist/vid/v2/D4D05AQHNyhk0J9XE1Q/mp4-720p-30fp-crf28/B4DZ_GaJxrI8B8-/0/1785740176767?e=2147483647&amp;v=beta&amp;t=PafQyKwWs_p5643Ed-YNIf6RZbqHFcRgM2_2l7K5Jhk","View Creative")</f>
        <v>View Creative</v>
      </c>
      <c r="L5531" s="4" t="s">
        <v>60</v>
      </c>
      <c r="M5531" s="4" t="s">
        <v>6304</v>
      </c>
      <c r="N5531" s="4" t="s">
        <v>7328</v>
      </c>
      <c r="O5531" s="4" t="s">
        <v>63</v>
      </c>
      <c r="P5531" s="4" t="s">
        <v>64</v>
      </c>
    </row>
    <row r="5532">
      <c r="A5532" s="4" t="s">
        <v>6304</v>
      </c>
      <c r="B5532" s="4" t="s">
        <v>7323</v>
      </c>
      <c r="C5532" s="4">
        <v>12.0</v>
      </c>
      <c r="D5532" s="5" t="str">
        <f t="shared" si="1662"/>
        <v>Open Ad</v>
      </c>
      <c r="E5532" s="4" t="s">
        <v>121</v>
      </c>
      <c r="F5532" s="4" t="s">
        <v>6765</v>
      </c>
      <c r="G5532" s="4" t="s">
        <v>7333</v>
      </c>
      <c r="H5532" s="4" t="s">
        <v>49</v>
      </c>
      <c r="I5532" s="4" t="s">
        <v>7325</v>
      </c>
      <c r="J5532" s="4" t="s">
        <v>121</v>
      </c>
      <c r="K5532" s="7" t="str">
        <f t="shared" si="1663"/>
        <v>View Creative</v>
      </c>
      <c r="L5532" s="4" t="s">
        <v>60</v>
      </c>
      <c r="M5532" s="4" t="s">
        <v>6304</v>
      </c>
      <c r="N5532" s="4" t="s">
        <v>7328</v>
      </c>
      <c r="O5532" s="4" t="s">
        <v>63</v>
      </c>
      <c r="P5532" s="4" t="s">
        <v>64</v>
      </c>
    </row>
    <row r="5533">
      <c r="A5533" s="4" t="s">
        <v>6304</v>
      </c>
      <c r="B5533" s="4" t="s">
        <v>7323</v>
      </c>
      <c r="C5533" s="4">
        <v>13.0</v>
      </c>
      <c r="D5533" s="5" t="str">
        <f t="shared" ref="D5533:D5534" si="1664">HYPERLINK("https://www.linkedin.com/ad-library/detail/1470875033","Open Ad")</f>
        <v>Open Ad</v>
      </c>
      <c r="E5533" s="4" t="s">
        <v>78</v>
      </c>
      <c r="F5533" s="4" t="s">
        <v>6765</v>
      </c>
      <c r="G5533" s="4" t="s">
        <v>7334</v>
      </c>
      <c r="H5533" s="4" t="s">
        <v>49</v>
      </c>
      <c r="I5533" s="4" t="s">
        <v>7325</v>
      </c>
      <c r="J5533" s="4" t="s">
        <v>78</v>
      </c>
      <c r="K5533" s="7" t="str">
        <f t="shared" ref="K5533:K5534" si="1665">HYPERLINK("https://media.licdn.com/dms/image/v2/D4D22AQFvQlz7WSJrLQ/feedshare-shrink_1280/B4DZ9uwG4KJ8AQ-/0/1784269532996?e=2147483647&amp;v=beta&amp;t=PZZUAuN7uXM6VEXErf3KPfrWBVIvawFgx40rwTzpRyg","View Creative")</f>
        <v>View Creative</v>
      </c>
      <c r="L5533" s="4" t="s">
        <v>60</v>
      </c>
      <c r="M5533" s="4" t="s">
        <v>6304</v>
      </c>
      <c r="N5533" s="4" t="s">
        <v>7335</v>
      </c>
      <c r="O5533" s="4" t="s">
        <v>63</v>
      </c>
      <c r="P5533" s="4" t="s">
        <v>64</v>
      </c>
    </row>
    <row r="5534">
      <c r="A5534" s="4" t="s">
        <v>6304</v>
      </c>
      <c r="B5534" s="4" t="s">
        <v>7323</v>
      </c>
      <c r="C5534" s="4">
        <v>14.0</v>
      </c>
      <c r="D5534" s="5" t="str">
        <f t="shared" si="1664"/>
        <v>Open Ad</v>
      </c>
      <c r="E5534" s="4" t="s">
        <v>78</v>
      </c>
      <c r="F5534" s="4" t="s">
        <v>6765</v>
      </c>
      <c r="G5534" s="4" t="s">
        <v>7334</v>
      </c>
      <c r="H5534" s="4" t="s">
        <v>49</v>
      </c>
      <c r="I5534" s="4" t="s">
        <v>7325</v>
      </c>
      <c r="J5534" s="4" t="s">
        <v>78</v>
      </c>
      <c r="K5534" s="7" t="str">
        <f t="shared" si="1665"/>
        <v>View Creative</v>
      </c>
      <c r="L5534" s="4" t="s">
        <v>60</v>
      </c>
      <c r="M5534" s="4" t="s">
        <v>6304</v>
      </c>
      <c r="N5534" s="4" t="s">
        <v>7335</v>
      </c>
      <c r="O5534" s="4" t="s">
        <v>63</v>
      </c>
      <c r="P5534" s="4" t="s">
        <v>64</v>
      </c>
    </row>
    <row r="5535">
      <c r="A5535" s="4" t="s">
        <v>6304</v>
      </c>
      <c r="B5535" s="4" t="s">
        <v>7323</v>
      </c>
      <c r="C5535" s="4">
        <v>15.0</v>
      </c>
      <c r="D5535" s="5" t="str">
        <f t="shared" ref="D5535:D5536" si="1666">HYPERLINK("https://www.linkedin.com/ad-library/detail/1471084953","Open Ad")</f>
        <v>Open Ad</v>
      </c>
      <c r="E5535" s="4" t="s">
        <v>121</v>
      </c>
      <c r="F5535" s="4" t="s">
        <v>6765</v>
      </c>
      <c r="G5535" s="4" t="s">
        <v>7336</v>
      </c>
      <c r="H5535" s="4" t="s">
        <v>49</v>
      </c>
      <c r="I5535" s="4" t="s">
        <v>7325</v>
      </c>
      <c r="J5535" s="4" t="s">
        <v>121</v>
      </c>
      <c r="K5535" s="7" t="str">
        <f t="shared" ref="K5535:K5536" si="1667">HYPERLINK("https://dms.licdn.com/playlist/vid/v2/D4D05AQG_BqTWklSuzQ/mp4-720p-30fp-crf28/B4DZ9kksTdHEB8-/0/1784098775755?e=2147483647&amp;v=beta&amp;t=TNSYwHLtGab3zx1_a_FMMZm-vrI3GWWWq7UCBEl3Na0","View Creative")</f>
        <v>View Creative</v>
      </c>
      <c r="L5535" s="4" t="s">
        <v>60</v>
      </c>
      <c r="M5535" s="4" t="s">
        <v>6304</v>
      </c>
      <c r="N5535" s="4" t="s">
        <v>7337</v>
      </c>
      <c r="O5535" s="4" t="s">
        <v>63</v>
      </c>
      <c r="P5535" s="4" t="s">
        <v>64</v>
      </c>
    </row>
    <row r="5536">
      <c r="A5536" s="4" t="s">
        <v>6304</v>
      </c>
      <c r="B5536" s="4" t="s">
        <v>7323</v>
      </c>
      <c r="C5536" s="4">
        <v>16.0</v>
      </c>
      <c r="D5536" s="5" t="str">
        <f t="shared" si="1666"/>
        <v>Open Ad</v>
      </c>
      <c r="E5536" s="4" t="s">
        <v>121</v>
      </c>
      <c r="F5536" s="4" t="s">
        <v>6765</v>
      </c>
      <c r="G5536" s="4" t="s">
        <v>7336</v>
      </c>
      <c r="H5536" s="4" t="s">
        <v>49</v>
      </c>
      <c r="I5536" s="4" t="s">
        <v>7325</v>
      </c>
      <c r="J5536" s="4" t="s">
        <v>121</v>
      </c>
      <c r="K5536" s="7" t="str">
        <f t="shared" si="1667"/>
        <v>View Creative</v>
      </c>
      <c r="L5536" s="4" t="s">
        <v>60</v>
      </c>
      <c r="M5536" s="4" t="s">
        <v>6304</v>
      </c>
      <c r="N5536" s="4" t="s">
        <v>7337</v>
      </c>
      <c r="O5536" s="4" t="s">
        <v>63</v>
      </c>
      <c r="P5536" s="4" t="s">
        <v>64</v>
      </c>
    </row>
    <row r="5537">
      <c r="A5537" s="4" t="s">
        <v>6304</v>
      </c>
      <c r="B5537" s="4" t="s">
        <v>7323</v>
      </c>
      <c r="C5537" s="4">
        <v>17.0</v>
      </c>
      <c r="D5537" s="5" t="str">
        <f t="shared" ref="D5537:D5538" si="1668">HYPERLINK("https://www.linkedin.com/ad-library/detail/1470954943","Open Ad")</f>
        <v>Open Ad</v>
      </c>
      <c r="E5537" s="4" t="s">
        <v>78</v>
      </c>
      <c r="F5537" s="4" t="s">
        <v>6765</v>
      </c>
      <c r="G5537" s="4" t="s">
        <v>7338</v>
      </c>
      <c r="H5537" s="4" t="s">
        <v>49</v>
      </c>
      <c r="I5537" s="4" t="s">
        <v>7325</v>
      </c>
      <c r="J5537" s="4" t="s">
        <v>78</v>
      </c>
      <c r="K5537" s="7" t="str">
        <f t="shared" ref="K5537:K5538" si="1669">HYPERLINK("https://media.licdn.com/dms/image/v2/D4D22AQGyl8lnTVoHYg/feedshare-shrink_1280/B4DZ.nZyggI0BY-/0/1785219983667?e=2147483647&amp;v=beta&amp;t=PIz6TopliZW9tLjU34ViBn_H55tNq-vR6bNAJcGzL2A","View Creative")</f>
        <v>View Creative</v>
      </c>
      <c r="L5537" s="4" t="s">
        <v>60</v>
      </c>
      <c r="M5537" s="4" t="s">
        <v>6304</v>
      </c>
      <c r="N5537" s="4" t="s">
        <v>7335</v>
      </c>
      <c r="O5537" s="4" t="s">
        <v>63</v>
      </c>
      <c r="P5537" s="4" t="s">
        <v>64</v>
      </c>
    </row>
    <row r="5538">
      <c r="A5538" s="4" t="s">
        <v>6304</v>
      </c>
      <c r="B5538" s="4" t="s">
        <v>7323</v>
      </c>
      <c r="C5538" s="4">
        <v>18.0</v>
      </c>
      <c r="D5538" s="5" t="str">
        <f t="shared" si="1668"/>
        <v>Open Ad</v>
      </c>
      <c r="E5538" s="4" t="s">
        <v>78</v>
      </c>
      <c r="F5538" s="4" t="s">
        <v>6765</v>
      </c>
      <c r="G5538" s="4" t="s">
        <v>7338</v>
      </c>
      <c r="H5538" s="4" t="s">
        <v>49</v>
      </c>
      <c r="I5538" s="4" t="s">
        <v>7325</v>
      </c>
      <c r="J5538" s="4" t="s">
        <v>78</v>
      </c>
      <c r="K5538" s="7" t="str">
        <f t="shared" si="1669"/>
        <v>View Creative</v>
      </c>
      <c r="L5538" s="4" t="s">
        <v>60</v>
      </c>
      <c r="M5538" s="4" t="s">
        <v>6304</v>
      </c>
      <c r="N5538" s="4" t="s">
        <v>7335</v>
      </c>
      <c r="O5538" s="4" t="s">
        <v>63</v>
      </c>
      <c r="P5538" s="4" t="s">
        <v>64</v>
      </c>
    </row>
    <row r="5539">
      <c r="A5539" s="4" t="s">
        <v>6304</v>
      </c>
      <c r="B5539" s="4" t="s">
        <v>7323</v>
      </c>
      <c r="C5539" s="4">
        <v>19.0</v>
      </c>
      <c r="D5539" s="5" t="str">
        <f t="shared" ref="D5539:D5540" si="1670">HYPERLINK("https://www.linkedin.com/ad-library/detail/1470914993","Open Ad")</f>
        <v>Open Ad</v>
      </c>
      <c r="E5539" s="4" t="s">
        <v>121</v>
      </c>
      <c r="F5539" s="4" t="s">
        <v>6765</v>
      </c>
      <c r="G5539" s="4" t="s">
        <v>7333</v>
      </c>
      <c r="H5539" s="4" t="s">
        <v>49</v>
      </c>
      <c r="I5539" s="4" t="s">
        <v>7325</v>
      </c>
      <c r="J5539" s="4" t="s">
        <v>121</v>
      </c>
      <c r="K5539" s="7" t="str">
        <f t="shared" ref="K5539:K5540" si="1671">HYPERLINK("https://dms.licdn.com/playlist/vid/v2/D4D05AQHNyhk0J9XE1Q/mp4-720p-30fp-crf28/B4DZ_GaJxrI8B8-/0/1785740176767?e=2147483647&amp;v=beta&amp;t=PafQyKwWs_p5643Ed-YNIf6RZbqHFcRgM2_2l7K5Jhk","View Creative")</f>
        <v>View Creative</v>
      </c>
      <c r="L5539" s="4" t="s">
        <v>60</v>
      </c>
      <c r="M5539" s="4" t="s">
        <v>6304</v>
      </c>
      <c r="N5539" s="4" t="s">
        <v>7337</v>
      </c>
      <c r="O5539" s="4" t="s">
        <v>63</v>
      </c>
      <c r="P5539" s="4" t="s">
        <v>64</v>
      </c>
    </row>
    <row r="5540">
      <c r="A5540" s="4" t="s">
        <v>6304</v>
      </c>
      <c r="B5540" s="4" t="s">
        <v>7323</v>
      </c>
      <c r="C5540" s="4">
        <v>20.0</v>
      </c>
      <c r="D5540" s="5" t="str">
        <f t="shared" si="1670"/>
        <v>Open Ad</v>
      </c>
      <c r="E5540" s="4" t="s">
        <v>121</v>
      </c>
      <c r="F5540" s="4" t="s">
        <v>6765</v>
      </c>
      <c r="G5540" s="4" t="s">
        <v>7333</v>
      </c>
      <c r="H5540" s="4" t="s">
        <v>49</v>
      </c>
      <c r="I5540" s="4" t="s">
        <v>7325</v>
      </c>
      <c r="J5540" s="4" t="s">
        <v>121</v>
      </c>
      <c r="K5540" s="7" t="str">
        <f t="shared" si="1671"/>
        <v>View Creative</v>
      </c>
      <c r="L5540" s="4" t="s">
        <v>60</v>
      </c>
      <c r="M5540" s="4" t="s">
        <v>6304</v>
      </c>
      <c r="N5540" s="4" t="s">
        <v>7337</v>
      </c>
      <c r="O5540" s="4" t="s">
        <v>63</v>
      </c>
      <c r="P5540" s="4" t="s">
        <v>64</v>
      </c>
    </row>
    <row r="5541">
      <c r="A5541" s="4" t="s">
        <v>6304</v>
      </c>
      <c r="B5541" s="4" t="s">
        <v>7323</v>
      </c>
      <c r="C5541" s="4">
        <v>21.0</v>
      </c>
      <c r="D5541" s="5" t="str">
        <f t="shared" ref="D5541:D5542" si="1672">HYPERLINK("https://www.linkedin.com/ad-library/detail/1471005053","Open Ad")</f>
        <v>Open Ad</v>
      </c>
      <c r="E5541" s="4" t="s">
        <v>78</v>
      </c>
      <c r="F5541" s="4" t="s">
        <v>6765</v>
      </c>
      <c r="G5541" s="4" t="s">
        <v>7339</v>
      </c>
      <c r="H5541" s="4" t="s">
        <v>49</v>
      </c>
      <c r="I5541" s="4" t="s">
        <v>7325</v>
      </c>
      <c r="J5541" s="4" t="s">
        <v>78</v>
      </c>
      <c r="K5541" s="7" t="str">
        <f t="shared" ref="K5541:K5542" si="1673">HYPERLINK("https://media.licdn.com/dms/image/v2/D4D22AQEzkSLj9-ZiaQ/feedshare-shrink_1280/B4DZ_LZMvwKAAM-/0/1785823808761?e=2147483647&amp;v=beta&amp;t=7fqYkpd1GAa5oPL8N9OuMWBuN5-iVmBc0waywviIsMM","View Creative")</f>
        <v>View Creative</v>
      </c>
      <c r="L5541" s="4" t="s">
        <v>60</v>
      </c>
      <c r="M5541" s="4" t="s">
        <v>6304</v>
      </c>
      <c r="N5541" s="4" t="s">
        <v>7328</v>
      </c>
      <c r="O5541" s="4" t="s">
        <v>63</v>
      </c>
      <c r="P5541" s="4" t="s">
        <v>64</v>
      </c>
    </row>
    <row r="5542">
      <c r="A5542" s="4" t="s">
        <v>6304</v>
      </c>
      <c r="B5542" s="4" t="s">
        <v>7323</v>
      </c>
      <c r="C5542" s="4">
        <v>22.0</v>
      </c>
      <c r="D5542" s="5" t="str">
        <f t="shared" si="1672"/>
        <v>Open Ad</v>
      </c>
      <c r="E5542" s="4" t="s">
        <v>78</v>
      </c>
      <c r="F5542" s="4" t="s">
        <v>6765</v>
      </c>
      <c r="G5542" s="4" t="s">
        <v>7339</v>
      </c>
      <c r="H5542" s="4" t="s">
        <v>49</v>
      </c>
      <c r="I5542" s="4" t="s">
        <v>7325</v>
      </c>
      <c r="J5542" s="4" t="s">
        <v>78</v>
      </c>
      <c r="K5542" s="7" t="str">
        <f t="shared" si="1673"/>
        <v>View Creative</v>
      </c>
      <c r="L5542" s="4" t="s">
        <v>60</v>
      </c>
      <c r="M5542" s="4" t="s">
        <v>6304</v>
      </c>
      <c r="N5542" s="4" t="s">
        <v>7328</v>
      </c>
      <c r="O5542" s="4" t="s">
        <v>63</v>
      </c>
      <c r="P5542" s="4" t="s">
        <v>64</v>
      </c>
    </row>
    <row r="5543">
      <c r="A5543" s="4" t="s">
        <v>6304</v>
      </c>
      <c r="B5543" s="4" t="s">
        <v>7323</v>
      </c>
      <c r="C5543" s="4">
        <v>23.0</v>
      </c>
      <c r="D5543" s="5" t="str">
        <f t="shared" ref="D5543:D5544" si="1674">HYPERLINK("https://www.linkedin.com/ad-library/detail/1470915003","Open Ad")</f>
        <v>Open Ad</v>
      </c>
      <c r="E5543" s="4" t="s">
        <v>121</v>
      </c>
      <c r="F5543" s="4" t="s">
        <v>6765</v>
      </c>
      <c r="G5543" s="4" t="s">
        <v>7340</v>
      </c>
      <c r="H5543" s="4" t="s">
        <v>49</v>
      </c>
      <c r="I5543" s="4" t="s">
        <v>7325</v>
      </c>
      <c r="J5543" s="4" t="s">
        <v>121</v>
      </c>
      <c r="K5543" s="7" t="str">
        <f t="shared" ref="K5543:K5546" si="1675">HYPERLINK("https://dms.licdn.com/playlist/vid/v2/D4D05AQGzSv6Qmm8Gdg/mp4-640p-30fp-crf28/B4DZ.Ds8gDJQBk-/0/1784621029047?e=2147483647&amp;v=beta&amp;t=5qnYuiM3VlRfzVJlT1IcLCgEMay-dChxkzDwHN2ZKSY","View Creative")</f>
        <v>View Creative</v>
      </c>
      <c r="L5543" s="4" t="s">
        <v>60</v>
      </c>
      <c r="M5543" s="4" t="s">
        <v>6304</v>
      </c>
      <c r="N5543" s="4" t="s">
        <v>7328</v>
      </c>
      <c r="O5543" s="4" t="s">
        <v>63</v>
      </c>
      <c r="P5543" s="4" t="s">
        <v>64</v>
      </c>
    </row>
    <row r="5544">
      <c r="A5544" s="4" t="s">
        <v>6304</v>
      </c>
      <c r="B5544" s="4" t="s">
        <v>7323</v>
      </c>
      <c r="C5544" s="4">
        <v>24.0</v>
      </c>
      <c r="D5544" s="5" t="str">
        <f t="shared" si="1674"/>
        <v>Open Ad</v>
      </c>
      <c r="E5544" s="4" t="s">
        <v>121</v>
      </c>
      <c r="F5544" s="4" t="s">
        <v>6765</v>
      </c>
      <c r="G5544" s="4" t="s">
        <v>7340</v>
      </c>
      <c r="H5544" s="4" t="s">
        <v>49</v>
      </c>
      <c r="I5544" s="4" t="s">
        <v>7325</v>
      </c>
      <c r="J5544" s="4" t="s">
        <v>121</v>
      </c>
      <c r="K5544" s="7" t="str">
        <f t="shared" si="1675"/>
        <v>View Creative</v>
      </c>
      <c r="L5544" s="4" t="s">
        <v>60</v>
      </c>
      <c r="M5544" s="4" t="s">
        <v>6304</v>
      </c>
      <c r="N5544" s="4" t="s">
        <v>7328</v>
      </c>
      <c r="O5544" s="4" t="s">
        <v>63</v>
      </c>
      <c r="P5544" s="4" t="s">
        <v>64</v>
      </c>
    </row>
    <row r="5545">
      <c r="A5545" s="4" t="s">
        <v>6304</v>
      </c>
      <c r="B5545" s="4" t="s">
        <v>7323</v>
      </c>
      <c r="C5545" s="4">
        <v>25.0</v>
      </c>
      <c r="D5545" s="5" t="str">
        <f t="shared" ref="D5545:D5546" si="1676">HYPERLINK("https://www.linkedin.com/ad-library/detail/1470954963","Open Ad")</f>
        <v>Open Ad</v>
      </c>
      <c r="E5545" s="4" t="s">
        <v>121</v>
      </c>
      <c r="F5545" s="4" t="s">
        <v>6765</v>
      </c>
      <c r="G5545" s="4" t="s">
        <v>7340</v>
      </c>
      <c r="H5545" s="4" t="s">
        <v>49</v>
      </c>
      <c r="I5545" s="4" t="s">
        <v>7325</v>
      </c>
      <c r="J5545" s="4" t="s">
        <v>121</v>
      </c>
      <c r="K5545" s="7" t="str">
        <f t="shared" si="1675"/>
        <v>View Creative</v>
      </c>
      <c r="L5545" s="4" t="s">
        <v>60</v>
      </c>
      <c r="M5545" s="4" t="s">
        <v>6304</v>
      </c>
      <c r="N5545" s="4" t="s">
        <v>7337</v>
      </c>
      <c r="O5545" s="4" t="s">
        <v>63</v>
      </c>
      <c r="P5545" s="4" t="s">
        <v>64</v>
      </c>
    </row>
    <row r="5546">
      <c r="A5546" s="4" t="s">
        <v>6304</v>
      </c>
      <c r="B5546" s="4" t="s">
        <v>7323</v>
      </c>
      <c r="C5546" s="4">
        <v>26.0</v>
      </c>
      <c r="D5546" s="5" t="str">
        <f t="shared" si="1676"/>
        <v>Open Ad</v>
      </c>
      <c r="E5546" s="4" t="s">
        <v>121</v>
      </c>
      <c r="F5546" s="4" t="s">
        <v>6765</v>
      </c>
      <c r="G5546" s="4" t="s">
        <v>7340</v>
      </c>
      <c r="H5546" s="4" t="s">
        <v>49</v>
      </c>
      <c r="I5546" s="4" t="s">
        <v>7325</v>
      </c>
      <c r="J5546" s="4" t="s">
        <v>121</v>
      </c>
      <c r="K5546" s="7" t="str">
        <f t="shared" si="1675"/>
        <v>View Creative</v>
      </c>
      <c r="L5546" s="4" t="s">
        <v>60</v>
      </c>
      <c r="M5546" s="4" t="s">
        <v>6304</v>
      </c>
      <c r="N5546" s="4" t="s">
        <v>7337</v>
      </c>
      <c r="O5546" s="4" t="s">
        <v>63</v>
      </c>
      <c r="P5546" s="4" t="s">
        <v>64</v>
      </c>
    </row>
    <row r="5547">
      <c r="A5547" s="4" t="s">
        <v>6304</v>
      </c>
      <c r="B5547" s="4" t="s">
        <v>7323</v>
      </c>
      <c r="C5547" s="4">
        <v>27.0</v>
      </c>
      <c r="D5547" s="5" t="str">
        <f t="shared" ref="D5547:D5548" si="1677">HYPERLINK("https://www.linkedin.com/ad-library/detail/1470915013","Open Ad")</f>
        <v>Open Ad</v>
      </c>
      <c r="E5547" s="4" t="s">
        <v>121</v>
      </c>
      <c r="F5547" s="4" t="s">
        <v>6765</v>
      </c>
      <c r="G5547" s="4" t="s">
        <v>7341</v>
      </c>
      <c r="H5547" s="4" t="s">
        <v>49</v>
      </c>
      <c r="I5547" s="4" t="s">
        <v>7325</v>
      </c>
      <c r="J5547" s="4" t="s">
        <v>121</v>
      </c>
      <c r="K5547" s="7" t="str">
        <f t="shared" ref="K5547:K5548" si="1678">HYPERLINK("https://dms.licdn.com/playlist/vid/v2/D4E05AQHgOCwydDtH7w/mp4-640p-30fp-crf28/B4EZ61WjwaJEBk-/0/1781159117017?e=2147483647&amp;v=beta&amp;t=kgix98g_BsKPq-XmGT8Zhm8fh8HoBS0bAHDbLvn0Yys","View Creative")</f>
        <v>View Creative</v>
      </c>
      <c r="L5547" s="4" t="s">
        <v>60</v>
      </c>
      <c r="M5547" s="4" t="s">
        <v>6304</v>
      </c>
      <c r="N5547" s="4" t="s">
        <v>7328</v>
      </c>
      <c r="O5547" s="4" t="s">
        <v>63</v>
      </c>
      <c r="P5547" s="4" t="s">
        <v>64</v>
      </c>
    </row>
    <row r="5548">
      <c r="A5548" s="4" t="s">
        <v>6304</v>
      </c>
      <c r="B5548" s="4" t="s">
        <v>7323</v>
      </c>
      <c r="C5548" s="4">
        <v>28.0</v>
      </c>
      <c r="D5548" s="5" t="str">
        <f t="shared" si="1677"/>
        <v>Open Ad</v>
      </c>
      <c r="E5548" s="4" t="s">
        <v>121</v>
      </c>
      <c r="F5548" s="4" t="s">
        <v>6765</v>
      </c>
      <c r="G5548" s="4" t="s">
        <v>7341</v>
      </c>
      <c r="H5548" s="4" t="s">
        <v>49</v>
      </c>
      <c r="I5548" s="4" t="s">
        <v>7325</v>
      </c>
      <c r="J5548" s="4" t="s">
        <v>121</v>
      </c>
      <c r="K5548" s="7" t="str">
        <f t="shared" si="1678"/>
        <v>View Creative</v>
      </c>
      <c r="L5548" s="4" t="s">
        <v>60</v>
      </c>
      <c r="M5548" s="4" t="s">
        <v>6304</v>
      </c>
      <c r="N5548" s="4" t="s">
        <v>7328</v>
      </c>
      <c r="O5548" s="4" t="s">
        <v>63</v>
      </c>
      <c r="P5548" s="4" t="s">
        <v>64</v>
      </c>
    </row>
    <row r="5549">
      <c r="A5549" s="4" t="s">
        <v>6304</v>
      </c>
      <c r="B5549" s="4" t="s">
        <v>7323</v>
      </c>
      <c r="C5549" s="4">
        <v>29.0</v>
      </c>
      <c r="D5549" s="5" t="str">
        <f t="shared" ref="D5549:D5550" si="1679">HYPERLINK("https://www.linkedin.com/ad-library/detail/1515936383","Open Ad")</f>
        <v>Open Ad</v>
      </c>
      <c r="E5549" s="4" t="s">
        <v>121</v>
      </c>
      <c r="F5549" s="4" t="s">
        <v>6765</v>
      </c>
      <c r="G5549" s="4" t="s">
        <v>7324</v>
      </c>
      <c r="H5549" s="4" t="s">
        <v>611</v>
      </c>
      <c r="I5549" s="4" t="s">
        <v>7325</v>
      </c>
      <c r="J5549" s="4" t="s">
        <v>121</v>
      </c>
      <c r="K5549" s="7" t="str">
        <f t="shared" ref="K5549:K5550" si="1680">HYPERLINK("https://dms.licdn.com/playlist/vid/v2/D4D10AQE37n4HvOXJSg/mp4-640p-30fp-crf28/B4DaBhlA50KcBs-/0/1788343492435?e=2147483647&amp;v=beta&amp;t=LVv5qOG2BUCpEO49gqHO4glLAdMdWRuQtKHCHcaJlvM","View Creative")</f>
        <v>View Creative</v>
      </c>
      <c r="L5549" s="4" t="s">
        <v>60</v>
      </c>
      <c r="M5549" s="4" t="s">
        <v>6304</v>
      </c>
      <c r="N5549" s="4" t="s">
        <v>7326</v>
      </c>
      <c r="O5549" s="4" t="s">
        <v>63</v>
      </c>
      <c r="P5549" s="4" t="s">
        <v>64</v>
      </c>
    </row>
    <row r="5550">
      <c r="A5550" s="4" t="s">
        <v>6304</v>
      </c>
      <c r="B5550" s="4" t="s">
        <v>7323</v>
      </c>
      <c r="C5550" s="4">
        <v>30.0</v>
      </c>
      <c r="D5550" s="5" t="str">
        <f t="shared" si="1679"/>
        <v>Open Ad</v>
      </c>
      <c r="E5550" s="4" t="s">
        <v>121</v>
      </c>
      <c r="F5550" s="4" t="s">
        <v>6765</v>
      </c>
      <c r="G5550" s="4" t="s">
        <v>7324</v>
      </c>
      <c r="H5550" s="4" t="s">
        <v>611</v>
      </c>
      <c r="I5550" s="4" t="s">
        <v>7325</v>
      </c>
      <c r="J5550" s="4" t="s">
        <v>121</v>
      </c>
      <c r="K5550" s="7" t="str">
        <f t="shared" si="1680"/>
        <v>View Creative</v>
      </c>
      <c r="L5550" s="4" t="s">
        <v>60</v>
      </c>
      <c r="M5550" s="4" t="s">
        <v>6304</v>
      </c>
      <c r="N5550" s="4" t="s">
        <v>7326</v>
      </c>
      <c r="O5550" s="4" t="s">
        <v>63</v>
      </c>
      <c r="P5550" s="4" t="s">
        <v>64</v>
      </c>
    </row>
    <row r="5551">
      <c r="A5551" s="4" t="s">
        <v>6304</v>
      </c>
      <c r="B5551" s="4" t="s">
        <v>7323</v>
      </c>
      <c r="C5551" s="4">
        <v>31.0</v>
      </c>
      <c r="D5551" s="5" t="str">
        <f t="shared" ref="D5551:D5552" si="1681">HYPERLINK("https://www.linkedin.com/ad-library/detail/1470984703","Open Ad")</f>
        <v>Open Ad</v>
      </c>
      <c r="E5551" s="4" t="s">
        <v>78</v>
      </c>
      <c r="F5551" s="4" t="s">
        <v>6765</v>
      </c>
      <c r="G5551" s="4" t="s">
        <v>7327</v>
      </c>
      <c r="H5551" s="4" t="s">
        <v>49</v>
      </c>
      <c r="I5551" s="4" t="s">
        <v>7325</v>
      </c>
      <c r="J5551" s="4" t="s">
        <v>78</v>
      </c>
      <c r="K5551" s="7" t="str">
        <f t="shared" ref="K5551:K5552" si="1682">HYPERLINK("https://media.licdn.com/dms/image/v2/D4D22AQG1s-QCqO0wdA/feedshare-shrink_1280/B4DZ.xvQc3GkAM-/0/1785393383576?e=2147483647&amp;v=beta&amp;t=F1wz6wwJB6n8BgupM_ytBr8jfPYyU3ney1glc9FdLnU","View Creative")</f>
        <v>View Creative</v>
      </c>
      <c r="L5551" s="4" t="s">
        <v>60</v>
      </c>
      <c r="M5551" s="4" t="s">
        <v>6304</v>
      </c>
      <c r="N5551" s="4" t="s">
        <v>7335</v>
      </c>
      <c r="O5551" s="4" t="s">
        <v>63</v>
      </c>
      <c r="P5551" s="4" t="s">
        <v>64</v>
      </c>
    </row>
    <row r="5552">
      <c r="A5552" s="4" t="s">
        <v>6304</v>
      </c>
      <c r="B5552" s="4" t="s">
        <v>7323</v>
      </c>
      <c r="C5552" s="4">
        <v>32.0</v>
      </c>
      <c r="D5552" s="5" t="str">
        <f t="shared" si="1681"/>
        <v>Open Ad</v>
      </c>
      <c r="E5552" s="4" t="s">
        <v>78</v>
      </c>
      <c r="F5552" s="4" t="s">
        <v>6765</v>
      </c>
      <c r="G5552" s="4" t="s">
        <v>7327</v>
      </c>
      <c r="H5552" s="4" t="s">
        <v>49</v>
      </c>
      <c r="I5552" s="4" t="s">
        <v>7325</v>
      </c>
      <c r="J5552" s="4" t="s">
        <v>78</v>
      </c>
      <c r="K5552" s="7" t="str">
        <f t="shared" si="1682"/>
        <v>View Creative</v>
      </c>
      <c r="L5552" s="4" t="s">
        <v>60</v>
      </c>
      <c r="M5552" s="4" t="s">
        <v>6304</v>
      </c>
      <c r="N5552" s="4" t="s">
        <v>7335</v>
      </c>
      <c r="O5552" s="4" t="s">
        <v>63</v>
      </c>
      <c r="P5552" s="4" t="s">
        <v>64</v>
      </c>
    </row>
    <row r="5553">
      <c r="A5553" s="4" t="s">
        <v>6304</v>
      </c>
      <c r="B5553" s="4" t="s">
        <v>7323</v>
      </c>
      <c r="C5553" s="4">
        <v>33.0</v>
      </c>
      <c r="D5553" s="5" t="str">
        <f t="shared" ref="D5553:D5554" si="1683">HYPERLINK("https://www.linkedin.com/ad-library/detail/1515936373","Open Ad")</f>
        <v>Open Ad</v>
      </c>
      <c r="E5553" s="4" t="s">
        <v>121</v>
      </c>
      <c r="F5553" s="4" t="s">
        <v>6765</v>
      </c>
      <c r="G5553" s="4" t="s">
        <v>7324</v>
      </c>
      <c r="H5553" s="4" t="s">
        <v>611</v>
      </c>
      <c r="I5553" s="4" t="s">
        <v>7325</v>
      </c>
      <c r="J5553" s="4" t="s">
        <v>121</v>
      </c>
      <c r="K5553" s="7" t="str">
        <f t="shared" ref="K5553:K5554" si="1684">HYPERLINK("https://dms.licdn.com/playlist/vid/v2/D4D10AQE282dp1eE1BQ/progressive-servable-video/B4DaBhlBEjIYAY-/0/1788343490073?e=2147483647&amp;v=beta&amp;t=lcdq6a2d6c3gaCPJUPmtwKckeRBk0eGTv2KWRWH-460","View Creative")</f>
        <v>View Creative</v>
      </c>
      <c r="L5553" s="4" t="s">
        <v>60</v>
      </c>
      <c r="M5553" s="4" t="s">
        <v>6304</v>
      </c>
      <c r="N5553" s="4" t="s">
        <v>5969</v>
      </c>
      <c r="O5553" s="4" t="s">
        <v>63</v>
      </c>
      <c r="P5553" s="4" t="s">
        <v>64</v>
      </c>
    </row>
    <row r="5554">
      <c r="A5554" s="4" t="s">
        <v>6304</v>
      </c>
      <c r="B5554" s="4" t="s">
        <v>7323</v>
      </c>
      <c r="C5554" s="4">
        <v>34.0</v>
      </c>
      <c r="D5554" s="5" t="str">
        <f t="shared" si="1683"/>
        <v>Open Ad</v>
      </c>
      <c r="E5554" s="4" t="s">
        <v>121</v>
      </c>
      <c r="F5554" s="4" t="s">
        <v>6765</v>
      </c>
      <c r="G5554" s="4" t="s">
        <v>7324</v>
      </c>
      <c r="H5554" s="4" t="s">
        <v>611</v>
      </c>
      <c r="I5554" s="4" t="s">
        <v>7325</v>
      </c>
      <c r="J5554" s="4" t="s">
        <v>121</v>
      </c>
      <c r="K5554" s="7" t="str">
        <f t="shared" si="1684"/>
        <v>View Creative</v>
      </c>
      <c r="L5554" s="4" t="s">
        <v>60</v>
      </c>
      <c r="M5554" s="4" t="s">
        <v>6304</v>
      </c>
      <c r="N5554" s="4" t="s">
        <v>5969</v>
      </c>
      <c r="O5554" s="4" t="s">
        <v>63</v>
      </c>
      <c r="P5554" s="4" t="s">
        <v>64</v>
      </c>
    </row>
    <row r="5555">
      <c r="A5555" s="4" t="s">
        <v>6304</v>
      </c>
      <c r="B5555" s="4" t="s">
        <v>7323</v>
      </c>
      <c r="C5555" s="4">
        <v>35.0</v>
      </c>
      <c r="D5555" s="5" t="str">
        <f t="shared" ref="D5555:D5556" si="1685">HYPERLINK("https://www.linkedin.com/ad-library/detail/1470945033","Open Ad")</f>
        <v>Open Ad</v>
      </c>
      <c r="E5555" s="4" t="s">
        <v>121</v>
      </c>
      <c r="F5555" s="4" t="s">
        <v>6765</v>
      </c>
      <c r="G5555" s="4" t="s">
        <v>7342</v>
      </c>
      <c r="H5555" s="4" t="s">
        <v>49</v>
      </c>
      <c r="I5555" s="4" t="s">
        <v>7325</v>
      </c>
      <c r="J5555" s="4" t="s">
        <v>121</v>
      </c>
      <c r="K5555" s="7" t="str">
        <f t="shared" ref="K5555:K5556" si="1686">HYPERLINK("https://dms.licdn.com/playlist/vid/v2/D4E05AQGQJ55ejjP-_A/mp4-720p-30fp-crf28/B4EZ9QZLsNKQB8-/0/1783760210609?e=2147483647&amp;v=beta&amp;t=MZlw8h1_EjukPmHatnQxH5wfgcx5h1j2e8HVH9oNnDU","View Creative")</f>
        <v>View Creative</v>
      </c>
      <c r="L5555" s="4" t="s">
        <v>60</v>
      </c>
      <c r="M5555" s="4" t="s">
        <v>6304</v>
      </c>
      <c r="N5555" s="4" t="s">
        <v>7337</v>
      </c>
      <c r="O5555" s="4" t="s">
        <v>63</v>
      </c>
      <c r="P5555" s="4" t="s">
        <v>64</v>
      </c>
    </row>
    <row r="5556">
      <c r="A5556" s="4" t="s">
        <v>6304</v>
      </c>
      <c r="B5556" s="4" t="s">
        <v>7323</v>
      </c>
      <c r="C5556" s="4">
        <v>36.0</v>
      </c>
      <c r="D5556" s="5" t="str">
        <f t="shared" si="1685"/>
        <v>Open Ad</v>
      </c>
      <c r="E5556" s="4" t="s">
        <v>121</v>
      </c>
      <c r="F5556" s="4" t="s">
        <v>6765</v>
      </c>
      <c r="G5556" s="4" t="s">
        <v>7342</v>
      </c>
      <c r="H5556" s="4" t="s">
        <v>49</v>
      </c>
      <c r="I5556" s="4" t="s">
        <v>7325</v>
      </c>
      <c r="J5556" s="4" t="s">
        <v>121</v>
      </c>
      <c r="K5556" s="7" t="str">
        <f t="shared" si="1686"/>
        <v>View Creative</v>
      </c>
      <c r="L5556" s="4" t="s">
        <v>60</v>
      </c>
      <c r="M5556" s="4" t="s">
        <v>6304</v>
      </c>
      <c r="N5556" s="4" t="s">
        <v>7337</v>
      </c>
      <c r="O5556" s="4" t="s">
        <v>63</v>
      </c>
      <c r="P5556" s="4" t="s">
        <v>64</v>
      </c>
    </row>
    <row r="5557">
      <c r="A5557" s="4" t="s">
        <v>6304</v>
      </c>
      <c r="B5557" s="4" t="s">
        <v>7323</v>
      </c>
      <c r="C5557" s="4">
        <v>37.0</v>
      </c>
      <c r="D5557" s="5" t="str">
        <f t="shared" ref="D5557:D5558" si="1687">HYPERLINK("https://www.linkedin.com/ad-library/detail/1470854983","Open Ad")</f>
        <v>Open Ad</v>
      </c>
      <c r="E5557" s="4" t="s">
        <v>121</v>
      </c>
      <c r="F5557" s="4" t="s">
        <v>6765</v>
      </c>
      <c r="G5557" s="4" t="s">
        <v>7343</v>
      </c>
      <c r="H5557" s="4" t="s">
        <v>49</v>
      </c>
      <c r="I5557" s="4" t="s">
        <v>7325</v>
      </c>
      <c r="J5557" s="4" t="s">
        <v>121</v>
      </c>
      <c r="K5557" s="7" t="str">
        <f t="shared" ref="K5557:K5558" si="1688">HYPERLINK("https://dms.licdn.com/playlist/vid/v2/D4D05AQFCggVU8cXjww/mp4-720p-30fp-crf28/B4DZ9kmZHKJwB8-/0/1784099221380?e=2147483647&amp;v=beta&amp;t=tRXLCXhtNmbrnvCM78EVIzCmJy8W3mCdhIPey4OF40E","View Creative")</f>
        <v>View Creative</v>
      </c>
      <c r="L5557" s="4" t="s">
        <v>60</v>
      </c>
      <c r="M5557" s="4" t="s">
        <v>6304</v>
      </c>
      <c r="N5557" s="4" t="s">
        <v>7337</v>
      </c>
      <c r="O5557" s="4" t="s">
        <v>63</v>
      </c>
      <c r="P5557" s="4" t="s">
        <v>64</v>
      </c>
    </row>
    <row r="5558">
      <c r="A5558" s="4" t="s">
        <v>6304</v>
      </c>
      <c r="B5558" s="4" t="s">
        <v>7323</v>
      </c>
      <c r="C5558" s="4">
        <v>38.0</v>
      </c>
      <c r="D5558" s="5" t="str">
        <f t="shared" si="1687"/>
        <v>Open Ad</v>
      </c>
      <c r="E5558" s="4" t="s">
        <v>121</v>
      </c>
      <c r="F5558" s="4" t="s">
        <v>6765</v>
      </c>
      <c r="G5558" s="4" t="s">
        <v>7343</v>
      </c>
      <c r="H5558" s="4" t="s">
        <v>49</v>
      </c>
      <c r="I5558" s="4" t="s">
        <v>7325</v>
      </c>
      <c r="J5558" s="4" t="s">
        <v>121</v>
      </c>
      <c r="K5558" s="7" t="str">
        <f t="shared" si="1688"/>
        <v>View Creative</v>
      </c>
      <c r="L5558" s="4" t="s">
        <v>60</v>
      </c>
      <c r="M5558" s="4" t="s">
        <v>6304</v>
      </c>
      <c r="N5558" s="4" t="s">
        <v>7337</v>
      </c>
      <c r="O5558" s="4" t="s">
        <v>63</v>
      </c>
      <c r="P5558" s="4" t="s">
        <v>64</v>
      </c>
    </row>
    <row r="5559">
      <c r="A5559" s="4" t="s">
        <v>6304</v>
      </c>
      <c r="B5559" s="4" t="s">
        <v>7323</v>
      </c>
      <c r="C5559" s="4">
        <v>39.0</v>
      </c>
      <c r="D5559" s="5" t="str">
        <f t="shared" ref="D5559:D5560" si="1689">HYPERLINK("https://www.linkedin.com/ad-library/detail/1478660723","Open Ad")</f>
        <v>Open Ad</v>
      </c>
      <c r="E5559" s="4" t="s">
        <v>78</v>
      </c>
      <c r="F5559" s="4" t="s">
        <v>6765</v>
      </c>
      <c r="G5559" s="4" t="s">
        <v>7344</v>
      </c>
      <c r="H5559" s="4" t="s">
        <v>49</v>
      </c>
      <c r="I5559" s="4" t="s">
        <v>7325</v>
      </c>
      <c r="J5559" s="4" t="s">
        <v>78</v>
      </c>
      <c r="K5559" s="7" t="str">
        <f t="shared" ref="K5559:K5560" si="1690">HYPERLINK("https://media.licdn.com/dms/image/v2/D4E22AQH7Rw2U6nqNkQ/feedshare-shrink_1280/B4EZ_5VERyHoAM-/0/1786594477433?e=2147483647&amp;v=beta&amp;t=_0w_u8lTwN3HTBno6leKe5pi-m-2KWQZ9CYEwP4qZZE","View Creative")</f>
        <v>View Creative</v>
      </c>
      <c r="L5559" s="4" t="s">
        <v>60</v>
      </c>
      <c r="M5559" s="4" t="s">
        <v>6304</v>
      </c>
      <c r="N5559" s="4" t="s">
        <v>7331</v>
      </c>
      <c r="O5559" s="4" t="s">
        <v>63</v>
      </c>
      <c r="P5559" s="4" t="s">
        <v>64</v>
      </c>
    </row>
    <row r="5560">
      <c r="A5560" s="4" t="s">
        <v>6304</v>
      </c>
      <c r="B5560" s="4" t="s">
        <v>7323</v>
      </c>
      <c r="C5560" s="4">
        <v>40.0</v>
      </c>
      <c r="D5560" s="5" t="str">
        <f t="shared" si="1689"/>
        <v>Open Ad</v>
      </c>
      <c r="E5560" s="4" t="s">
        <v>78</v>
      </c>
      <c r="F5560" s="4" t="s">
        <v>6765</v>
      </c>
      <c r="G5560" s="4" t="s">
        <v>7344</v>
      </c>
      <c r="H5560" s="4" t="s">
        <v>49</v>
      </c>
      <c r="I5560" s="4" t="s">
        <v>7325</v>
      </c>
      <c r="J5560" s="4" t="s">
        <v>78</v>
      </c>
      <c r="K5560" s="7" t="str">
        <f t="shared" si="1690"/>
        <v>View Creative</v>
      </c>
      <c r="L5560" s="4" t="s">
        <v>60</v>
      </c>
      <c r="M5560" s="4" t="s">
        <v>6304</v>
      </c>
      <c r="N5560" s="4" t="s">
        <v>7331</v>
      </c>
      <c r="O5560" s="4" t="s">
        <v>63</v>
      </c>
      <c r="P5560" s="4" t="s">
        <v>64</v>
      </c>
    </row>
    <row r="5561">
      <c r="A5561" s="4" t="s">
        <v>6304</v>
      </c>
      <c r="B5561" s="4" t="s">
        <v>7323</v>
      </c>
      <c r="C5561" s="4">
        <v>41.0</v>
      </c>
      <c r="D5561" s="5" t="str">
        <f t="shared" ref="D5561:D5562" si="1691">HYPERLINK("https://www.linkedin.com/ad-library/detail/1470904483","Open Ad")</f>
        <v>Open Ad</v>
      </c>
      <c r="E5561" s="4" t="s">
        <v>121</v>
      </c>
      <c r="F5561" s="4" t="s">
        <v>6765</v>
      </c>
      <c r="G5561" s="4" t="s">
        <v>7336</v>
      </c>
      <c r="H5561" s="4" t="s">
        <v>49</v>
      </c>
      <c r="I5561" s="4" t="s">
        <v>7325</v>
      </c>
      <c r="J5561" s="4" t="s">
        <v>121</v>
      </c>
      <c r="K5561" s="7" t="str">
        <f t="shared" ref="K5561:K5562" si="1692">HYPERLINK("https://dms.licdn.com/playlist/vid/v2/D4D05AQG_BqTWklSuzQ/mp4-720p-30fp-crf28/B4DZ9kksTdHEB8-/0/1784098775755?e=2147483647&amp;v=beta&amp;t=TNSYwHLtGab3zx1_a_FMMZm-vrI3GWWWq7UCBEl3Na0","View Creative")</f>
        <v>View Creative</v>
      </c>
      <c r="L5561" s="4" t="s">
        <v>60</v>
      </c>
      <c r="M5561" s="4" t="s">
        <v>6304</v>
      </c>
      <c r="N5561" s="4" t="s">
        <v>7328</v>
      </c>
      <c r="O5561" s="4" t="s">
        <v>63</v>
      </c>
      <c r="P5561" s="4" t="s">
        <v>64</v>
      </c>
    </row>
    <row r="5562">
      <c r="A5562" s="4" t="s">
        <v>6304</v>
      </c>
      <c r="B5562" s="4" t="s">
        <v>7323</v>
      </c>
      <c r="C5562" s="4">
        <v>42.0</v>
      </c>
      <c r="D5562" s="5" t="str">
        <f t="shared" si="1691"/>
        <v>Open Ad</v>
      </c>
      <c r="E5562" s="4" t="s">
        <v>121</v>
      </c>
      <c r="F5562" s="4" t="s">
        <v>6765</v>
      </c>
      <c r="G5562" s="4" t="s">
        <v>7336</v>
      </c>
      <c r="H5562" s="4" t="s">
        <v>49</v>
      </c>
      <c r="I5562" s="4" t="s">
        <v>7325</v>
      </c>
      <c r="J5562" s="4" t="s">
        <v>121</v>
      </c>
      <c r="K5562" s="7" t="str">
        <f t="shared" si="1692"/>
        <v>View Creative</v>
      </c>
      <c r="L5562" s="4" t="s">
        <v>60</v>
      </c>
      <c r="M5562" s="4" t="s">
        <v>6304</v>
      </c>
      <c r="N5562" s="4" t="s">
        <v>7328</v>
      </c>
      <c r="O5562" s="4" t="s">
        <v>63</v>
      </c>
      <c r="P5562" s="4" t="s">
        <v>64</v>
      </c>
    </row>
    <row r="5563">
      <c r="A5563" s="4" t="s">
        <v>6304</v>
      </c>
      <c r="B5563" s="4" t="s">
        <v>7323</v>
      </c>
      <c r="C5563" s="4">
        <v>43.0</v>
      </c>
      <c r="D5563" s="5" t="str">
        <f t="shared" ref="D5563:D5564" si="1693">HYPERLINK("https://www.linkedin.com/ad-library/detail/1478790663","Open Ad")</f>
        <v>Open Ad</v>
      </c>
      <c r="E5563" s="4" t="s">
        <v>78</v>
      </c>
      <c r="F5563" s="4" t="s">
        <v>6765</v>
      </c>
      <c r="G5563" s="4" t="s">
        <v>7345</v>
      </c>
      <c r="H5563" s="4" t="s">
        <v>7346</v>
      </c>
      <c r="I5563" s="4" t="s">
        <v>7325</v>
      </c>
      <c r="J5563" s="4" t="s">
        <v>78</v>
      </c>
      <c r="K5563" s="7" t="str">
        <f t="shared" ref="K5563:K5564" si="1694">HYPERLINK("https://media.licdn.com/dms/image/v2/D4E22AQH9KsVZVnC0PA/feedshare-shrink_1280/B4EZ_57hjzK8AM-/0/1786604558901?e=2147483647&amp;v=beta&amp;t=SHV2y0poHkiN5T8LfsFhvuub3UN05wdGIEv4osFtKOM","View Creative")</f>
        <v>View Creative</v>
      </c>
      <c r="L5563" s="4" t="s">
        <v>60</v>
      </c>
      <c r="M5563" s="4" t="s">
        <v>6304</v>
      </c>
      <c r="N5563" s="4" t="s">
        <v>7331</v>
      </c>
      <c r="O5563" s="4" t="s">
        <v>63</v>
      </c>
      <c r="P5563" s="4" t="s">
        <v>64</v>
      </c>
    </row>
    <row r="5564">
      <c r="A5564" s="4" t="s">
        <v>6304</v>
      </c>
      <c r="B5564" s="4" t="s">
        <v>7323</v>
      </c>
      <c r="C5564" s="4">
        <v>44.0</v>
      </c>
      <c r="D5564" s="5" t="str">
        <f t="shared" si="1693"/>
        <v>Open Ad</v>
      </c>
      <c r="E5564" s="4" t="s">
        <v>78</v>
      </c>
      <c r="F5564" s="4" t="s">
        <v>6765</v>
      </c>
      <c r="G5564" s="4" t="s">
        <v>7345</v>
      </c>
      <c r="H5564" s="4" t="s">
        <v>7346</v>
      </c>
      <c r="I5564" s="4" t="s">
        <v>7325</v>
      </c>
      <c r="J5564" s="4" t="s">
        <v>78</v>
      </c>
      <c r="K5564" s="7" t="str">
        <f t="shared" si="1694"/>
        <v>View Creative</v>
      </c>
      <c r="L5564" s="4" t="s">
        <v>60</v>
      </c>
      <c r="M5564" s="4" t="s">
        <v>6304</v>
      </c>
      <c r="N5564" s="4" t="s">
        <v>7331</v>
      </c>
      <c r="O5564" s="4" t="s">
        <v>63</v>
      </c>
      <c r="P5564" s="4" t="s">
        <v>64</v>
      </c>
    </row>
    <row r="5565">
      <c r="A5565" s="4" t="s">
        <v>6304</v>
      </c>
      <c r="B5565" s="4" t="s">
        <v>7323</v>
      </c>
      <c r="C5565" s="4">
        <v>45.0</v>
      </c>
      <c r="D5565" s="5" t="str">
        <f t="shared" ref="D5565:D5566" si="1695">HYPERLINK("https://www.linkedin.com/ad-library/detail/1471075343","Open Ad")</f>
        <v>Open Ad</v>
      </c>
      <c r="E5565" s="4" t="s">
        <v>78</v>
      </c>
      <c r="F5565" s="4" t="s">
        <v>6765</v>
      </c>
      <c r="G5565" s="4" t="s">
        <v>7338</v>
      </c>
      <c r="H5565" s="4" t="s">
        <v>49</v>
      </c>
      <c r="I5565" s="4" t="s">
        <v>7325</v>
      </c>
      <c r="J5565" s="4" t="s">
        <v>78</v>
      </c>
      <c r="K5565" s="7" t="str">
        <f t="shared" ref="K5565:K5566" si="1696">HYPERLINK("https://media.licdn.com/dms/image/v2/D4D22AQGyl8lnTVoHYg/feedshare-shrink_1280/B4DZ.nZyggI0BY-/0/1785219983667?e=2147483647&amp;v=beta&amp;t=PIz6TopliZW9tLjU34ViBn_H55tNq-vR6bNAJcGzL2A","View Creative")</f>
        <v>View Creative</v>
      </c>
      <c r="L5565" s="4" t="s">
        <v>60</v>
      </c>
      <c r="M5565" s="4" t="s">
        <v>6304</v>
      </c>
      <c r="N5565" s="4" t="s">
        <v>7328</v>
      </c>
      <c r="O5565" s="4" t="s">
        <v>63</v>
      </c>
      <c r="P5565" s="4" t="s">
        <v>64</v>
      </c>
    </row>
    <row r="5566">
      <c r="A5566" s="4" t="s">
        <v>6304</v>
      </c>
      <c r="B5566" s="4" t="s">
        <v>7323</v>
      </c>
      <c r="C5566" s="4">
        <v>46.0</v>
      </c>
      <c r="D5566" s="5" t="str">
        <f t="shared" si="1695"/>
        <v>Open Ad</v>
      </c>
      <c r="E5566" s="4" t="s">
        <v>78</v>
      </c>
      <c r="F5566" s="4" t="s">
        <v>6765</v>
      </c>
      <c r="G5566" s="4" t="s">
        <v>7338</v>
      </c>
      <c r="H5566" s="4" t="s">
        <v>49</v>
      </c>
      <c r="I5566" s="4" t="s">
        <v>7325</v>
      </c>
      <c r="J5566" s="4" t="s">
        <v>78</v>
      </c>
      <c r="K5566" s="7" t="str">
        <f t="shared" si="1696"/>
        <v>View Creative</v>
      </c>
      <c r="L5566" s="4" t="s">
        <v>60</v>
      </c>
      <c r="M5566" s="4" t="s">
        <v>6304</v>
      </c>
      <c r="N5566" s="4" t="s">
        <v>7328</v>
      </c>
      <c r="O5566" s="4" t="s">
        <v>63</v>
      </c>
      <c r="P5566" s="4" t="s">
        <v>64</v>
      </c>
    </row>
    <row r="5567">
      <c r="A5567" s="4" t="s">
        <v>6304</v>
      </c>
      <c r="B5567" s="4" t="s">
        <v>7323</v>
      </c>
      <c r="C5567" s="4">
        <v>47.0</v>
      </c>
      <c r="D5567" s="5" t="str">
        <f t="shared" ref="D5567:D5568" si="1697">HYPERLINK("https://www.linkedin.com/ad-library/detail/1515986033","Open Ad")</f>
        <v>Open Ad</v>
      </c>
      <c r="E5567" s="4" t="s">
        <v>121</v>
      </c>
      <c r="F5567" s="4" t="s">
        <v>6765</v>
      </c>
      <c r="G5567" s="4" t="s">
        <v>7324</v>
      </c>
      <c r="H5567" s="4" t="s">
        <v>611</v>
      </c>
      <c r="I5567" s="4" t="s">
        <v>7325</v>
      </c>
      <c r="J5567" s="4" t="s">
        <v>121</v>
      </c>
      <c r="K5567" s="7" t="str">
        <f t="shared" ref="K5567:K5568" si="1698">HYPERLINK("https://dms.licdn.com/playlist/vid/v2/D4D10AQHn-CILmW_GGQ/progressive-servable-video/B4DaBhlBHiKIAc-/0/1788343490316?e=2147483647&amp;v=beta&amp;t=ssqbV3aTXZPxq-jNA-r7A6Y7utybCkGMqraIpEswKbw","View Creative")</f>
        <v>View Creative</v>
      </c>
      <c r="L5567" s="4" t="s">
        <v>60</v>
      </c>
      <c r="M5567" s="4" t="s">
        <v>6304</v>
      </c>
      <c r="N5567" s="4" t="s">
        <v>7326</v>
      </c>
      <c r="O5567" s="4" t="s">
        <v>63</v>
      </c>
      <c r="P5567" s="4" t="s">
        <v>64</v>
      </c>
    </row>
    <row r="5568">
      <c r="A5568" s="4" t="s">
        <v>6304</v>
      </c>
      <c r="B5568" s="4" t="s">
        <v>7323</v>
      </c>
      <c r="C5568" s="4">
        <v>48.0</v>
      </c>
      <c r="D5568" s="5" t="str">
        <f t="shared" si="1697"/>
        <v>Open Ad</v>
      </c>
      <c r="E5568" s="4" t="s">
        <v>121</v>
      </c>
      <c r="F5568" s="4" t="s">
        <v>6765</v>
      </c>
      <c r="G5568" s="4" t="s">
        <v>7324</v>
      </c>
      <c r="H5568" s="4" t="s">
        <v>611</v>
      </c>
      <c r="I5568" s="4" t="s">
        <v>7325</v>
      </c>
      <c r="J5568" s="4" t="s">
        <v>121</v>
      </c>
      <c r="K5568" s="7" t="str">
        <f t="shared" si="1698"/>
        <v>View Creative</v>
      </c>
      <c r="L5568" s="4" t="s">
        <v>60</v>
      </c>
      <c r="M5568" s="4" t="s">
        <v>6304</v>
      </c>
      <c r="N5568" s="4" t="s">
        <v>7326</v>
      </c>
      <c r="O5568" s="4" t="s">
        <v>63</v>
      </c>
      <c r="P5568" s="4" t="s">
        <v>64</v>
      </c>
    </row>
    <row r="5569">
      <c r="A5569" s="4" t="s">
        <v>6304</v>
      </c>
      <c r="B5569" s="4" t="s">
        <v>7323</v>
      </c>
      <c r="C5569" s="4">
        <v>49.0</v>
      </c>
      <c r="D5569" s="5" t="str">
        <f t="shared" ref="D5569:D5570" si="1699">HYPERLINK("https://www.linkedin.com/ad-library/detail/1442879643","Open Ad")</f>
        <v>Open Ad</v>
      </c>
      <c r="E5569" s="4" t="s">
        <v>121</v>
      </c>
      <c r="F5569" s="4" t="s">
        <v>6765</v>
      </c>
      <c r="G5569" s="4" t="s">
        <v>7341</v>
      </c>
      <c r="H5569" s="4" t="s">
        <v>49</v>
      </c>
      <c r="I5569" s="4" t="s">
        <v>7325</v>
      </c>
      <c r="J5569" s="4" t="s">
        <v>121</v>
      </c>
      <c r="K5569" s="7" t="str">
        <f t="shared" ref="K5569:K5570" si="1700">HYPERLINK("https://dms.licdn.com/playlist/vid/v2/D4E05AQHgOCwydDtH7w/mp4-640p-30fp-crf28/B4EZ61WjwaJEBk-/0/1781159117017?e=2147483647&amp;v=beta&amp;t=kgix98g_BsKPq-XmGT8Zhm8fh8HoBS0bAHDbLvn0Yys","View Creative")</f>
        <v>View Creative</v>
      </c>
      <c r="L5569" s="4" t="s">
        <v>60</v>
      </c>
      <c r="M5569" s="4" t="s">
        <v>6304</v>
      </c>
      <c r="N5569" s="4" t="s">
        <v>7347</v>
      </c>
      <c r="O5569" s="4" t="s">
        <v>63</v>
      </c>
      <c r="P5569" s="4" t="s">
        <v>64</v>
      </c>
    </row>
    <row r="5570">
      <c r="A5570" s="4" t="s">
        <v>6304</v>
      </c>
      <c r="B5570" s="4" t="s">
        <v>7323</v>
      </c>
      <c r="C5570" s="4">
        <v>50.0</v>
      </c>
      <c r="D5570" s="5" t="str">
        <f t="shared" si="1699"/>
        <v>Open Ad</v>
      </c>
      <c r="E5570" s="4" t="s">
        <v>121</v>
      </c>
      <c r="F5570" s="4" t="s">
        <v>6765</v>
      </c>
      <c r="G5570" s="4" t="s">
        <v>7341</v>
      </c>
      <c r="H5570" s="4" t="s">
        <v>49</v>
      </c>
      <c r="I5570" s="4" t="s">
        <v>7325</v>
      </c>
      <c r="J5570" s="4" t="s">
        <v>121</v>
      </c>
      <c r="K5570" s="7" t="str">
        <f t="shared" si="1700"/>
        <v>View Creative</v>
      </c>
      <c r="L5570" s="4" t="s">
        <v>60</v>
      </c>
      <c r="M5570" s="4" t="s">
        <v>6304</v>
      </c>
      <c r="N5570" s="4" t="s">
        <v>7347</v>
      </c>
      <c r="O5570" s="4" t="s">
        <v>63</v>
      </c>
      <c r="P5570" s="4" t="s">
        <v>64</v>
      </c>
    </row>
    <row r="5571">
      <c r="A5571" s="4" t="s">
        <v>6304</v>
      </c>
      <c r="B5571" s="4" t="s">
        <v>7323</v>
      </c>
      <c r="C5571" s="4">
        <v>51.0</v>
      </c>
      <c r="D5571" s="5" t="str">
        <f t="shared" ref="D5571:D5572" si="1701">HYPERLINK("https://www.linkedin.com/ad-library/detail/1442899093","Open Ad")</f>
        <v>Open Ad</v>
      </c>
      <c r="E5571" s="4" t="s">
        <v>121</v>
      </c>
      <c r="F5571" s="4" t="s">
        <v>6765</v>
      </c>
      <c r="G5571" s="4" t="s">
        <v>7348</v>
      </c>
      <c r="H5571" s="4" t="s">
        <v>49</v>
      </c>
      <c r="I5571" s="4" t="s">
        <v>7325</v>
      </c>
      <c r="J5571" s="4" t="s">
        <v>121</v>
      </c>
      <c r="K5571" s="7" t="str">
        <f t="shared" ref="K5571:K5572" si="1702">HYPERLINK("https://dms.licdn.com/playlist/vid/v2/D4E05AQHd6YleR4fnQQ/mp4-720p-30fp-crf28/B4EZ61YWocGQB8-/0/1781159615632?e=2147483647&amp;v=beta&amp;t=GuHv4qUPCtOc6YzfnTUHwvKp3Zs98VCaFYIJfNR5AFg","View Creative")</f>
        <v>View Creative</v>
      </c>
      <c r="L5571" s="4" t="s">
        <v>60</v>
      </c>
      <c r="M5571" s="4" t="s">
        <v>6304</v>
      </c>
      <c r="N5571" s="4" t="s">
        <v>7347</v>
      </c>
      <c r="O5571" s="4" t="s">
        <v>63</v>
      </c>
      <c r="P5571" s="4" t="s">
        <v>64</v>
      </c>
    </row>
    <row r="5572">
      <c r="A5572" s="4" t="s">
        <v>6304</v>
      </c>
      <c r="B5572" s="4" t="s">
        <v>7323</v>
      </c>
      <c r="C5572" s="4">
        <v>52.0</v>
      </c>
      <c r="D5572" s="5" t="str">
        <f t="shared" si="1701"/>
        <v>Open Ad</v>
      </c>
      <c r="E5572" s="4" t="s">
        <v>121</v>
      </c>
      <c r="F5572" s="4" t="s">
        <v>6765</v>
      </c>
      <c r="G5572" s="4" t="s">
        <v>7348</v>
      </c>
      <c r="H5572" s="4" t="s">
        <v>49</v>
      </c>
      <c r="I5572" s="4" t="s">
        <v>7325</v>
      </c>
      <c r="J5572" s="4" t="s">
        <v>121</v>
      </c>
      <c r="K5572" s="7" t="str">
        <f t="shared" si="1702"/>
        <v>View Creative</v>
      </c>
      <c r="L5572" s="4" t="s">
        <v>60</v>
      </c>
      <c r="M5572" s="4" t="s">
        <v>6304</v>
      </c>
      <c r="N5572" s="4" t="s">
        <v>7347</v>
      </c>
      <c r="O5572" s="4" t="s">
        <v>63</v>
      </c>
      <c r="P5572" s="4" t="s">
        <v>64</v>
      </c>
    </row>
    <row r="5573">
      <c r="A5573" s="4" t="s">
        <v>6304</v>
      </c>
      <c r="B5573" s="4" t="s">
        <v>7323</v>
      </c>
      <c r="C5573" s="4">
        <v>53.0</v>
      </c>
      <c r="D5573" s="5" t="str">
        <f t="shared" ref="D5573:D5574" si="1703">HYPERLINK("https://www.linkedin.com/ad-library/detail/1442879613","Open Ad")</f>
        <v>Open Ad</v>
      </c>
      <c r="E5573" s="4" t="s">
        <v>78</v>
      </c>
      <c r="F5573" s="4" t="s">
        <v>6765</v>
      </c>
      <c r="G5573" s="4" t="s">
        <v>7349</v>
      </c>
      <c r="H5573" s="4" t="s">
        <v>49</v>
      </c>
      <c r="I5573" s="4" t="s">
        <v>7325</v>
      </c>
      <c r="J5573" s="4" t="s">
        <v>78</v>
      </c>
      <c r="K5573" s="7" t="str">
        <f t="shared" ref="K5573:K5574" si="1704">HYPERLINK("https://media.licdn.com/dms/image/v2/D4E22AQFd99riRaLcTQ/feedshare-image-high-res/B4EZ82LpSNHMAU-/0/1783320450499?e=2147483647&amp;v=beta&amp;t=DQt5I1zweQunogKTIP0R-KH7WbsR1WL6081Vj7D4gRQ","View Creative")</f>
        <v>View Creative</v>
      </c>
      <c r="L5573" s="4" t="s">
        <v>60</v>
      </c>
      <c r="M5573" s="4" t="s">
        <v>6304</v>
      </c>
      <c r="N5573" s="4" t="s">
        <v>7350</v>
      </c>
      <c r="O5573" s="4" t="s">
        <v>63</v>
      </c>
      <c r="P5573" s="4" t="s">
        <v>64</v>
      </c>
    </row>
    <row r="5574">
      <c r="A5574" s="4" t="s">
        <v>6304</v>
      </c>
      <c r="B5574" s="4" t="s">
        <v>7323</v>
      </c>
      <c r="C5574" s="4">
        <v>54.0</v>
      </c>
      <c r="D5574" s="5" t="str">
        <f t="shared" si="1703"/>
        <v>Open Ad</v>
      </c>
      <c r="E5574" s="4" t="s">
        <v>78</v>
      </c>
      <c r="F5574" s="4" t="s">
        <v>6765</v>
      </c>
      <c r="G5574" s="4" t="s">
        <v>7349</v>
      </c>
      <c r="H5574" s="4" t="s">
        <v>49</v>
      </c>
      <c r="I5574" s="4" t="s">
        <v>7325</v>
      </c>
      <c r="J5574" s="4" t="s">
        <v>78</v>
      </c>
      <c r="K5574" s="7" t="str">
        <f t="shared" si="1704"/>
        <v>View Creative</v>
      </c>
      <c r="L5574" s="4" t="s">
        <v>60</v>
      </c>
      <c r="M5574" s="4" t="s">
        <v>6304</v>
      </c>
      <c r="N5574" s="4" t="s">
        <v>7350</v>
      </c>
      <c r="O5574" s="4" t="s">
        <v>63</v>
      </c>
      <c r="P5574" s="4" t="s">
        <v>64</v>
      </c>
    </row>
    <row r="5575">
      <c r="A5575" s="4" t="s">
        <v>6304</v>
      </c>
      <c r="B5575" s="4" t="s">
        <v>7323</v>
      </c>
      <c r="C5575" s="4">
        <v>55.0</v>
      </c>
      <c r="D5575" s="5" t="str">
        <f t="shared" ref="D5575:D5576" si="1705">HYPERLINK("https://www.linkedin.com/ad-library/detail/1442859653","Open Ad")</f>
        <v>Open Ad</v>
      </c>
      <c r="E5575" s="4" t="s">
        <v>121</v>
      </c>
      <c r="F5575" s="4" t="s">
        <v>6765</v>
      </c>
      <c r="G5575" s="4" t="s">
        <v>7341</v>
      </c>
      <c r="H5575" s="4" t="s">
        <v>49</v>
      </c>
      <c r="I5575" s="4" t="s">
        <v>7325</v>
      </c>
      <c r="J5575" s="4" t="s">
        <v>121</v>
      </c>
      <c r="K5575" s="7" t="str">
        <f t="shared" ref="K5575:K5576" si="1706">HYPERLINK("https://dms.licdn.com/playlist/vid/v2/D4E05AQHgOCwydDtH7w/mp4-640p-30fp-crf28/B4EZ61WjwaJEBk-/0/1781159117017?e=2147483647&amp;v=beta&amp;t=kgix98g_BsKPq-XmGT8Zhm8fh8HoBS0bAHDbLvn0Yys","View Creative")</f>
        <v>View Creative</v>
      </c>
      <c r="L5575" s="4" t="s">
        <v>60</v>
      </c>
      <c r="M5575" s="4" t="s">
        <v>6304</v>
      </c>
      <c r="N5575" s="4" t="s">
        <v>7351</v>
      </c>
      <c r="O5575" s="4" t="s">
        <v>63</v>
      </c>
      <c r="P5575" s="4" t="s">
        <v>64</v>
      </c>
    </row>
    <row r="5576">
      <c r="A5576" s="4" t="s">
        <v>6304</v>
      </c>
      <c r="B5576" s="4" t="s">
        <v>7323</v>
      </c>
      <c r="C5576" s="4">
        <v>56.0</v>
      </c>
      <c r="D5576" s="5" t="str">
        <f t="shared" si="1705"/>
        <v>Open Ad</v>
      </c>
      <c r="E5576" s="4" t="s">
        <v>121</v>
      </c>
      <c r="F5576" s="4" t="s">
        <v>6765</v>
      </c>
      <c r="G5576" s="4" t="s">
        <v>7341</v>
      </c>
      <c r="H5576" s="4" t="s">
        <v>49</v>
      </c>
      <c r="I5576" s="4" t="s">
        <v>7325</v>
      </c>
      <c r="J5576" s="4" t="s">
        <v>121</v>
      </c>
      <c r="K5576" s="7" t="str">
        <f t="shared" si="1706"/>
        <v>View Creative</v>
      </c>
      <c r="L5576" s="4" t="s">
        <v>60</v>
      </c>
      <c r="M5576" s="4" t="s">
        <v>6304</v>
      </c>
      <c r="N5576" s="4" t="s">
        <v>7351</v>
      </c>
      <c r="O5576" s="4" t="s">
        <v>63</v>
      </c>
      <c r="P5576" s="4" t="s">
        <v>64</v>
      </c>
    </row>
    <row r="5577">
      <c r="A5577" s="4" t="s">
        <v>6304</v>
      </c>
      <c r="B5577" s="4" t="s">
        <v>7323</v>
      </c>
      <c r="C5577" s="4">
        <v>57.0</v>
      </c>
      <c r="D5577" s="5" t="str">
        <f t="shared" ref="D5577:D5578" si="1707">HYPERLINK("https://www.linkedin.com/ad-library/detail/1442899083","Open Ad")</f>
        <v>Open Ad</v>
      </c>
      <c r="E5577" s="4" t="s">
        <v>121</v>
      </c>
      <c r="F5577" s="4" t="s">
        <v>6765</v>
      </c>
      <c r="G5577" s="4" t="s">
        <v>7352</v>
      </c>
      <c r="H5577" s="4" t="s">
        <v>49</v>
      </c>
      <c r="I5577" s="4" t="s">
        <v>7325</v>
      </c>
      <c r="J5577" s="4" t="s">
        <v>121</v>
      </c>
      <c r="K5577" s="7" t="str">
        <f t="shared" ref="K5577:K5578" si="1708">HYPERLINK("https://dms.licdn.com/playlist/vid/v2/D4E05AQFs4GA-CSMrgw/mp4-640p-30fp-crf28/B4EZ8DNcpYK4Bk-/0/1782465303765?e=2147483647&amp;v=beta&amp;t=CXGN2ipbrLzus8O4b9lV3YtQijQ-GLV2wjc7kKhEwzg","View Creative")</f>
        <v>View Creative</v>
      </c>
      <c r="L5577" s="4" t="s">
        <v>60</v>
      </c>
      <c r="M5577" s="4" t="s">
        <v>6304</v>
      </c>
      <c r="N5577" s="4" t="s">
        <v>7347</v>
      </c>
      <c r="O5577" s="4" t="s">
        <v>63</v>
      </c>
      <c r="P5577" s="4" t="s">
        <v>64</v>
      </c>
    </row>
    <row r="5578">
      <c r="A5578" s="4" t="s">
        <v>6304</v>
      </c>
      <c r="B5578" s="4" t="s">
        <v>7323</v>
      </c>
      <c r="C5578" s="4">
        <v>58.0</v>
      </c>
      <c r="D5578" s="5" t="str">
        <f t="shared" si="1707"/>
        <v>Open Ad</v>
      </c>
      <c r="E5578" s="4" t="s">
        <v>121</v>
      </c>
      <c r="F5578" s="4" t="s">
        <v>6765</v>
      </c>
      <c r="G5578" s="4" t="s">
        <v>7352</v>
      </c>
      <c r="H5578" s="4" t="s">
        <v>49</v>
      </c>
      <c r="I5578" s="4" t="s">
        <v>7325</v>
      </c>
      <c r="J5578" s="4" t="s">
        <v>121</v>
      </c>
      <c r="K5578" s="7" t="str">
        <f t="shared" si="1708"/>
        <v>View Creative</v>
      </c>
      <c r="L5578" s="4" t="s">
        <v>60</v>
      </c>
      <c r="M5578" s="4" t="s">
        <v>6304</v>
      </c>
      <c r="N5578" s="4" t="s">
        <v>7347</v>
      </c>
      <c r="O5578" s="4" t="s">
        <v>63</v>
      </c>
      <c r="P5578" s="4" t="s">
        <v>64</v>
      </c>
    </row>
    <row r="5579">
      <c r="A5579" s="4" t="s">
        <v>6304</v>
      </c>
      <c r="B5579" s="4" t="s">
        <v>7323</v>
      </c>
      <c r="C5579" s="4">
        <v>59.0</v>
      </c>
      <c r="D5579" s="5" t="str">
        <f t="shared" ref="D5579:D5580" si="1709">HYPERLINK("https://www.linkedin.com/ad-library/detail/1443010323","Open Ad")</f>
        <v>Open Ad</v>
      </c>
      <c r="E5579" s="4" t="s">
        <v>78</v>
      </c>
      <c r="F5579" s="4" t="s">
        <v>6765</v>
      </c>
      <c r="G5579" s="4" t="s">
        <v>7353</v>
      </c>
      <c r="H5579" s="4" t="s">
        <v>49</v>
      </c>
      <c r="I5579" s="4" t="s">
        <v>7325</v>
      </c>
      <c r="J5579" s="4" t="s">
        <v>78</v>
      </c>
      <c r="K5579" s="7" t="str">
        <f t="shared" ref="K5579:K5580" si="1710">HYPERLINK("https://media.licdn.com/dms/image/v2/D4E22AQFFV6_jV3bM2A/feedshare-image-high-res/B4EZ74aXy_KwAU-/0/1782284123580?e=2147483647&amp;v=beta&amp;t=uA4GWUtr0mjVOAJEUJtu_Bb0yG4Ph0KBDl3a0_qG0ug","View Creative")</f>
        <v>View Creative</v>
      </c>
      <c r="L5579" s="4" t="s">
        <v>60</v>
      </c>
      <c r="M5579" s="4" t="s">
        <v>6304</v>
      </c>
      <c r="N5579" s="4" t="s">
        <v>7354</v>
      </c>
      <c r="O5579" s="4" t="s">
        <v>63</v>
      </c>
      <c r="P5579" s="4" t="s">
        <v>64</v>
      </c>
    </row>
    <row r="5580">
      <c r="A5580" s="4" t="s">
        <v>6304</v>
      </c>
      <c r="B5580" s="4" t="s">
        <v>7323</v>
      </c>
      <c r="C5580" s="4">
        <v>60.0</v>
      </c>
      <c r="D5580" s="5" t="str">
        <f t="shared" si="1709"/>
        <v>Open Ad</v>
      </c>
      <c r="E5580" s="4" t="s">
        <v>78</v>
      </c>
      <c r="F5580" s="4" t="s">
        <v>6765</v>
      </c>
      <c r="G5580" s="4" t="s">
        <v>7353</v>
      </c>
      <c r="H5580" s="4" t="s">
        <v>49</v>
      </c>
      <c r="I5580" s="4" t="s">
        <v>7325</v>
      </c>
      <c r="J5580" s="4" t="s">
        <v>78</v>
      </c>
      <c r="K5580" s="7" t="str">
        <f t="shared" si="1710"/>
        <v>View Creative</v>
      </c>
      <c r="L5580" s="4" t="s">
        <v>60</v>
      </c>
      <c r="M5580" s="4" t="s">
        <v>6304</v>
      </c>
      <c r="N5580" s="4" t="s">
        <v>7354</v>
      </c>
      <c r="O5580" s="4" t="s">
        <v>63</v>
      </c>
      <c r="P5580" s="4" t="s">
        <v>64</v>
      </c>
    </row>
    <row r="5581">
      <c r="A5581" s="4" t="s">
        <v>6304</v>
      </c>
      <c r="B5581" s="4" t="s">
        <v>7323</v>
      </c>
      <c r="C5581" s="4">
        <v>61.0</v>
      </c>
      <c r="D5581" s="5" t="str">
        <f t="shared" ref="D5581:D5582" si="1711">HYPERLINK("https://www.linkedin.com/ad-library/detail/1443020303","Open Ad")</f>
        <v>Open Ad</v>
      </c>
      <c r="E5581" s="4" t="s">
        <v>121</v>
      </c>
      <c r="F5581" s="4" t="s">
        <v>6765</v>
      </c>
      <c r="G5581" s="4" t="s">
        <v>7355</v>
      </c>
      <c r="H5581" s="4" t="s">
        <v>49</v>
      </c>
      <c r="I5581" s="4" t="s">
        <v>7325</v>
      </c>
      <c r="J5581" s="4" t="s">
        <v>121</v>
      </c>
      <c r="K5581" s="7" t="str">
        <f t="shared" ref="K5581:K5582" si="1712">HYPERLINK("https://dms.licdn.com/playlist/vid/v2/D4E05AQGIF98SyzURBg/mp4-720p-30fp-crf28/B4EZ87RlJtHkB8-/0/1783405896887?e=2147483647&amp;v=beta&amp;t=Q5GjvDX_Oq-mR6TBH0CsixKI4nOFUxfdsDiCWlA9DYI","View Creative")</f>
        <v>View Creative</v>
      </c>
      <c r="L5581" s="4" t="s">
        <v>60</v>
      </c>
      <c r="M5581" s="4" t="s">
        <v>6304</v>
      </c>
      <c r="N5581" s="4" t="s">
        <v>7347</v>
      </c>
      <c r="O5581" s="4" t="s">
        <v>63</v>
      </c>
      <c r="P5581" s="4" t="s">
        <v>64</v>
      </c>
    </row>
    <row r="5582">
      <c r="A5582" s="4" t="s">
        <v>6304</v>
      </c>
      <c r="B5582" s="4" t="s">
        <v>7323</v>
      </c>
      <c r="C5582" s="4">
        <v>62.0</v>
      </c>
      <c r="D5582" s="5" t="str">
        <f t="shared" si="1711"/>
        <v>Open Ad</v>
      </c>
      <c r="E5582" s="4" t="s">
        <v>121</v>
      </c>
      <c r="F5582" s="4" t="s">
        <v>6765</v>
      </c>
      <c r="G5582" s="4" t="s">
        <v>7355</v>
      </c>
      <c r="H5582" s="4" t="s">
        <v>49</v>
      </c>
      <c r="I5582" s="4" t="s">
        <v>7325</v>
      </c>
      <c r="J5582" s="4" t="s">
        <v>121</v>
      </c>
      <c r="K5582" s="7" t="str">
        <f t="shared" si="1712"/>
        <v>View Creative</v>
      </c>
      <c r="L5582" s="4" t="s">
        <v>60</v>
      </c>
      <c r="M5582" s="4" t="s">
        <v>6304</v>
      </c>
      <c r="N5582" s="4" t="s">
        <v>7347</v>
      </c>
      <c r="O5582" s="4" t="s">
        <v>63</v>
      </c>
      <c r="P5582" s="4" t="s">
        <v>64</v>
      </c>
    </row>
    <row r="5583">
      <c r="A5583" s="4" t="s">
        <v>6304</v>
      </c>
      <c r="B5583" s="4" t="s">
        <v>7323</v>
      </c>
      <c r="C5583" s="4">
        <v>63.0</v>
      </c>
      <c r="D5583" s="5" t="str">
        <f t="shared" ref="D5583:D5584" si="1713">HYPERLINK("https://www.linkedin.com/ad-library/detail/1440727543","Open Ad")</f>
        <v>Open Ad</v>
      </c>
      <c r="E5583" s="4" t="s">
        <v>78</v>
      </c>
      <c r="F5583" s="4" t="s">
        <v>6765</v>
      </c>
      <c r="G5583" s="4" t="s">
        <v>7356</v>
      </c>
      <c r="H5583" s="4" t="s">
        <v>49</v>
      </c>
      <c r="I5583" s="4" t="s">
        <v>7325</v>
      </c>
      <c r="J5583" s="4" t="s">
        <v>78</v>
      </c>
      <c r="K5583" s="7" t="str">
        <f t="shared" ref="K5583:K5584" si="1714">HYPERLINK("https://media.licdn.com/dms/image/v2/D4D22AQG_pWDLBn11xg/feedshare-image-high-res/B4DZ5Ktvy7KAAY-/0/1779369967058?e=2147483647&amp;v=beta&amp;t=yoyITKReRXEAtjcuwqrsCi1t2CYI0VeP_TZzNmL4tEY","View Creative")</f>
        <v>View Creative</v>
      </c>
      <c r="L5583" s="4" t="s">
        <v>60</v>
      </c>
      <c r="M5583" s="4" t="s">
        <v>6304</v>
      </c>
      <c r="N5583" s="4" t="s">
        <v>7357</v>
      </c>
      <c r="O5583" s="4" t="s">
        <v>63</v>
      </c>
      <c r="P5583" s="4" t="s">
        <v>64</v>
      </c>
    </row>
    <row r="5584">
      <c r="A5584" s="4" t="s">
        <v>6304</v>
      </c>
      <c r="B5584" s="4" t="s">
        <v>7323</v>
      </c>
      <c r="C5584" s="4">
        <v>64.0</v>
      </c>
      <c r="D5584" s="5" t="str">
        <f t="shared" si="1713"/>
        <v>Open Ad</v>
      </c>
      <c r="E5584" s="4" t="s">
        <v>78</v>
      </c>
      <c r="F5584" s="4" t="s">
        <v>6765</v>
      </c>
      <c r="G5584" s="4" t="s">
        <v>7356</v>
      </c>
      <c r="H5584" s="4" t="s">
        <v>49</v>
      </c>
      <c r="I5584" s="4" t="s">
        <v>7325</v>
      </c>
      <c r="J5584" s="4" t="s">
        <v>78</v>
      </c>
      <c r="K5584" s="7" t="str">
        <f t="shared" si="1714"/>
        <v>View Creative</v>
      </c>
      <c r="L5584" s="4" t="s">
        <v>60</v>
      </c>
      <c r="M5584" s="4" t="s">
        <v>6304</v>
      </c>
      <c r="N5584" s="4" t="s">
        <v>7357</v>
      </c>
      <c r="O5584" s="4" t="s">
        <v>63</v>
      </c>
      <c r="P5584" s="4" t="s">
        <v>64</v>
      </c>
    </row>
    <row r="5585">
      <c r="A5585" s="4" t="s">
        <v>6304</v>
      </c>
      <c r="B5585" s="4" t="s">
        <v>7323</v>
      </c>
      <c r="C5585" s="4">
        <v>65.0</v>
      </c>
      <c r="D5585" s="5" t="str">
        <f t="shared" ref="D5585:D5586" si="1715">HYPERLINK("https://www.linkedin.com/ad-library/detail/1442921323","Open Ad")</f>
        <v>Open Ad</v>
      </c>
      <c r="E5585" s="4" t="s">
        <v>78</v>
      </c>
      <c r="F5585" s="4" t="s">
        <v>6765</v>
      </c>
      <c r="G5585" s="4" t="s">
        <v>7358</v>
      </c>
      <c r="H5585" s="4" t="s">
        <v>49</v>
      </c>
      <c r="I5585" s="4" t="s">
        <v>7325</v>
      </c>
      <c r="J5585" s="4" t="s">
        <v>78</v>
      </c>
      <c r="K5585" s="7" t="str">
        <f t="shared" ref="K5585:K5586" si="1716">HYPERLINK("https://media.licdn.com/dms/image/v2/D4E22AQGj2T42TESk1w/feedshare-image-high-res/B4EZ74ZGPpHoAc-/0/1782283789605?e=2147483647&amp;v=beta&amp;t=lDvuae9vcjcZegfSk6jb_9i5cCj7CKtWG18C4c3kLjQ","View Creative")</f>
        <v>View Creative</v>
      </c>
      <c r="L5585" s="4" t="s">
        <v>60</v>
      </c>
      <c r="M5585" s="4" t="s">
        <v>6304</v>
      </c>
      <c r="N5585" s="4" t="s">
        <v>7354</v>
      </c>
      <c r="O5585" s="4" t="s">
        <v>63</v>
      </c>
      <c r="P5585" s="4" t="s">
        <v>64</v>
      </c>
    </row>
    <row r="5586">
      <c r="A5586" s="4" t="s">
        <v>6304</v>
      </c>
      <c r="B5586" s="4" t="s">
        <v>7323</v>
      </c>
      <c r="C5586" s="4">
        <v>66.0</v>
      </c>
      <c r="D5586" s="5" t="str">
        <f t="shared" si="1715"/>
        <v>Open Ad</v>
      </c>
      <c r="E5586" s="4" t="s">
        <v>78</v>
      </c>
      <c r="F5586" s="4" t="s">
        <v>6765</v>
      </c>
      <c r="G5586" s="4" t="s">
        <v>7358</v>
      </c>
      <c r="H5586" s="4" t="s">
        <v>49</v>
      </c>
      <c r="I5586" s="4" t="s">
        <v>7325</v>
      </c>
      <c r="J5586" s="4" t="s">
        <v>78</v>
      </c>
      <c r="K5586" s="7" t="str">
        <f t="shared" si="1716"/>
        <v>View Creative</v>
      </c>
      <c r="L5586" s="4" t="s">
        <v>60</v>
      </c>
      <c r="M5586" s="4" t="s">
        <v>6304</v>
      </c>
      <c r="N5586" s="4" t="s">
        <v>7354</v>
      </c>
      <c r="O5586" s="4" t="s">
        <v>63</v>
      </c>
      <c r="P5586" s="4" t="s">
        <v>64</v>
      </c>
    </row>
    <row r="5587">
      <c r="A5587" s="4" t="s">
        <v>6304</v>
      </c>
      <c r="B5587" s="4" t="s">
        <v>7323</v>
      </c>
      <c r="C5587" s="4">
        <v>67.0</v>
      </c>
      <c r="D5587" s="5" t="str">
        <f t="shared" ref="D5587:D5588" si="1717">HYPERLINK("https://www.linkedin.com/ad-library/detail/1442980543","Open Ad")</f>
        <v>Open Ad</v>
      </c>
      <c r="E5587" s="4" t="s">
        <v>78</v>
      </c>
      <c r="F5587" s="4" t="s">
        <v>6765</v>
      </c>
      <c r="G5587" s="4" t="s">
        <v>7356</v>
      </c>
      <c r="H5587" s="4" t="s">
        <v>49</v>
      </c>
      <c r="I5587" s="4" t="s">
        <v>7325</v>
      </c>
      <c r="J5587" s="4" t="s">
        <v>78</v>
      </c>
      <c r="K5587" s="7" t="str">
        <f t="shared" ref="K5587:K5588" si="1718">HYPERLINK("https://media.licdn.com/dms/image/v2/D4D22AQG_pWDLBn11xg/feedshare-image-high-res/B4DZ5Ktvy7KAAY-/0/1779369967058?e=2147483647&amp;v=beta&amp;t=yoyITKReRXEAtjcuwqrsCi1t2CYI0VeP_TZzNmL4tEY","View Creative")</f>
        <v>View Creative</v>
      </c>
      <c r="L5587" s="4" t="s">
        <v>60</v>
      </c>
      <c r="M5587" s="4" t="s">
        <v>6304</v>
      </c>
      <c r="N5587" s="4" t="s">
        <v>7350</v>
      </c>
      <c r="O5587" s="4" t="s">
        <v>63</v>
      </c>
      <c r="P5587" s="4" t="s">
        <v>64</v>
      </c>
    </row>
    <row r="5588">
      <c r="A5588" s="4" t="s">
        <v>6304</v>
      </c>
      <c r="B5588" s="4" t="s">
        <v>7323</v>
      </c>
      <c r="C5588" s="4">
        <v>68.0</v>
      </c>
      <c r="D5588" s="5" t="str">
        <f t="shared" si="1717"/>
        <v>Open Ad</v>
      </c>
      <c r="E5588" s="4" t="s">
        <v>78</v>
      </c>
      <c r="F5588" s="4" t="s">
        <v>6765</v>
      </c>
      <c r="G5588" s="4" t="s">
        <v>7356</v>
      </c>
      <c r="H5588" s="4" t="s">
        <v>49</v>
      </c>
      <c r="I5588" s="4" t="s">
        <v>7325</v>
      </c>
      <c r="J5588" s="4" t="s">
        <v>78</v>
      </c>
      <c r="K5588" s="7" t="str">
        <f t="shared" si="1718"/>
        <v>View Creative</v>
      </c>
      <c r="L5588" s="4" t="s">
        <v>60</v>
      </c>
      <c r="M5588" s="4" t="s">
        <v>6304</v>
      </c>
      <c r="N5588" s="4" t="s">
        <v>7350</v>
      </c>
      <c r="O5588" s="4" t="s">
        <v>63</v>
      </c>
      <c r="P5588" s="4" t="s">
        <v>64</v>
      </c>
    </row>
    <row r="5589">
      <c r="A5589" s="4" t="s">
        <v>6304</v>
      </c>
      <c r="B5589" s="4" t="s">
        <v>7323</v>
      </c>
      <c r="C5589" s="4">
        <v>69.0</v>
      </c>
      <c r="D5589" s="5" t="str">
        <f t="shared" ref="D5589:D5590" si="1719">HYPERLINK("https://www.linkedin.com/ad-library/detail/1443059933","Open Ad")</f>
        <v>Open Ad</v>
      </c>
      <c r="E5589" s="4" t="s">
        <v>78</v>
      </c>
      <c r="F5589" s="4" t="s">
        <v>6765</v>
      </c>
      <c r="G5589" s="4" t="s">
        <v>7359</v>
      </c>
      <c r="H5589" s="4" t="s">
        <v>49</v>
      </c>
      <c r="I5589" s="4" t="s">
        <v>7325</v>
      </c>
      <c r="J5589" s="4" t="s">
        <v>78</v>
      </c>
      <c r="K5589" s="7" t="str">
        <f t="shared" ref="K5589:K5590" si="1720">HYPERLINK("https://media.licdn.com/dms/image/v2/D4E22AQGk067apuo5qQ/feedshare-image-high-res/B4EZ7zIBmuHwAY-/0/1782195428007?e=2147483647&amp;v=beta&amp;t=HCMTNKg4ludKnwsaiFUYT_NGO-es1knNpH1qJvyvb04","View Creative")</f>
        <v>View Creative</v>
      </c>
      <c r="L5589" s="4" t="s">
        <v>60</v>
      </c>
      <c r="M5589" s="4" t="s">
        <v>6304</v>
      </c>
      <c r="N5589" s="4" t="s">
        <v>7350</v>
      </c>
      <c r="O5589" s="4" t="s">
        <v>63</v>
      </c>
      <c r="P5589" s="4" t="s">
        <v>64</v>
      </c>
    </row>
    <row r="5590">
      <c r="A5590" s="4" t="s">
        <v>6304</v>
      </c>
      <c r="B5590" s="4" t="s">
        <v>7323</v>
      </c>
      <c r="C5590" s="4">
        <v>70.0</v>
      </c>
      <c r="D5590" s="5" t="str">
        <f t="shared" si="1719"/>
        <v>Open Ad</v>
      </c>
      <c r="E5590" s="4" t="s">
        <v>78</v>
      </c>
      <c r="F5590" s="4" t="s">
        <v>6765</v>
      </c>
      <c r="G5590" s="4" t="s">
        <v>7359</v>
      </c>
      <c r="H5590" s="4" t="s">
        <v>49</v>
      </c>
      <c r="I5590" s="4" t="s">
        <v>7325</v>
      </c>
      <c r="J5590" s="4" t="s">
        <v>78</v>
      </c>
      <c r="K5590" s="7" t="str">
        <f t="shared" si="1720"/>
        <v>View Creative</v>
      </c>
      <c r="L5590" s="4" t="s">
        <v>60</v>
      </c>
      <c r="M5590" s="4" t="s">
        <v>6304</v>
      </c>
      <c r="N5590" s="4" t="s">
        <v>7350</v>
      </c>
      <c r="O5590" s="4" t="s">
        <v>63</v>
      </c>
      <c r="P5590" s="4" t="s">
        <v>64</v>
      </c>
    </row>
    <row r="5591">
      <c r="A5591" s="4" t="s">
        <v>6304</v>
      </c>
      <c r="B5591" s="4" t="s">
        <v>7323</v>
      </c>
      <c r="C5591" s="4">
        <v>71.0</v>
      </c>
      <c r="D5591" s="5" t="str">
        <f t="shared" ref="D5591:D5592" si="1721">HYPERLINK("https://www.linkedin.com/ad-library/detail/1443030223","Open Ad")</f>
        <v>Open Ad</v>
      </c>
      <c r="E5591" s="4" t="s">
        <v>78</v>
      </c>
      <c r="F5591" s="4" t="s">
        <v>6765</v>
      </c>
      <c r="G5591" s="4" t="s">
        <v>7360</v>
      </c>
      <c r="H5591" s="4" t="s">
        <v>49</v>
      </c>
      <c r="I5591" s="4" t="s">
        <v>7325</v>
      </c>
      <c r="J5591" s="4" t="s">
        <v>78</v>
      </c>
      <c r="K5591" s="7" t="str">
        <f t="shared" ref="K5591:K5592" si="1722">HYPERLINK("https://media.licdn.com/dms/image/v2/D4E22AQGIv40OuuCTKw/feedshare-shrink_1280/B4EZ8XUGdSJEAU-/0/1782802573749?e=2147483647&amp;v=beta&amp;t=4r5kQiNcFOPsFb6XBacyPkZCk1jztWihIYC37K8ZFHo","View Creative")</f>
        <v>View Creative</v>
      </c>
      <c r="L5591" s="4" t="s">
        <v>60</v>
      </c>
      <c r="M5591" s="4" t="s">
        <v>6304</v>
      </c>
      <c r="N5591" s="4" t="s">
        <v>7354</v>
      </c>
      <c r="O5591" s="4" t="s">
        <v>63</v>
      </c>
      <c r="P5591" s="4" t="s">
        <v>64</v>
      </c>
    </row>
    <row r="5592">
      <c r="A5592" s="4" t="s">
        <v>6304</v>
      </c>
      <c r="B5592" s="4" t="s">
        <v>7323</v>
      </c>
      <c r="C5592" s="4">
        <v>72.0</v>
      </c>
      <c r="D5592" s="5" t="str">
        <f t="shared" si="1721"/>
        <v>Open Ad</v>
      </c>
      <c r="E5592" s="4" t="s">
        <v>78</v>
      </c>
      <c r="F5592" s="4" t="s">
        <v>6765</v>
      </c>
      <c r="G5592" s="4" t="s">
        <v>7360</v>
      </c>
      <c r="H5592" s="4" t="s">
        <v>49</v>
      </c>
      <c r="I5592" s="4" t="s">
        <v>7325</v>
      </c>
      <c r="J5592" s="4" t="s">
        <v>78</v>
      </c>
      <c r="K5592" s="7" t="str">
        <f t="shared" si="1722"/>
        <v>View Creative</v>
      </c>
      <c r="L5592" s="4" t="s">
        <v>60</v>
      </c>
      <c r="M5592" s="4" t="s">
        <v>6304</v>
      </c>
      <c r="N5592" s="4" t="s">
        <v>7354</v>
      </c>
      <c r="O5592" s="4" t="s">
        <v>63</v>
      </c>
      <c r="P5592" s="4" t="s">
        <v>64</v>
      </c>
    </row>
    <row r="5593">
      <c r="A5593" s="4" t="s">
        <v>6304</v>
      </c>
      <c r="B5593" s="4" t="s">
        <v>7323</v>
      </c>
      <c r="C5593" s="4">
        <v>73.0</v>
      </c>
      <c r="D5593" s="5" t="str">
        <f t="shared" ref="D5593:D5594" si="1723">HYPERLINK("https://www.linkedin.com/ad-library/detail/1443050243","Open Ad")</f>
        <v>Open Ad</v>
      </c>
      <c r="E5593" s="4" t="s">
        <v>78</v>
      </c>
      <c r="F5593" s="4" t="s">
        <v>6765</v>
      </c>
      <c r="G5593" s="4" t="s">
        <v>7353</v>
      </c>
      <c r="H5593" s="4" t="s">
        <v>49</v>
      </c>
      <c r="I5593" s="4" t="s">
        <v>7325</v>
      </c>
      <c r="J5593" s="4" t="s">
        <v>78</v>
      </c>
      <c r="K5593" s="7" t="str">
        <f t="shared" ref="K5593:K5594" si="1724">HYPERLINK("https://media.licdn.com/dms/image/v2/D4E22AQFFV6_jV3bM2A/feedshare-image-high-res/B4EZ74aXy_KwAU-/0/1782284123580?e=2147483647&amp;v=beta&amp;t=uA4GWUtr0mjVOAJEUJtu_Bb0yG4Ph0KBDl3a0_qG0ug","View Creative")</f>
        <v>View Creative</v>
      </c>
      <c r="L5593" s="4" t="s">
        <v>60</v>
      </c>
      <c r="M5593" s="4" t="s">
        <v>6304</v>
      </c>
      <c r="N5593" s="4" t="s">
        <v>7350</v>
      </c>
      <c r="O5593" s="4" t="s">
        <v>63</v>
      </c>
      <c r="P5593" s="4" t="s">
        <v>64</v>
      </c>
    </row>
    <row r="5594">
      <c r="A5594" s="4" t="s">
        <v>6304</v>
      </c>
      <c r="B5594" s="4" t="s">
        <v>7323</v>
      </c>
      <c r="C5594" s="4">
        <v>74.0</v>
      </c>
      <c r="D5594" s="5" t="str">
        <f t="shared" si="1723"/>
        <v>Open Ad</v>
      </c>
      <c r="E5594" s="4" t="s">
        <v>78</v>
      </c>
      <c r="F5594" s="4" t="s">
        <v>6765</v>
      </c>
      <c r="G5594" s="4" t="s">
        <v>7353</v>
      </c>
      <c r="H5594" s="4" t="s">
        <v>49</v>
      </c>
      <c r="I5594" s="4" t="s">
        <v>7325</v>
      </c>
      <c r="J5594" s="4" t="s">
        <v>78</v>
      </c>
      <c r="K5594" s="7" t="str">
        <f t="shared" si="1724"/>
        <v>View Creative</v>
      </c>
      <c r="L5594" s="4" t="s">
        <v>60</v>
      </c>
      <c r="M5594" s="4" t="s">
        <v>6304</v>
      </c>
      <c r="N5594" s="4" t="s">
        <v>7350</v>
      </c>
      <c r="O5594" s="4" t="s">
        <v>63</v>
      </c>
      <c r="P5594" s="4" t="s">
        <v>64</v>
      </c>
    </row>
    <row r="5595">
      <c r="A5595" s="4" t="s">
        <v>6304</v>
      </c>
      <c r="B5595" s="4" t="s">
        <v>7323</v>
      </c>
      <c r="C5595" s="4">
        <v>75.0</v>
      </c>
      <c r="D5595" s="5" t="str">
        <f t="shared" ref="D5595:D5596" si="1725">HYPERLINK("https://www.linkedin.com/ad-library/detail/1442921343","Open Ad")</f>
        <v>Open Ad</v>
      </c>
      <c r="E5595" s="4" t="s">
        <v>78</v>
      </c>
      <c r="F5595" s="4" t="s">
        <v>6765</v>
      </c>
      <c r="G5595" s="4" t="s">
        <v>7361</v>
      </c>
      <c r="H5595" s="4" t="s">
        <v>49</v>
      </c>
      <c r="I5595" s="4" t="s">
        <v>7325</v>
      </c>
      <c r="J5595" s="4" t="s">
        <v>78</v>
      </c>
      <c r="K5595" s="7" t="str">
        <f t="shared" ref="K5595:K5596" si="1726">HYPERLINK("https://media.licdn.com/dms/image/v2/D4E22AQEJKzjT8LcjAQ/feedshare-image-high-res/B4EZ8cdXBrIwAU-/0/1782888886663?e=2147483647&amp;v=beta&amp;t=Iv5Cf1pbMw5jumA1lvf6M553so6e41sG5XMSoDLRl1k","View Creative")</f>
        <v>View Creative</v>
      </c>
      <c r="L5595" s="4" t="s">
        <v>60</v>
      </c>
      <c r="M5595" s="4" t="s">
        <v>6304</v>
      </c>
      <c r="N5595" s="4" t="s">
        <v>7354</v>
      </c>
      <c r="O5595" s="4" t="s">
        <v>63</v>
      </c>
      <c r="P5595" s="4" t="s">
        <v>64</v>
      </c>
    </row>
    <row r="5596">
      <c r="A5596" s="4" t="s">
        <v>6304</v>
      </c>
      <c r="B5596" s="4" t="s">
        <v>7323</v>
      </c>
      <c r="C5596" s="4">
        <v>76.0</v>
      </c>
      <c r="D5596" s="5" t="str">
        <f t="shared" si="1725"/>
        <v>Open Ad</v>
      </c>
      <c r="E5596" s="4" t="s">
        <v>78</v>
      </c>
      <c r="F5596" s="4" t="s">
        <v>6765</v>
      </c>
      <c r="G5596" s="4" t="s">
        <v>7361</v>
      </c>
      <c r="H5596" s="4" t="s">
        <v>49</v>
      </c>
      <c r="I5596" s="4" t="s">
        <v>7325</v>
      </c>
      <c r="J5596" s="4" t="s">
        <v>78</v>
      </c>
      <c r="K5596" s="7" t="str">
        <f t="shared" si="1726"/>
        <v>View Creative</v>
      </c>
      <c r="L5596" s="4" t="s">
        <v>60</v>
      </c>
      <c r="M5596" s="4" t="s">
        <v>6304</v>
      </c>
      <c r="N5596" s="4" t="s">
        <v>7354</v>
      </c>
      <c r="O5596" s="4" t="s">
        <v>63</v>
      </c>
      <c r="P5596" s="4" t="s">
        <v>64</v>
      </c>
    </row>
    <row r="5597">
      <c r="A5597" s="4" t="s">
        <v>6304</v>
      </c>
      <c r="B5597" s="4" t="s">
        <v>7323</v>
      </c>
      <c r="C5597" s="4">
        <v>77.0</v>
      </c>
      <c r="D5597" s="5" t="str">
        <f t="shared" ref="D5597:D5598" si="1727">HYPERLINK("https://www.linkedin.com/ad-library/detail/1442889033","Open Ad")</f>
        <v>Open Ad</v>
      </c>
      <c r="E5597" s="4" t="s">
        <v>78</v>
      </c>
      <c r="F5597" s="4" t="s">
        <v>6765</v>
      </c>
      <c r="G5597" s="4" t="s">
        <v>7362</v>
      </c>
      <c r="H5597" s="4" t="s">
        <v>49</v>
      </c>
      <c r="I5597" s="4" t="s">
        <v>7325</v>
      </c>
      <c r="J5597" s="4" t="s">
        <v>78</v>
      </c>
      <c r="K5597" s="7" t="str">
        <f t="shared" ref="K5597:K5598" si="1728">HYPERLINK("https://media.licdn.com/dms/image/v2/D4E22AQFDetik_OMtDA/feedshare-image-high-res/B4EZ82pjENHkAY-/0/1783328289310?e=2147483647&amp;v=beta&amp;t=3_ENJaIhqXbj3xDtNrnb-ELd1mD699XIM7ql1ZftTZE","View Creative")</f>
        <v>View Creative</v>
      </c>
      <c r="L5597" s="4" t="s">
        <v>60</v>
      </c>
      <c r="M5597" s="4" t="s">
        <v>6304</v>
      </c>
      <c r="N5597" s="4" t="s">
        <v>7354</v>
      </c>
      <c r="O5597" s="4" t="s">
        <v>63</v>
      </c>
      <c r="P5597" s="4" t="s">
        <v>64</v>
      </c>
    </row>
    <row r="5598">
      <c r="A5598" s="4" t="s">
        <v>6304</v>
      </c>
      <c r="B5598" s="4" t="s">
        <v>7323</v>
      </c>
      <c r="C5598" s="4">
        <v>78.0</v>
      </c>
      <c r="D5598" s="5" t="str">
        <f t="shared" si="1727"/>
        <v>Open Ad</v>
      </c>
      <c r="E5598" s="4" t="s">
        <v>78</v>
      </c>
      <c r="F5598" s="4" t="s">
        <v>6765</v>
      </c>
      <c r="G5598" s="4" t="s">
        <v>7362</v>
      </c>
      <c r="H5598" s="4" t="s">
        <v>49</v>
      </c>
      <c r="I5598" s="4" t="s">
        <v>7325</v>
      </c>
      <c r="J5598" s="4" t="s">
        <v>78</v>
      </c>
      <c r="K5598" s="7" t="str">
        <f t="shared" si="1728"/>
        <v>View Creative</v>
      </c>
      <c r="L5598" s="4" t="s">
        <v>60</v>
      </c>
      <c r="M5598" s="4" t="s">
        <v>6304</v>
      </c>
      <c r="N5598" s="4" t="s">
        <v>7354</v>
      </c>
      <c r="O5598" s="4" t="s">
        <v>63</v>
      </c>
      <c r="P5598" s="4" t="s">
        <v>64</v>
      </c>
    </row>
    <row r="5599">
      <c r="A5599" s="4" t="s">
        <v>6304</v>
      </c>
      <c r="B5599" s="4" t="s">
        <v>7323</v>
      </c>
      <c r="C5599" s="4">
        <v>79.0</v>
      </c>
      <c r="D5599" s="5" t="str">
        <f t="shared" ref="D5599:D5600" si="1729">HYPERLINK("https://www.linkedin.com/ad-library/detail/1442901783","Open Ad")</f>
        <v>Open Ad</v>
      </c>
      <c r="E5599" s="4" t="s">
        <v>78</v>
      </c>
      <c r="F5599" s="4" t="s">
        <v>6765</v>
      </c>
      <c r="G5599" s="4" t="s">
        <v>7363</v>
      </c>
      <c r="H5599" s="4" t="s">
        <v>49</v>
      </c>
      <c r="I5599" s="4" t="s">
        <v>7325</v>
      </c>
      <c r="J5599" s="4" t="s">
        <v>78</v>
      </c>
      <c r="K5599" s="7" t="str">
        <f t="shared" ref="K5599:K5600" si="1730">HYPERLINK("https://media.licdn.com/dms/image/v2/D4E22AQEsUoviXxdOLA/feedshare-shrink_1280/B4EZ7zKHegHoAQ-/0/1782195976367?e=2147483647&amp;v=beta&amp;t=DsdQB9VhMN1yFtQi7lAE6MppH6mLuei8eGMn5zXfjIA","View Creative")</f>
        <v>View Creative</v>
      </c>
      <c r="L5599" s="4" t="s">
        <v>60</v>
      </c>
      <c r="M5599" s="4" t="s">
        <v>6304</v>
      </c>
      <c r="N5599" s="4" t="s">
        <v>7354</v>
      </c>
      <c r="O5599" s="4" t="s">
        <v>63</v>
      </c>
      <c r="P5599" s="4" t="s">
        <v>64</v>
      </c>
    </row>
    <row r="5600">
      <c r="A5600" s="4" t="s">
        <v>6304</v>
      </c>
      <c r="B5600" s="4" t="s">
        <v>7323</v>
      </c>
      <c r="C5600" s="4">
        <v>80.0</v>
      </c>
      <c r="D5600" s="5" t="str">
        <f t="shared" si="1729"/>
        <v>Open Ad</v>
      </c>
      <c r="E5600" s="4" t="s">
        <v>78</v>
      </c>
      <c r="F5600" s="4" t="s">
        <v>6765</v>
      </c>
      <c r="G5600" s="4" t="s">
        <v>7363</v>
      </c>
      <c r="H5600" s="4" t="s">
        <v>49</v>
      </c>
      <c r="I5600" s="4" t="s">
        <v>7325</v>
      </c>
      <c r="J5600" s="4" t="s">
        <v>78</v>
      </c>
      <c r="K5600" s="7" t="str">
        <f t="shared" si="1730"/>
        <v>View Creative</v>
      </c>
      <c r="L5600" s="4" t="s">
        <v>60</v>
      </c>
      <c r="M5600" s="4" t="s">
        <v>6304</v>
      </c>
      <c r="N5600" s="4" t="s">
        <v>7354</v>
      </c>
      <c r="O5600" s="4" t="s">
        <v>63</v>
      </c>
      <c r="P5600" s="4" t="s">
        <v>64</v>
      </c>
    </row>
    <row r="5601">
      <c r="A5601" s="4" t="s">
        <v>6304</v>
      </c>
      <c r="B5601" s="4" t="s">
        <v>7323</v>
      </c>
      <c r="C5601" s="4">
        <v>81.0</v>
      </c>
      <c r="D5601" s="5" t="str">
        <f t="shared" ref="D5601:D5602" si="1731">HYPERLINK("https://www.linkedin.com/ad-library/detail/1443050233","Open Ad")</f>
        <v>Open Ad</v>
      </c>
      <c r="E5601" s="4" t="s">
        <v>78</v>
      </c>
      <c r="F5601" s="4" t="s">
        <v>6765</v>
      </c>
      <c r="G5601" s="4" t="s">
        <v>7360</v>
      </c>
      <c r="H5601" s="4" t="s">
        <v>49</v>
      </c>
      <c r="I5601" s="4" t="s">
        <v>7325</v>
      </c>
      <c r="J5601" s="4" t="s">
        <v>78</v>
      </c>
      <c r="K5601" s="7" t="str">
        <f t="shared" ref="K5601:K5602" si="1732">HYPERLINK("https://media.licdn.com/dms/image/v2/D4E22AQGIv40OuuCTKw/feedshare-shrink_1280/B4EZ8XUGdSJEAU-/0/1782802573749?e=2147483647&amp;v=beta&amp;t=4r5kQiNcFOPsFb6XBacyPkZCk1jztWihIYC37K8ZFHo","View Creative")</f>
        <v>View Creative</v>
      </c>
      <c r="L5601" s="4" t="s">
        <v>60</v>
      </c>
      <c r="M5601" s="4" t="s">
        <v>6304</v>
      </c>
      <c r="N5601" s="4" t="s">
        <v>7350</v>
      </c>
      <c r="O5601" s="4" t="s">
        <v>63</v>
      </c>
      <c r="P5601" s="4" t="s">
        <v>64</v>
      </c>
    </row>
    <row r="5602">
      <c r="A5602" s="4" t="s">
        <v>6304</v>
      </c>
      <c r="B5602" s="4" t="s">
        <v>7323</v>
      </c>
      <c r="C5602" s="4">
        <v>82.0</v>
      </c>
      <c r="D5602" s="5" t="str">
        <f t="shared" si="1731"/>
        <v>Open Ad</v>
      </c>
      <c r="E5602" s="4" t="s">
        <v>78</v>
      </c>
      <c r="F5602" s="4" t="s">
        <v>6765</v>
      </c>
      <c r="G5602" s="4" t="s">
        <v>7360</v>
      </c>
      <c r="H5602" s="4" t="s">
        <v>49</v>
      </c>
      <c r="I5602" s="4" t="s">
        <v>7325</v>
      </c>
      <c r="J5602" s="4" t="s">
        <v>78</v>
      </c>
      <c r="K5602" s="7" t="str">
        <f t="shared" si="1732"/>
        <v>View Creative</v>
      </c>
      <c r="L5602" s="4" t="s">
        <v>60</v>
      </c>
      <c r="M5602" s="4" t="s">
        <v>6304</v>
      </c>
      <c r="N5602" s="4" t="s">
        <v>7350</v>
      </c>
      <c r="O5602" s="4" t="s">
        <v>63</v>
      </c>
      <c r="P5602" s="4" t="s">
        <v>64</v>
      </c>
    </row>
    <row r="5603">
      <c r="A5603" s="4" t="s">
        <v>6304</v>
      </c>
      <c r="B5603" s="4" t="s">
        <v>7323</v>
      </c>
      <c r="C5603" s="4">
        <v>83.0</v>
      </c>
      <c r="D5603" s="5" t="str">
        <f t="shared" ref="D5603:D5604" si="1733">HYPERLINK("https://www.linkedin.com/ad-library/detail/1442901873","Open Ad")</f>
        <v>Open Ad</v>
      </c>
      <c r="E5603" s="4" t="s">
        <v>121</v>
      </c>
      <c r="F5603" s="4" t="s">
        <v>6765</v>
      </c>
      <c r="G5603" s="4" t="s">
        <v>7352</v>
      </c>
      <c r="H5603" s="4" t="s">
        <v>49</v>
      </c>
      <c r="I5603" s="4" t="s">
        <v>7325</v>
      </c>
      <c r="J5603" s="4" t="s">
        <v>121</v>
      </c>
      <c r="K5603" s="7" t="str">
        <f t="shared" ref="K5603:K5604" si="1734">HYPERLINK("https://dms.licdn.com/playlist/vid/v2/D4E05AQFs4GA-CSMrgw/mp4-640p-30fp-crf28/B4EZ8DNcpYK4Bk-/0/1782465303765?e=2147483647&amp;v=beta&amp;t=CXGN2ipbrLzus8O4b9lV3YtQijQ-GLV2wjc7kKhEwzg","View Creative")</f>
        <v>View Creative</v>
      </c>
      <c r="L5603" s="4" t="s">
        <v>60</v>
      </c>
      <c r="M5603" s="4" t="s">
        <v>6304</v>
      </c>
      <c r="N5603" s="4" t="s">
        <v>7351</v>
      </c>
      <c r="O5603" s="4" t="s">
        <v>63</v>
      </c>
      <c r="P5603" s="4" t="s">
        <v>64</v>
      </c>
    </row>
    <row r="5604">
      <c r="A5604" s="4" t="s">
        <v>6304</v>
      </c>
      <c r="B5604" s="4" t="s">
        <v>7323</v>
      </c>
      <c r="C5604" s="4">
        <v>84.0</v>
      </c>
      <c r="D5604" s="5" t="str">
        <f t="shared" si="1733"/>
        <v>Open Ad</v>
      </c>
      <c r="E5604" s="4" t="s">
        <v>121</v>
      </c>
      <c r="F5604" s="4" t="s">
        <v>6765</v>
      </c>
      <c r="G5604" s="4" t="s">
        <v>7352</v>
      </c>
      <c r="H5604" s="4" t="s">
        <v>49</v>
      </c>
      <c r="I5604" s="4" t="s">
        <v>7325</v>
      </c>
      <c r="J5604" s="4" t="s">
        <v>121</v>
      </c>
      <c r="K5604" s="7" t="str">
        <f t="shared" si="1734"/>
        <v>View Creative</v>
      </c>
      <c r="L5604" s="4" t="s">
        <v>60</v>
      </c>
      <c r="M5604" s="4" t="s">
        <v>6304</v>
      </c>
      <c r="N5604" s="4" t="s">
        <v>7351</v>
      </c>
      <c r="O5604" s="4" t="s">
        <v>63</v>
      </c>
      <c r="P5604" s="4" t="s">
        <v>64</v>
      </c>
    </row>
    <row r="5605">
      <c r="A5605" s="4" t="s">
        <v>6304</v>
      </c>
      <c r="B5605" s="4" t="s">
        <v>7323</v>
      </c>
      <c r="C5605" s="4">
        <v>85.0</v>
      </c>
      <c r="D5605" s="5" t="str">
        <f t="shared" ref="D5605:D5606" si="1735">HYPERLINK("https://www.linkedin.com/ad-library/detail/1442869323","Open Ad")</f>
        <v>Open Ad</v>
      </c>
      <c r="E5605" s="4" t="s">
        <v>78</v>
      </c>
      <c r="F5605" s="4" t="s">
        <v>6765</v>
      </c>
      <c r="G5605" s="4" t="s">
        <v>7364</v>
      </c>
      <c r="H5605" s="4" t="s">
        <v>49</v>
      </c>
      <c r="I5605" s="4" t="s">
        <v>7325</v>
      </c>
      <c r="J5605" s="4" t="s">
        <v>78</v>
      </c>
      <c r="K5605" s="7" t="str">
        <f t="shared" ref="K5605:K5606" si="1736">HYPERLINK("https://media.licdn.com/dms/image/v2/D4D22AQFpzdPgQ7ryJw/feedshare-image-high-res/B4DZ8T7ALEI4AU-/0/1782745662495?e=2147483647&amp;v=beta&amp;t=JXeLLmjUn3DJzYpTg_fqeKZX0p45s3yqVqPztec_O5M","View Creative")</f>
        <v>View Creative</v>
      </c>
      <c r="L5605" s="4" t="s">
        <v>60</v>
      </c>
      <c r="M5605" s="4" t="s">
        <v>6304</v>
      </c>
      <c r="N5605" s="4" t="s">
        <v>7365</v>
      </c>
      <c r="O5605" s="4" t="s">
        <v>63</v>
      </c>
      <c r="P5605" s="4" t="s">
        <v>64</v>
      </c>
    </row>
    <row r="5606">
      <c r="A5606" s="4" t="s">
        <v>6304</v>
      </c>
      <c r="B5606" s="4" t="s">
        <v>7323</v>
      </c>
      <c r="C5606" s="4">
        <v>86.0</v>
      </c>
      <c r="D5606" s="5" t="str">
        <f t="shared" si="1735"/>
        <v>Open Ad</v>
      </c>
      <c r="E5606" s="4" t="s">
        <v>78</v>
      </c>
      <c r="F5606" s="4" t="s">
        <v>6765</v>
      </c>
      <c r="G5606" s="4" t="s">
        <v>7364</v>
      </c>
      <c r="H5606" s="4" t="s">
        <v>49</v>
      </c>
      <c r="I5606" s="4" t="s">
        <v>7325</v>
      </c>
      <c r="J5606" s="4" t="s">
        <v>78</v>
      </c>
      <c r="K5606" s="7" t="str">
        <f t="shared" si="1736"/>
        <v>View Creative</v>
      </c>
      <c r="L5606" s="4" t="s">
        <v>60</v>
      </c>
      <c r="M5606" s="4" t="s">
        <v>6304</v>
      </c>
      <c r="N5606" s="4" t="s">
        <v>7365</v>
      </c>
      <c r="O5606" s="4" t="s">
        <v>63</v>
      </c>
      <c r="P5606" s="4" t="s">
        <v>64</v>
      </c>
    </row>
    <row r="5607">
      <c r="A5607" s="4" t="s">
        <v>6304</v>
      </c>
      <c r="B5607" s="4" t="s">
        <v>7323</v>
      </c>
      <c r="C5607" s="4">
        <v>87.0</v>
      </c>
      <c r="D5607" s="5" t="str">
        <f t="shared" ref="D5607:D5608" si="1737">HYPERLINK("https://www.linkedin.com/ad-library/detail/1440628063","Open Ad")</f>
        <v>Open Ad</v>
      </c>
      <c r="E5607" s="4" t="s">
        <v>78</v>
      </c>
      <c r="F5607" s="4" t="s">
        <v>6765</v>
      </c>
      <c r="G5607" s="4" t="s">
        <v>7358</v>
      </c>
      <c r="H5607" s="4" t="s">
        <v>49</v>
      </c>
      <c r="I5607" s="4" t="s">
        <v>7325</v>
      </c>
      <c r="J5607" s="4" t="s">
        <v>78</v>
      </c>
      <c r="K5607" s="7" t="str">
        <f t="shared" ref="K5607:K5608" si="1738">HYPERLINK("https://media.licdn.com/dms/image/v2/D4E22AQGj2T42TESk1w/feedshare-image-high-res/B4EZ74ZGPpHoAc-/0/1782283789605?e=2147483647&amp;v=beta&amp;t=lDvuae9vcjcZegfSk6jb_9i5cCj7CKtWG18C4c3kLjQ","View Creative")</f>
        <v>View Creative</v>
      </c>
      <c r="L5607" s="4" t="s">
        <v>60</v>
      </c>
      <c r="M5607" s="4" t="s">
        <v>6304</v>
      </c>
      <c r="N5607" s="4" t="s">
        <v>7357</v>
      </c>
      <c r="O5607" s="4" t="s">
        <v>63</v>
      </c>
      <c r="P5607" s="4" t="s">
        <v>64</v>
      </c>
    </row>
    <row r="5608">
      <c r="A5608" s="4" t="s">
        <v>6304</v>
      </c>
      <c r="B5608" s="4" t="s">
        <v>7323</v>
      </c>
      <c r="C5608" s="4">
        <v>88.0</v>
      </c>
      <c r="D5608" s="5" t="str">
        <f t="shared" si="1737"/>
        <v>Open Ad</v>
      </c>
      <c r="E5608" s="4" t="s">
        <v>78</v>
      </c>
      <c r="F5608" s="4" t="s">
        <v>6765</v>
      </c>
      <c r="G5608" s="4" t="s">
        <v>7358</v>
      </c>
      <c r="H5608" s="4" t="s">
        <v>49</v>
      </c>
      <c r="I5608" s="4" t="s">
        <v>7325</v>
      </c>
      <c r="J5608" s="4" t="s">
        <v>78</v>
      </c>
      <c r="K5608" s="7" t="str">
        <f t="shared" si="1738"/>
        <v>View Creative</v>
      </c>
      <c r="L5608" s="4" t="s">
        <v>60</v>
      </c>
      <c r="M5608" s="4" t="s">
        <v>6304</v>
      </c>
      <c r="N5608" s="4" t="s">
        <v>7357</v>
      </c>
      <c r="O5608" s="4" t="s">
        <v>63</v>
      </c>
      <c r="P5608" s="4" t="s">
        <v>64</v>
      </c>
    </row>
    <row r="5609">
      <c r="A5609" s="4" t="s">
        <v>6304</v>
      </c>
      <c r="B5609" s="4" t="s">
        <v>7323</v>
      </c>
      <c r="C5609" s="4">
        <v>89.0</v>
      </c>
      <c r="D5609" s="5" t="str">
        <f t="shared" ref="D5609:D5610" si="1739">HYPERLINK("https://www.linkedin.com/ad-library/detail/1443050303","Open Ad")</f>
        <v>Open Ad</v>
      </c>
      <c r="E5609" s="4" t="s">
        <v>121</v>
      </c>
      <c r="F5609" s="4" t="s">
        <v>6765</v>
      </c>
      <c r="G5609" s="4" t="s">
        <v>7366</v>
      </c>
      <c r="H5609" s="4" t="s">
        <v>49</v>
      </c>
      <c r="I5609" s="4" t="s">
        <v>7325</v>
      </c>
      <c r="J5609" s="4" t="s">
        <v>121</v>
      </c>
      <c r="K5609" s="7" t="str">
        <f t="shared" ref="K5609:K5610" si="1740">HYPERLINK("https://dms.licdn.com/playlist/vid/v2/D4E05AQGGKdfa79Myvg/mp4-720p-30fp-crf28/B4EZ87QgwGJgB8-/0/1783405647815?e=2147483647&amp;v=beta&amp;t=g3D3sDnZNzEmIFs4BHnUpdXh_Lc4j_7fDJIBnAbs9V0","View Creative")</f>
        <v>View Creative</v>
      </c>
      <c r="L5609" s="4" t="s">
        <v>60</v>
      </c>
      <c r="M5609" s="4" t="s">
        <v>6304</v>
      </c>
      <c r="N5609" s="4" t="s">
        <v>7347</v>
      </c>
      <c r="O5609" s="4" t="s">
        <v>63</v>
      </c>
      <c r="P5609" s="4" t="s">
        <v>64</v>
      </c>
    </row>
    <row r="5610">
      <c r="A5610" s="4" t="s">
        <v>6304</v>
      </c>
      <c r="B5610" s="4" t="s">
        <v>7323</v>
      </c>
      <c r="C5610" s="4">
        <v>90.0</v>
      </c>
      <c r="D5610" s="5" t="str">
        <f t="shared" si="1739"/>
        <v>Open Ad</v>
      </c>
      <c r="E5610" s="4" t="s">
        <v>121</v>
      </c>
      <c r="F5610" s="4" t="s">
        <v>6765</v>
      </c>
      <c r="G5610" s="4" t="s">
        <v>7366</v>
      </c>
      <c r="H5610" s="4" t="s">
        <v>49</v>
      </c>
      <c r="I5610" s="4" t="s">
        <v>7325</v>
      </c>
      <c r="J5610" s="4" t="s">
        <v>121</v>
      </c>
      <c r="K5610" s="7" t="str">
        <f t="shared" si="1740"/>
        <v>View Creative</v>
      </c>
      <c r="L5610" s="4" t="s">
        <v>60</v>
      </c>
      <c r="M5610" s="4" t="s">
        <v>6304</v>
      </c>
      <c r="N5610" s="4" t="s">
        <v>7347</v>
      </c>
      <c r="O5610" s="4" t="s">
        <v>63</v>
      </c>
      <c r="P5610" s="4" t="s">
        <v>64</v>
      </c>
    </row>
    <row r="5611">
      <c r="A5611" s="4" t="s">
        <v>6304</v>
      </c>
      <c r="B5611" s="4" t="s">
        <v>7323</v>
      </c>
      <c r="C5611" s="4">
        <v>91.0</v>
      </c>
      <c r="D5611" s="5" t="str">
        <f t="shared" ref="D5611:D5612" si="1741">HYPERLINK("https://www.linkedin.com/ad-library/detail/1443059913","Open Ad")</f>
        <v>Open Ad</v>
      </c>
      <c r="E5611" s="4" t="s">
        <v>78</v>
      </c>
      <c r="F5611" s="4" t="s">
        <v>6765</v>
      </c>
      <c r="G5611" s="4" t="s">
        <v>7349</v>
      </c>
      <c r="H5611" s="4" t="s">
        <v>49</v>
      </c>
      <c r="I5611" s="4" t="s">
        <v>7325</v>
      </c>
      <c r="J5611" s="4" t="s">
        <v>78</v>
      </c>
      <c r="K5611" s="7" t="str">
        <f t="shared" ref="K5611:K5612" si="1742">HYPERLINK("https://media.licdn.com/dms/image/v2/D4E22AQFd99riRaLcTQ/feedshare-image-high-res/B4EZ82LpSNHMAU-/0/1783320450499?e=2147483647&amp;v=beta&amp;t=DQt5I1zweQunogKTIP0R-KH7WbsR1WL6081Vj7D4gRQ","View Creative")</f>
        <v>View Creative</v>
      </c>
      <c r="L5611" s="4" t="s">
        <v>60</v>
      </c>
      <c r="M5611" s="4" t="s">
        <v>6304</v>
      </c>
      <c r="N5611" s="4" t="s">
        <v>7354</v>
      </c>
      <c r="O5611" s="4" t="s">
        <v>63</v>
      </c>
      <c r="P5611" s="4" t="s">
        <v>64</v>
      </c>
    </row>
    <row r="5612">
      <c r="A5612" s="4" t="s">
        <v>6304</v>
      </c>
      <c r="B5612" s="4" t="s">
        <v>7323</v>
      </c>
      <c r="C5612" s="4">
        <v>92.0</v>
      </c>
      <c r="D5612" s="5" t="str">
        <f t="shared" si="1741"/>
        <v>Open Ad</v>
      </c>
      <c r="E5612" s="4" t="s">
        <v>78</v>
      </c>
      <c r="F5612" s="4" t="s">
        <v>6765</v>
      </c>
      <c r="G5612" s="4" t="s">
        <v>7349</v>
      </c>
      <c r="H5612" s="4" t="s">
        <v>49</v>
      </c>
      <c r="I5612" s="4" t="s">
        <v>7325</v>
      </c>
      <c r="J5612" s="4" t="s">
        <v>78</v>
      </c>
      <c r="K5612" s="7" t="str">
        <f t="shared" si="1742"/>
        <v>View Creative</v>
      </c>
      <c r="L5612" s="4" t="s">
        <v>60</v>
      </c>
      <c r="M5612" s="4" t="s">
        <v>6304</v>
      </c>
      <c r="N5612" s="4" t="s">
        <v>7354</v>
      </c>
      <c r="O5612" s="4" t="s">
        <v>63</v>
      </c>
      <c r="P5612" s="4" t="s">
        <v>64</v>
      </c>
    </row>
    <row r="5613">
      <c r="A5613" s="4" t="s">
        <v>6304</v>
      </c>
      <c r="B5613" s="4" t="s">
        <v>7323</v>
      </c>
      <c r="C5613" s="4">
        <v>93.0</v>
      </c>
      <c r="D5613" s="5" t="str">
        <f t="shared" ref="D5613:D5614" si="1743">HYPERLINK("https://www.linkedin.com/ad-library/detail/1440767713","Open Ad")</f>
        <v>Open Ad</v>
      </c>
      <c r="E5613" s="4" t="s">
        <v>78</v>
      </c>
      <c r="F5613" s="4" t="s">
        <v>6765</v>
      </c>
      <c r="G5613" s="4" t="s">
        <v>7353</v>
      </c>
      <c r="H5613" s="4" t="s">
        <v>49</v>
      </c>
      <c r="I5613" s="4" t="s">
        <v>7325</v>
      </c>
      <c r="J5613" s="4" t="s">
        <v>78</v>
      </c>
      <c r="K5613" s="7" t="str">
        <f t="shared" ref="K5613:K5614" si="1744">HYPERLINK("https://media.licdn.com/dms/image/v2/D4E22AQFFV6_jV3bM2A/feedshare-image-high-res/B4EZ74aXy_KwAU-/0/1782284123580?e=2147483647&amp;v=beta&amp;t=uA4GWUtr0mjVOAJEUJtu_Bb0yG4Ph0KBDl3a0_qG0ug","View Creative")</f>
        <v>View Creative</v>
      </c>
      <c r="L5613" s="4" t="s">
        <v>60</v>
      </c>
      <c r="M5613" s="4" t="s">
        <v>6304</v>
      </c>
      <c r="N5613" s="4" t="s">
        <v>7357</v>
      </c>
      <c r="O5613" s="4" t="s">
        <v>63</v>
      </c>
      <c r="P5613" s="4" t="s">
        <v>64</v>
      </c>
    </row>
    <row r="5614">
      <c r="A5614" s="4" t="s">
        <v>6304</v>
      </c>
      <c r="B5614" s="4" t="s">
        <v>7323</v>
      </c>
      <c r="C5614" s="4">
        <v>94.0</v>
      </c>
      <c r="D5614" s="5" t="str">
        <f t="shared" si="1743"/>
        <v>Open Ad</v>
      </c>
      <c r="E5614" s="4" t="s">
        <v>78</v>
      </c>
      <c r="F5614" s="4" t="s">
        <v>6765</v>
      </c>
      <c r="G5614" s="4" t="s">
        <v>7353</v>
      </c>
      <c r="H5614" s="4" t="s">
        <v>49</v>
      </c>
      <c r="I5614" s="4" t="s">
        <v>7325</v>
      </c>
      <c r="J5614" s="4" t="s">
        <v>78</v>
      </c>
      <c r="K5614" s="7" t="str">
        <f t="shared" si="1744"/>
        <v>View Creative</v>
      </c>
      <c r="L5614" s="4" t="s">
        <v>60</v>
      </c>
      <c r="M5614" s="4" t="s">
        <v>6304</v>
      </c>
      <c r="N5614" s="4" t="s">
        <v>7357</v>
      </c>
      <c r="O5614" s="4" t="s">
        <v>63</v>
      </c>
      <c r="P5614" s="4" t="s">
        <v>64</v>
      </c>
    </row>
    <row r="5615">
      <c r="A5615" s="4" t="s">
        <v>6304</v>
      </c>
      <c r="B5615" s="4" t="s">
        <v>7323</v>
      </c>
      <c r="C5615" s="4">
        <v>95.0</v>
      </c>
      <c r="D5615" s="5" t="str">
        <f t="shared" ref="D5615:D5616" si="1745">HYPERLINK("https://www.linkedin.com/ad-library/detail/1442899113","Open Ad")</f>
        <v>Open Ad</v>
      </c>
      <c r="E5615" s="4" t="s">
        <v>121</v>
      </c>
      <c r="F5615" s="4" t="s">
        <v>6765</v>
      </c>
      <c r="G5615" s="4" t="s">
        <v>7355</v>
      </c>
      <c r="H5615" s="4" t="s">
        <v>49</v>
      </c>
      <c r="I5615" s="4" t="s">
        <v>7325</v>
      </c>
      <c r="J5615" s="4" t="s">
        <v>121</v>
      </c>
      <c r="K5615" s="7" t="str">
        <f t="shared" ref="K5615:K5616" si="1746">HYPERLINK("https://dms.licdn.com/playlist/vid/v2/D4E05AQGIF98SyzURBg/mp4-720p-30fp-crf28/B4EZ87RlJtHkB8-/0/1783405896887?e=2147483647&amp;v=beta&amp;t=Q5GjvDX_Oq-mR6TBH0CsixKI4nOFUxfdsDiCWlA9DYI","View Creative")</f>
        <v>View Creative</v>
      </c>
      <c r="L5615" s="4" t="s">
        <v>60</v>
      </c>
      <c r="M5615" s="4" t="s">
        <v>6304</v>
      </c>
      <c r="N5615" s="4" t="s">
        <v>7351</v>
      </c>
      <c r="O5615" s="4" t="s">
        <v>63</v>
      </c>
      <c r="P5615" s="4" t="s">
        <v>64</v>
      </c>
    </row>
    <row r="5616">
      <c r="A5616" s="4" t="s">
        <v>6304</v>
      </c>
      <c r="B5616" s="4" t="s">
        <v>7323</v>
      </c>
      <c r="C5616" s="4">
        <v>96.0</v>
      </c>
      <c r="D5616" s="5" t="str">
        <f t="shared" si="1745"/>
        <v>Open Ad</v>
      </c>
      <c r="E5616" s="4" t="s">
        <v>121</v>
      </c>
      <c r="F5616" s="4" t="s">
        <v>6765</v>
      </c>
      <c r="G5616" s="4" t="s">
        <v>7355</v>
      </c>
      <c r="H5616" s="4" t="s">
        <v>49</v>
      </c>
      <c r="I5616" s="4" t="s">
        <v>7325</v>
      </c>
      <c r="J5616" s="4" t="s">
        <v>121</v>
      </c>
      <c r="K5616" s="7" t="str">
        <f t="shared" si="1746"/>
        <v>View Creative</v>
      </c>
      <c r="L5616" s="4" t="s">
        <v>60</v>
      </c>
      <c r="M5616" s="4" t="s">
        <v>6304</v>
      </c>
      <c r="N5616" s="4" t="s">
        <v>7351</v>
      </c>
      <c r="O5616" s="4" t="s">
        <v>63</v>
      </c>
      <c r="P5616" s="4" t="s">
        <v>64</v>
      </c>
    </row>
    <row r="5617">
      <c r="A5617" s="4" t="s">
        <v>6304</v>
      </c>
      <c r="B5617" s="4" t="s">
        <v>7323</v>
      </c>
      <c r="C5617" s="4">
        <v>97.0</v>
      </c>
      <c r="D5617" s="5" t="str">
        <f t="shared" ref="D5617:D5618" si="1747">HYPERLINK("https://www.linkedin.com/ad-library/detail/1302380943","Open Ad")</f>
        <v>Open Ad</v>
      </c>
      <c r="E5617" s="4" t="s">
        <v>78</v>
      </c>
      <c r="F5617" s="4" t="s">
        <v>6765</v>
      </c>
      <c r="G5617" s="4" t="s">
        <v>7367</v>
      </c>
      <c r="H5617" s="4" t="s">
        <v>7368</v>
      </c>
      <c r="I5617" s="4" t="s">
        <v>7325</v>
      </c>
      <c r="J5617" s="4" t="s">
        <v>78</v>
      </c>
      <c r="K5617" s="7" t="str">
        <f t="shared" ref="K5617:K5618" si="1748">HYPERLINK("https://media.licdn.com/dms/image/v2/D4E22AQFNPKQnvXcaBQ/feedshare-shrink_1280/B4EZ5JZioyJ0AM-/0/1779347893092?e=2147483647&amp;v=beta&amp;t=elA0GyPfCD0Y2OOhWw70KDrnY3CjHlgBNBY61G4x_Ts","View Creative")</f>
        <v>View Creative</v>
      </c>
      <c r="L5617" s="4" t="s">
        <v>60</v>
      </c>
      <c r="M5617" s="4" t="s">
        <v>6304</v>
      </c>
      <c r="N5617" s="4" t="s">
        <v>7369</v>
      </c>
      <c r="O5617" s="4" t="s">
        <v>63</v>
      </c>
      <c r="P5617" s="4" t="s">
        <v>64</v>
      </c>
    </row>
    <row r="5618">
      <c r="A5618" s="4" t="s">
        <v>6304</v>
      </c>
      <c r="B5618" s="4" t="s">
        <v>7323</v>
      </c>
      <c r="C5618" s="4">
        <v>98.0</v>
      </c>
      <c r="D5618" s="5" t="str">
        <f t="shared" si="1747"/>
        <v>Open Ad</v>
      </c>
      <c r="E5618" s="4" t="s">
        <v>78</v>
      </c>
      <c r="F5618" s="4" t="s">
        <v>6765</v>
      </c>
      <c r="G5618" s="4" t="s">
        <v>7367</v>
      </c>
      <c r="H5618" s="4" t="s">
        <v>7368</v>
      </c>
      <c r="I5618" s="4" t="s">
        <v>7325</v>
      </c>
      <c r="J5618" s="4" t="s">
        <v>78</v>
      </c>
      <c r="K5618" s="7" t="str">
        <f t="shared" si="1748"/>
        <v>View Creative</v>
      </c>
      <c r="L5618" s="4" t="s">
        <v>60</v>
      </c>
      <c r="M5618" s="4" t="s">
        <v>6304</v>
      </c>
      <c r="N5618" s="4" t="s">
        <v>7369</v>
      </c>
      <c r="O5618" s="4" t="s">
        <v>63</v>
      </c>
      <c r="P5618" s="4" t="s">
        <v>64</v>
      </c>
    </row>
    <row r="5619">
      <c r="A5619" s="4" t="s">
        <v>6304</v>
      </c>
      <c r="B5619" s="4" t="s">
        <v>7323</v>
      </c>
      <c r="C5619" s="4">
        <v>99.0</v>
      </c>
      <c r="D5619" s="5" t="str">
        <f t="shared" ref="D5619:D5620" si="1749">HYPERLINK("https://www.linkedin.com/ad-library/detail/1274711693","Open Ad")</f>
        <v>Open Ad</v>
      </c>
      <c r="E5619" s="4" t="s">
        <v>78</v>
      </c>
      <c r="F5619" s="4" t="s">
        <v>6765</v>
      </c>
      <c r="G5619" s="4" t="s">
        <v>7370</v>
      </c>
      <c r="H5619" s="4" t="s">
        <v>49</v>
      </c>
      <c r="I5619" s="4" t="s">
        <v>7325</v>
      </c>
      <c r="J5619" s="4" t="s">
        <v>78</v>
      </c>
      <c r="K5619" s="7" t="str">
        <f t="shared" ref="K5619:K5620" si="1750">HYPERLINK("https://media.licdn.com/dms/image/v2/D4D22AQEWgpZLCUPzuA/feedshare-image-high-res/B4DZ5tWq9JHgAU-/0/1779951121037?e=2147483647&amp;v=beta&amp;t=PeSIPhCrwAC1j94-vO2mE5MsAZE80ndHpo_DcNiGuHU","View Creative")</f>
        <v>View Creative</v>
      </c>
      <c r="L5619" s="4" t="s">
        <v>60</v>
      </c>
      <c r="M5619" s="4" t="s">
        <v>6304</v>
      </c>
      <c r="N5619" s="4" t="s">
        <v>7371</v>
      </c>
      <c r="O5619" s="4" t="s">
        <v>63</v>
      </c>
      <c r="P5619" s="4" t="s">
        <v>64</v>
      </c>
    </row>
    <row r="5620">
      <c r="A5620" s="4" t="s">
        <v>6304</v>
      </c>
      <c r="B5620" s="4" t="s">
        <v>7323</v>
      </c>
      <c r="C5620" s="4">
        <v>100.0</v>
      </c>
      <c r="D5620" s="5" t="str">
        <f t="shared" si="1749"/>
        <v>Open Ad</v>
      </c>
      <c r="E5620" s="4" t="s">
        <v>78</v>
      </c>
      <c r="F5620" s="4" t="s">
        <v>6765</v>
      </c>
      <c r="G5620" s="4" t="s">
        <v>7370</v>
      </c>
      <c r="H5620" s="4" t="s">
        <v>49</v>
      </c>
      <c r="I5620" s="4" t="s">
        <v>7325</v>
      </c>
      <c r="J5620" s="4" t="s">
        <v>78</v>
      </c>
      <c r="K5620" s="7" t="str">
        <f t="shared" si="1750"/>
        <v>View Creative</v>
      </c>
      <c r="L5620" s="4" t="s">
        <v>60</v>
      </c>
      <c r="M5620" s="4" t="s">
        <v>6304</v>
      </c>
      <c r="N5620" s="4" t="s">
        <v>7371</v>
      </c>
      <c r="O5620" s="4" t="s">
        <v>63</v>
      </c>
      <c r="P5620" s="4" t="s">
        <v>64</v>
      </c>
    </row>
    <row r="5621">
      <c r="A5621" s="4" t="s">
        <v>6304</v>
      </c>
      <c r="B5621" s="4" t="s">
        <v>7323</v>
      </c>
      <c r="C5621" s="4">
        <v>101.0</v>
      </c>
      <c r="D5621" s="5" t="str">
        <f t="shared" ref="D5621:D5622" si="1751">HYPERLINK("https://www.linkedin.com/ad-library/detail/1475843876","Open Ad")</f>
        <v>Open Ad</v>
      </c>
      <c r="E5621" s="4" t="s">
        <v>78</v>
      </c>
      <c r="F5621" s="4" t="s">
        <v>6765</v>
      </c>
      <c r="G5621" s="4" t="s">
        <v>7356</v>
      </c>
      <c r="H5621" s="4" t="s">
        <v>49</v>
      </c>
      <c r="I5621" s="4" t="s">
        <v>7325</v>
      </c>
      <c r="J5621" s="4" t="s">
        <v>78</v>
      </c>
      <c r="K5621" s="7" t="str">
        <f t="shared" ref="K5621:K5622" si="1752">HYPERLINK("https://media.licdn.com/dms/image/v2/D4D22AQG_pWDLBn11xg/feedshare-image-high-res/B4DZ5Ktvy7KAAY-/0/1779369967058?e=2147483647&amp;v=beta&amp;t=yoyITKReRXEAtjcuwqrsCi1t2CYI0VeP_TZzNmL4tEY","View Creative")</f>
        <v>View Creative</v>
      </c>
      <c r="L5621" s="4" t="s">
        <v>60</v>
      </c>
      <c r="M5621" s="4" t="s">
        <v>6304</v>
      </c>
      <c r="N5621" s="4" t="s">
        <v>7372</v>
      </c>
      <c r="O5621" s="4" t="s">
        <v>63</v>
      </c>
      <c r="P5621" s="4" t="s">
        <v>64</v>
      </c>
    </row>
    <row r="5622">
      <c r="A5622" s="4" t="s">
        <v>6304</v>
      </c>
      <c r="B5622" s="4" t="s">
        <v>7323</v>
      </c>
      <c r="C5622" s="4">
        <v>102.0</v>
      </c>
      <c r="D5622" s="5" t="str">
        <f t="shared" si="1751"/>
        <v>Open Ad</v>
      </c>
      <c r="E5622" s="4" t="s">
        <v>78</v>
      </c>
      <c r="F5622" s="4" t="s">
        <v>6765</v>
      </c>
      <c r="G5622" s="4" t="s">
        <v>7356</v>
      </c>
      <c r="H5622" s="4" t="s">
        <v>49</v>
      </c>
      <c r="I5622" s="4" t="s">
        <v>7325</v>
      </c>
      <c r="J5622" s="4" t="s">
        <v>78</v>
      </c>
      <c r="K5622" s="7" t="str">
        <f t="shared" si="1752"/>
        <v>View Creative</v>
      </c>
      <c r="L5622" s="4" t="s">
        <v>60</v>
      </c>
      <c r="M5622" s="4" t="s">
        <v>6304</v>
      </c>
      <c r="N5622" s="4" t="s">
        <v>7372</v>
      </c>
      <c r="O5622" s="4" t="s">
        <v>63</v>
      </c>
      <c r="P5622" s="4" t="s">
        <v>64</v>
      </c>
    </row>
    <row r="5623">
      <c r="A5623" s="4" t="s">
        <v>6304</v>
      </c>
      <c r="B5623" s="4" t="s">
        <v>7323</v>
      </c>
      <c r="C5623" s="4">
        <v>103.0</v>
      </c>
      <c r="D5623" s="5" t="str">
        <f t="shared" ref="D5623:D5624" si="1753">HYPERLINK("https://www.linkedin.com/ad-library/detail/1475953746","Open Ad")</f>
        <v>Open Ad</v>
      </c>
      <c r="E5623" s="4" t="s">
        <v>78</v>
      </c>
      <c r="F5623" s="4" t="s">
        <v>6765</v>
      </c>
      <c r="G5623" s="4" t="s">
        <v>7373</v>
      </c>
      <c r="H5623" s="4" t="s">
        <v>49</v>
      </c>
      <c r="I5623" s="4" t="s">
        <v>7325</v>
      </c>
      <c r="J5623" s="4" t="s">
        <v>78</v>
      </c>
      <c r="K5623" s="7" t="str">
        <f t="shared" ref="K5623:K5624" si="1754">HYPERLINK("https://media.licdn.com/dms/image/v2/D4E22AQGd0d-4JlpHKQ/feedshare-shrink_1280/B4EZ7uFXgrJYAM-/0/1782110845355?e=2147483647&amp;v=beta&amp;t=IPs2Bdjj2y1TVD195F9q2Kd8e8jObMZNPNErk1pGlmI","View Creative")</f>
        <v>View Creative</v>
      </c>
      <c r="L5623" s="4" t="s">
        <v>60</v>
      </c>
      <c r="M5623" s="4" t="s">
        <v>6304</v>
      </c>
      <c r="N5623" s="4" t="s">
        <v>7372</v>
      </c>
      <c r="O5623" s="4" t="s">
        <v>63</v>
      </c>
      <c r="P5623" s="4" t="s">
        <v>64</v>
      </c>
    </row>
    <row r="5624">
      <c r="A5624" s="4" t="s">
        <v>6304</v>
      </c>
      <c r="B5624" s="4" t="s">
        <v>7323</v>
      </c>
      <c r="C5624" s="4">
        <v>104.0</v>
      </c>
      <c r="D5624" s="5" t="str">
        <f t="shared" si="1753"/>
        <v>Open Ad</v>
      </c>
      <c r="E5624" s="4" t="s">
        <v>78</v>
      </c>
      <c r="F5624" s="4" t="s">
        <v>6765</v>
      </c>
      <c r="G5624" s="4" t="s">
        <v>7373</v>
      </c>
      <c r="H5624" s="4" t="s">
        <v>49</v>
      </c>
      <c r="I5624" s="4" t="s">
        <v>7325</v>
      </c>
      <c r="J5624" s="4" t="s">
        <v>78</v>
      </c>
      <c r="K5624" s="7" t="str">
        <f t="shared" si="1754"/>
        <v>View Creative</v>
      </c>
      <c r="L5624" s="4" t="s">
        <v>60</v>
      </c>
      <c r="M5624" s="4" t="s">
        <v>6304</v>
      </c>
      <c r="N5624" s="4" t="s">
        <v>7372</v>
      </c>
      <c r="O5624" s="4" t="s">
        <v>63</v>
      </c>
      <c r="P5624" s="4" t="s">
        <v>64</v>
      </c>
    </row>
    <row r="5625">
      <c r="A5625" s="4" t="s">
        <v>6304</v>
      </c>
      <c r="B5625" s="4" t="s">
        <v>7323</v>
      </c>
      <c r="C5625" s="4">
        <v>105.0</v>
      </c>
      <c r="D5625" s="5" t="str">
        <f t="shared" ref="D5625:D5626" si="1755">HYPERLINK("https://www.linkedin.com/ad-library/detail/1301691193","Open Ad")</f>
        <v>Open Ad</v>
      </c>
      <c r="E5625" s="4" t="s">
        <v>78</v>
      </c>
      <c r="F5625" s="4" t="s">
        <v>6765</v>
      </c>
      <c r="G5625" s="4" t="s">
        <v>7370</v>
      </c>
      <c r="H5625" s="4" t="s">
        <v>49</v>
      </c>
      <c r="I5625" s="4" t="s">
        <v>7325</v>
      </c>
      <c r="J5625" s="4" t="s">
        <v>78</v>
      </c>
      <c r="K5625" s="7" t="str">
        <f t="shared" ref="K5625:K5626" si="1756">HYPERLINK("https://media.licdn.com/dms/image/v2/D4D22AQEWgpZLCUPzuA/feedshare-image-high-res/B4DZ5tWq9JHgAU-/0/1779951121037?e=2147483647&amp;v=beta&amp;t=PeSIPhCrwAC1j94-vO2mE5MsAZE80ndHpo_DcNiGuHU","View Creative")</f>
        <v>View Creative</v>
      </c>
      <c r="L5625" s="4" t="s">
        <v>60</v>
      </c>
      <c r="M5625" s="4" t="s">
        <v>6304</v>
      </c>
      <c r="N5625" s="4" t="s">
        <v>7374</v>
      </c>
      <c r="O5625" s="4" t="s">
        <v>63</v>
      </c>
      <c r="P5625" s="4" t="s">
        <v>64</v>
      </c>
    </row>
    <row r="5626">
      <c r="A5626" s="4" t="s">
        <v>6304</v>
      </c>
      <c r="B5626" s="4" t="s">
        <v>7323</v>
      </c>
      <c r="C5626" s="4">
        <v>106.0</v>
      </c>
      <c r="D5626" s="5" t="str">
        <f t="shared" si="1755"/>
        <v>Open Ad</v>
      </c>
      <c r="E5626" s="4" t="s">
        <v>78</v>
      </c>
      <c r="F5626" s="4" t="s">
        <v>6765</v>
      </c>
      <c r="G5626" s="4" t="s">
        <v>7370</v>
      </c>
      <c r="H5626" s="4" t="s">
        <v>49</v>
      </c>
      <c r="I5626" s="4" t="s">
        <v>7325</v>
      </c>
      <c r="J5626" s="4" t="s">
        <v>78</v>
      </c>
      <c r="K5626" s="7" t="str">
        <f t="shared" si="1756"/>
        <v>View Creative</v>
      </c>
      <c r="L5626" s="4" t="s">
        <v>60</v>
      </c>
      <c r="M5626" s="4" t="s">
        <v>6304</v>
      </c>
      <c r="N5626" s="4" t="s">
        <v>7374</v>
      </c>
      <c r="O5626" s="4" t="s">
        <v>63</v>
      </c>
      <c r="P5626" s="4" t="s">
        <v>64</v>
      </c>
    </row>
    <row r="5627">
      <c r="A5627" s="4" t="s">
        <v>6304</v>
      </c>
      <c r="B5627" s="4" t="s">
        <v>7323</v>
      </c>
      <c r="C5627" s="4">
        <v>107.0</v>
      </c>
      <c r="D5627" s="5" t="str">
        <f t="shared" ref="D5627:D5628" si="1757">HYPERLINK("https://www.linkedin.com/ad-library/detail/1475953756","Open Ad")</f>
        <v>Open Ad</v>
      </c>
      <c r="E5627" s="4" t="s">
        <v>78</v>
      </c>
      <c r="F5627" s="4" t="s">
        <v>6765</v>
      </c>
      <c r="G5627" s="4" t="s">
        <v>7375</v>
      </c>
      <c r="H5627" s="4" t="s">
        <v>49</v>
      </c>
      <c r="I5627" s="4" t="s">
        <v>7325</v>
      </c>
      <c r="J5627" s="4" t="s">
        <v>78</v>
      </c>
      <c r="K5627" s="7" t="str">
        <f t="shared" ref="K5627:K5628" si="1758">HYPERLINK("https://media.licdn.com/dms/image/v2/D4D22AQF8uwcdL40JVQ/feedshare-shrink_1280/B4DZ7Py9dQHQAQ-/0/1781602703618?e=2147483647&amp;v=beta&amp;t=0lA2aJH_Gl7EugFl23JOeQiDQTaTEt6Q7aFaLrjLRB8","View Creative")</f>
        <v>View Creative</v>
      </c>
      <c r="L5627" s="4" t="s">
        <v>60</v>
      </c>
      <c r="M5627" s="4" t="s">
        <v>6304</v>
      </c>
      <c r="N5627" s="4" t="s">
        <v>7376</v>
      </c>
      <c r="O5627" s="4" t="s">
        <v>63</v>
      </c>
      <c r="P5627" s="4" t="s">
        <v>64</v>
      </c>
    </row>
    <row r="5628">
      <c r="A5628" s="4" t="s">
        <v>6304</v>
      </c>
      <c r="B5628" s="4" t="s">
        <v>7323</v>
      </c>
      <c r="C5628" s="4">
        <v>108.0</v>
      </c>
      <c r="D5628" s="5" t="str">
        <f t="shared" si="1757"/>
        <v>Open Ad</v>
      </c>
      <c r="E5628" s="4" t="s">
        <v>78</v>
      </c>
      <c r="F5628" s="4" t="s">
        <v>6765</v>
      </c>
      <c r="G5628" s="4" t="s">
        <v>7375</v>
      </c>
      <c r="H5628" s="4" t="s">
        <v>49</v>
      </c>
      <c r="I5628" s="4" t="s">
        <v>7325</v>
      </c>
      <c r="J5628" s="4" t="s">
        <v>78</v>
      </c>
      <c r="K5628" s="7" t="str">
        <f t="shared" si="1758"/>
        <v>View Creative</v>
      </c>
      <c r="L5628" s="4" t="s">
        <v>60</v>
      </c>
      <c r="M5628" s="4" t="s">
        <v>6304</v>
      </c>
      <c r="N5628" s="4" t="s">
        <v>7376</v>
      </c>
      <c r="O5628" s="4" t="s">
        <v>63</v>
      </c>
      <c r="P5628" s="4" t="s">
        <v>64</v>
      </c>
    </row>
    <row r="5629">
      <c r="A5629" s="4" t="s">
        <v>6304</v>
      </c>
      <c r="B5629" s="4" t="s">
        <v>7323</v>
      </c>
      <c r="C5629" s="4">
        <v>109.0</v>
      </c>
      <c r="D5629" s="5" t="str">
        <f t="shared" ref="D5629:D5630" si="1759">HYPERLINK("https://www.linkedin.com/ad-library/detail/1428876013","Open Ad")</f>
        <v>Open Ad</v>
      </c>
      <c r="E5629" s="4" t="s">
        <v>78</v>
      </c>
      <c r="F5629" s="4" t="s">
        <v>6765</v>
      </c>
      <c r="G5629" s="4" t="s">
        <v>7377</v>
      </c>
      <c r="H5629" s="4" t="s">
        <v>49</v>
      </c>
      <c r="I5629" s="4" t="s">
        <v>7325</v>
      </c>
      <c r="J5629" s="4" t="s">
        <v>78</v>
      </c>
      <c r="K5629" s="7" t="str">
        <f t="shared" ref="K5629:K5630" si="1760">HYPERLINK("https://media.licdn.com/dms/image/v2/D4D22AQHT7mMagU9RtQ/feedshare-shrink_1280/B4DZ6CEU_6KUAM-/0/1780298633678?e=2147483647&amp;v=beta&amp;t=3-g7tjNYicValoo1HKOAdaJA0_b_EfpDlwIsl-9QerA","View Creative")</f>
        <v>View Creative</v>
      </c>
      <c r="L5629" s="4" t="s">
        <v>60</v>
      </c>
      <c r="M5629" s="4" t="s">
        <v>6304</v>
      </c>
      <c r="N5629" s="4" t="s">
        <v>7378</v>
      </c>
      <c r="O5629" s="4" t="s">
        <v>63</v>
      </c>
      <c r="P5629" s="4" t="s">
        <v>64</v>
      </c>
    </row>
    <row r="5630">
      <c r="A5630" s="4" t="s">
        <v>6304</v>
      </c>
      <c r="B5630" s="4" t="s">
        <v>7323</v>
      </c>
      <c r="C5630" s="4">
        <v>110.0</v>
      </c>
      <c r="D5630" s="5" t="str">
        <f t="shared" si="1759"/>
        <v>Open Ad</v>
      </c>
      <c r="E5630" s="4" t="s">
        <v>78</v>
      </c>
      <c r="F5630" s="4" t="s">
        <v>6765</v>
      </c>
      <c r="G5630" s="4" t="s">
        <v>7377</v>
      </c>
      <c r="H5630" s="4" t="s">
        <v>49</v>
      </c>
      <c r="I5630" s="4" t="s">
        <v>7325</v>
      </c>
      <c r="J5630" s="4" t="s">
        <v>78</v>
      </c>
      <c r="K5630" s="7" t="str">
        <f t="shared" si="1760"/>
        <v>View Creative</v>
      </c>
      <c r="L5630" s="4" t="s">
        <v>60</v>
      </c>
      <c r="M5630" s="4" t="s">
        <v>6304</v>
      </c>
      <c r="N5630" s="4" t="s">
        <v>7378</v>
      </c>
      <c r="O5630" s="4" t="s">
        <v>63</v>
      </c>
      <c r="P5630" s="4" t="s">
        <v>64</v>
      </c>
    </row>
    <row r="5631">
      <c r="A5631" s="4" t="s">
        <v>6304</v>
      </c>
      <c r="B5631" s="4" t="s">
        <v>7323</v>
      </c>
      <c r="C5631" s="4">
        <v>111.0</v>
      </c>
      <c r="D5631" s="5" t="str">
        <f t="shared" ref="D5631:D5632" si="1761">HYPERLINK("https://www.linkedin.com/ad-library/detail/1301397103","Open Ad")</f>
        <v>Open Ad</v>
      </c>
      <c r="E5631" s="4" t="s">
        <v>78</v>
      </c>
      <c r="F5631" s="4" t="s">
        <v>6765</v>
      </c>
      <c r="G5631" s="4" t="s">
        <v>7356</v>
      </c>
      <c r="H5631" s="4" t="s">
        <v>49</v>
      </c>
      <c r="I5631" s="4" t="s">
        <v>7325</v>
      </c>
      <c r="J5631" s="4" t="s">
        <v>78</v>
      </c>
      <c r="K5631" s="7" t="str">
        <f t="shared" ref="K5631:K5632" si="1762">HYPERLINK("https://media.licdn.com/dms/image/v2/D4D22AQG_pWDLBn11xg/feedshare-image-high-res/B4DZ5Ktvy7KAAY-/0/1779369967058?e=2147483647&amp;v=beta&amp;t=yoyITKReRXEAtjcuwqrsCi1t2CYI0VeP_TZzNmL4tEY","View Creative")</f>
        <v>View Creative</v>
      </c>
      <c r="L5631" s="4" t="s">
        <v>60</v>
      </c>
      <c r="M5631" s="4" t="s">
        <v>6304</v>
      </c>
      <c r="N5631" s="4" t="s">
        <v>7379</v>
      </c>
      <c r="O5631" s="4" t="s">
        <v>63</v>
      </c>
      <c r="P5631" s="4" t="s">
        <v>64</v>
      </c>
    </row>
    <row r="5632">
      <c r="A5632" s="4" t="s">
        <v>6304</v>
      </c>
      <c r="B5632" s="4" t="s">
        <v>7323</v>
      </c>
      <c r="C5632" s="4">
        <v>112.0</v>
      </c>
      <c r="D5632" s="5" t="str">
        <f t="shared" si="1761"/>
        <v>Open Ad</v>
      </c>
      <c r="E5632" s="4" t="s">
        <v>78</v>
      </c>
      <c r="F5632" s="4" t="s">
        <v>6765</v>
      </c>
      <c r="G5632" s="4" t="s">
        <v>7356</v>
      </c>
      <c r="H5632" s="4" t="s">
        <v>49</v>
      </c>
      <c r="I5632" s="4" t="s">
        <v>7325</v>
      </c>
      <c r="J5632" s="4" t="s">
        <v>78</v>
      </c>
      <c r="K5632" s="7" t="str">
        <f t="shared" si="1762"/>
        <v>View Creative</v>
      </c>
      <c r="L5632" s="4" t="s">
        <v>60</v>
      </c>
      <c r="M5632" s="4" t="s">
        <v>6304</v>
      </c>
      <c r="N5632" s="4" t="s">
        <v>7379</v>
      </c>
      <c r="O5632" s="4" t="s">
        <v>63</v>
      </c>
      <c r="P5632" s="4" t="s">
        <v>64</v>
      </c>
    </row>
    <row r="5633">
      <c r="A5633" s="4" t="s">
        <v>6304</v>
      </c>
      <c r="B5633" s="4" t="s">
        <v>7323</v>
      </c>
      <c r="C5633" s="4">
        <v>113.0</v>
      </c>
      <c r="D5633" s="5" t="str">
        <f t="shared" ref="D5633:D5634" si="1763">HYPERLINK("https://www.linkedin.com/ad-library/detail/1301100503","Open Ad")</f>
        <v>Open Ad</v>
      </c>
      <c r="E5633" s="4" t="s">
        <v>78</v>
      </c>
      <c r="F5633" s="4" t="s">
        <v>6765</v>
      </c>
      <c r="G5633" s="4" t="s">
        <v>7367</v>
      </c>
      <c r="H5633" s="4" t="s">
        <v>7368</v>
      </c>
      <c r="I5633" s="4" t="s">
        <v>7325</v>
      </c>
      <c r="J5633" s="4" t="s">
        <v>78</v>
      </c>
      <c r="K5633" s="7" t="str">
        <f t="shared" ref="K5633:K5634" si="1764">HYPERLINK("https://media.licdn.com/dms/image/v2/D4E22AQFNPKQnvXcaBQ/feedshare-shrink_1280/B4EZ5JZioyJ0AM-/0/1779347893092?e=2147483647&amp;v=beta&amp;t=elA0GyPfCD0Y2OOhWw70KDrnY3CjHlgBNBY61G4x_Ts","View Creative")</f>
        <v>View Creative</v>
      </c>
      <c r="L5633" s="4" t="s">
        <v>60</v>
      </c>
      <c r="M5633" s="4" t="s">
        <v>6304</v>
      </c>
      <c r="N5633" s="4" t="s">
        <v>7380</v>
      </c>
      <c r="O5633" s="4" t="s">
        <v>63</v>
      </c>
      <c r="P5633" s="4" t="s">
        <v>64</v>
      </c>
    </row>
    <row r="5634">
      <c r="A5634" s="4" t="s">
        <v>6304</v>
      </c>
      <c r="B5634" s="4" t="s">
        <v>7323</v>
      </c>
      <c r="C5634" s="4">
        <v>114.0</v>
      </c>
      <c r="D5634" s="5" t="str">
        <f t="shared" si="1763"/>
        <v>Open Ad</v>
      </c>
      <c r="E5634" s="4" t="s">
        <v>78</v>
      </c>
      <c r="F5634" s="4" t="s">
        <v>6765</v>
      </c>
      <c r="G5634" s="4" t="s">
        <v>7367</v>
      </c>
      <c r="H5634" s="4" t="s">
        <v>7368</v>
      </c>
      <c r="I5634" s="4" t="s">
        <v>7325</v>
      </c>
      <c r="J5634" s="4" t="s">
        <v>78</v>
      </c>
      <c r="K5634" s="7" t="str">
        <f t="shared" si="1764"/>
        <v>View Creative</v>
      </c>
      <c r="L5634" s="4" t="s">
        <v>60</v>
      </c>
      <c r="M5634" s="4" t="s">
        <v>6304</v>
      </c>
      <c r="N5634" s="4" t="s">
        <v>7380</v>
      </c>
      <c r="O5634" s="4" t="s">
        <v>63</v>
      </c>
      <c r="P5634" s="4" t="s">
        <v>64</v>
      </c>
    </row>
    <row r="5635">
      <c r="A5635" s="4" t="s">
        <v>6304</v>
      </c>
      <c r="B5635" s="4" t="s">
        <v>7323</v>
      </c>
      <c r="C5635" s="4">
        <v>115.0</v>
      </c>
      <c r="D5635" s="5" t="str">
        <f t="shared" ref="D5635:D5636" si="1765">HYPERLINK("https://www.linkedin.com/ad-library/detail/1434581203","Open Ad")</f>
        <v>Open Ad</v>
      </c>
      <c r="E5635" s="4" t="s">
        <v>121</v>
      </c>
      <c r="F5635" s="4" t="s">
        <v>6765</v>
      </c>
      <c r="G5635" s="4" t="s">
        <v>7381</v>
      </c>
      <c r="H5635" s="4" t="s">
        <v>49</v>
      </c>
      <c r="I5635" s="4" t="s">
        <v>7325</v>
      </c>
      <c r="J5635" s="4" t="s">
        <v>121</v>
      </c>
      <c r="K5635" s="7" t="str">
        <f t="shared" ref="K5635:K5636" si="1766">HYPERLINK("https://dms.licdn.com/playlist/vid/v2/D4E05AQHKo-s5HTvrIg/mp4-720p-30fp-crf28/B4EZ6MN42fHoB8-/0/1780468923393?e=2147483647&amp;v=beta&amp;t=kCI8h0Bbp0-pef8_ULg3-anfumXcgeu4gBmUyhUx75I","View Creative")</f>
        <v>View Creative</v>
      </c>
      <c r="L5635" s="4" t="s">
        <v>60</v>
      </c>
      <c r="M5635" s="4" t="s">
        <v>6304</v>
      </c>
      <c r="N5635" s="4" t="s">
        <v>7382</v>
      </c>
      <c r="O5635" s="4" t="s">
        <v>63</v>
      </c>
      <c r="P5635" s="4" t="s">
        <v>64</v>
      </c>
    </row>
    <row r="5636">
      <c r="A5636" s="4" t="s">
        <v>6304</v>
      </c>
      <c r="B5636" s="4" t="s">
        <v>7323</v>
      </c>
      <c r="C5636" s="4">
        <v>116.0</v>
      </c>
      <c r="D5636" s="5" t="str">
        <f t="shared" si="1765"/>
        <v>Open Ad</v>
      </c>
      <c r="E5636" s="4" t="s">
        <v>121</v>
      </c>
      <c r="F5636" s="4" t="s">
        <v>6765</v>
      </c>
      <c r="G5636" s="4" t="s">
        <v>7381</v>
      </c>
      <c r="H5636" s="4" t="s">
        <v>49</v>
      </c>
      <c r="I5636" s="4" t="s">
        <v>7325</v>
      </c>
      <c r="J5636" s="4" t="s">
        <v>121</v>
      </c>
      <c r="K5636" s="7" t="str">
        <f t="shared" si="1766"/>
        <v>View Creative</v>
      </c>
      <c r="L5636" s="4" t="s">
        <v>60</v>
      </c>
      <c r="M5636" s="4" t="s">
        <v>6304</v>
      </c>
      <c r="N5636" s="4" t="s">
        <v>7382</v>
      </c>
      <c r="O5636" s="4" t="s">
        <v>63</v>
      </c>
      <c r="P5636" s="4" t="s">
        <v>64</v>
      </c>
    </row>
    <row r="5637">
      <c r="A5637" s="4" t="s">
        <v>6304</v>
      </c>
      <c r="B5637" s="4" t="s">
        <v>7323</v>
      </c>
      <c r="C5637" s="4">
        <v>117.0</v>
      </c>
      <c r="D5637" s="5" t="str">
        <f t="shared" ref="D5637:D5638" si="1767">HYPERLINK("https://www.linkedin.com/ad-library/detail/1300509533","Open Ad")</f>
        <v>Open Ad</v>
      </c>
      <c r="E5637" s="4" t="s">
        <v>78</v>
      </c>
      <c r="F5637" s="4" t="s">
        <v>6765</v>
      </c>
      <c r="G5637" s="4" t="s">
        <v>7383</v>
      </c>
      <c r="H5637" s="4" t="s">
        <v>49</v>
      </c>
      <c r="I5637" s="4" t="s">
        <v>7325</v>
      </c>
      <c r="J5637" s="4" t="s">
        <v>78</v>
      </c>
      <c r="K5637" s="7" t="str">
        <f t="shared" ref="K5637:K5638" si="1768">HYPERLINK("https://media.licdn.com/dms/image/v2/D4D22AQED30_Jpg5OBg/feedshare-image-high-res/B4DZ5Ovc1VK0AY-/0/1779437522747?e=2147483647&amp;v=beta&amp;t=5n6ZMcek9UOrO2QoPGsxWpML3l3VXnVDqjPBe0y6P-U","View Creative")</f>
        <v>View Creative</v>
      </c>
      <c r="L5637" s="4" t="s">
        <v>60</v>
      </c>
      <c r="M5637" s="4" t="s">
        <v>6304</v>
      </c>
      <c r="N5637" s="4" t="s">
        <v>7379</v>
      </c>
      <c r="O5637" s="4" t="s">
        <v>63</v>
      </c>
      <c r="P5637" s="4" t="s">
        <v>64</v>
      </c>
    </row>
    <row r="5638">
      <c r="A5638" s="4" t="s">
        <v>6304</v>
      </c>
      <c r="B5638" s="4" t="s">
        <v>7323</v>
      </c>
      <c r="C5638" s="4">
        <v>118.0</v>
      </c>
      <c r="D5638" s="5" t="str">
        <f t="shared" si="1767"/>
        <v>Open Ad</v>
      </c>
      <c r="E5638" s="4" t="s">
        <v>78</v>
      </c>
      <c r="F5638" s="4" t="s">
        <v>6765</v>
      </c>
      <c r="G5638" s="4" t="s">
        <v>7383</v>
      </c>
      <c r="H5638" s="4" t="s">
        <v>49</v>
      </c>
      <c r="I5638" s="4" t="s">
        <v>7325</v>
      </c>
      <c r="J5638" s="4" t="s">
        <v>78</v>
      </c>
      <c r="K5638" s="7" t="str">
        <f t="shared" si="1768"/>
        <v>View Creative</v>
      </c>
      <c r="L5638" s="4" t="s">
        <v>60</v>
      </c>
      <c r="M5638" s="4" t="s">
        <v>6304</v>
      </c>
      <c r="N5638" s="4" t="s">
        <v>7379</v>
      </c>
      <c r="O5638" s="4" t="s">
        <v>63</v>
      </c>
      <c r="P5638" s="4" t="s">
        <v>64</v>
      </c>
    </row>
    <row r="5639">
      <c r="A5639" s="4" t="s">
        <v>6304</v>
      </c>
      <c r="B5639" s="4" t="s">
        <v>7323</v>
      </c>
      <c r="C5639" s="4">
        <v>119.0</v>
      </c>
      <c r="D5639" s="5" t="str">
        <f t="shared" ref="D5639:D5640" si="1769">HYPERLINK("https://www.linkedin.com/ad-library/detail/1268629163","Open Ad")</f>
        <v>Open Ad</v>
      </c>
      <c r="E5639" s="4" t="s">
        <v>78</v>
      </c>
      <c r="F5639" s="4" t="s">
        <v>6765</v>
      </c>
      <c r="G5639" s="4" t="s">
        <v>7384</v>
      </c>
      <c r="H5639" s="4" t="s">
        <v>49</v>
      </c>
      <c r="I5639" s="4" t="s">
        <v>7325</v>
      </c>
      <c r="J5639" s="4" t="s">
        <v>78</v>
      </c>
      <c r="K5639" s="7" t="str">
        <f t="shared" ref="K5639:K5640" si="1770">HYPERLINK("https://media.licdn.com/dms/image/v2/D4D22AQEH-QO0K2BwgA/feedshare-shrink_1280/B4DZ4hT5E5KYAM-/0/1778675323507?e=2147483647&amp;v=beta&amp;t=K5NVjxyhTg8vLf57YKAxpq9fb3eUG-ABIydvr1bSZO0","View Creative")</f>
        <v>View Creative</v>
      </c>
      <c r="L5639" s="4" t="s">
        <v>60</v>
      </c>
      <c r="M5639" s="4" t="s">
        <v>6304</v>
      </c>
      <c r="N5639" s="4" t="s">
        <v>7385</v>
      </c>
      <c r="O5639" s="4" t="s">
        <v>63</v>
      </c>
      <c r="P5639" s="4" t="s">
        <v>64</v>
      </c>
    </row>
    <row r="5640">
      <c r="A5640" s="4" t="s">
        <v>6304</v>
      </c>
      <c r="B5640" s="4" t="s">
        <v>7323</v>
      </c>
      <c r="C5640" s="4">
        <v>120.0</v>
      </c>
      <c r="D5640" s="5" t="str">
        <f t="shared" si="1769"/>
        <v>Open Ad</v>
      </c>
      <c r="E5640" s="4" t="s">
        <v>78</v>
      </c>
      <c r="F5640" s="4" t="s">
        <v>6765</v>
      </c>
      <c r="G5640" s="4" t="s">
        <v>7384</v>
      </c>
      <c r="H5640" s="4" t="s">
        <v>49</v>
      </c>
      <c r="I5640" s="4" t="s">
        <v>7325</v>
      </c>
      <c r="J5640" s="4" t="s">
        <v>78</v>
      </c>
      <c r="K5640" s="7" t="str">
        <f t="shared" si="1770"/>
        <v>View Creative</v>
      </c>
      <c r="L5640" s="4" t="s">
        <v>60</v>
      </c>
      <c r="M5640" s="4" t="s">
        <v>6304</v>
      </c>
      <c r="N5640" s="4" t="s">
        <v>7385</v>
      </c>
      <c r="O5640" s="4" t="s">
        <v>63</v>
      </c>
      <c r="P5640" s="4" t="s">
        <v>64</v>
      </c>
    </row>
    <row r="5641">
      <c r="A5641" s="4" t="s">
        <v>6304</v>
      </c>
      <c r="B5641" s="4" t="s">
        <v>7323</v>
      </c>
      <c r="C5641" s="4">
        <v>121.0</v>
      </c>
      <c r="D5641" s="5" t="str">
        <f t="shared" ref="D5641:D5642" si="1771">HYPERLINK("https://www.linkedin.com/ad-library/detail/1267230453","Open Ad")</f>
        <v>Open Ad</v>
      </c>
      <c r="E5641" s="4" t="s">
        <v>78</v>
      </c>
      <c r="F5641" s="4" t="s">
        <v>6765</v>
      </c>
      <c r="G5641" s="4" t="s">
        <v>7367</v>
      </c>
      <c r="H5641" s="4" t="s">
        <v>7368</v>
      </c>
      <c r="I5641" s="4" t="s">
        <v>7325</v>
      </c>
      <c r="J5641" s="4" t="s">
        <v>78</v>
      </c>
      <c r="K5641" s="7" t="str">
        <f t="shared" ref="K5641:K5642" si="1772">HYPERLINK("https://media.licdn.com/dms/image/v2/D4E22AQFNPKQnvXcaBQ/feedshare-shrink_1280/B4EZ5JZioyJ0AM-/0/1779347893092?e=2147483647&amp;v=beta&amp;t=elA0GyPfCD0Y2OOhWw70KDrnY3CjHlgBNBY61G4x_Ts","View Creative")</f>
        <v>View Creative</v>
      </c>
      <c r="L5641" s="4" t="s">
        <v>60</v>
      </c>
      <c r="M5641" s="4" t="s">
        <v>6304</v>
      </c>
      <c r="N5641" s="4" t="s">
        <v>7386</v>
      </c>
      <c r="O5641" s="4" t="s">
        <v>63</v>
      </c>
      <c r="P5641" s="4" t="s">
        <v>64</v>
      </c>
    </row>
    <row r="5642">
      <c r="A5642" s="4" t="s">
        <v>6304</v>
      </c>
      <c r="B5642" s="4" t="s">
        <v>7323</v>
      </c>
      <c r="C5642" s="4">
        <v>122.0</v>
      </c>
      <c r="D5642" s="5" t="str">
        <f t="shared" si="1771"/>
        <v>Open Ad</v>
      </c>
      <c r="E5642" s="4" t="s">
        <v>78</v>
      </c>
      <c r="F5642" s="4" t="s">
        <v>6765</v>
      </c>
      <c r="G5642" s="4" t="s">
        <v>7367</v>
      </c>
      <c r="H5642" s="4" t="s">
        <v>7368</v>
      </c>
      <c r="I5642" s="4" t="s">
        <v>7325</v>
      </c>
      <c r="J5642" s="4" t="s">
        <v>78</v>
      </c>
      <c r="K5642" s="7" t="str">
        <f t="shared" si="1772"/>
        <v>View Creative</v>
      </c>
      <c r="L5642" s="4" t="s">
        <v>60</v>
      </c>
      <c r="M5642" s="4" t="s">
        <v>6304</v>
      </c>
      <c r="N5642" s="4" t="s">
        <v>7386</v>
      </c>
      <c r="O5642" s="4" t="s">
        <v>63</v>
      </c>
      <c r="P5642" s="4" t="s">
        <v>64</v>
      </c>
    </row>
    <row r="5643">
      <c r="A5643" s="4" t="s">
        <v>6304</v>
      </c>
      <c r="B5643" s="4" t="s">
        <v>7323</v>
      </c>
      <c r="C5643" s="4">
        <v>123.0</v>
      </c>
      <c r="D5643" s="5" t="str">
        <f t="shared" ref="D5643:D5644" si="1773">HYPERLINK("https://www.linkedin.com/ad-library/detail/1440638343","Open Ad")</f>
        <v>Open Ad</v>
      </c>
      <c r="E5643" s="4" t="s">
        <v>78</v>
      </c>
      <c r="F5643" s="4" t="s">
        <v>6765</v>
      </c>
      <c r="G5643" s="4" t="s">
        <v>7363</v>
      </c>
      <c r="H5643" s="4" t="s">
        <v>49</v>
      </c>
      <c r="I5643" s="4" t="s">
        <v>7325</v>
      </c>
      <c r="J5643" s="4" t="s">
        <v>78</v>
      </c>
      <c r="K5643" s="7" t="str">
        <f t="shared" ref="K5643:K5644" si="1774">HYPERLINK("https://media.licdn.com/dms/image/v2/D4E22AQEsUoviXxdOLA/feedshare-shrink_1280/B4EZ7zKHegHoAQ-/0/1782195976367?e=2147483647&amp;v=beta&amp;t=DsdQB9VhMN1yFtQi7lAE6MppH6mLuei8eGMn5zXfjIA","View Creative")</f>
        <v>View Creative</v>
      </c>
      <c r="L5643" s="4" t="s">
        <v>60</v>
      </c>
      <c r="M5643" s="4" t="s">
        <v>6304</v>
      </c>
      <c r="N5643" s="4" t="s">
        <v>7387</v>
      </c>
      <c r="O5643" s="4" t="s">
        <v>63</v>
      </c>
      <c r="P5643" s="4" t="s">
        <v>64</v>
      </c>
    </row>
    <row r="5644">
      <c r="A5644" s="4" t="s">
        <v>6304</v>
      </c>
      <c r="B5644" s="4" t="s">
        <v>7323</v>
      </c>
      <c r="C5644" s="4">
        <v>124.0</v>
      </c>
      <c r="D5644" s="5" t="str">
        <f t="shared" si="1773"/>
        <v>Open Ad</v>
      </c>
      <c r="E5644" s="4" t="s">
        <v>78</v>
      </c>
      <c r="F5644" s="4" t="s">
        <v>6765</v>
      </c>
      <c r="G5644" s="4" t="s">
        <v>7363</v>
      </c>
      <c r="H5644" s="4" t="s">
        <v>49</v>
      </c>
      <c r="I5644" s="4" t="s">
        <v>7325</v>
      </c>
      <c r="J5644" s="4" t="s">
        <v>78</v>
      </c>
      <c r="K5644" s="7" t="str">
        <f t="shared" si="1774"/>
        <v>View Creative</v>
      </c>
      <c r="L5644" s="4" t="s">
        <v>60</v>
      </c>
      <c r="M5644" s="4" t="s">
        <v>6304</v>
      </c>
      <c r="N5644" s="4" t="s">
        <v>7387</v>
      </c>
      <c r="O5644" s="4" t="s">
        <v>63</v>
      </c>
      <c r="P5644" s="4" t="s">
        <v>64</v>
      </c>
    </row>
    <row r="5645">
      <c r="A5645" s="4" t="s">
        <v>6304</v>
      </c>
      <c r="B5645" s="4" t="s">
        <v>7323</v>
      </c>
      <c r="C5645" s="4">
        <v>125.0</v>
      </c>
      <c r="D5645" s="5" t="str">
        <f t="shared" ref="D5645:D5646" si="1775">HYPERLINK("https://www.linkedin.com/ad-library/detail/1475971386","Open Ad")</f>
        <v>Open Ad</v>
      </c>
      <c r="E5645" s="4" t="s">
        <v>78</v>
      </c>
      <c r="F5645" s="4" t="s">
        <v>6765</v>
      </c>
      <c r="G5645" s="4" t="s">
        <v>7383</v>
      </c>
      <c r="H5645" s="4" t="s">
        <v>49</v>
      </c>
      <c r="I5645" s="4" t="s">
        <v>7325</v>
      </c>
      <c r="J5645" s="4" t="s">
        <v>78</v>
      </c>
      <c r="K5645" s="7" t="str">
        <f t="shared" ref="K5645:K5646" si="1776">HYPERLINK("https://media.licdn.com/dms/image/v2/D4D22AQED30_Jpg5OBg/feedshare-image-high-res/B4DZ5Ovc1VK0AY-/0/1779437522747?e=2147483647&amp;v=beta&amp;t=5n6ZMcek9UOrO2QoPGsxWpML3l3VXnVDqjPBe0y6P-U","View Creative")</f>
        <v>View Creative</v>
      </c>
      <c r="L5645" s="4" t="s">
        <v>60</v>
      </c>
      <c r="M5645" s="4" t="s">
        <v>6304</v>
      </c>
      <c r="N5645" s="4" t="s">
        <v>7372</v>
      </c>
      <c r="O5645" s="4" t="s">
        <v>63</v>
      </c>
      <c r="P5645" s="4" t="s">
        <v>64</v>
      </c>
    </row>
    <row r="5646">
      <c r="A5646" s="4" t="s">
        <v>6304</v>
      </c>
      <c r="B5646" s="4" t="s">
        <v>7323</v>
      </c>
      <c r="C5646" s="4">
        <v>126.0</v>
      </c>
      <c r="D5646" s="5" t="str">
        <f t="shared" si="1775"/>
        <v>Open Ad</v>
      </c>
      <c r="E5646" s="4" t="s">
        <v>78</v>
      </c>
      <c r="F5646" s="4" t="s">
        <v>6765</v>
      </c>
      <c r="G5646" s="4" t="s">
        <v>7383</v>
      </c>
      <c r="H5646" s="4" t="s">
        <v>49</v>
      </c>
      <c r="I5646" s="4" t="s">
        <v>7325</v>
      </c>
      <c r="J5646" s="4" t="s">
        <v>78</v>
      </c>
      <c r="K5646" s="7" t="str">
        <f t="shared" si="1776"/>
        <v>View Creative</v>
      </c>
      <c r="L5646" s="4" t="s">
        <v>60</v>
      </c>
      <c r="M5646" s="4" t="s">
        <v>6304</v>
      </c>
      <c r="N5646" s="4" t="s">
        <v>7372</v>
      </c>
      <c r="O5646" s="4" t="s">
        <v>63</v>
      </c>
      <c r="P5646" s="4" t="s">
        <v>64</v>
      </c>
    </row>
    <row r="5647">
      <c r="A5647" s="4" t="s">
        <v>6304</v>
      </c>
      <c r="B5647" s="4" t="s">
        <v>7323</v>
      </c>
      <c r="C5647" s="4">
        <v>127.0</v>
      </c>
      <c r="D5647" s="5" t="str">
        <f t="shared" ref="D5647:D5648" si="1777">HYPERLINK("https://www.linkedin.com/ad-library/detail/1301583523","Open Ad")</f>
        <v>Open Ad</v>
      </c>
      <c r="E5647" s="4" t="s">
        <v>78</v>
      </c>
      <c r="F5647" s="4" t="s">
        <v>6765</v>
      </c>
      <c r="G5647" s="4" t="s">
        <v>7356</v>
      </c>
      <c r="H5647" s="4" t="s">
        <v>49</v>
      </c>
      <c r="I5647" s="4" t="s">
        <v>7325</v>
      </c>
      <c r="J5647" s="4" t="s">
        <v>78</v>
      </c>
      <c r="K5647" s="7" t="str">
        <f t="shared" ref="K5647:K5650" si="1778">HYPERLINK("https://media.licdn.com/dms/image/v2/D4D22AQG_pWDLBn11xg/feedshare-image-high-res/B4DZ5Ktvy7KAAY-/0/1779369967058?e=2147483647&amp;v=beta&amp;t=yoyITKReRXEAtjcuwqrsCi1t2CYI0VeP_TZzNmL4tEY","View Creative")</f>
        <v>View Creative</v>
      </c>
      <c r="L5647" s="4" t="s">
        <v>60</v>
      </c>
      <c r="M5647" s="4" t="s">
        <v>6304</v>
      </c>
      <c r="N5647" s="4" t="s">
        <v>7380</v>
      </c>
      <c r="O5647" s="4" t="s">
        <v>63</v>
      </c>
      <c r="P5647" s="4" t="s">
        <v>64</v>
      </c>
    </row>
    <row r="5648">
      <c r="A5648" s="4" t="s">
        <v>6304</v>
      </c>
      <c r="B5648" s="4" t="s">
        <v>7323</v>
      </c>
      <c r="C5648" s="4">
        <v>128.0</v>
      </c>
      <c r="D5648" s="5" t="str">
        <f t="shared" si="1777"/>
        <v>Open Ad</v>
      </c>
      <c r="E5648" s="4" t="s">
        <v>78</v>
      </c>
      <c r="F5648" s="4" t="s">
        <v>6765</v>
      </c>
      <c r="G5648" s="4" t="s">
        <v>7356</v>
      </c>
      <c r="H5648" s="4" t="s">
        <v>49</v>
      </c>
      <c r="I5648" s="4" t="s">
        <v>7325</v>
      </c>
      <c r="J5648" s="4" t="s">
        <v>78</v>
      </c>
      <c r="K5648" s="7" t="str">
        <f t="shared" si="1778"/>
        <v>View Creative</v>
      </c>
      <c r="L5648" s="4" t="s">
        <v>60</v>
      </c>
      <c r="M5648" s="4" t="s">
        <v>6304</v>
      </c>
      <c r="N5648" s="4" t="s">
        <v>7380</v>
      </c>
      <c r="O5648" s="4" t="s">
        <v>63</v>
      </c>
      <c r="P5648" s="4" t="s">
        <v>64</v>
      </c>
    </row>
    <row r="5649">
      <c r="A5649" s="4" t="s">
        <v>6304</v>
      </c>
      <c r="B5649" s="4" t="s">
        <v>7323</v>
      </c>
      <c r="C5649" s="4">
        <v>129.0</v>
      </c>
      <c r="D5649" s="5" t="str">
        <f t="shared" ref="D5649:D5650" si="1779">HYPERLINK("https://www.linkedin.com/ad-library/detail/1440717983","Open Ad")</f>
        <v>Open Ad</v>
      </c>
      <c r="E5649" s="4" t="s">
        <v>78</v>
      </c>
      <c r="F5649" s="4" t="s">
        <v>6765</v>
      </c>
      <c r="G5649" s="4" t="s">
        <v>7356</v>
      </c>
      <c r="H5649" s="4" t="s">
        <v>49</v>
      </c>
      <c r="I5649" s="4" t="s">
        <v>7325</v>
      </c>
      <c r="J5649" s="4" t="s">
        <v>78</v>
      </c>
      <c r="K5649" s="7" t="str">
        <f t="shared" si="1778"/>
        <v>View Creative</v>
      </c>
      <c r="L5649" s="4" t="s">
        <v>60</v>
      </c>
      <c r="M5649" s="4" t="s">
        <v>6304</v>
      </c>
      <c r="N5649" s="4" t="s">
        <v>7388</v>
      </c>
      <c r="O5649" s="4" t="s">
        <v>63</v>
      </c>
      <c r="P5649" s="4" t="s">
        <v>64</v>
      </c>
    </row>
    <row r="5650">
      <c r="A5650" s="4" t="s">
        <v>6304</v>
      </c>
      <c r="B5650" s="4" t="s">
        <v>7323</v>
      </c>
      <c r="C5650" s="4">
        <v>130.0</v>
      </c>
      <c r="D5650" s="5" t="str">
        <f t="shared" si="1779"/>
        <v>Open Ad</v>
      </c>
      <c r="E5650" s="4" t="s">
        <v>78</v>
      </c>
      <c r="F5650" s="4" t="s">
        <v>6765</v>
      </c>
      <c r="G5650" s="4" t="s">
        <v>7356</v>
      </c>
      <c r="H5650" s="4" t="s">
        <v>49</v>
      </c>
      <c r="I5650" s="4" t="s">
        <v>7325</v>
      </c>
      <c r="J5650" s="4" t="s">
        <v>78</v>
      </c>
      <c r="K5650" s="7" t="str">
        <f t="shared" si="1778"/>
        <v>View Creative</v>
      </c>
      <c r="L5650" s="4" t="s">
        <v>60</v>
      </c>
      <c r="M5650" s="4" t="s">
        <v>6304</v>
      </c>
      <c r="N5650" s="4" t="s">
        <v>7388</v>
      </c>
      <c r="O5650" s="4" t="s">
        <v>63</v>
      </c>
      <c r="P5650" s="4" t="s">
        <v>64</v>
      </c>
    </row>
    <row r="5651">
      <c r="A5651" s="4" t="s">
        <v>6304</v>
      </c>
      <c r="B5651" s="4" t="s">
        <v>7323</v>
      </c>
      <c r="C5651" s="4">
        <v>131.0</v>
      </c>
      <c r="D5651" s="5" t="str">
        <f t="shared" ref="D5651:D5652" si="1780">HYPERLINK("https://www.linkedin.com/ad-library/detail/1440648393","Open Ad")</f>
        <v>Open Ad</v>
      </c>
      <c r="E5651" s="4" t="s">
        <v>78</v>
      </c>
      <c r="F5651" s="4" t="s">
        <v>6765</v>
      </c>
      <c r="G5651" s="4" t="s">
        <v>7353</v>
      </c>
      <c r="H5651" s="4" t="s">
        <v>49</v>
      </c>
      <c r="I5651" s="4" t="s">
        <v>7325</v>
      </c>
      <c r="J5651" s="4" t="s">
        <v>78</v>
      </c>
      <c r="K5651" s="7" t="str">
        <f t="shared" ref="K5651:K5652" si="1781">HYPERLINK("https://media.licdn.com/dms/image/v2/D4E22AQFFV6_jV3bM2A/feedshare-image-high-res/B4EZ74aXy_KwAU-/0/1782284123580?e=2147483647&amp;v=beta&amp;t=uA4GWUtr0mjVOAJEUJtu_Bb0yG4Ph0KBDl3a0_qG0ug","View Creative")</f>
        <v>View Creative</v>
      </c>
      <c r="L5651" s="4" t="s">
        <v>60</v>
      </c>
      <c r="M5651" s="4" t="s">
        <v>6304</v>
      </c>
      <c r="N5651" s="4" t="s">
        <v>7388</v>
      </c>
      <c r="O5651" s="4" t="s">
        <v>63</v>
      </c>
      <c r="P5651" s="4" t="s">
        <v>64</v>
      </c>
    </row>
    <row r="5652">
      <c r="A5652" s="4" t="s">
        <v>6304</v>
      </c>
      <c r="B5652" s="4" t="s">
        <v>7323</v>
      </c>
      <c r="C5652" s="4">
        <v>132.0</v>
      </c>
      <c r="D5652" s="5" t="str">
        <f t="shared" si="1780"/>
        <v>Open Ad</v>
      </c>
      <c r="E5652" s="4" t="s">
        <v>78</v>
      </c>
      <c r="F5652" s="4" t="s">
        <v>6765</v>
      </c>
      <c r="G5652" s="4" t="s">
        <v>7353</v>
      </c>
      <c r="H5652" s="4" t="s">
        <v>49</v>
      </c>
      <c r="I5652" s="4" t="s">
        <v>7325</v>
      </c>
      <c r="J5652" s="4" t="s">
        <v>78</v>
      </c>
      <c r="K5652" s="7" t="str">
        <f t="shared" si="1781"/>
        <v>View Creative</v>
      </c>
      <c r="L5652" s="4" t="s">
        <v>60</v>
      </c>
      <c r="M5652" s="4" t="s">
        <v>6304</v>
      </c>
      <c r="N5652" s="4" t="s">
        <v>7388</v>
      </c>
      <c r="O5652" s="4" t="s">
        <v>63</v>
      </c>
      <c r="P5652" s="4" t="s">
        <v>64</v>
      </c>
    </row>
    <row r="5653">
      <c r="A5653" s="4" t="s">
        <v>6304</v>
      </c>
      <c r="B5653" s="4" t="s">
        <v>7323</v>
      </c>
      <c r="C5653" s="4">
        <v>133.0</v>
      </c>
      <c r="D5653" s="5" t="str">
        <f t="shared" ref="D5653:D5654" si="1782">HYPERLINK("https://www.linkedin.com/ad-library/detail/1440667643","Open Ad")</f>
        <v>Open Ad</v>
      </c>
      <c r="E5653" s="4" t="s">
        <v>78</v>
      </c>
      <c r="F5653" s="4" t="s">
        <v>6765</v>
      </c>
      <c r="G5653" s="4" t="s">
        <v>7358</v>
      </c>
      <c r="H5653" s="4" t="s">
        <v>49</v>
      </c>
      <c r="I5653" s="4" t="s">
        <v>7325</v>
      </c>
      <c r="J5653" s="4" t="s">
        <v>78</v>
      </c>
      <c r="K5653" s="7" t="str">
        <f t="shared" ref="K5653:K5654" si="1783">HYPERLINK("https://media.licdn.com/dms/image/v2/D4E22AQGj2T42TESk1w/feedshare-image-high-res/B4EZ74ZGPpHoAc-/0/1782283789605?e=2147483647&amp;v=beta&amp;t=lDvuae9vcjcZegfSk6jb_9i5cCj7CKtWG18C4c3kLjQ","View Creative")</f>
        <v>View Creative</v>
      </c>
      <c r="L5653" s="4" t="s">
        <v>60</v>
      </c>
      <c r="M5653" s="4" t="s">
        <v>6304</v>
      </c>
      <c r="N5653" s="4" t="s">
        <v>7387</v>
      </c>
      <c r="O5653" s="4" t="s">
        <v>63</v>
      </c>
      <c r="P5653" s="4" t="s">
        <v>64</v>
      </c>
    </row>
    <row r="5654">
      <c r="A5654" s="4" t="s">
        <v>6304</v>
      </c>
      <c r="B5654" s="4" t="s">
        <v>7323</v>
      </c>
      <c r="C5654" s="4">
        <v>134.0</v>
      </c>
      <c r="D5654" s="5" t="str">
        <f t="shared" si="1782"/>
        <v>Open Ad</v>
      </c>
      <c r="E5654" s="4" t="s">
        <v>78</v>
      </c>
      <c r="F5654" s="4" t="s">
        <v>6765</v>
      </c>
      <c r="G5654" s="4" t="s">
        <v>7358</v>
      </c>
      <c r="H5654" s="4" t="s">
        <v>49</v>
      </c>
      <c r="I5654" s="4" t="s">
        <v>7325</v>
      </c>
      <c r="J5654" s="4" t="s">
        <v>78</v>
      </c>
      <c r="K5654" s="7" t="str">
        <f t="shared" si="1783"/>
        <v>View Creative</v>
      </c>
      <c r="L5654" s="4" t="s">
        <v>60</v>
      </c>
      <c r="M5654" s="4" t="s">
        <v>6304</v>
      </c>
      <c r="N5654" s="4" t="s">
        <v>7387</v>
      </c>
      <c r="O5654" s="4" t="s">
        <v>63</v>
      </c>
      <c r="P5654" s="4" t="s">
        <v>64</v>
      </c>
    </row>
    <row r="5655">
      <c r="A5655" s="4" t="s">
        <v>6304</v>
      </c>
      <c r="B5655" s="4" t="s">
        <v>7323</v>
      </c>
      <c r="C5655" s="4">
        <v>135.0</v>
      </c>
      <c r="D5655" s="5" t="str">
        <f t="shared" ref="D5655:D5656" si="1784">HYPERLINK("https://www.linkedin.com/ad-library/detail/1475893696","Open Ad")</f>
        <v>Open Ad</v>
      </c>
      <c r="E5655" s="4" t="s">
        <v>78</v>
      </c>
      <c r="F5655" s="4" t="s">
        <v>6765</v>
      </c>
      <c r="G5655" s="4" t="s">
        <v>7359</v>
      </c>
      <c r="H5655" s="4" t="s">
        <v>49</v>
      </c>
      <c r="I5655" s="4" t="s">
        <v>7325</v>
      </c>
      <c r="J5655" s="4" t="s">
        <v>78</v>
      </c>
      <c r="K5655" s="7" t="str">
        <f t="shared" ref="K5655:K5656" si="1785">HYPERLINK("https://media.licdn.com/dms/image/v2/D4E22AQGk067apuo5qQ/feedshare-image-high-res/B4EZ7zIBmuHwAY-/0/1782195428007?e=2147483647&amp;v=beta&amp;t=HCMTNKg4ludKnwsaiFUYT_NGO-es1knNpH1qJvyvb04","View Creative")</f>
        <v>View Creative</v>
      </c>
      <c r="L5655" s="4" t="s">
        <v>60</v>
      </c>
      <c r="M5655" s="4" t="s">
        <v>6304</v>
      </c>
      <c r="N5655" s="4" t="s">
        <v>7372</v>
      </c>
      <c r="O5655" s="4" t="s">
        <v>63</v>
      </c>
      <c r="P5655" s="4" t="s">
        <v>64</v>
      </c>
    </row>
    <row r="5656">
      <c r="A5656" s="4" t="s">
        <v>6304</v>
      </c>
      <c r="B5656" s="4" t="s">
        <v>7323</v>
      </c>
      <c r="C5656" s="4">
        <v>136.0</v>
      </c>
      <c r="D5656" s="5" t="str">
        <f t="shared" si="1784"/>
        <v>Open Ad</v>
      </c>
      <c r="E5656" s="4" t="s">
        <v>78</v>
      </c>
      <c r="F5656" s="4" t="s">
        <v>6765</v>
      </c>
      <c r="G5656" s="4" t="s">
        <v>7359</v>
      </c>
      <c r="H5656" s="4" t="s">
        <v>49</v>
      </c>
      <c r="I5656" s="4" t="s">
        <v>7325</v>
      </c>
      <c r="J5656" s="4" t="s">
        <v>78</v>
      </c>
      <c r="K5656" s="7" t="str">
        <f t="shared" si="1785"/>
        <v>View Creative</v>
      </c>
      <c r="L5656" s="4" t="s">
        <v>60</v>
      </c>
      <c r="M5656" s="4" t="s">
        <v>6304</v>
      </c>
      <c r="N5656" s="4" t="s">
        <v>7372</v>
      </c>
      <c r="O5656" s="4" t="s">
        <v>63</v>
      </c>
      <c r="P5656" s="4" t="s">
        <v>64</v>
      </c>
    </row>
    <row r="5657">
      <c r="A5657" s="4" t="s">
        <v>6304</v>
      </c>
      <c r="B5657" s="4" t="s">
        <v>7323</v>
      </c>
      <c r="C5657" s="4">
        <v>137.0</v>
      </c>
      <c r="D5657" s="5" t="str">
        <f t="shared" ref="D5657:D5658" si="1786">HYPERLINK("https://www.linkedin.com/ad-library/detail/1301683323","Open Ad")</f>
        <v>Open Ad</v>
      </c>
      <c r="E5657" s="4" t="s">
        <v>78</v>
      </c>
      <c r="F5657" s="4" t="s">
        <v>6765</v>
      </c>
      <c r="G5657" s="4" t="s">
        <v>7389</v>
      </c>
      <c r="H5657" s="4" t="s">
        <v>7390</v>
      </c>
      <c r="I5657" s="4" t="s">
        <v>7325</v>
      </c>
      <c r="J5657" s="4" t="s">
        <v>78</v>
      </c>
      <c r="K5657" s="7" t="str">
        <f t="shared" ref="K5657:K5660" si="1787">HYPERLINK("https://media.licdn.com/dms/image/v2/D4D22AQGyFJwH-Eo5tw/feedshare-shrink_1280/B4DZ5kMteyKEAM-/0/1779797514672?e=2147483647&amp;v=beta&amp;t=9pPq4D_M0qWEJoXjNQGDuqYShlpQoTebGHuODFMB7P0","View Creative")</f>
        <v>View Creative</v>
      </c>
      <c r="L5657" s="4" t="s">
        <v>60</v>
      </c>
      <c r="M5657" s="4" t="s">
        <v>6304</v>
      </c>
      <c r="N5657" s="4" t="s">
        <v>7380</v>
      </c>
      <c r="O5657" s="4" t="s">
        <v>63</v>
      </c>
      <c r="P5657" s="4" t="s">
        <v>64</v>
      </c>
    </row>
    <row r="5658">
      <c r="A5658" s="4" t="s">
        <v>6304</v>
      </c>
      <c r="B5658" s="4" t="s">
        <v>7323</v>
      </c>
      <c r="C5658" s="4">
        <v>138.0</v>
      </c>
      <c r="D5658" s="5" t="str">
        <f t="shared" si="1786"/>
        <v>Open Ad</v>
      </c>
      <c r="E5658" s="4" t="s">
        <v>78</v>
      </c>
      <c r="F5658" s="4" t="s">
        <v>6765</v>
      </c>
      <c r="G5658" s="4" t="s">
        <v>7389</v>
      </c>
      <c r="H5658" s="4" t="s">
        <v>7390</v>
      </c>
      <c r="I5658" s="4" t="s">
        <v>7325</v>
      </c>
      <c r="J5658" s="4" t="s">
        <v>78</v>
      </c>
      <c r="K5658" s="7" t="str">
        <f t="shared" si="1787"/>
        <v>View Creative</v>
      </c>
      <c r="L5658" s="4" t="s">
        <v>60</v>
      </c>
      <c r="M5658" s="4" t="s">
        <v>6304</v>
      </c>
      <c r="N5658" s="4" t="s">
        <v>7380</v>
      </c>
      <c r="O5658" s="4" t="s">
        <v>63</v>
      </c>
      <c r="P5658" s="4" t="s">
        <v>64</v>
      </c>
    </row>
    <row r="5659">
      <c r="A5659" s="4" t="s">
        <v>6304</v>
      </c>
      <c r="B5659" s="4" t="s">
        <v>7323</v>
      </c>
      <c r="C5659" s="4">
        <v>139.0</v>
      </c>
      <c r="D5659" s="5" t="str">
        <f t="shared" ref="D5659:D5660" si="1788">HYPERLINK("https://www.linkedin.com/ad-library/detail/1300608923","Open Ad")</f>
        <v>Open Ad</v>
      </c>
      <c r="E5659" s="4" t="s">
        <v>78</v>
      </c>
      <c r="F5659" s="4" t="s">
        <v>6765</v>
      </c>
      <c r="G5659" s="4" t="s">
        <v>7389</v>
      </c>
      <c r="H5659" s="4" t="s">
        <v>7390</v>
      </c>
      <c r="I5659" s="4" t="s">
        <v>7325</v>
      </c>
      <c r="J5659" s="4" t="s">
        <v>78</v>
      </c>
      <c r="K5659" s="7" t="str">
        <f t="shared" si="1787"/>
        <v>View Creative</v>
      </c>
      <c r="L5659" s="4" t="s">
        <v>60</v>
      </c>
      <c r="M5659" s="4" t="s">
        <v>6304</v>
      </c>
      <c r="N5659" s="4" t="s">
        <v>7379</v>
      </c>
      <c r="O5659" s="4" t="s">
        <v>63</v>
      </c>
      <c r="P5659" s="4" t="s">
        <v>64</v>
      </c>
    </row>
    <row r="5660">
      <c r="A5660" s="4" t="s">
        <v>6304</v>
      </c>
      <c r="B5660" s="4" t="s">
        <v>7323</v>
      </c>
      <c r="C5660" s="4">
        <v>140.0</v>
      </c>
      <c r="D5660" s="5" t="str">
        <f t="shared" si="1788"/>
        <v>Open Ad</v>
      </c>
      <c r="E5660" s="4" t="s">
        <v>78</v>
      </c>
      <c r="F5660" s="4" t="s">
        <v>6765</v>
      </c>
      <c r="G5660" s="4" t="s">
        <v>7389</v>
      </c>
      <c r="H5660" s="4" t="s">
        <v>7390</v>
      </c>
      <c r="I5660" s="4" t="s">
        <v>7325</v>
      </c>
      <c r="J5660" s="4" t="s">
        <v>78</v>
      </c>
      <c r="K5660" s="7" t="str">
        <f t="shared" si="1787"/>
        <v>View Creative</v>
      </c>
      <c r="L5660" s="4" t="s">
        <v>60</v>
      </c>
      <c r="M5660" s="4" t="s">
        <v>6304</v>
      </c>
      <c r="N5660" s="4" t="s">
        <v>7379</v>
      </c>
      <c r="O5660" s="4" t="s">
        <v>63</v>
      </c>
      <c r="P5660" s="4" t="s">
        <v>64</v>
      </c>
    </row>
    <row r="5661">
      <c r="A5661" s="4" t="s">
        <v>6304</v>
      </c>
      <c r="B5661" s="4" t="s">
        <v>7323</v>
      </c>
      <c r="C5661" s="4">
        <v>141.0</v>
      </c>
      <c r="D5661" s="5" t="str">
        <f t="shared" ref="D5661:D5662" si="1789">HYPERLINK("https://www.linkedin.com/ad-library/detail/1434600493","Open Ad")</f>
        <v>Open Ad</v>
      </c>
      <c r="E5661" s="4" t="s">
        <v>121</v>
      </c>
      <c r="F5661" s="4" t="s">
        <v>6765</v>
      </c>
      <c r="G5661" s="4" t="s">
        <v>7341</v>
      </c>
      <c r="H5661" s="4" t="s">
        <v>49</v>
      </c>
      <c r="I5661" s="4" t="s">
        <v>7325</v>
      </c>
      <c r="J5661" s="4" t="s">
        <v>121</v>
      </c>
      <c r="K5661" s="7" t="str">
        <f t="shared" ref="K5661:K5662" si="1790">HYPERLINK("https://dms.licdn.com/playlist/vid/v2/D4E05AQHgOCwydDtH7w/mp4-640p-30fp-crf28/B4EZ61WjwaJEBk-/0/1781159117017?e=2147483647&amp;v=beta&amp;t=kgix98g_BsKPq-XmGT8Zhm8fh8HoBS0bAHDbLvn0Yys","View Creative")</f>
        <v>View Creative</v>
      </c>
      <c r="L5661" s="4" t="s">
        <v>60</v>
      </c>
      <c r="M5661" s="4" t="s">
        <v>6304</v>
      </c>
      <c r="N5661" s="4" t="s">
        <v>7391</v>
      </c>
      <c r="O5661" s="4" t="s">
        <v>63</v>
      </c>
      <c r="P5661" s="4" t="s">
        <v>64</v>
      </c>
    </row>
    <row r="5662">
      <c r="A5662" s="4" t="s">
        <v>6304</v>
      </c>
      <c r="B5662" s="4" t="s">
        <v>7323</v>
      </c>
      <c r="C5662" s="4">
        <v>142.0</v>
      </c>
      <c r="D5662" s="5" t="str">
        <f t="shared" si="1789"/>
        <v>Open Ad</v>
      </c>
      <c r="E5662" s="4" t="s">
        <v>121</v>
      </c>
      <c r="F5662" s="4" t="s">
        <v>6765</v>
      </c>
      <c r="G5662" s="4" t="s">
        <v>7341</v>
      </c>
      <c r="H5662" s="4" t="s">
        <v>49</v>
      </c>
      <c r="I5662" s="4" t="s">
        <v>7325</v>
      </c>
      <c r="J5662" s="4" t="s">
        <v>121</v>
      </c>
      <c r="K5662" s="7" t="str">
        <f t="shared" si="1790"/>
        <v>View Creative</v>
      </c>
      <c r="L5662" s="4" t="s">
        <v>60</v>
      </c>
      <c r="M5662" s="4" t="s">
        <v>6304</v>
      </c>
      <c r="N5662" s="4" t="s">
        <v>7391</v>
      </c>
      <c r="O5662" s="4" t="s">
        <v>63</v>
      </c>
      <c r="P5662" s="4" t="s">
        <v>64</v>
      </c>
    </row>
    <row r="5663">
      <c r="A5663" s="4" t="s">
        <v>6304</v>
      </c>
      <c r="B5663" s="4" t="s">
        <v>7323</v>
      </c>
      <c r="C5663" s="4">
        <v>143.0</v>
      </c>
      <c r="D5663" s="5" t="str">
        <f t="shared" ref="D5663:D5664" si="1791">HYPERLINK("https://www.linkedin.com/ad-library/detail/1434387653","Open Ad")</f>
        <v>Open Ad</v>
      </c>
      <c r="E5663" s="4" t="s">
        <v>121</v>
      </c>
      <c r="F5663" s="4" t="s">
        <v>6765</v>
      </c>
      <c r="G5663" s="4" t="s">
        <v>7348</v>
      </c>
      <c r="H5663" s="4" t="s">
        <v>49</v>
      </c>
      <c r="I5663" s="4" t="s">
        <v>7325</v>
      </c>
      <c r="J5663" s="4" t="s">
        <v>121</v>
      </c>
      <c r="K5663" s="7" t="str">
        <f t="shared" ref="K5663:K5664" si="1792">HYPERLINK("https://dms.licdn.com/playlist/vid/v2/D4E05AQHd6YleR4fnQQ/mp4-720p-30fp-crf28/B4EZ61YWocGQB8-/0/1781159615632?e=2147483647&amp;v=beta&amp;t=GuHv4qUPCtOc6YzfnTUHwvKp3Zs98VCaFYIJfNR5AFg","View Creative")</f>
        <v>View Creative</v>
      </c>
      <c r="L5663" s="4" t="s">
        <v>60</v>
      </c>
      <c r="M5663" s="4" t="s">
        <v>6304</v>
      </c>
      <c r="N5663" s="4" t="s">
        <v>7382</v>
      </c>
      <c r="O5663" s="4" t="s">
        <v>63</v>
      </c>
      <c r="P5663" s="4" t="s">
        <v>64</v>
      </c>
    </row>
    <row r="5664">
      <c r="A5664" s="4" t="s">
        <v>6304</v>
      </c>
      <c r="B5664" s="4" t="s">
        <v>7323</v>
      </c>
      <c r="C5664" s="4">
        <v>144.0</v>
      </c>
      <c r="D5664" s="5" t="str">
        <f t="shared" si="1791"/>
        <v>Open Ad</v>
      </c>
      <c r="E5664" s="4" t="s">
        <v>121</v>
      </c>
      <c r="F5664" s="4" t="s">
        <v>6765</v>
      </c>
      <c r="G5664" s="4" t="s">
        <v>7348</v>
      </c>
      <c r="H5664" s="4" t="s">
        <v>49</v>
      </c>
      <c r="I5664" s="4" t="s">
        <v>7325</v>
      </c>
      <c r="J5664" s="4" t="s">
        <v>121</v>
      </c>
      <c r="K5664" s="7" t="str">
        <f t="shared" si="1792"/>
        <v>View Creative</v>
      </c>
      <c r="L5664" s="4" t="s">
        <v>60</v>
      </c>
      <c r="M5664" s="4" t="s">
        <v>6304</v>
      </c>
      <c r="N5664" s="4" t="s">
        <v>7382</v>
      </c>
      <c r="O5664" s="4" t="s">
        <v>63</v>
      </c>
      <c r="P5664" s="4" t="s">
        <v>64</v>
      </c>
    </row>
    <row r="5665">
      <c r="A5665" s="4" t="s">
        <v>6304</v>
      </c>
      <c r="B5665" s="4" t="s">
        <v>7323</v>
      </c>
      <c r="C5665" s="4">
        <v>145.0</v>
      </c>
      <c r="D5665" s="5" t="str">
        <f t="shared" ref="D5665:D5666" si="1793">HYPERLINK("https://www.linkedin.com/ad-library/detail/1255385823","Open Ad")</f>
        <v>Open Ad</v>
      </c>
      <c r="E5665" s="4" t="s">
        <v>78</v>
      </c>
      <c r="F5665" s="4" t="s">
        <v>6765</v>
      </c>
      <c r="G5665" s="4" t="s">
        <v>7392</v>
      </c>
      <c r="H5665" s="4" t="s">
        <v>49</v>
      </c>
      <c r="I5665" s="4" t="s">
        <v>7325</v>
      </c>
      <c r="J5665" s="4" t="s">
        <v>78</v>
      </c>
      <c r="K5665" s="7" t="str">
        <f t="shared" ref="K5665:K5666" si="1794">HYPERLINK("https://media.licdn.com/dms/image/v2/D4D10AQGQIJq-FhRa0Q/image-shrink_1280/B4DZ0Ql3MbH4Ac-/0/1774099854350/2png?e=2147483647&amp;v=beta&amp;t=y1v-SxIxcwPrXsKf7HVvVNTO_-psFrVBwCn6chrjqNo","View Creative")</f>
        <v>View Creative</v>
      </c>
      <c r="L5665" s="4" t="s">
        <v>60</v>
      </c>
      <c r="M5665" s="4" t="s">
        <v>6304</v>
      </c>
      <c r="N5665" s="4" t="s">
        <v>7393</v>
      </c>
      <c r="O5665" s="4" t="s">
        <v>63</v>
      </c>
      <c r="P5665" s="4" t="s">
        <v>64</v>
      </c>
    </row>
    <row r="5666">
      <c r="A5666" s="4" t="s">
        <v>6304</v>
      </c>
      <c r="B5666" s="4" t="s">
        <v>7323</v>
      </c>
      <c r="C5666" s="4">
        <v>146.0</v>
      </c>
      <c r="D5666" s="5" t="str">
        <f t="shared" si="1793"/>
        <v>Open Ad</v>
      </c>
      <c r="E5666" s="4" t="s">
        <v>78</v>
      </c>
      <c r="F5666" s="4" t="s">
        <v>6765</v>
      </c>
      <c r="G5666" s="4" t="s">
        <v>7392</v>
      </c>
      <c r="H5666" s="4" t="s">
        <v>49</v>
      </c>
      <c r="I5666" s="4" t="s">
        <v>7325</v>
      </c>
      <c r="J5666" s="4" t="s">
        <v>78</v>
      </c>
      <c r="K5666" s="7" t="str">
        <f t="shared" si="1794"/>
        <v>View Creative</v>
      </c>
      <c r="L5666" s="4" t="s">
        <v>60</v>
      </c>
      <c r="M5666" s="4" t="s">
        <v>6304</v>
      </c>
      <c r="N5666" s="4" t="s">
        <v>7393</v>
      </c>
      <c r="O5666" s="4" t="s">
        <v>63</v>
      </c>
      <c r="P5666" s="4" t="s">
        <v>64</v>
      </c>
    </row>
    <row r="5667">
      <c r="A5667" s="4" t="s">
        <v>6304</v>
      </c>
      <c r="B5667" s="4" t="s">
        <v>7323</v>
      </c>
      <c r="C5667" s="4">
        <v>147.0</v>
      </c>
      <c r="D5667" s="5" t="str">
        <f t="shared" ref="D5667:D5668" si="1795">HYPERLINK("https://www.linkedin.com/ad-library/detail/1252480713","Open Ad")</f>
        <v>Open Ad</v>
      </c>
      <c r="E5667" s="4" t="s">
        <v>121</v>
      </c>
      <c r="F5667" s="4" t="s">
        <v>6765</v>
      </c>
      <c r="G5667" s="4" t="s">
        <v>7394</v>
      </c>
      <c r="H5667" s="4" t="s">
        <v>49</v>
      </c>
      <c r="I5667" s="4" t="s">
        <v>7325</v>
      </c>
      <c r="J5667" s="4" t="s">
        <v>121</v>
      </c>
      <c r="K5667" s="7" t="str">
        <f t="shared" ref="K5667:K5668" si="1796">HYPERLINK("https://dms.licdn.com/playlist/vid/v2/D4E05AQEw_nFST6DJow/mp4-720p-30fp-crf28/B4EZ21ioTWJ4CA-/0/1776867251582?e=2147483647&amp;v=beta&amp;t=AOio-fdnkq1WP7c-u_UkolelzGUpTSckEDn_msUKP9Y","View Creative")</f>
        <v>View Creative</v>
      </c>
      <c r="L5667" s="4" t="s">
        <v>60</v>
      </c>
      <c r="M5667" s="4" t="s">
        <v>6304</v>
      </c>
      <c r="N5667" s="4" t="s">
        <v>7395</v>
      </c>
      <c r="O5667" s="4" t="s">
        <v>63</v>
      </c>
      <c r="P5667" s="4" t="s">
        <v>64</v>
      </c>
    </row>
    <row r="5668">
      <c r="A5668" s="4" t="s">
        <v>6304</v>
      </c>
      <c r="B5668" s="4" t="s">
        <v>7323</v>
      </c>
      <c r="C5668" s="4">
        <v>148.0</v>
      </c>
      <c r="D5668" s="5" t="str">
        <f t="shared" si="1795"/>
        <v>Open Ad</v>
      </c>
      <c r="E5668" s="4" t="s">
        <v>121</v>
      </c>
      <c r="F5668" s="4" t="s">
        <v>6765</v>
      </c>
      <c r="G5668" s="4" t="s">
        <v>7394</v>
      </c>
      <c r="H5668" s="4" t="s">
        <v>49</v>
      </c>
      <c r="I5668" s="4" t="s">
        <v>7325</v>
      </c>
      <c r="J5668" s="4" t="s">
        <v>121</v>
      </c>
      <c r="K5668" s="7" t="str">
        <f t="shared" si="1796"/>
        <v>View Creative</v>
      </c>
      <c r="L5668" s="4" t="s">
        <v>60</v>
      </c>
      <c r="M5668" s="4" t="s">
        <v>6304</v>
      </c>
      <c r="N5668" s="4" t="s">
        <v>7395</v>
      </c>
      <c r="O5668" s="4" t="s">
        <v>63</v>
      </c>
      <c r="P5668" s="4" t="s">
        <v>64</v>
      </c>
    </row>
    <row r="5669">
      <c r="A5669" s="4" t="s">
        <v>6304</v>
      </c>
      <c r="B5669" s="4" t="s">
        <v>7323</v>
      </c>
      <c r="C5669" s="4">
        <v>149.0</v>
      </c>
      <c r="D5669" s="5" t="str">
        <f t="shared" ref="D5669:D5670" si="1797">HYPERLINK("https://www.linkedin.com/ad-library/detail/1256485733","Open Ad")</f>
        <v>Open Ad</v>
      </c>
      <c r="E5669" s="4" t="s">
        <v>121</v>
      </c>
      <c r="F5669" s="4" t="s">
        <v>6765</v>
      </c>
      <c r="G5669" s="4" t="s">
        <v>7396</v>
      </c>
      <c r="H5669" s="4" t="s">
        <v>49</v>
      </c>
      <c r="I5669" s="4" t="s">
        <v>7325</v>
      </c>
      <c r="J5669" s="4" t="s">
        <v>121</v>
      </c>
      <c r="K5669" s="7" t="str">
        <f t="shared" ref="K5669:K5670" si="1798">HYPERLINK("https://dms.licdn.com/playlist/vid/v2/D4E05AQHq9QotIQttig/mp4-720p-30fp-crf28/B4EZ2uuoiTJkCI-/0/1776752956641?e=2147483647&amp;v=beta&amp;t=6C3WWVH2v1vVfSzN5_V2v4BUpsacRUnFK-h8NkP80YM","View Creative")</f>
        <v>View Creative</v>
      </c>
      <c r="L5669" s="4" t="s">
        <v>60</v>
      </c>
      <c r="M5669" s="4" t="s">
        <v>6304</v>
      </c>
      <c r="N5669" s="4" t="s">
        <v>7397</v>
      </c>
      <c r="O5669" s="4" t="s">
        <v>63</v>
      </c>
      <c r="P5669" s="4" t="s">
        <v>64</v>
      </c>
    </row>
    <row r="5670">
      <c r="A5670" s="4" t="s">
        <v>6304</v>
      </c>
      <c r="B5670" s="4" t="s">
        <v>7323</v>
      </c>
      <c r="C5670" s="4">
        <v>150.0</v>
      </c>
      <c r="D5670" s="5" t="str">
        <f t="shared" si="1797"/>
        <v>Open Ad</v>
      </c>
      <c r="E5670" s="4" t="s">
        <v>121</v>
      </c>
      <c r="F5670" s="4" t="s">
        <v>6765</v>
      </c>
      <c r="G5670" s="4" t="s">
        <v>7396</v>
      </c>
      <c r="H5670" s="4" t="s">
        <v>49</v>
      </c>
      <c r="I5670" s="4" t="s">
        <v>7325</v>
      </c>
      <c r="J5670" s="4" t="s">
        <v>121</v>
      </c>
      <c r="K5670" s="7" t="str">
        <f t="shared" si="1798"/>
        <v>View Creative</v>
      </c>
      <c r="L5670" s="4" t="s">
        <v>60</v>
      </c>
      <c r="M5670" s="4" t="s">
        <v>6304</v>
      </c>
      <c r="N5670" s="4" t="s">
        <v>7397</v>
      </c>
      <c r="O5670" s="4" t="s">
        <v>63</v>
      </c>
      <c r="P5670" s="4" t="s">
        <v>64</v>
      </c>
    </row>
    <row r="5671">
      <c r="A5671" s="4" t="s">
        <v>6304</v>
      </c>
      <c r="B5671" s="4" t="s">
        <v>7323</v>
      </c>
      <c r="C5671" s="4">
        <v>151.0</v>
      </c>
      <c r="D5671" s="5" t="str">
        <f t="shared" ref="D5671:D5672" si="1799">HYPERLINK("https://www.linkedin.com/ad-library/detail/1255685303","Open Ad")</f>
        <v>Open Ad</v>
      </c>
      <c r="E5671" s="4" t="s">
        <v>121</v>
      </c>
      <c r="F5671" s="4" t="s">
        <v>6765</v>
      </c>
      <c r="G5671" s="4" t="s">
        <v>7398</v>
      </c>
      <c r="H5671" s="4" t="s">
        <v>49</v>
      </c>
      <c r="I5671" s="4" t="s">
        <v>7325</v>
      </c>
      <c r="J5671" s="4" t="s">
        <v>121</v>
      </c>
      <c r="K5671" s="7" t="str">
        <f t="shared" ref="K5671:K5672" si="1800">HYPERLINK("https://dms.licdn.com/playlist/vid/v2/D4E05AQEyAuz-ldfEkw/mp4-640p-30fp-crf28/B4EZ2vmfsDIwBw-/0/1776767600240?e=2147483647&amp;v=beta&amp;t=nZ_AVKQjLiOk_B-Tg_3Yr5wO3kOBabQi2FWcNQzsuLw","View Creative")</f>
        <v>View Creative</v>
      </c>
      <c r="L5671" s="4" t="s">
        <v>60</v>
      </c>
      <c r="M5671" s="4" t="s">
        <v>6304</v>
      </c>
      <c r="N5671" s="4" t="s">
        <v>7399</v>
      </c>
      <c r="O5671" s="4" t="s">
        <v>63</v>
      </c>
      <c r="P5671" s="4" t="s">
        <v>64</v>
      </c>
    </row>
    <row r="5672">
      <c r="A5672" s="4" t="s">
        <v>6304</v>
      </c>
      <c r="B5672" s="4" t="s">
        <v>7323</v>
      </c>
      <c r="C5672" s="4">
        <v>152.0</v>
      </c>
      <c r="D5672" s="5" t="str">
        <f t="shared" si="1799"/>
        <v>Open Ad</v>
      </c>
      <c r="E5672" s="4" t="s">
        <v>121</v>
      </c>
      <c r="F5672" s="4" t="s">
        <v>6765</v>
      </c>
      <c r="G5672" s="4" t="s">
        <v>7398</v>
      </c>
      <c r="H5672" s="4" t="s">
        <v>49</v>
      </c>
      <c r="I5672" s="4" t="s">
        <v>7325</v>
      </c>
      <c r="J5672" s="4" t="s">
        <v>121</v>
      </c>
      <c r="K5672" s="7" t="str">
        <f t="shared" si="1800"/>
        <v>View Creative</v>
      </c>
      <c r="L5672" s="4" t="s">
        <v>60</v>
      </c>
      <c r="M5672" s="4" t="s">
        <v>6304</v>
      </c>
      <c r="N5672" s="4" t="s">
        <v>7399</v>
      </c>
      <c r="O5672" s="4" t="s">
        <v>63</v>
      </c>
      <c r="P5672" s="4" t="s">
        <v>64</v>
      </c>
    </row>
    <row r="5673">
      <c r="A5673" s="4" t="s">
        <v>6304</v>
      </c>
      <c r="B5673" s="4" t="s">
        <v>7323</v>
      </c>
      <c r="C5673" s="4">
        <v>153.0</v>
      </c>
      <c r="D5673" s="5" t="str">
        <f t="shared" ref="D5673:D5674" si="1801">HYPERLINK("https://www.linkedin.com/ad-library/detail/1253580673","Open Ad")</f>
        <v>Open Ad</v>
      </c>
      <c r="E5673" s="4" t="s">
        <v>78</v>
      </c>
      <c r="F5673" s="4" t="s">
        <v>6765</v>
      </c>
      <c r="G5673" s="4" t="s">
        <v>7400</v>
      </c>
      <c r="H5673" s="4" t="s">
        <v>49</v>
      </c>
      <c r="I5673" s="4" t="s">
        <v>7325</v>
      </c>
      <c r="J5673" s="4" t="s">
        <v>78</v>
      </c>
      <c r="K5673" s="7" t="str">
        <f t="shared" ref="K5673:K5674" si="1802">HYPERLINK("https://media.licdn.com/dms/image/v2/D4E22AQFM_4gC4MtvzA/feedshare-shrink_1280/B4EZ27C7BFJMAM-/0/1776959599211?e=2147483647&amp;v=beta&amp;t=wqywHET7AlO8Ffg1oEj3PF0nGYpd6-0ZAS0WCHp0GMM","View Creative")</f>
        <v>View Creative</v>
      </c>
      <c r="L5673" s="4" t="s">
        <v>60</v>
      </c>
      <c r="M5673" s="4" t="s">
        <v>6304</v>
      </c>
      <c r="N5673" s="4" t="s">
        <v>7401</v>
      </c>
      <c r="O5673" s="4" t="s">
        <v>63</v>
      </c>
      <c r="P5673" s="4" t="s">
        <v>64</v>
      </c>
    </row>
    <row r="5674">
      <c r="A5674" s="4" t="s">
        <v>6304</v>
      </c>
      <c r="B5674" s="4" t="s">
        <v>7323</v>
      </c>
      <c r="C5674" s="4">
        <v>154.0</v>
      </c>
      <c r="D5674" s="5" t="str">
        <f t="shared" si="1801"/>
        <v>Open Ad</v>
      </c>
      <c r="E5674" s="4" t="s">
        <v>78</v>
      </c>
      <c r="F5674" s="4" t="s">
        <v>6765</v>
      </c>
      <c r="G5674" s="4" t="s">
        <v>7400</v>
      </c>
      <c r="H5674" s="4" t="s">
        <v>49</v>
      </c>
      <c r="I5674" s="4" t="s">
        <v>7325</v>
      </c>
      <c r="J5674" s="4" t="s">
        <v>78</v>
      </c>
      <c r="K5674" s="7" t="str">
        <f t="shared" si="1802"/>
        <v>View Creative</v>
      </c>
      <c r="L5674" s="4" t="s">
        <v>60</v>
      </c>
      <c r="M5674" s="4" t="s">
        <v>6304</v>
      </c>
      <c r="N5674" s="4" t="s">
        <v>7401</v>
      </c>
      <c r="O5674" s="4" t="s">
        <v>63</v>
      </c>
      <c r="P5674" s="4" t="s">
        <v>64</v>
      </c>
    </row>
    <row r="5675">
      <c r="A5675" s="4" t="s">
        <v>6304</v>
      </c>
      <c r="B5675" s="4" t="s">
        <v>7323</v>
      </c>
      <c r="C5675" s="4">
        <v>155.0</v>
      </c>
      <c r="D5675" s="5" t="str">
        <f t="shared" ref="D5675:D5676" si="1803">HYPERLINK("https://www.linkedin.com/ad-library/detail/1222892133","Open Ad")</f>
        <v>Open Ad</v>
      </c>
      <c r="E5675" s="4" t="s">
        <v>78</v>
      </c>
      <c r="F5675" s="4" t="s">
        <v>6765</v>
      </c>
      <c r="G5675" s="4" t="s">
        <v>7402</v>
      </c>
      <c r="H5675" s="4" t="s">
        <v>49</v>
      </c>
      <c r="I5675" s="4" t="s">
        <v>7325</v>
      </c>
      <c r="J5675" s="4" t="s">
        <v>78</v>
      </c>
      <c r="K5675" s="7" t="str">
        <f t="shared" ref="K5675:K5676" si="1804">HYPERLINK("https://media.licdn.com/dms/image/v2/D4D10AQFt0ohvKIDUsw/image-shrink_1280/B4DZ20tF6zHUAc-/0/1776853213347/4png?e=2147483647&amp;v=beta&amp;t=QiQbRllBMU5hiC3cZg1_HP-jVEYGwgFWETcZ4q2lef4","View Creative")</f>
        <v>View Creative</v>
      </c>
      <c r="L5675" s="4" t="s">
        <v>60</v>
      </c>
      <c r="M5675" s="4" t="s">
        <v>6304</v>
      </c>
      <c r="N5675" s="4" t="s">
        <v>7403</v>
      </c>
      <c r="O5675" s="4" t="s">
        <v>63</v>
      </c>
      <c r="P5675" s="4" t="s">
        <v>64</v>
      </c>
    </row>
    <row r="5676">
      <c r="A5676" s="4" t="s">
        <v>6304</v>
      </c>
      <c r="B5676" s="4" t="s">
        <v>7323</v>
      </c>
      <c r="C5676" s="4">
        <v>156.0</v>
      </c>
      <c r="D5676" s="5" t="str">
        <f t="shared" si="1803"/>
        <v>Open Ad</v>
      </c>
      <c r="E5676" s="4" t="s">
        <v>78</v>
      </c>
      <c r="F5676" s="4" t="s">
        <v>6765</v>
      </c>
      <c r="G5676" s="4" t="s">
        <v>7402</v>
      </c>
      <c r="H5676" s="4" t="s">
        <v>49</v>
      </c>
      <c r="I5676" s="4" t="s">
        <v>7325</v>
      </c>
      <c r="J5676" s="4" t="s">
        <v>78</v>
      </c>
      <c r="K5676" s="7" t="str">
        <f t="shared" si="1804"/>
        <v>View Creative</v>
      </c>
      <c r="L5676" s="4" t="s">
        <v>60</v>
      </c>
      <c r="M5676" s="4" t="s">
        <v>6304</v>
      </c>
      <c r="N5676" s="4" t="s">
        <v>7403</v>
      </c>
      <c r="O5676" s="4" t="s">
        <v>63</v>
      </c>
      <c r="P5676" s="4" t="s">
        <v>64</v>
      </c>
    </row>
    <row r="5677">
      <c r="A5677" s="4" t="s">
        <v>6304</v>
      </c>
      <c r="B5677" s="4" t="s">
        <v>7323</v>
      </c>
      <c r="C5677" s="4">
        <v>157.0</v>
      </c>
      <c r="D5677" s="5" t="str">
        <f t="shared" ref="D5677:D5678" si="1805">HYPERLINK("https://www.linkedin.com/ad-library/detail/1267828583","Open Ad")</f>
        <v>Open Ad</v>
      </c>
      <c r="E5677" s="4" t="s">
        <v>78</v>
      </c>
      <c r="F5677" s="4" t="s">
        <v>6765</v>
      </c>
      <c r="G5677" s="4" t="s">
        <v>7404</v>
      </c>
      <c r="H5677" s="4" t="s">
        <v>49</v>
      </c>
      <c r="I5677" s="4" t="s">
        <v>7325</v>
      </c>
      <c r="J5677" s="4" t="s">
        <v>78</v>
      </c>
      <c r="K5677" s="7" t="str">
        <f t="shared" ref="K5677:K5678" si="1806">HYPERLINK("https://media.licdn.com/dms/image/v2/D4D22AQEpPd3zrIcUvA/feedshare-shrink_1280/B4DZuOBLGhHwAs-/0/1767614231642?e=2147483647&amp;v=beta&amp;t=EhdyF1CtAC-GmZ2V62SjOTQxwOT9ysHWGe9yuqWZbNA","View Creative")</f>
        <v>View Creative</v>
      </c>
      <c r="L5677" s="4" t="s">
        <v>60</v>
      </c>
      <c r="M5677" s="4" t="s">
        <v>6304</v>
      </c>
      <c r="N5677" s="4" t="s">
        <v>7386</v>
      </c>
      <c r="O5677" s="4" t="s">
        <v>63</v>
      </c>
      <c r="P5677" s="4" t="s">
        <v>64</v>
      </c>
    </row>
    <row r="5678">
      <c r="A5678" s="4" t="s">
        <v>6304</v>
      </c>
      <c r="B5678" s="4" t="s">
        <v>7323</v>
      </c>
      <c r="C5678" s="4">
        <v>158.0</v>
      </c>
      <c r="D5678" s="5" t="str">
        <f t="shared" si="1805"/>
        <v>Open Ad</v>
      </c>
      <c r="E5678" s="4" t="s">
        <v>78</v>
      </c>
      <c r="F5678" s="4" t="s">
        <v>6765</v>
      </c>
      <c r="G5678" s="4" t="s">
        <v>7404</v>
      </c>
      <c r="H5678" s="4" t="s">
        <v>49</v>
      </c>
      <c r="I5678" s="4" t="s">
        <v>7325</v>
      </c>
      <c r="J5678" s="4" t="s">
        <v>78</v>
      </c>
      <c r="K5678" s="7" t="str">
        <f t="shared" si="1806"/>
        <v>View Creative</v>
      </c>
      <c r="L5678" s="4" t="s">
        <v>60</v>
      </c>
      <c r="M5678" s="4" t="s">
        <v>6304</v>
      </c>
      <c r="N5678" s="4" t="s">
        <v>7386</v>
      </c>
      <c r="O5678" s="4" t="s">
        <v>63</v>
      </c>
      <c r="P5678" s="4" t="s">
        <v>64</v>
      </c>
    </row>
    <row r="5679">
      <c r="A5679" s="4" t="s">
        <v>6304</v>
      </c>
      <c r="B5679" s="4" t="s">
        <v>7323</v>
      </c>
      <c r="C5679" s="4">
        <v>159.0</v>
      </c>
      <c r="D5679" s="5" t="str">
        <f t="shared" ref="D5679:D5680" si="1807">HYPERLINK("https://www.linkedin.com/ad-library/detail/1407741246","Open Ad")</f>
        <v>Open Ad</v>
      </c>
      <c r="E5679" s="4" t="s">
        <v>78</v>
      </c>
      <c r="F5679" s="4" t="s">
        <v>6765</v>
      </c>
      <c r="G5679" s="4" t="s">
        <v>7405</v>
      </c>
      <c r="H5679" s="4" t="s">
        <v>49</v>
      </c>
      <c r="I5679" s="4" t="s">
        <v>7325</v>
      </c>
      <c r="J5679" s="4" t="s">
        <v>78</v>
      </c>
      <c r="K5679" s="7" t="str">
        <f t="shared" ref="K5679:K5680" si="1808">HYPERLINK("https://media.licdn.com/dms/image/v2/D4D22AQHwWGB2vDIdOA/feedshare-image-high-res/B4DZ4BeC7lHgAU-/0/1778141115287?e=2147483647&amp;v=beta&amp;t=phBRuBI2vuis-p0zVsReIzARsnCvJUhErvf6gBZbHug","View Creative")</f>
        <v>View Creative</v>
      </c>
      <c r="L5679" s="4" t="s">
        <v>60</v>
      </c>
      <c r="M5679" s="4" t="s">
        <v>6304</v>
      </c>
      <c r="N5679" s="4" t="s">
        <v>7406</v>
      </c>
      <c r="O5679" s="4" t="s">
        <v>63</v>
      </c>
      <c r="P5679" s="4" t="s">
        <v>64</v>
      </c>
    </row>
    <row r="5680">
      <c r="A5680" s="4" t="s">
        <v>6304</v>
      </c>
      <c r="B5680" s="4" t="s">
        <v>7323</v>
      </c>
      <c r="C5680" s="4">
        <v>160.0</v>
      </c>
      <c r="D5680" s="5" t="str">
        <f t="shared" si="1807"/>
        <v>Open Ad</v>
      </c>
      <c r="E5680" s="4" t="s">
        <v>78</v>
      </c>
      <c r="F5680" s="4" t="s">
        <v>6765</v>
      </c>
      <c r="G5680" s="4" t="s">
        <v>7405</v>
      </c>
      <c r="H5680" s="4" t="s">
        <v>49</v>
      </c>
      <c r="I5680" s="4" t="s">
        <v>7325</v>
      </c>
      <c r="J5680" s="4" t="s">
        <v>78</v>
      </c>
      <c r="K5680" s="7" t="str">
        <f t="shared" si="1808"/>
        <v>View Creative</v>
      </c>
      <c r="L5680" s="4" t="s">
        <v>60</v>
      </c>
      <c r="M5680" s="4" t="s">
        <v>6304</v>
      </c>
      <c r="N5680" s="4" t="s">
        <v>7406</v>
      </c>
      <c r="O5680" s="4" t="s">
        <v>63</v>
      </c>
      <c r="P5680" s="4" t="s">
        <v>64</v>
      </c>
    </row>
    <row r="5681">
      <c r="A5681" s="4" t="s">
        <v>6304</v>
      </c>
      <c r="B5681" s="4" t="s">
        <v>7323</v>
      </c>
      <c r="C5681" s="4">
        <v>161.0</v>
      </c>
      <c r="D5681" s="5" t="str">
        <f t="shared" ref="D5681:D5682" si="1809">HYPERLINK("https://www.linkedin.com/ad-library/detail/1256285693","Open Ad")</f>
        <v>Open Ad</v>
      </c>
      <c r="E5681" s="4" t="s">
        <v>121</v>
      </c>
      <c r="F5681" s="4" t="s">
        <v>6765</v>
      </c>
      <c r="G5681" s="4" t="s">
        <v>7396</v>
      </c>
      <c r="H5681" s="4" t="s">
        <v>49</v>
      </c>
      <c r="I5681" s="4" t="s">
        <v>7325</v>
      </c>
      <c r="J5681" s="4" t="s">
        <v>121</v>
      </c>
      <c r="K5681" s="7" t="str">
        <f t="shared" ref="K5681:K5682" si="1810">HYPERLINK("https://dms.licdn.com/playlist/vid/v2/D4E05AQHq9QotIQttig/mp4-720p-30fp-crf28/B4EZ2uuoiTJkCI-/0/1776752956641?e=2147483647&amp;v=beta&amp;t=6C3WWVH2v1vVfSzN5_V2v4BUpsacRUnFK-h8NkP80YM","View Creative")</f>
        <v>View Creative</v>
      </c>
      <c r="L5681" s="4" t="s">
        <v>60</v>
      </c>
      <c r="M5681" s="4" t="s">
        <v>6304</v>
      </c>
      <c r="N5681" s="4" t="s">
        <v>7407</v>
      </c>
      <c r="O5681" s="4" t="s">
        <v>63</v>
      </c>
      <c r="P5681" s="4" t="s">
        <v>64</v>
      </c>
    </row>
    <row r="5682">
      <c r="A5682" s="4" t="s">
        <v>6304</v>
      </c>
      <c r="B5682" s="4" t="s">
        <v>7323</v>
      </c>
      <c r="C5682" s="4">
        <v>162.0</v>
      </c>
      <c r="D5682" s="5" t="str">
        <f t="shared" si="1809"/>
        <v>Open Ad</v>
      </c>
      <c r="E5682" s="4" t="s">
        <v>121</v>
      </c>
      <c r="F5682" s="4" t="s">
        <v>6765</v>
      </c>
      <c r="G5682" s="4" t="s">
        <v>7396</v>
      </c>
      <c r="H5682" s="4" t="s">
        <v>49</v>
      </c>
      <c r="I5682" s="4" t="s">
        <v>7325</v>
      </c>
      <c r="J5682" s="4" t="s">
        <v>121</v>
      </c>
      <c r="K5682" s="7" t="str">
        <f t="shared" si="1810"/>
        <v>View Creative</v>
      </c>
      <c r="L5682" s="4" t="s">
        <v>60</v>
      </c>
      <c r="M5682" s="4" t="s">
        <v>6304</v>
      </c>
      <c r="N5682" s="4" t="s">
        <v>7407</v>
      </c>
      <c r="O5682" s="4" t="s">
        <v>63</v>
      </c>
      <c r="P5682" s="4" t="s">
        <v>64</v>
      </c>
    </row>
    <row r="5683">
      <c r="A5683" s="4" t="s">
        <v>6304</v>
      </c>
      <c r="B5683" s="4" t="s">
        <v>7323</v>
      </c>
      <c r="C5683" s="4">
        <v>163.0</v>
      </c>
      <c r="D5683" s="5" t="str">
        <f t="shared" ref="D5683:D5684" si="1811">HYPERLINK("https://www.linkedin.com/ad-library/detail/1256085753","Open Ad")</f>
        <v>Open Ad</v>
      </c>
      <c r="E5683" s="4" t="s">
        <v>78</v>
      </c>
      <c r="F5683" s="4" t="s">
        <v>6765</v>
      </c>
      <c r="G5683" s="4" t="s">
        <v>7402</v>
      </c>
      <c r="H5683" s="4" t="s">
        <v>49</v>
      </c>
      <c r="I5683" s="4" t="s">
        <v>7325</v>
      </c>
      <c r="J5683" s="4" t="s">
        <v>78</v>
      </c>
      <c r="K5683" s="7" t="str">
        <f t="shared" ref="K5683:K5684" si="1812">HYPERLINK("https://media.licdn.com/dms/image/v2/D4D10AQFt0ohvKIDUsw/image-shrink_1280/B4DZ20tF6zHUAc-/0/1776853213347/4png?e=2147483647&amp;v=beta&amp;t=QiQbRllBMU5hiC3cZg1_HP-jVEYGwgFWETcZ4q2lef4","View Creative")</f>
        <v>View Creative</v>
      </c>
      <c r="L5683" s="4" t="s">
        <v>60</v>
      </c>
      <c r="M5683" s="4" t="s">
        <v>6304</v>
      </c>
      <c r="N5683" s="4" t="s">
        <v>7393</v>
      </c>
      <c r="O5683" s="4" t="s">
        <v>63</v>
      </c>
      <c r="P5683" s="4" t="s">
        <v>64</v>
      </c>
    </row>
    <row r="5684">
      <c r="A5684" s="4" t="s">
        <v>6304</v>
      </c>
      <c r="B5684" s="4" t="s">
        <v>7323</v>
      </c>
      <c r="C5684" s="4">
        <v>164.0</v>
      </c>
      <c r="D5684" s="5" t="str">
        <f t="shared" si="1811"/>
        <v>Open Ad</v>
      </c>
      <c r="E5684" s="4" t="s">
        <v>78</v>
      </c>
      <c r="F5684" s="4" t="s">
        <v>6765</v>
      </c>
      <c r="G5684" s="4" t="s">
        <v>7402</v>
      </c>
      <c r="H5684" s="4" t="s">
        <v>49</v>
      </c>
      <c r="I5684" s="4" t="s">
        <v>7325</v>
      </c>
      <c r="J5684" s="4" t="s">
        <v>78</v>
      </c>
      <c r="K5684" s="7" t="str">
        <f t="shared" si="1812"/>
        <v>View Creative</v>
      </c>
      <c r="L5684" s="4" t="s">
        <v>60</v>
      </c>
      <c r="M5684" s="4" t="s">
        <v>6304</v>
      </c>
      <c r="N5684" s="4" t="s">
        <v>7393</v>
      </c>
      <c r="O5684" s="4" t="s">
        <v>63</v>
      </c>
      <c r="P5684" s="4" t="s">
        <v>64</v>
      </c>
    </row>
    <row r="5685">
      <c r="A5685" s="4" t="s">
        <v>6304</v>
      </c>
      <c r="B5685" s="4" t="s">
        <v>7323</v>
      </c>
      <c r="C5685" s="4">
        <v>165.0</v>
      </c>
      <c r="D5685" s="5" t="str">
        <f t="shared" ref="D5685:D5686" si="1813">HYPERLINK("https://www.linkedin.com/ad-library/detail/1256785183","Open Ad")</f>
        <v>Open Ad</v>
      </c>
      <c r="E5685" s="4" t="s">
        <v>78</v>
      </c>
      <c r="F5685" s="4" t="s">
        <v>6765</v>
      </c>
      <c r="G5685" s="4" t="s">
        <v>7408</v>
      </c>
      <c r="H5685" s="4" t="s">
        <v>49</v>
      </c>
      <c r="I5685" s="4" t="s">
        <v>7325</v>
      </c>
      <c r="J5685" s="4" t="s">
        <v>78</v>
      </c>
      <c r="K5685" s="7" t="str">
        <f t="shared" ref="K5685:K5686" si="1814">HYPERLINK("https://media.licdn.com/dms/image/v2/D4D10AQGKomDvXYwzuw/image-shrink_1280/B4DZ20scxHI0Ag-/0/1776853044626/omripng?e=2147483647&amp;v=beta&amp;t=xXnmgkSdh8Iqkylj7bCIducYO4Fth9XE2UqExqncLFU","View Creative")</f>
        <v>View Creative</v>
      </c>
      <c r="L5685" s="4" t="s">
        <v>60</v>
      </c>
      <c r="M5685" s="4" t="s">
        <v>6304</v>
      </c>
      <c r="N5685" s="4" t="s">
        <v>7393</v>
      </c>
      <c r="O5685" s="4" t="s">
        <v>63</v>
      </c>
      <c r="P5685" s="4" t="s">
        <v>64</v>
      </c>
    </row>
    <row r="5686">
      <c r="A5686" s="4" t="s">
        <v>6304</v>
      </c>
      <c r="B5686" s="4" t="s">
        <v>7323</v>
      </c>
      <c r="C5686" s="4">
        <v>166.0</v>
      </c>
      <c r="D5686" s="5" t="str">
        <f t="shared" si="1813"/>
        <v>Open Ad</v>
      </c>
      <c r="E5686" s="4" t="s">
        <v>78</v>
      </c>
      <c r="F5686" s="4" t="s">
        <v>6765</v>
      </c>
      <c r="G5686" s="4" t="s">
        <v>7408</v>
      </c>
      <c r="H5686" s="4" t="s">
        <v>49</v>
      </c>
      <c r="I5686" s="4" t="s">
        <v>7325</v>
      </c>
      <c r="J5686" s="4" t="s">
        <v>78</v>
      </c>
      <c r="K5686" s="7" t="str">
        <f t="shared" si="1814"/>
        <v>View Creative</v>
      </c>
      <c r="L5686" s="4" t="s">
        <v>60</v>
      </c>
      <c r="M5686" s="4" t="s">
        <v>6304</v>
      </c>
      <c r="N5686" s="4" t="s">
        <v>7393</v>
      </c>
      <c r="O5686" s="4" t="s">
        <v>63</v>
      </c>
      <c r="P5686" s="4" t="s">
        <v>64</v>
      </c>
    </row>
    <row r="5687">
      <c r="A5687" s="4" t="s">
        <v>6304</v>
      </c>
      <c r="B5687" s="4" t="s">
        <v>7323</v>
      </c>
      <c r="C5687" s="4">
        <v>167.0</v>
      </c>
      <c r="D5687" s="5" t="str">
        <f t="shared" ref="D5687:D5688" si="1815">HYPERLINK("https://www.linkedin.com/ad-library/detail/1269813253","Open Ad")</f>
        <v>Open Ad</v>
      </c>
      <c r="E5687" s="4" t="s">
        <v>78</v>
      </c>
      <c r="F5687" s="4" t="s">
        <v>6765</v>
      </c>
      <c r="G5687" s="4" t="s">
        <v>7356</v>
      </c>
      <c r="H5687" s="4" t="s">
        <v>49</v>
      </c>
      <c r="I5687" s="4" t="s">
        <v>7325</v>
      </c>
      <c r="J5687" s="4" t="s">
        <v>78</v>
      </c>
      <c r="K5687" s="7" t="str">
        <f t="shared" ref="K5687:K5688" si="1816">HYPERLINK("https://media.licdn.com/dms/image/v2/D4D22AQG_pWDLBn11xg/feedshare-image-high-res/B4DZ5Ktvy7KAAY-/0/1779369967058?e=2147483647&amp;v=beta&amp;t=yoyITKReRXEAtjcuwqrsCi1t2CYI0VeP_TZzNmL4tEY","View Creative")</f>
        <v>View Creative</v>
      </c>
      <c r="L5687" s="4" t="s">
        <v>60</v>
      </c>
      <c r="M5687" s="4" t="s">
        <v>6304</v>
      </c>
      <c r="N5687" s="4" t="s">
        <v>7385</v>
      </c>
      <c r="O5687" s="4" t="s">
        <v>63</v>
      </c>
      <c r="P5687" s="4" t="s">
        <v>64</v>
      </c>
    </row>
    <row r="5688">
      <c r="A5688" s="4" t="s">
        <v>6304</v>
      </c>
      <c r="B5688" s="4" t="s">
        <v>7323</v>
      </c>
      <c r="C5688" s="4">
        <v>168.0</v>
      </c>
      <c r="D5688" s="5" t="str">
        <f t="shared" si="1815"/>
        <v>Open Ad</v>
      </c>
      <c r="E5688" s="4" t="s">
        <v>78</v>
      </c>
      <c r="F5688" s="4" t="s">
        <v>6765</v>
      </c>
      <c r="G5688" s="4" t="s">
        <v>7356</v>
      </c>
      <c r="H5688" s="4" t="s">
        <v>49</v>
      </c>
      <c r="I5688" s="4" t="s">
        <v>7325</v>
      </c>
      <c r="J5688" s="4" t="s">
        <v>78</v>
      </c>
      <c r="K5688" s="7" t="str">
        <f t="shared" si="1816"/>
        <v>View Creative</v>
      </c>
      <c r="L5688" s="4" t="s">
        <v>60</v>
      </c>
      <c r="M5688" s="4" t="s">
        <v>6304</v>
      </c>
      <c r="N5688" s="4" t="s">
        <v>7385</v>
      </c>
      <c r="O5688" s="4" t="s">
        <v>63</v>
      </c>
      <c r="P5688" s="4" t="s">
        <v>64</v>
      </c>
    </row>
    <row r="5689">
      <c r="A5689" s="4" t="s">
        <v>6304</v>
      </c>
      <c r="B5689" s="4" t="s">
        <v>7323</v>
      </c>
      <c r="C5689" s="4">
        <v>169.0</v>
      </c>
      <c r="D5689" s="5" t="str">
        <f t="shared" ref="D5689:D5690" si="1817">HYPERLINK("https://www.linkedin.com/ad-library/detail/1254685343","Open Ad")</f>
        <v>Open Ad</v>
      </c>
      <c r="E5689" s="4" t="s">
        <v>121</v>
      </c>
      <c r="F5689" s="4" t="s">
        <v>6765</v>
      </c>
      <c r="G5689" s="4" t="s">
        <v>7409</v>
      </c>
      <c r="H5689" s="4" t="s">
        <v>49</v>
      </c>
      <c r="I5689" s="4" t="s">
        <v>7325</v>
      </c>
      <c r="J5689" s="4" t="s">
        <v>121</v>
      </c>
      <c r="K5689" s="7" t="str">
        <f t="shared" ref="K5689:K5690" si="1818">HYPERLINK("https://dms.licdn.com/playlist/vid/v2/D4D05AQGC7ONIY1B0pg/mp4-720p-30fp-crf28/B4DZ1TQhrzIcCI-/0/1775218336238?e=2147483647&amp;v=beta&amp;t=7yo8Kzo3ibotOsP2u2OKXD9CiwBTbTB6g9Btk2l6F1Y","View Creative")</f>
        <v>View Creative</v>
      </c>
      <c r="L5689" s="4" t="s">
        <v>60</v>
      </c>
      <c r="M5689" s="4" t="s">
        <v>6304</v>
      </c>
      <c r="N5689" s="4" t="s">
        <v>7407</v>
      </c>
      <c r="O5689" s="4" t="s">
        <v>63</v>
      </c>
      <c r="P5689" s="4" t="s">
        <v>64</v>
      </c>
    </row>
    <row r="5690">
      <c r="A5690" s="4" t="s">
        <v>6304</v>
      </c>
      <c r="B5690" s="4" t="s">
        <v>7323</v>
      </c>
      <c r="C5690" s="4">
        <v>170.0</v>
      </c>
      <c r="D5690" s="5" t="str">
        <f t="shared" si="1817"/>
        <v>Open Ad</v>
      </c>
      <c r="E5690" s="4" t="s">
        <v>121</v>
      </c>
      <c r="F5690" s="4" t="s">
        <v>6765</v>
      </c>
      <c r="G5690" s="4" t="s">
        <v>7409</v>
      </c>
      <c r="H5690" s="4" t="s">
        <v>49</v>
      </c>
      <c r="I5690" s="4" t="s">
        <v>7325</v>
      </c>
      <c r="J5690" s="4" t="s">
        <v>121</v>
      </c>
      <c r="K5690" s="7" t="str">
        <f t="shared" si="1818"/>
        <v>View Creative</v>
      </c>
      <c r="L5690" s="4" t="s">
        <v>60</v>
      </c>
      <c r="M5690" s="4" t="s">
        <v>6304</v>
      </c>
      <c r="N5690" s="4" t="s">
        <v>7407</v>
      </c>
      <c r="O5690" s="4" t="s">
        <v>63</v>
      </c>
      <c r="P5690" s="4" t="s">
        <v>64</v>
      </c>
    </row>
    <row r="5691">
      <c r="A5691" s="4" t="s">
        <v>6304</v>
      </c>
      <c r="B5691" s="4" t="s">
        <v>7323</v>
      </c>
      <c r="C5691" s="4">
        <v>171.0</v>
      </c>
      <c r="D5691" s="5" t="str">
        <f t="shared" ref="D5691:D5692" si="1819">HYPERLINK("https://www.linkedin.com/ad-library/detail/1268928993","Open Ad")</f>
        <v>Open Ad</v>
      </c>
      <c r="E5691" s="4" t="s">
        <v>78</v>
      </c>
      <c r="F5691" s="4" t="s">
        <v>6765</v>
      </c>
      <c r="G5691" s="4" t="s">
        <v>7410</v>
      </c>
      <c r="H5691" s="4" t="s">
        <v>49</v>
      </c>
      <c r="I5691" s="4" t="s">
        <v>7325</v>
      </c>
      <c r="J5691" s="4" t="s">
        <v>78</v>
      </c>
      <c r="K5691" s="7" t="str">
        <f t="shared" ref="K5691:K5692" si="1820">HYPERLINK("https://media.licdn.com/dms/image/v2/D4D22AQHwa6jbGDOCVw/feedshare-shrink_1280/B4DZ47fzPsI0AM-/0/1779114653072?e=2147483647&amp;v=beta&amp;t=jpDFPtIM3H2agzbq42-Qs_o4SqBNYCG09rrefyKIsaE","View Creative")</f>
        <v>View Creative</v>
      </c>
      <c r="L5691" s="4" t="s">
        <v>60</v>
      </c>
      <c r="M5691" s="4" t="s">
        <v>6304</v>
      </c>
      <c r="N5691" s="4" t="s">
        <v>7385</v>
      </c>
      <c r="O5691" s="4" t="s">
        <v>63</v>
      </c>
      <c r="P5691" s="4" t="s">
        <v>64</v>
      </c>
    </row>
    <row r="5692">
      <c r="A5692" s="4" t="s">
        <v>6304</v>
      </c>
      <c r="B5692" s="4" t="s">
        <v>7323</v>
      </c>
      <c r="C5692" s="4">
        <v>172.0</v>
      </c>
      <c r="D5692" s="5" t="str">
        <f t="shared" si="1819"/>
        <v>Open Ad</v>
      </c>
      <c r="E5692" s="4" t="s">
        <v>78</v>
      </c>
      <c r="F5692" s="4" t="s">
        <v>6765</v>
      </c>
      <c r="G5692" s="4" t="s">
        <v>7410</v>
      </c>
      <c r="H5692" s="4" t="s">
        <v>49</v>
      </c>
      <c r="I5692" s="4" t="s">
        <v>7325</v>
      </c>
      <c r="J5692" s="4" t="s">
        <v>78</v>
      </c>
      <c r="K5692" s="7" t="str">
        <f t="shared" si="1820"/>
        <v>View Creative</v>
      </c>
      <c r="L5692" s="4" t="s">
        <v>60</v>
      </c>
      <c r="M5692" s="4" t="s">
        <v>6304</v>
      </c>
      <c r="N5692" s="4" t="s">
        <v>7385</v>
      </c>
      <c r="O5692" s="4" t="s">
        <v>63</v>
      </c>
      <c r="P5692" s="4" t="s">
        <v>64</v>
      </c>
    </row>
    <row r="5693">
      <c r="A5693" s="4" t="s">
        <v>6304</v>
      </c>
      <c r="B5693" s="4" t="s">
        <v>7323</v>
      </c>
      <c r="C5693" s="4">
        <v>173.0</v>
      </c>
      <c r="D5693" s="5" t="str">
        <f t="shared" ref="D5693:D5694" si="1821">HYPERLINK("https://www.linkedin.com/ad-library/detail/1258412693","Open Ad")</f>
        <v>Open Ad</v>
      </c>
      <c r="E5693" s="4" t="s">
        <v>78</v>
      </c>
      <c r="F5693" s="4" t="s">
        <v>6765</v>
      </c>
      <c r="G5693" s="4" t="s">
        <v>7411</v>
      </c>
      <c r="H5693" s="4" t="s">
        <v>7412</v>
      </c>
      <c r="I5693" s="4" t="s">
        <v>7325</v>
      </c>
      <c r="J5693" s="4" t="s">
        <v>78</v>
      </c>
      <c r="K5693" s="7" t="str">
        <f t="shared" ref="K5693:K5694" si="1822">HYPERLINK("https://media.licdn.com/dms/image/v2/D4D22AQGuTLnLFNW64Q/feedshare-shrink_1280/B4DZ4BQhGPG4AU-/0/1778137567887?e=2147483647&amp;v=beta&amp;t=EzILQKfheAIXPnnzEY4mni4GF2A8QudKmsrwqpLSweo","View Creative")</f>
        <v>View Creative</v>
      </c>
      <c r="L5693" s="4" t="s">
        <v>60</v>
      </c>
      <c r="M5693" s="4" t="s">
        <v>6304</v>
      </c>
      <c r="N5693" s="4" t="s">
        <v>7413</v>
      </c>
      <c r="O5693" s="4" t="s">
        <v>63</v>
      </c>
      <c r="P5693" s="4" t="s">
        <v>64</v>
      </c>
    </row>
    <row r="5694">
      <c r="A5694" s="4" t="s">
        <v>6304</v>
      </c>
      <c r="B5694" s="4" t="s">
        <v>7323</v>
      </c>
      <c r="C5694" s="4">
        <v>174.0</v>
      </c>
      <c r="D5694" s="5" t="str">
        <f t="shared" si="1821"/>
        <v>Open Ad</v>
      </c>
      <c r="E5694" s="4" t="s">
        <v>78</v>
      </c>
      <c r="F5694" s="4" t="s">
        <v>6765</v>
      </c>
      <c r="G5694" s="4" t="s">
        <v>7411</v>
      </c>
      <c r="H5694" s="4" t="s">
        <v>7412</v>
      </c>
      <c r="I5694" s="4" t="s">
        <v>7325</v>
      </c>
      <c r="J5694" s="4" t="s">
        <v>78</v>
      </c>
      <c r="K5694" s="7" t="str">
        <f t="shared" si="1822"/>
        <v>View Creative</v>
      </c>
      <c r="L5694" s="4" t="s">
        <v>60</v>
      </c>
      <c r="M5694" s="4" t="s">
        <v>6304</v>
      </c>
      <c r="N5694" s="4" t="s">
        <v>7413</v>
      </c>
      <c r="O5694" s="4" t="s">
        <v>63</v>
      </c>
      <c r="P5694" s="4" t="s">
        <v>64</v>
      </c>
    </row>
    <row r="5695">
      <c r="A5695" s="4" t="s">
        <v>6304</v>
      </c>
      <c r="B5695" s="4" t="s">
        <v>7323</v>
      </c>
      <c r="C5695" s="4">
        <v>175.0</v>
      </c>
      <c r="D5695" s="5" t="str">
        <f>HYPERLINK("https://www.linkedin.com/ad-library/detail/1254886653","Open Ad")</f>
        <v>Open Ad</v>
      </c>
      <c r="E5695" s="4" t="s">
        <v>52</v>
      </c>
      <c r="F5695" s="4" t="s">
        <v>6765</v>
      </c>
      <c r="G5695" s="4" t="s">
        <v>7414</v>
      </c>
      <c r="H5695" s="4" t="s">
        <v>49</v>
      </c>
      <c r="I5695" s="4" t="s">
        <v>7325</v>
      </c>
      <c r="J5695" s="4" t="s">
        <v>52</v>
      </c>
      <c r="K5695" s="4" t="s">
        <v>59</v>
      </c>
      <c r="L5695" s="4" t="s">
        <v>60</v>
      </c>
      <c r="M5695" s="4" t="s">
        <v>6304</v>
      </c>
      <c r="N5695" s="4" t="s">
        <v>7393</v>
      </c>
      <c r="O5695" s="4" t="s">
        <v>63</v>
      </c>
      <c r="P5695" s="4" t="s">
        <v>64</v>
      </c>
    </row>
    <row r="5696">
      <c r="A5696" s="4" t="s">
        <v>6304</v>
      </c>
      <c r="B5696" s="4" t="s">
        <v>7323</v>
      </c>
      <c r="C5696" s="4">
        <v>176.0</v>
      </c>
      <c r="D5696" s="5" t="str">
        <f t="shared" ref="D5696:D5697" si="1823">HYPERLINK("https://www.linkedin.com/ad-library/detail/1255585633","Open Ad")</f>
        <v>Open Ad</v>
      </c>
      <c r="E5696" s="4" t="s">
        <v>78</v>
      </c>
      <c r="F5696" s="4" t="s">
        <v>6765</v>
      </c>
      <c r="G5696" s="4" t="s">
        <v>7415</v>
      </c>
      <c r="H5696" s="4" t="s">
        <v>49</v>
      </c>
      <c r="I5696" s="4" t="s">
        <v>7325</v>
      </c>
      <c r="J5696" s="4" t="s">
        <v>78</v>
      </c>
      <c r="K5696" s="7" t="str">
        <f t="shared" ref="K5696:K5697" si="1824">HYPERLINK("https://media.licdn.com/dms/image/v2/D4E22AQGB2YPhKvW-2Q/feedshare-image-high-res/B4EZ2z8gWjKAAc-/0/1776840476399?e=2147483647&amp;v=beta&amp;t=MQgB6XN7ULeXy_8GtuNJ7lhhjdc6K09j6P5EjhKqGk8","View Creative")</f>
        <v>View Creative</v>
      </c>
      <c r="L5696" s="4" t="s">
        <v>60</v>
      </c>
      <c r="M5696" s="4" t="s">
        <v>6304</v>
      </c>
      <c r="N5696" s="4" t="s">
        <v>7393</v>
      </c>
      <c r="O5696" s="4" t="s">
        <v>63</v>
      </c>
      <c r="P5696" s="4" t="s">
        <v>64</v>
      </c>
    </row>
    <row r="5697">
      <c r="A5697" s="4" t="s">
        <v>6304</v>
      </c>
      <c r="B5697" s="4" t="s">
        <v>7323</v>
      </c>
      <c r="C5697" s="4">
        <v>177.0</v>
      </c>
      <c r="D5697" s="5" t="str">
        <f t="shared" si="1823"/>
        <v>Open Ad</v>
      </c>
      <c r="E5697" s="4" t="s">
        <v>78</v>
      </c>
      <c r="F5697" s="4" t="s">
        <v>6765</v>
      </c>
      <c r="G5697" s="4" t="s">
        <v>7415</v>
      </c>
      <c r="H5697" s="4" t="s">
        <v>49</v>
      </c>
      <c r="I5697" s="4" t="s">
        <v>7325</v>
      </c>
      <c r="J5697" s="4" t="s">
        <v>78</v>
      </c>
      <c r="K5697" s="7" t="str">
        <f t="shared" si="1824"/>
        <v>View Creative</v>
      </c>
      <c r="L5697" s="4" t="s">
        <v>60</v>
      </c>
      <c r="M5697" s="4" t="s">
        <v>6304</v>
      </c>
      <c r="N5697" s="4" t="s">
        <v>7393</v>
      </c>
      <c r="O5697" s="4" t="s">
        <v>63</v>
      </c>
      <c r="P5697" s="4" t="s">
        <v>64</v>
      </c>
    </row>
    <row r="5698">
      <c r="A5698" s="4" t="s">
        <v>6304</v>
      </c>
      <c r="B5698" s="4" t="s">
        <v>7323</v>
      </c>
      <c r="C5698" s="4">
        <v>178.0</v>
      </c>
      <c r="D5698" s="5" t="str">
        <f t="shared" ref="D5698:D5699" si="1825">HYPERLINK("https://www.linkedin.com/ad-library/detail/1255185513","Open Ad")</f>
        <v>Open Ad</v>
      </c>
      <c r="E5698" s="4" t="s">
        <v>121</v>
      </c>
      <c r="F5698" s="4" t="s">
        <v>6765</v>
      </c>
      <c r="G5698" s="4" t="s">
        <v>7394</v>
      </c>
      <c r="H5698" s="4" t="s">
        <v>49</v>
      </c>
      <c r="I5698" s="4" t="s">
        <v>7325</v>
      </c>
      <c r="J5698" s="4" t="s">
        <v>121</v>
      </c>
      <c r="K5698" s="7" t="str">
        <f t="shared" ref="K5698:K5699" si="1826">HYPERLINK("https://dms.licdn.com/playlist/vid/v2/D4E05AQEw_nFST6DJow/mp4-720p-30fp-crf28/B4EZ21ioTWJ4CA-/0/1776867251582?e=2147483647&amp;v=beta&amp;t=AOio-fdnkq1WP7c-u_UkolelzGUpTSckEDn_msUKP9Y","View Creative")</f>
        <v>View Creative</v>
      </c>
      <c r="L5698" s="4" t="s">
        <v>60</v>
      </c>
      <c r="M5698" s="4" t="s">
        <v>6304</v>
      </c>
      <c r="N5698" s="4" t="s">
        <v>7407</v>
      </c>
      <c r="O5698" s="4" t="s">
        <v>63</v>
      </c>
      <c r="P5698" s="4" t="s">
        <v>64</v>
      </c>
    </row>
    <row r="5699">
      <c r="A5699" s="4" t="s">
        <v>6304</v>
      </c>
      <c r="B5699" s="4" t="s">
        <v>7323</v>
      </c>
      <c r="C5699" s="4">
        <v>179.0</v>
      </c>
      <c r="D5699" s="5" t="str">
        <f t="shared" si="1825"/>
        <v>Open Ad</v>
      </c>
      <c r="E5699" s="4" t="s">
        <v>121</v>
      </c>
      <c r="F5699" s="4" t="s">
        <v>6765</v>
      </c>
      <c r="G5699" s="4" t="s">
        <v>7394</v>
      </c>
      <c r="H5699" s="4" t="s">
        <v>49</v>
      </c>
      <c r="I5699" s="4" t="s">
        <v>7325</v>
      </c>
      <c r="J5699" s="4" t="s">
        <v>121</v>
      </c>
      <c r="K5699" s="7" t="str">
        <f t="shared" si="1826"/>
        <v>View Creative</v>
      </c>
      <c r="L5699" s="4" t="s">
        <v>60</v>
      </c>
      <c r="M5699" s="4" t="s">
        <v>6304</v>
      </c>
      <c r="N5699" s="4" t="s">
        <v>7407</v>
      </c>
      <c r="O5699" s="4" t="s">
        <v>63</v>
      </c>
      <c r="P5699" s="4" t="s">
        <v>64</v>
      </c>
    </row>
    <row r="5700">
      <c r="A5700" s="4" t="s">
        <v>6304</v>
      </c>
      <c r="B5700" s="4" t="s">
        <v>7323</v>
      </c>
      <c r="C5700" s="4">
        <v>180.0</v>
      </c>
      <c r="D5700" s="5" t="str">
        <f t="shared" ref="D5700:D5701" si="1827">HYPERLINK("https://www.linkedin.com/ad-library/detail/1254585843","Open Ad")</f>
        <v>Open Ad</v>
      </c>
      <c r="E5700" s="4" t="s">
        <v>121</v>
      </c>
      <c r="F5700" s="4" t="s">
        <v>6765</v>
      </c>
      <c r="G5700" s="4" t="s">
        <v>7416</v>
      </c>
      <c r="H5700" s="4" t="s">
        <v>49</v>
      </c>
      <c r="I5700" s="4" t="s">
        <v>7325</v>
      </c>
      <c r="J5700" s="4" t="s">
        <v>121</v>
      </c>
      <c r="K5700" s="7" t="str">
        <f t="shared" ref="K5700:K5701" si="1828">HYPERLINK("https://dms.licdn.com/playlist/vid/v2/D4D10AQGGR_EKKXoJIw/progressive-servable-video/B4DZrOzLcnH0Ac-/0/1764406115038/ad2?e=2147483647&amp;v=beta&amp;t=e5zGgFVVwCJWmoIRx_lJJUCqKL1kGbq4PlvBd2QJUDU","View Creative")</f>
        <v>View Creative</v>
      </c>
      <c r="L5700" s="4" t="s">
        <v>60</v>
      </c>
      <c r="M5700" s="4" t="s">
        <v>6304</v>
      </c>
      <c r="N5700" s="4" t="s">
        <v>7399</v>
      </c>
      <c r="O5700" s="4" t="s">
        <v>63</v>
      </c>
      <c r="P5700" s="4" t="s">
        <v>64</v>
      </c>
    </row>
    <row r="5701">
      <c r="A5701" s="4" t="s">
        <v>6304</v>
      </c>
      <c r="B5701" s="4" t="s">
        <v>7323</v>
      </c>
      <c r="C5701" s="4">
        <v>181.0</v>
      </c>
      <c r="D5701" s="5" t="str">
        <f t="shared" si="1827"/>
        <v>Open Ad</v>
      </c>
      <c r="E5701" s="4" t="s">
        <v>121</v>
      </c>
      <c r="F5701" s="4" t="s">
        <v>6765</v>
      </c>
      <c r="G5701" s="4" t="s">
        <v>7416</v>
      </c>
      <c r="H5701" s="4" t="s">
        <v>49</v>
      </c>
      <c r="I5701" s="4" t="s">
        <v>7325</v>
      </c>
      <c r="J5701" s="4" t="s">
        <v>121</v>
      </c>
      <c r="K5701" s="7" t="str">
        <f t="shared" si="1828"/>
        <v>View Creative</v>
      </c>
      <c r="L5701" s="4" t="s">
        <v>60</v>
      </c>
      <c r="M5701" s="4" t="s">
        <v>6304</v>
      </c>
      <c r="N5701" s="4" t="s">
        <v>7399</v>
      </c>
      <c r="O5701" s="4" t="s">
        <v>63</v>
      </c>
      <c r="P5701" s="4" t="s">
        <v>64</v>
      </c>
    </row>
    <row r="5702">
      <c r="A5702" s="4" t="s">
        <v>6304</v>
      </c>
      <c r="B5702" s="4" t="s">
        <v>7323</v>
      </c>
      <c r="C5702" s="4">
        <v>182.0</v>
      </c>
      <c r="D5702" s="5" t="str">
        <f t="shared" ref="D5702:D5703" si="1829">HYPERLINK("https://www.linkedin.com/ad-library/detail/1254585833","Open Ad")</f>
        <v>Open Ad</v>
      </c>
      <c r="E5702" s="4" t="s">
        <v>121</v>
      </c>
      <c r="F5702" s="4" t="s">
        <v>6765</v>
      </c>
      <c r="G5702" s="4" t="s">
        <v>7394</v>
      </c>
      <c r="H5702" s="4" t="s">
        <v>49</v>
      </c>
      <c r="I5702" s="4" t="s">
        <v>7325</v>
      </c>
      <c r="J5702" s="4" t="s">
        <v>121</v>
      </c>
      <c r="K5702" s="7" t="str">
        <f t="shared" ref="K5702:K5703" si="1830">HYPERLINK("https://dms.licdn.com/playlist/vid/v2/D4E05AQEw_nFST6DJow/mp4-720p-30fp-crf28/B4EZ21ioTWJ4CA-/0/1776867251582?e=2147483647&amp;v=beta&amp;t=AOio-fdnkq1WP7c-u_UkolelzGUpTSckEDn_msUKP9Y","View Creative")</f>
        <v>View Creative</v>
      </c>
      <c r="L5702" s="4" t="s">
        <v>60</v>
      </c>
      <c r="M5702" s="4" t="s">
        <v>6304</v>
      </c>
      <c r="N5702" s="4" t="s">
        <v>7399</v>
      </c>
      <c r="O5702" s="4" t="s">
        <v>63</v>
      </c>
      <c r="P5702" s="4" t="s">
        <v>64</v>
      </c>
    </row>
    <row r="5703">
      <c r="A5703" s="4" t="s">
        <v>6304</v>
      </c>
      <c r="B5703" s="4" t="s">
        <v>7323</v>
      </c>
      <c r="C5703" s="4">
        <v>183.0</v>
      </c>
      <c r="D5703" s="5" t="str">
        <f t="shared" si="1829"/>
        <v>Open Ad</v>
      </c>
      <c r="E5703" s="4" t="s">
        <v>121</v>
      </c>
      <c r="F5703" s="4" t="s">
        <v>6765</v>
      </c>
      <c r="G5703" s="4" t="s">
        <v>7394</v>
      </c>
      <c r="H5703" s="4" t="s">
        <v>49</v>
      </c>
      <c r="I5703" s="4" t="s">
        <v>7325</v>
      </c>
      <c r="J5703" s="4" t="s">
        <v>121</v>
      </c>
      <c r="K5703" s="7" t="str">
        <f t="shared" si="1830"/>
        <v>View Creative</v>
      </c>
      <c r="L5703" s="4" t="s">
        <v>60</v>
      </c>
      <c r="M5703" s="4" t="s">
        <v>6304</v>
      </c>
      <c r="N5703" s="4" t="s">
        <v>7399</v>
      </c>
      <c r="O5703" s="4" t="s">
        <v>63</v>
      </c>
      <c r="P5703" s="4" t="s">
        <v>64</v>
      </c>
    </row>
    <row r="5704">
      <c r="A5704" s="4" t="s">
        <v>6304</v>
      </c>
      <c r="B5704" s="4" t="s">
        <v>7323</v>
      </c>
      <c r="C5704" s="4">
        <v>184.0</v>
      </c>
      <c r="D5704" s="5" t="str">
        <f t="shared" ref="D5704:D5705" si="1831">HYPERLINK("https://www.linkedin.com/ad-library/detail/1254485473","Open Ad")</f>
        <v>Open Ad</v>
      </c>
      <c r="E5704" s="4" t="s">
        <v>78</v>
      </c>
      <c r="F5704" s="4" t="s">
        <v>6765</v>
      </c>
      <c r="G5704" s="4" t="s">
        <v>7404</v>
      </c>
      <c r="H5704" s="4" t="s">
        <v>49</v>
      </c>
      <c r="I5704" s="4" t="s">
        <v>7325</v>
      </c>
      <c r="J5704" s="4" t="s">
        <v>78</v>
      </c>
      <c r="K5704" s="7" t="str">
        <f t="shared" ref="K5704:K5705" si="1832">HYPERLINK("https://media.licdn.com/dms/image/v2/D4D22AQEpPd3zrIcUvA/feedshare-shrink_1280/B4DZuOBLGhHwAs-/0/1767614231642?e=2147483647&amp;v=beta&amp;t=EhdyF1CtAC-GmZ2V62SjOTQxwOT9ysHWGe9yuqWZbNA","View Creative")</f>
        <v>View Creative</v>
      </c>
      <c r="L5704" s="4" t="s">
        <v>60</v>
      </c>
      <c r="M5704" s="4" t="s">
        <v>6304</v>
      </c>
      <c r="N5704" s="4" t="s">
        <v>7393</v>
      </c>
      <c r="O5704" s="4" t="s">
        <v>63</v>
      </c>
      <c r="P5704" s="4" t="s">
        <v>64</v>
      </c>
    </row>
    <row r="5705">
      <c r="A5705" s="4" t="s">
        <v>6304</v>
      </c>
      <c r="B5705" s="4" t="s">
        <v>7323</v>
      </c>
      <c r="C5705" s="4">
        <v>185.0</v>
      </c>
      <c r="D5705" s="5" t="str">
        <f t="shared" si="1831"/>
        <v>Open Ad</v>
      </c>
      <c r="E5705" s="4" t="s">
        <v>78</v>
      </c>
      <c r="F5705" s="4" t="s">
        <v>6765</v>
      </c>
      <c r="G5705" s="4" t="s">
        <v>7404</v>
      </c>
      <c r="H5705" s="4" t="s">
        <v>49</v>
      </c>
      <c r="I5705" s="4" t="s">
        <v>7325</v>
      </c>
      <c r="J5705" s="4" t="s">
        <v>78</v>
      </c>
      <c r="K5705" s="7" t="str">
        <f t="shared" si="1832"/>
        <v>View Creative</v>
      </c>
      <c r="L5705" s="4" t="s">
        <v>60</v>
      </c>
      <c r="M5705" s="4" t="s">
        <v>6304</v>
      </c>
      <c r="N5705" s="4" t="s">
        <v>7393</v>
      </c>
      <c r="O5705" s="4" t="s">
        <v>63</v>
      </c>
      <c r="P5705" s="4" t="s">
        <v>64</v>
      </c>
    </row>
    <row r="5706">
      <c r="A5706" s="4" t="s">
        <v>6304</v>
      </c>
      <c r="B5706" s="4" t="s">
        <v>7323</v>
      </c>
      <c r="C5706" s="4">
        <v>186.0</v>
      </c>
      <c r="D5706" s="5" t="str">
        <f t="shared" ref="D5706:D5707" si="1833">HYPERLINK("https://www.linkedin.com/ad-library/detail/1255286263","Open Ad")</f>
        <v>Open Ad</v>
      </c>
      <c r="E5706" s="4" t="s">
        <v>78</v>
      </c>
      <c r="F5706" s="4" t="s">
        <v>6765</v>
      </c>
      <c r="G5706" s="4" t="s">
        <v>7417</v>
      </c>
      <c r="H5706" s="4" t="s">
        <v>49</v>
      </c>
      <c r="I5706" s="4" t="s">
        <v>7325</v>
      </c>
      <c r="J5706" s="4" t="s">
        <v>78</v>
      </c>
      <c r="K5706" s="7" t="str">
        <f t="shared" ref="K5706:K5707" si="1834">HYPERLINK("https://media.licdn.com/dms/image/v2/D4D10AQGQIJq-FhRa0Q/image-shrink_1280/B4DZ0Ql3MbH4Ac-/0/1774099854350/2png?e=2147483647&amp;v=beta&amp;t=y1v-SxIxcwPrXsKf7HVvVNTO_-psFrVBwCn6chrjqNo","View Creative")</f>
        <v>View Creative</v>
      </c>
      <c r="L5706" s="4" t="s">
        <v>60</v>
      </c>
      <c r="M5706" s="4" t="s">
        <v>6304</v>
      </c>
      <c r="N5706" s="4" t="s">
        <v>7418</v>
      </c>
      <c r="O5706" s="4" t="s">
        <v>63</v>
      </c>
      <c r="P5706" s="4" t="s">
        <v>64</v>
      </c>
    </row>
    <row r="5707">
      <c r="A5707" s="4" t="s">
        <v>6304</v>
      </c>
      <c r="B5707" s="4" t="s">
        <v>7323</v>
      </c>
      <c r="C5707" s="4">
        <v>187.0</v>
      </c>
      <c r="D5707" s="5" t="str">
        <f t="shared" si="1833"/>
        <v>Open Ad</v>
      </c>
      <c r="E5707" s="4" t="s">
        <v>78</v>
      </c>
      <c r="F5707" s="4" t="s">
        <v>6765</v>
      </c>
      <c r="G5707" s="4" t="s">
        <v>7417</v>
      </c>
      <c r="H5707" s="4" t="s">
        <v>49</v>
      </c>
      <c r="I5707" s="4" t="s">
        <v>7325</v>
      </c>
      <c r="J5707" s="4" t="s">
        <v>78</v>
      </c>
      <c r="K5707" s="7" t="str">
        <f t="shared" si="1834"/>
        <v>View Creative</v>
      </c>
      <c r="L5707" s="4" t="s">
        <v>60</v>
      </c>
      <c r="M5707" s="4" t="s">
        <v>6304</v>
      </c>
      <c r="N5707" s="4" t="s">
        <v>7418</v>
      </c>
      <c r="O5707" s="4" t="s">
        <v>63</v>
      </c>
      <c r="P5707" s="4" t="s">
        <v>64</v>
      </c>
    </row>
    <row r="5708">
      <c r="A5708" s="4" t="s">
        <v>6304</v>
      </c>
      <c r="B5708" s="4" t="s">
        <v>7323</v>
      </c>
      <c r="C5708" s="4">
        <v>188.0</v>
      </c>
      <c r="D5708" s="5" t="str">
        <f t="shared" ref="D5708:D5709" si="1835">HYPERLINK("https://www.linkedin.com/ad-library/detail/1256185833","Open Ad")</f>
        <v>Open Ad</v>
      </c>
      <c r="E5708" s="4" t="s">
        <v>121</v>
      </c>
      <c r="F5708" s="4" t="s">
        <v>6765</v>
      </c>
      <c r="G5708" s="4" t="s">
        <v>7419</v>
      </c>
      <c r="H5708" s="4" t="s">
        <v>49</v>
      </c>
      <c r="I5708" s="4" t="s">
        <v>7325</v>
      </c>
      <c r="J5708" s="4" t="s">
        <v>121</v>
      </c>
      <c r="K5708" s="7" t="str">
        <f t="shared" ref="K5708:K5709" si="1836">HYPERLINK("https://dms.licdn.com/playlist/vid/v2/D4D05AQFrnc3u005ENg/mp4-720p-30fp-crf28/B4DZy39N5mKYCI-/0/1772612817597?e=2147483647&amp;v=beta&amp;t=ryqo2TnU-GlIyXKa8sDz0iQ0c6JZ5FVXMd-iUFCZ0XE","View Creative")</f>
        <v>View Creative</v>
      </c>
      <c r="L5708" s="4" t="s">
        <v>60</v>
      </c>
      <c r="M5708" s="4" t="s">
        <v>6304</v>
      </c>
      <c r="N5708" s="4" t="s">
        <v>7399</v>
      </c>
      <c r="O5708" s="4" t="s">
        <v>63</v>
      </c>
      <c r="P5708" s="4" t="s">
        <v>64</v>
      </c>
    </row>
    <row r="5709">
      <c r="A5709" s="4" t="s">
        <v>6304</v>
      </c>
      <c r="B5709" s="4" t="s">
        <v>7323</v>
      </c>
      <c r="C5709" s="4">
        <v>189.0</v>
      </c>
      <c r="D5709" s="5" t="str">
        <f t="shared" si="1835"/>
        <v>Open Ad</v>
      </c>
      <c r="E5709" s="4" t="s">
        <v>121</v>
      </c>
      <c r="F5709" s="4" t="s">
        <v>6765</v>
      </c>
      <c r="G5709" s="4" t="s">
        <v>7419</v>
      </c>
      <c r="H5709" s="4" t="s">
        <v>49</v>
      </c>
      <c r="I5709" s="4" t="s">
        <v>7325</v>
      </c>
      <c r="J5709" s="4" t="s">
        <v>121</v>
      </c>
      <c r="K5709" s="7" t="str">
        <f t="shared" si="1836"/>
        <v>View Creative</v>
      </c>
      <c r="L5709" s="4" t="s">
        <v>60</v>
      </c>
      <c r="M5709" s="4" t="s">
        <v>6304</v>
      </c>
      <c r="N5709" s="4" t="s">
        <v>7399</v>
      </c>
      <c r="O5709" s="4" t="s">
        <v>63</v>
      </c>
      <c r="P5709" s="4" t="s">
        <v>64</v>
      </c>
    </row>
    <row r="5710">
      <c r="A5710" s="4" t="s">
        <v>6304</v>
      </c>
      <c r="B5710" s="4" t="s">
        <v>7323</v>
      </c>
      <c r="C5710" s="4">
        <v>190.0</v>
      </c>
      <c r="D5710" s="5" t="str">
        <f t="shared" ref="D5710:D5711" si="1837">HYPERLINK("https://www.linkedin.com/ad-library/detail/1255085343","Open Ad")</f>
        <v>Open Ad</v>
      </c>
      <c r="E5710" s="4" t="s">
        <v>121</v>
      </c>
      <c r="F5710" s="4" t="s">
        <v>6765</v>
      </c>
      <c r="G5710" s="4" t="s">
        <v>7416</v>
      </c>
      <c r="H5710" s="4" t="s">
        <v>49</v>
      </c>
      <c r="I5710" s="4" t="s">
        <v>7325</v>
      </c>
      <c r="J5710" s="4" t="s">
        <v>121</v>
      </c>
      <c r="K5710" s="7" t="str">
        <f t="shared" ref="K5710:K5711" si="1838">HYPERLINK("https://dms.licdn.com/playlist/vid/v2/D4D10AQGGR_EKKXoJIw/progressive-servable-video/B4DZrOzLcnH0Ac-/0/1764406115038/ad2?e=2147483647&amp;v=beta&amp;t=e5zGgFVVwCJWmoIRx_lJJUCqKL1kGbq4PlvBd2QJUDU","View Creative")</f>
        <v>View Creative</v>
      </c>
      <c r="L5710" s="4" t="s">
        <v>60</v>
      </c>
      <c r="M5710" s="4" t="s">
        <v>6304</v>
      </c>
      <c r="N5710" s="4" t="s">
        <v>7407</v>
      </c>
      <c r="O5710" s="4" t="s">
        <v>63</v>
      </c>
      <c r="P5710" s="4" t="s">
        <v>64</v>
      </c>
    </row>
    <row r="5711">
      <c r="A5711" s="4" t="s">
        <v>6304</v>
      </c>
      <c r="B5711" s="4" t="s">
        <v>7323</v>
      </c>
      <c r="C5711" s="4">
        <v>191.0</v>
      </c>
      <c r="D5711" s="5" t="str">
        <f t="shared" si="1837"/>
        <v>Open Ad</v>
      </c>
      <c r="E5711" s="4" t="s">
        <v>121</v>
      </c>
      <c r="F5711" s="4" t="s">
        <v>6765</v>
      </c>
      <c r="G5711" s="4" t="s">
        <v>7416</v>
      </c>
      <c r="H5711" s="4" t="s">
        <v>49</v>
      </c>
      <c r="I5711" s="4" t="s">
        <v>7325</v>
      </c>
      <c r="J5711" s="4" t="s">
        <v>121</v>
      </c>
      <c r="K5711" s="7" t="str">
        <f t="shared" si="1838"/>
        <v>View Creative</v>
      </c>
      <c r="L5711" s="4" t="s">
        <v>60</v>
      </c>
      <c r="M5711" s="4" t="s">
        <v>6304</v>
      </c>
      <c r="N5711" s="4" t="s">
        <v>7407</v>
      </c>
      <c r="O5711" s="4" t="s">
        <v>63</v>
      </c>
      <c r="P5711" s="4" t="s">
        <v>64</v>
      </c>
    </row>
    <row r="5712">
      <c r="A5712" s="4" t="s">
        <v>6304</v>
      </c>
      <c r="B5712" s="4" t="s">
        <v>7323</v>
      </c>
      <c r="C5712" s="4">
        <v>192.0</v>
      </c>
      <c r="D5712" s="5" t="str">
        <f t="shared" ref="D5712:D5713" si="1839">HYPERLINK("https://www.linkedin.com/ad-library/detail/1193873683","Open Ad")</f>
        <v>Open Ad</v>
      </c>
      <c r="E5712" s="4" t="s">
        <v>78</v>
      </c>
      <c r="F5712" s="4" t="s">
        <v>6765</v>
      </c>
      <c r="G5712" s="4" t="s">
        <v>7420</v>
      </c>
      <c r="H5712" s="4" t="s">
        <v>49</v>
      </c>
      <c r="I5712" s="4" t="s">
        <v>7325</v>
      </c>
      <c r="J5712" s="4" t="s">
        <v>78</v>
      </c>
      <c r="K5712" s="7" t="str">
        <f t="shared" ref="K5712:K5713" si="1840">HYPERLINK("https://media.licdn.com/dms/image/v2/D4D10AQGxjU8jFYcROw/image-shrink_1280/B4DZ0QlZ4FIwAc-/0/1774099734253/linkedinadpng?e=2147483647&amp;v=beta&amp;t=EIn2lTVhux0FPhFk7GGcZFPytX578mYpqSrnNAEdyxg","View Creative")</f>
        <v>View Creative</v>
      </c>
      <c r="L5712" s="4" t="s">
        <v>60</v>
      </c>
      <c r="M5712" s="4" t="s">
        <v>6304</v>
      </c>
      <c r="N5712" s="4" t="s">
        <v>7421</v>
      </c>
      <c r="O5712" s="4" t="s">
        <v>63</v>
      </c>
      <c r="P5712" s="4" t="s">
        <v>64</v>
      </c>
    </row>
    <row r="5713">
      <c r="A5713" s="4" t="s">
        <v>6304</v>
      </c>
      <c r="B5713" s="4" t="s">
        <v>7323</v>
      </c>
      <c r="C5713" s="4">
        <v>193.0</v>
      </c>
      <c r="D5713" s="5" t="str">
        <f t="shared" si="1839"/>
        <v>Open Ad</v>
      </c>
      <c r="E5713" s="4" t="s">
        <v>78</v>
      </c>
      <c r="F5713" s="4" t="s">
        <v>6765</v>
      </c>
      <c r="G5713" s="4" t="s">
        <v>7420</v>
      </c>
      <c r="H5713" s="4" t="s">
        <v>49</v>
      </c>
      <c r="I5713" s="4" t="s">
        <v>7325</v>
      </c>
      <c r="J5713" s="4" t="s">
        <v>78</v>
      </c>
      <c r="K5713" s="7" t="str">
        <f t="shared" si="1840"/>
        <v>View Creative</v>
      </c>
      <c r="L5713" s="4" t="s">
        <v>60</v>
      </c>
      <c r="M5713" s="4" t="s">
        <v>6304</v>
      </c>
      <c r="N5713" s="4" t="s">
        <v>7421</v>
      </c>
      <c r="O5713" s="4" t="s">
        <v>63</v>
      </c>
      <c r="P5713" s="4" t="s">
        <v>64</v>
      </c>
    </row>
    <row r="5714">
      <c r="A5714" s="4" t="s">
        <v>6304</v>
      </c>
      <c r="B5714" s="4" t="s">
        <v>7323</v>
      </c>
      <c r="C5714" s="4">
        <v>194.0</v>
      </c>
      <c r="D5714" s="5" t="str">
        <f t="shared" ref="D5714:D5715" si="1841">HYPERLINK("https://www.linkedin.com/ad-library/detail/1220803703","Open Ad")</f>
        <v>Open Ad</v>
      </c>
      <c r="E5714" s="4" t="s">
        <v>78</v>
      </c>
      <c r="F5714" s="4" t="s">
        <v>6765</v>
      </c>
      <c r="G5714" s="4" t="s">
        <v>7402</v>
      </c>
      <c r="H5714" s="4" t="s">
        <v>49</v>
      </c>
      <c r="I5714" s="4" t="s">
        <v>7325</v>
      </c>
      <c r="J5714" s="4" t="s">
        <v>78</v>
      </c>
      <c r="K5714" s="7" t="str">
        <f t="shared" ref="K5714:K5715" si="1842">HYPERLINK("https://media.licdn.com/dms/image/v2/D4D10AQFt0ohvKIDUsw/image-shrink_1280/B4DZ20tF6zHUAc-/0/1776853213347/4png?e=2147483647&amp;v=beta&amp;t=QiQbRllBMU5hiC3cZg1_HP-jVEYGwgFWETcZ4q2lef4","View Creative")</f>
        <v>View Creative</v>
      </c>
      <c r="L5714" s="4" t="s">
        <v>60</v>
      </c>
      <c r="M5714" s="4" t="s">
        <v>6304</v>
      </c>
      <c r="N5714" s="4" t="s">
        <v>7422</v>
      </c>
      <c r="O5714" s="4" t="s">
        <v>63</v>
      </c>
      <c r="P5714" s="4" t="s">
        <v>64</v>
      </c>
    </row>
    <row r="5715">
      <c r="A5715" s="4" t="s">
        <v>6304</v>
      </c>
      <c r="B5715" s="4" t="s">
        <v>7323</v>
      </c>
      <c r="C5715" s="4">
        <v>195.0</v>
      </c>
      <c r="D5715" s="5" t="str">
        <f t="shared" si="1841"/>
        <v>Open Ad</v>
      </c>
      <c r="E5715" s="4" t="s">
        <v>78</v>
      </c>
      <c r="F5715" s="4" t="s">
        <v>6765</v>
      </c>
      <c r="G5715" s="4" t="s">
        <v>7402</v>
      </c>
      <c r="H5715" s="4" t="s">
        <v>49</v>
      </c>
      <c r="I5715" s="4" t="s">
        <v>7325</v>
      </c>
      <c r="J5715" s="4" t="s">
        <v>78</v>
      </c>
      <c r="K5715" s="7" t="str">
        <f t="shared" si="1842"/>
        <v>View Creative</v>
      </c>
      <c r="L5715" s="4" t="s">
        <v>60</v>
      </c>
      <c r="M5715" s="4" t="s">
        <v>6304</v>
      </c>
      <c r="N5715" s="4" t="s">
        <v>7422</v>
      </c>
      <c r="O5715" s="4" t="s">
        <v>63</v>
      </c>
      <c r="P5715" s="4" t="s">
        <v>64</v>
      </c>
    </row>
    <row r="5716">
      <c r="A5716" s="4" t="s">
        <v>6304</v>
      </c>
      <c r="B5716" s="4" t="s">
        <v>7323</v>
      </c>
      <c r="C5716" s="4">
        <v>196.0</v>
      </c>
      <c r="D5716" s="5" t="str">
        <f t="shared" ref="D5716:D5717" si="1843">HYPERLINK("https://www.linkedin.com/ad-library/detail/1222694033","Open Ad")</f>
        <v>Open Ad</v>
      </c>
      <c r="E5716" s="4" t="s">
        <v>78</v>
      </c>
      <c r="F5716" s="4" t="s">
        <v>6765</v>
      </c>
      <c r="G5716" s="4" t="s">
        <v>7392</v>
      </c>
      <c r="H5716" s="4" t="s">
        <v>49</v>
      </c>
      <c r="I5716" s="4" t="s">
        <v>7325</v>
      </c>
      <c r="J5716" s="4" t="s">
        <v>78</v>
      </c>
      <c r="K5716" s="7" t="str">
        <f t="shared" ref="K5716:K5717" si="1844">HYPERLINK("https://media.licdn.com/dms/image/v2/D4D10AQGQIJq-FhRa0Q/image-shrink_1280/B4DZ0Ql3MbH4Ac-/0/1774099854350/2png?e=2147483647&amp;v=beta&amp;t=y1v-SxIxcwPrXsKf7HVvVNTO_-psFrVBwCn6chrjqNo","View Creative")</f>
        <v>View Creative</v>
      </c>
      <c r="L5716" s="4" t="s">
        <v>60</v>
      </c>
      <c r="M5716" s="4" t="s">
        <v>6304</v>
      </c>
      <c r="N5716" s="4" t="s">
        <v>7422</v>
      </c>
      <c r="O5716" s="4" t="s">
        <v>63</v>
      </c>
      <c r="P5716" s="4" t="s">
        <v>64</v>
      </c>
    </row>
    <row r="5717">
      <c r="A5717" s="4" t="s">
        <v>6304</v>
      </c>
      <c r="B5717" s="4" t="s">
        <v>7323</v>
      </c>
      <c r="C5717" s="4">
        <v>197.0</v>
      </c>
      <c r="D5717" s="5" t="str">
        <f t="shared" si="1843"/>
        <v>Open Ad</v>
      </c>
      <c r="E5717" s="4" t="s">
        <v>78</v>
      </c>
      <c r="F5717" s="4" t="s">
        <v>6765</v>
      </c>
      <c r="G5717" s="4" t="s">
        <v>7392</v>
      </c>
      <c r="H5717" s="4" t="s">
        <v>49</v>
      </c>
      <c r="I5717" s="4" t="s">
        <v>7325</v>
      </c>
      <c r="J5717" s="4" t="s">
        <v>78</v>
      </c>
      <c r="K5717" s="7" t="str">
        <f t="shared" si="1844"/>
        <v>View Creative</v>
      </c>
      <c r="L5717" s="4" t="s">
        <v>60</v>
      </c>
      <c r="M5717" s="4" t="s">
        <v>6304</v>
      </c>
      <c r="N5717" s="4" t="s">
        <v>7422</v>
      </c>
      <c r="O5717" s="4" t="s">
        <v>63</v>
      </c>
      <c r="P5717" s="4" t="s">
        <v>64</v>
      </c>
    </row>
    <row r="5718">
      <c r="A5718" s="4" t="s">
        <v>6304</v>
      </c>
      <c r="B5718" s="4" t="s">
        <v>7323</v>
      </c>
      <c r="C5718" s="4">
        <v>198.0</v>
      </c>
      <c r="D5718" s="5" t="str">
        <f t="shared" ref="D5718:D5719" si="1845">HYPERLINK("https://www.linkedin.com/ad-library/detail/1198607093","Open Ad")</f>
        <v>Open Ad</v>
      </c>
      <c r="E5718" s="4" t="s">
        <v>78</v>
      </c>
      <c r="F5718" s="4" t="s">
        <v>6765</v>
      </c>
      <c r="G5718" s="4" t="s">
        <v>7423</v>
      </c>
      <c r="H5718" s="4" t="s">
        <v>49</v>
      </c>
      <c r="I5718" s="4" t="s">
        <v>7325</v>
      </c>
      <c r="J5718" s="4" t="s">
        <v>78</v>
      </c>
      <c r="K5718" s="7" t="str">
        <f t="shared" ref="K5718:K5719" si="1846">HYPERLINK("https://media.licdn.com/dms/image/v2/D4D22AQEJgY1ij9NZAg/feedshare-shrink_1280/B4DZ0BHFwoIoAM-/0/1773840129441?e=2147483647&amp;v=beta&amp;t=MsRdQy1OZ01XdS88GOJPVYGpEfalf8jvjuOu5fMINWg","View Creative")</f>
        <v>View Creative</v>
      </c>
      <c r="L5718" s="4" t="s">
        <v>60</v>
      </c>
      <c r="M5718" s="4" t="s">
        <v>6304</v>
      </c>
      <c r="N5718" s="4" t="s">
        <v>7424</v>
      </c>
      <c r="O5718" s="4" t="s">
        <v>63</v>
      </c>
      <c r="P5718" s="4" t="s">
        <v>64</v>
      </c>
    </row>
    <row r="5719">
      <c r="A5719" s="4" t="s">
        <v>6304</v>
      </c>
      <c r="B5719" s="4" t="s">
        <v>7323</v>
      </c>
      <c r="C5719" s="4">
        <v>199.0</v>
      </c>
      <c r="D5719" s="5" t="str">
        <f t="shared" si="1845"/>
        <v>Open Ad</v>
      </c>
      <c r="E5719" s="4" t="s">
        <v>78</v>
      </c>
      <c r="F5719" s="4" t="s">
        <v>6765</v>
      </c>
      <c r="G5719" s="4" t="s">
        <v>7423</v>
      </c>
      <c r="H5719" s="4" t="s">
        <v>49</v>
      </c>
      <c r="I5719" s="4" t="s">
        <v>7325</v>
      </c>
      <c r="J5719" s="4" t="s">
        <v>78</v>
      </c>
      <c r="K5719" s="7" t="str">
        <f t="shared" si="1846"/>
        <v>View Creative</v>
      </c>
      <c r="L5719" s="4" t="s">
        <v>60</v>
      </c>
      <c r="M5719" s="4" t="s">
        <v>6304</v>
      </c>
      <c r="N5719" s="4" t="s">
        <v>7424</v>
      </c>
      <c r="O5719" s="4" t="s">
        <v>63</v>
      </c>
      <c r="P5719" s="4" t="s">
        <v>64</v>
      </c>
    </row>
    <row r="5720">
      <c r="A5720" s="4" t="s">
        <v>6304</v>
      </c>
      <c r="B5720" s="4" t="s">
        <v>7323</v>
      </c>
      <c r="C5720" s="4">
        <v>200.0</v>
      </c>
      <c r="D5720" s="5" t="str">
        <f t="shared" ref="D5720:D5721" si="1847">HYPERLINK("https://www.linkedin.com/ad-library/detail/1190484843","Open Ad")</f>
        <v>Open Ad</v>
      </c>
      <c r="E5720" s="4" t="s">
        <v>78</v>
      </c>
      <c r="F5720" s="4" t="s">
        <v>6765</v>
      </c>
      <c r="G5720" s="4" t="s">
        <v>7425</v>
      </c>
      <c r="H5720" s="4" t="s">
        <v>49</v>
      </c>
      <c r="I5720" s="4" t="s">
        <v>7325</v>
      </c>
      <c r="J5720" s="4" t="s">
        <v>78</v>
      </c>
      <c r="K5720" s="7" t="str">
        <f t="shared" ref="K5720:K5721" si="1848">HYPERLINK("https://media.licdn.com/dms/image/v2/D4D22AQGteuUPNj4_bw/feedshare-shrink_1280/B4DZyOlPfTKEAc-/0/1771918653744?e=2147483647&amp;v=beta&amp;t=wfAcR6OXRBCcRocpozSE7l6HYDS2B0Aka8l1f0sHlBg","View Creative")</f>
        <v>View Creative</v>
      </c>
      <c r="L5720" s="4" t="s">
        <v>60</v>
      </c>
      <c r="M5720" s="4" t="s">
        <v>6304</v>
      </c>
      <c r="N5720" s="4" t="s">
        <v>7426</v>
      </c>
      <c r="O5720" s="4" t="s">
        <v>63</v>
      </c>
      <c r="P5720" s="4" t="s">
        <v>64</v>
      </c>
    </row>
    <row r="5721">
      <c r="A5721" s="4" t="s">
        <v>6304</v>
      </c>
      <c r="B5721" s="4" t="s">
        <v>7323</v>
      </c>
      <c r="C5721" s="4">
        <v>201.0</v>
      </c>
      <c r="D5721" s="5" t="str">
        <f t="shared" si="1847"/>
        <v>Open Ad</v>
      </c>
      <c r="E5721" s="4" t="s">
        <v>78</v>
      </c>
      <c r="F5721" s="4" t="s">
        <v>6765</v>
      </c>
      <c r="G5721" s="4" t="s">
        <v>7425</v>
      </c>
      <c r="H5721" s="4" t="s">
        <v>49</v>
      </c>
      <c r="I5721" s="4" t="s">
        <v>7325</v>
      </c>
      <c r="J5721" s="4" t="s">
        <v>78</v>
      </c>
      <c r="K5721" s="7" t="str">
        <f t="shared" si="1848"/>
        <v>View Creative</v>
      </c>
      <c r="L5721" s="4" t="s">
        <v>60</v>
      </c>
      <c r="M5721" s="4" t="s">
        <v>6304</v>
      </c>
      <c r="N5721" s="4" t="s">
        <v>7426</v>
      </c>
      <c r="O5721" s="4" t="s">
        <v>63</v>
      </c>
      <c r="P5721" s="4" t="s">
        <v>64</v>
      </c>
    </row>
    <row r="5722">
      <c r="A5722" s="4" t="s">
        <v>6304</v>
      </c>
      <c r="B5722" s="4" t="s">
        <v>7323</v>
      </c>
      <c r="C5722" s="4">
        <v>202.0</v>
      </c>
      <c r="D5722" s="5" t="str">
        <f t="shared" ref="D5722:D5723" si="1849">HYPERLINK("https://www.linkedin.com/ad-library/detail/1222694193","Open Ad")</f>
        <v>Open Ad</v>
      </c>
      <c r="E5722" s="4" t="s">
        <v>78</v>
      </c>
      <c r="F5722" s="4" t="s">
        <v>6765</v>
      </c>
      <c r="G5722" s="4" t="s">
        <v>7408</v>
      </c>
      <c r="H5722" s="4" t="s">
        <v>49</v>
      </c>
      <c r="I5722" s="4" t="s">
        <v>7325</v>
      </c>
      <c r="J5722" s="4" t="s">
        <v>78</v>
      </c>
      <c r="K5722" s="7" t="str">
        <f t="shared" ref="K5722:K5723" si="1850">HYPERLINK("https://media.licdn.com/dms/image/v2/D4D10AQGKomDvXYwzuw/image-shrink_1280/B4DZ20scxHI0Ag-/0/1776853044626/omripng?e=2147483647&amp;v=beta&amp;t=xXnmgkSdh8Iqkylj7bCIducYO4Fth9XE2UqExqncLFU","View Creative")</f>
        <v>View Creative</v>
      </c>
      <c r="L5722" s="4" t="s">
        <v>60</v>
      </c>
      <c r="M5722" s="4" t="s">
        <v>6304</v>
      </c>
      <c r="N5722" s="4" t="s">
        <v>7422</v>
      </c>
      <c r="O5722" s="4" t="s">
        <v>63</v>
      </c>
      <c r="P5722" s="4" t="s">
        <v>64</v>
      </c>
    </row>
    <row r="5723">
      <c r="A5723" s="4" t="s">
        <v>6304</v>
      </c>
      <c r="B5723" s="4" t="s">
        <v>7323</v>
      </c>
      <c r="C5723" s="4">
        <v>203.0</v>
      </c>
      <c r="D5723" s="5" t="str">
        <f t="shared" si="1849"/>
        <v>Open Ad</v>
      </c>
      <c r="E5723" s="4" t="s">
        <v>78</v>
      </c>
      <c r="F5723" s="4" t="s">
        <v>6765</v>
      </c>
      <c r="G5723" s="4" t="s">
        <v>7408</v>
      </c>
      <c r="H5723" s="4" t="s">
        <v>49</v>
      </c>
      <c r="I5723" s="4" t="s">
        <v>7325</v>
      </c>
      <c r="J5723" s="4" t="s">
        <v>78</v>
      </c>
      <c r="K5723" s="7" t="str">
        <f t="shared" si="1850"/>
        <v>View Creative</v>
      </c>
      <c r="L5723" s="4" t="s">
        <v>60</v>
      </c>
      <c r="M5723" s="4" t="s">
        <v>6304</v>
      </c>
      <c r="N5723" s="4" t="s">
        <v>7422</v>
      </c>
      <c r="O5723" s="4" t="s">
        <v>63</v>
      </c>
      <c r="P5723" s="4" t="s">
        <v>64</v>
      </c>
    </row>
    <row r="5724">
      <c r="A5724" s="4" t="s">
        <v>6304</v>
      </c>
      <c r="B5724" s="4" t="s">
        <v>7323</v>
      </c>
      <c r="C5724" s="4">
        <v>204.0</v>
      </c>
      <c r="D5724" s="5" t="str">
        <f t="shared" ref="D5724:D5725" si="1851">HYPERLINK("https://www.linkedin.com/ad-library/detail/1198706403","Open Ad")</f>
        <v>Open Ad</v>
      </c>
      <c r="E5724" s="4" t="s">
        <v>78</v>
      </c>
      <c r="F5724" s="4" t="s">
        <v>6765</v>
      </c>
      <c r="G5724" s="4" t="s">
        <v>7425</v>
      </c>
      <c r="H5724" s="4" t="s">
        <v>49</v>
      </c>
      <c r="I5724" s="4" t="s">
        <v>7325</v>
      </c>
      <c r="J5724" s="4" t="s">
        <v>78</v>
      </c>
      <c r="K5724" s="7" t="str">
        <f t="shared" ref="K5724:K5725" si="1852">HYPERLINK("https://media.licdn.com/dms/image/v2/D4D22AQGteuUPNj4_bw/feedshare-shrink_1280/B4DZyOlPfTKEAc-/0/1771918653744?e=2147483647&amp;v=beta&amp;t=wfAcR6OXRBCcRocpozSE7l6HYDS2B0Aka8l1f0sHlBg","View Creative")</f>
        <v>View Creative</v>
      </c>
      <c r="L5724" s="4" t="s">
        <v>60</v>
      </c>
      <c r="M5724" s="4" t="s">
        <v>6304</v>
      </c>
      <c r="N5724" s="4" t="s">
        <v>7424</v>
      </c>
      <c r="O5724" s="4" t="s">
        <v>63</v>
      </c>
      <c r="P5724" s="4" t="s">
        <v>64</v>
      </c>
    </row>
    <row r="5725">
      <c r="A5725" s="4" t="s">
        <v>6304</v>
      </c>
      <c r="B5725" s="4" t="s">
        <v>7323</v>
      </c>
      <c r="C5725" s="4">
        <v>205.0</v>
      </c>
      <c r="D5725" s="5" t="str">
        <f t="shared" si="1851"/>
        <v>Open Ad</v>
      </c>
      <c r="E5725" s="4" t="s">
        <v>78</v>
      </c>
      <c r="F5725" s="4" t="s">
        <v>6765</v>
      </c>
      <c r="G5725" s="4" t="s">
        <v>7425</v>
      </c>
      <c r="H5725" s="4" t="s">
        <v>49</v>
      </c>
      <c r="I5725" s="4" t="s">
        <v>7325</v>
      </c>
      <c r="J5725" s="4" t="s">
        <v>78</v>
      </c>
      <c r="K5725" s="7" t="str">
        <f t="shared" si="1852"/>
        <v>View Creative</v>
      </c>
      <c r="L5725" s="4" t="s">
        <v>60</v>
      </c>
      <c r="M5725" s="4" t="s">
        <v>6304</v>
      </c>
      <c r="N5725" s="4" t="s">
        <v>7424</v>
      </c>
      <c r="O5725" s="4" t="s">
        <v>63</v>
      </c>
      <c r="P5725" s="4" t="s">
        <v>64</v>
      </c>
    </row>
    <row r="5726">
      <c r="A5726" s="4" t="s">
        <v>6304</v>
      </c>
      <c r="B5726" s="4" t="s">
        <v>7323</v>
      </c>
      <c r="C5726" s="4">
        <v>206.0</v>
      </c>
      <c r="D5726" s="5" t="str">
        <f t="shared" ref="D5726:D5727" si="1853">HYPERLINK("https://www.linkedin.com/ad-library/detail/1199605883","Open Ad")</f>
        <v>Open Ad</v>
      </c>
      <c r="E5726" s="4" t="s">
        <v>78</v>
      </c>
      <c r="F5726" s="4" t="s">
        <v>6765</v>
      </c>
      <c r="G5726" s="4" t="s">
        <v>7404</v>
      </c>
      <c r="H5726" s="4" t="s">
        <v>49</v>
      </c>
      <c r="I5726" s="4" t="s">
        <v>7325</v>
      </c>
      <c r="J5726" s="4" t="s">
        <v>78</v>
      </c>
      <c r="K5726" s="7" t="str">
        <f t="shared" ref="K5726:K5727" si="1854">HYPERLINK("https://media.licdn.com/dms/image/v2/D4D22AQEpPd3zrIcUvA/feedshare-shrink_1280/B4DZuOBLGhHwAs-/0/1767614231642?e=2147483647&amp;v=beta&amp;t=EhdyF1CtAC-GmZ2V62SjOTQxwOT9ysHWGe9yuqWZbNA","View Creative")</f>
        <v>View Creative</v>
      </c>
      <c r="L5726" s="4" t="s">
        <v>60</v>
      </c>
      <c r="M5726" s="4" t="s">
        <v>6304</v>
      </c>
      <c r="N5726" s="4" t="s">
        <v>7424</v>
      </c>
      <c r="O5726" s="4" t="s">
        <v>63</v>
      </c>
      <c r="P5726" s="4" t="s">
        <v>64</v>
      </c>
    </row>
    <row r="5727">
      <c r="A5727" s="4" t="s">
        <v>6304</v>
      </c>
      <c r="B5727" s="4" t="s">
        <v>7323</v>
      </c>
      <c r="C5727" s="4">
        <v>207.0</v>
      </c>
      <c r="D5727" s="5" t="str">
        <f t="shared" si="1853"/>
        <v>Open Ad</v>
      </c>
      <c r="E5727" s="4" t="s">
        <v>78</v>
      </c>
      <c r="F5727" s="4" t="s">
        <v>6765</v>
      </c>
      <c r="G5727" s="4" t="s">
        <v>7404</v>
      </c>
      <c r="H5727" s="4" t="s">
        <v>49</v>
      </c>
      <c r="I5727" s="4" t="s">
        <v>7325</v>
      </c>
      <c r="J5727" s="4" t="s">
        <v>78</v>
      </c>
      <c r="K5727" s="7" t="str">
        <f t="shared" si="1854"/>
        <v>View Creative</v>
      </c>
      <c r="L5727" s="4" t="s">
        <v>60</v>
      </c>
      <c r="M5727" s="4" t="s">
        <v>6304</v>
      </c>
      <c r="N5727" s="4" t="s">
        <v>7424</v>
      </c>
      <c r="O5727" s="4" t="s">
        <v>63</v>
      </c>
      <c r="P5727" s="4" t="s">
        <v>64</v>
      </c>
    </row>
    <row r="5728">
      <c r="A5728" s="4" t="s">
        <v>6304</v>
      </c>
      <c r="B5728" s="4" t="s">
        <v>7323</v>
      </c>
      <c r="C5728" s="4">
        <v>208.0</v>
      </c>
      <c r="D5728" s="5" t="str">
        <f t="shared" ref="D5728:D5729" si="1855">HYPERLINK("https://www.linkedin.com/ad-library/detail/1188187903","Open Ad")</f>
        <v>Open Ad</v>
      </c>
      <c r="E5728" s="4" t="s">
        <v>78</v>
      </c>
      <c r="F5728" s="4" t="s">
        <v>6765</v>
      </c>
      <c r="G5728" s="4" t="s">
        <v>7427</v>
      </c>
      <c r="H5728" s="4" t="s">
        <v>7428</v>
      </c>
      <c r="I5728" s="4" t="s">
        <v>7325</v>
      </c>
      <c r="J5728" s="4" t="s">
        <v>78</v>
      </c>
      <c r="K5728" s="7" t="str">
        <f t="shared" ref="K5728:K5729" si="1856">HYPERLINK("https://media.licdn.com/dms/image/v2/D4D22AQEMgGvSMJ5eAQ/feedshare-shrink_1280/B4DZyt453jJ4Ac-/0/1772443901711?e=2147483647&amp;v=beta&amp;t=5L9ex3VMm7zXtdbjc6cjBS1wfYs081bV7BFdRSSFo2g","View Creative")</f>
        <v>View Creative</v>
      </c>
      <c r="L5728" s="4" t="s">
        <v>60</v>
      </c>
      <c r="M5728" s="4" t="s">
        <v>6304</v>
      </c>
      <c r="N5728" s="4" t="s">
        <v>7429</v>
      </c>
      <c r="O5728" s="4" t="s">
        <v>63</v>
      </c>
      <c r="P5728" s="4" t="s">
        <v>64</v>
      </c>
    </row>
    <row r="5729">
      <c r="A5729" s="4" t="s">
        <v>6304</v>
      </c>
      <c r="B5729" s="4" t="s">
        <v>7323</v>
      </c>
      <c r="C5729" s="4">
        <v>209.0</v>
      </c>
      <c r="D5729" s="5" t="str">
        <f t="shared" si="1855"/>
        <v>Open Ad</v>
      </c>
      <c r="E5729" s="4" t="s">
        <v>78</v>
      </c>
      <c r="F5729" s="4" t="s">
        <v>6765</v>
      </c>
      <c r="G5729" s="4" t="s">
        <v>7427</v>
      </c>
      <c r="H5729" s="4" t="s">
        <v>7428</v>
      </c>
      <c r="I5729" s="4" t="s">
        <v>7325</v>
      </c>
      <c r="J5729" s="4" t="s">
        <v>78</v>
      </c>
      <c r="K5729" s="7" t="str">
        <f t="shared" si="1856"/>
        <v>View Creative</v>
      </c>
      <c r="L5729" s="4" t="s">
        <v>60</v>
      </c>
      <c r="M5729" s="4" t="s">
        <v>6304</v>
      </c>
      <c r="N5729" s="4" t="s">
        <v>7429</v>
      </c>
      <c r="O5729" s="4" t="s">
        <v>63</v>
      </c>
      <c r="P5729" s="4" t="s">
        <v>64</v>
      </c>
    </row>
    <row r="5730">
      <c r="A5730" s="4" t="s">
        <v>6304</v>
      </c>
      <c r="B5730" s="4" t="s">
        <v>7323</v>
      </c>
      <c r="C5730" s="4">
        <v>210.0</v>
      </c>
      <c r="D5730" s="5" t="str">
        <f t="shared" ref="D5730:D5731" si="1857">HYPERLINK("https://www.linkedin.com/ad-library/detail/1197905713","Open Ad")</f>
        <v>Open Ad</v>
      </c>
      <c r="E5730" s="4" t="s">
        <v>78</v>
      </c>
      <c r="F5730" s="4" t="s">
        <v>6765</v>
      </c>
      <c r="G5730" s="4" t="s">
        <v>7430</v>
      </c>
      <c r="H5730" s="4" t="s">
        <v>49</v>
      </c>
      <c r="I5730" s="4" t="s">
        <v>7325</v>
      </c>
      <c r="J5730" s="4" t="s">
        <v>78</v>
      </c>
      <c r="K5730" s="7" t="str">
        <f t="shared" ref="K5730:K5731" si="1858">HYPERLINK("https://media.licdn.com/dms/image/v2/D4D22AQHlAinjROHXdg/feedshare-image-high-res/B4DZvWmdclHYAU-/0/1768831965289?e=2147483647&amp;v=beta&amp;t=C6okQidFd6aKOHZ6QWR0i1QHSbtCL2BGsg8UIFDqpRk","View Creative")</f>
        <v>View Creative</v>
      </c>
      <c r="L5730" s="4" t="s">
        <v>60</v>
      </c>
      <c r="M5730" s="4" t="s">
        <v>6304</v>
      </c>
      <c r="N5730" s="4" t="s">
        <v>7424</v>
      </c>
      <c r="O5730" s="4" t="s">
        <v>63</v>
      </c>
      <c r="P5730" s="4" t="s">
        <v>64</v>
      </c>
    </row>
    <row r="5731">
      <c r="A5731" s="4" t="s">
        <v>6304</v>
      </c>
      <c r="B5731" s="4" t="s">
        <v>7323</v>
      </c>
      <c r="C5731" s="4">
        <v>211.0</v>
      </c>
      <c r="D5731" s="5" t="str">
        <f t="shared" si="1857"/>
        <v>Open Ad</v>
      </c>
      <c r="E5731" s="4" t="s">
        <v>78</v>
      </c>
      <c r="F5731" s="4" t="s">
        <v>6765</v>
      </c>
      <c r="G5731" s="4" t="s">
        <v>7430</v>
      </c>
      <c r="H5731" s="4" t="s">
        <v>49</v>
      </c>
      <c r="I5731" s="4" t="s">
        <v>7325</v>
      </c>
      <c r="J5731" s="4" t="s">
        <v>78</v>
      </c>
      <c r="K5731" s="7" t="str">
        <f t="shared" si="1858"/>
        <v>View Creative</v>
      </c>
      <c r="L5731" s="4" t="s">
        <v>60</v>
      </c>
      <c r="M5731" s="4" t="s">
        <v>6304</v>
      </c>
      <c r="N5731" s="4" t="s">
        <v>7424</v>
      </c>
      <c r="O5731" s="4" t="s">
        <v>63</v>
      </c>
      <c r="P5731" s="4" t="s">
        <v>64</v>
      </c>
    </row>
    <row r="5732">
      <c r="A5732" s="4" t="s">
        <v>6304</v>
      </c>
      <c r="B5732" s="4" t="s">
        <v>7323</v>
      </c>
      <c r="C5732" s="4">
        <v>212.0</v>
      </c>
      <c r="D5732" s="5" t="str">
        <f t="shared" ref="D5732:D5733" si="1859">HYPERLINK("https://www.linkedin.com/ad-library/detail/1221203443","Open Ad")</f>
        <v>Open Ad</v>
      </c>
      <c r="E5732" s="4" t="s">
        <v>78</v>
      </c>
      <c r="F5732" s="4" t="s">
        <v>6765</v>
      </c>
      <c r="G5732" s="4" t="s">
        <v>7417</v>
      </c>
      <c r="H5732" s="4" t="s">
        <v>49</v>
      </c>
      <c r="I5732" s="4" t="s">
        <v>7325</v>
      </c>
      <c r="J5732" s="4" t="s">
        <v>78</v>
      </c>
      <c r="K5732" s="7" t="str">
        <f t="shared" ref="K5732:K5733" si="1860">HYPERLINK("https://media.licdn.com/dms/image/v2/D4D10AQGQIJq-FhRa0Q/image-shrink_1280/B4DZ0Ql3MbH4Ac-/0/1774099854350/2png?e=2147483647&amp;v=beta&amp;t=y1v-SxIxcwPrXsKf7HVvVNTO_-psFrVBwCn6chrjqNo","View Creative")</f>
        <v>View Creative</v>
      </c>
      <c r="L5732" s="4" t="s">
        <v>60</v>
      </c>
      <c r="M5732" s="4" t="s">
        <v>6304</v>
      </c>
      <c r="N5732" s="4" t="s">
        <v>7422</v>
      </c>
      <c r="O5732" s="4" t="s">
        <v>63</v>
      </c>
      <c r="P5732" s="4" t="s">
        <v>64</v>
      </c>
    </row>
    <row r="5733">
      <c r="A5733" s="4" t="s">
        <v>6304</v>
      </c>
      <c r="B5733" s="4" t="s">
        <v>7323</v>
      </c>
      <c r="C5733" s="4">
        <v>213.0</v>
      </c>
      <c r="D5733" s="5" t="str">
        <f t="shared" si="1859"/>
        <v>Open Ad</v>
      </c>
      <c r="E5733" s="4" t="s">
        <v>78</v>
      </c>
      <c r="F5733" s="4" t="s">
        <v>6765</v>
      </c>
      <c r="G5733" s="4" t="s">
        <v>7417</v>
      </c>
      <c r="H5733" s="4" t="s">
        <v>49</v>
      </c>
      <c r="I5733" s="4" t="s">
        <v>7325</v>
      </c>
      <c r="J5733" s="4" t="s">
        <v>78</v>
      </c>
      <c r="K5733" s="7" t="str">
        <f t="shared" si="1860"/>
        <v>View Creative</v>
      </c>
      <c r="L5733" s="4" t="s">
        <v>60</v>
      </c>
      <c r="M5733" s="4" t="s">
        <v>6304</v>
      </c>
      <c r="N5733" s="4" t="s">
        <v>7422</v>
      </c>
      <c r="O5733" s="4" t="s">
        <v>63</v>
      </c>
      <c r="P5733" s="4" t="s">
        <v>64</v>
      </c>
    </row>
    <row r="5734">
      <c r="A5734" s="4" t="s">
        <v>6304</v>
      </c>
      <c r="B5734" s="4" t="s">
        <v>7323</v>
      </c>
      <c r="C5734" s="4">
        <v>214.0</v>
      </c>
      <c r="D5734" s="5" t="str">
        <f t="shared" ref="D5734:D5735" si="1861">HYPERLINK("https://www.linkedin.com/ad-library/detail/1202117773","Open Ad")</f>
        <v>Open Ad</v>
      </c>
      <c r="E5734" s="4" t="s">
        <v>78</v>
      </c>
      <c r="F5734" s="4" t="s">
        <v>6765</v>
      </c>
      <c r="G5734" s="4" t="s">
        <v>7431</v>
      </c>
      <c r="H5734" s="4" t="s">
        <v>49</v>
      </c>
      <c r="I5734" s="4" t="s">
        <v>7325</v>
      </c>
      <c r="J5734" s="4" t="s">
        <v>78</v>
      </c>
      <c r="K5734" s="7" t="str">
        <f t="shared" ref="K5734:K5735" si="1862">HYPERLINK("https://media.licdn.com/dms/image/v2/D4D22AQEwfnOHr1Dn-Q/feedshare-image-high-res/B4DZ0.ZpojHcAU-/0/1774868405273?e=2147483647&amp;v=beta&amp;t=jo09s_hv6E6fcjk9YBdX0lfTT64ZMzlLnyLE3cdAOk0","View Creative")</f>
        <v>View Creative</v>
      </c>
      <c r="L5734" s="4" t="s">
        <v>60</v>
      </c>
      <c r="M5734" s="4" t="s">
        <v>6304</v>
      </c>
      <c r="N5734" s="4" t="s">
        <v>7432</v>
      </c>
      <c r="O5734" s="4" t="s">
        <v>63</v>
      </c>
      <c r="P5734" s="4" t="s">
        <v>64</v>
      </c>
    </row>
    <row r="5735">
      <c r="A5735" s="4" t="s">
        <v>6304</v>
      </c>
      <c r="B5735" s="4" t="s">
        <v>7323</v>
      </c>
      <c r="C5735" s="4">
        <v>215.0</v>
      </c>
      <c r="D5735" s="5" t="str">
        <f t="shared" si="1861"/>
        <v>Open Ad</v>
      </c>
      <c r="E5735" s="4" t="s">
        <v>78</v>
      </c>
      <c r="F5735" s="4" t="s">
        <v>6765</v>
      </c>
      <c r="G5735" s="4" t="s">
        <v>7431</v>
      </c>
      <c r="H5735" s="4" t="s">
        <v>49</v>
      </c>
      <c r="I5735" s="4" t="s">
        <v>7325</v>
      </c>
      <c r="J5735" s="4" t="s">
        <v>78</v>
      </c>
      <c r="K5735" s="7" t="str">
        <f t="shared" si="1862"/>
        <v>View Creative</v>
      </c>
      <c r="L5735" s="4" t="s">
        <v>60</v>
      </c>
      <c r="M5735" s="4" t="s">
        <v>6304</v>
      </c>
      <c r="N5735" s="4" t="s">
        <v>7432</v>
      </c>
      <c r="O5735" s="4" t="s">
        <v>63</v>
      </c>
      <c r="P5735" s="4" t="s">
        <v>64</v>
      </c>
    </row>
    <row r="5736">
      <c r="A5736" s="4" t="s">
        <v>6304</v>
      </c>
      <c r="B5736" s="4" t="s">
        <v>7323</v>
      </c>
      <c r="C5736" s="4">
        <v>216.0</v>
      </c>
      <c r="D5736" s="5" t="str">
        <f t="shared" ref="D5736:D5737" si="1863">HYPERLINK("https://www.linkedin.com/ad-library/detail/1201429183","Open Ad")</f>
        <v>Open Ad</v>
      </c>
      <c r="E5736" s="4" t="s">
        <v>78</v>
      </c>
      <c r="F5736" s="4" t="s">
        <v>6765</v>
      </c>
      <c r="G5736" s="4" t="s">
        <v>7433</v>
      </c>
      <c r="H5736" s="4" t="s">
        <v>7434</v>
      </c>
      <c r="I5736" s="4" t="s">
        <v>7325</v>
      </c>
      <c r="J5736" s="4" t="s">
        <v>78</v>
      </c>
      <c r="K5736" s="7" t="str">
        <f t="shared" ref="K5736:K5737" si="1864">HYPERLINK("https://media.licdn.com/dms/image/v2/D4D22AQE3vU7u2WAVOw/feedshare-shrink_800/B4DZzSA1iPHwAc-/0/1773049960853?e=2147483647&amp;v=beta&amp;t=Okih-CExFe-0rlCOR4IEW8caG2lwKM1jNLufmWBFupo","View Creative")</f>
        <v>View Creative</v>
      </c>
      <c r="L5736" s="4" t="s">
        <v>60</v>
      </c>
      <c r="M5736" s="4" t="s">
        <v>6304</v>
      </c>
      <c r="N5736" s="4" t="s">
        <v>7435</v>
      </c>
      <c r="O5736" s="4" t="s">
        <v>63</v>
      </c>
      <c r="P5736" s="4" t="s">
        <v>64</v>
      </c>
    </row>
    <row r="5737">
      <c r="A5737" s="4" t="s">
        <v>6304</v>
      </c>
      <c r="B5737" s="4" t="s">
        <v>7323</v>
      </c>
      <c r="C5737" s="4">
        <v>217.0</v>
      </c>
      <c r="D5737" s="5" t="str">
        <f t="shared" si="1863"/>
        <v>Open Ad</v>
      </c>
      <c r="E5737" s="4" t="s">
        <v>78</v>
      </c>
      <c r="F5737" s="4" t="s">
        <v>6765</v>
      </c>
      <c r="G5737" s="4" t="s">
        <v>7433</v>
      </c>
      <c r="H5737" s="4" t="s">
        <v>7434</v>
      </c>
      <c r="I5737" s="4" t="s">
        <v>7325</v>
      </c>
      <c r="J5737" s="4" t="s">
        <v>78</v>
      </c>
      <c r="K5737" s="7" t="str">
        <f t="shared" si="1864"/>
        <v>View Creative</v>
      </c>
      <c r="L5737" s="4" t="s">
        <v>60</v>
      </c>
      <c r="M5737" s="4" t="s">
        <v>6304</v>
      </c>
      <c r="N5737" s="4" t="s">
        <v>7435</v>
      </c>
      <c r="O5737" s="4" t="s">
        <v>63</v>
      </c>
      <c r="P5737" s="4" t="s">
        <v>64</v>
      </c>
    </row>
    <row r="5738">
      <c r="A5738" s="4" t="s">
        <v>6304</v>
      </c>
      <c r="B5738" s="4" t="s">
        <v>7323</v>
      </c>
      <c r="C5738" s="4">
        <v>218.0</v>
      </c>
      <c r="D5738" s="5" t="str">
        <f t="shared" ref="D5738:D5739" si="1865">HYPERLINK("https://www.linkedin.com/ad-library/detail/1196700293","Open Ad")</f>
        <v>Open Ad</v>
      </c>
      <c r="E5738" s="4" t="s">
        <v>78</v>
      </c>
      <c r="F5738" s="4" t="s">
        <v>6765</v>
      </c>
      <c r="G5738" s="4" t="s">
        <v>7417</v>
      </c>
      <c r="H5738" s="4" t="s">
        <v>49</v>
      </c>
      <c r="I5738" s="4" t="s">
        <v>7325</v>
      </c>
      <c r="J5738" s="4" t="s">
        <v>78</v>
      </c>
      <c r="K5738" s="7" t="str">
        <f t="shared" ref="K5738:K5739" si="1866">HYPERLINK("https://media.licdn.com/dms/image/v2/D4D10AQGQIJq-FhRa0Q/image-shrink_1280/B4DZ0Ql3MbH4Ac-/0/1774099854350/2png?e=2147483647&amp;v=beta&amp;t=y1v-SxIxcwPrXsKf7HVvVNTO_-psFrVBwCn6chrjqNo","View Creative")</f>
        <v>View Creative</v>
      </c>
      <c r="L5738" s="4" t="s">
        <v>60</v>
      </c>
      <c r="M5738" s="4" t="s">
        <v>6304</v>
      </c>
      <c r="N5738" s="4" t="s">
        <v>7421</v>
      </c>
      <c r="O5738" s="4" t="s">
        <v>63</v>
      </c>
      <c r="P5738" s="4" t="s">
        <v>64</v>
      </c>
    </row>
    <row r="5739">
      <c r="A5739" s="4" t="s">
        <v>6304</v>
      </c>
      <c r="B5739" s="4" t="s">
        <v>7323</v>
      </c>
      <c r="C5739" s="4">
        <v>219.0</v>
      </c>
      <c r="D5739" s="5" t="str">
        <f t="shared" si="1865"/>
        <v>Open Ad</v>
      </c>
      <c r="E5739" s="4" t="s">
        <v>78</v>
      </c>
      <c r="F5739" s="4" t="s">
        <v>6765</v>
      </c>
      <c r="G5739" s="4" t="s">
        <v>7417</v>
      </c>
      <c r="H5739" s="4" t="s">
        <v>49</v>
      </c>
      <c r="I5739" s="4" t="s">
        <v>7325</v>
      </c>
      <c r="J5739" s="4" t="s">
        <v>78</v>
      </c>
      <c r="K5739" s="7" t="str">
        <f t="shared" si="1866"/>
        <v>View Creative</v>
      </c>
      <c r="L5739" s="4" t="s">
        <v>60</v>
      </c>
      <c r="M5739" s="4" t="s">
        <v>6304</v>
      </c>
      <c r="N5739" s="4" t="s">
        <v>7421</v>
      </c>
      <c r="O5739" s="4" t="s">
        <v>63</v>
      </c>
      <c r="P5739" s="4" t="s">
        <v>64</v>
      </c>
    </row>
    <row r="5740">
      <c r="A5740" s="4" t="s">
        <v>6304</v>
      </c>
      <c r="B5740" s="4" t="s">
        <v>7323</v>
      </c>
      <c r="C5740" s="4">
        <v>220.0</v>
      </c>
      <c r="D5740" s="5" t="str">
        <f t="shared" ref="D5740:D5741" si="1867">HYPERLINK("https://www.linkedin.com/ad-library/detail/1201527723","Open Ad")</f>
        <v>Open Ad</v>
      </c>
      <c r="E5740" s="4" t="s">
        <v>78</v>
      </c>
      <c r="F5740" s="4" t="s">
        <v>6765</v>
      </c>
      <c r="G5740" s="4" t="s">
        <v>7436</v>
      </c>
      <c r="H5740" s="4" t="s">
        <v>49</v>
      </c>
      <c r="I5740" s="4" t="s">
        <v>7325</v>
      </c>
      <c r="J5740" s="4" t="s">
        <v>78</v>
      </c>
      <c r="K5740" s="7" t="str">
        <f t="shared" ref="K5740:K5741" si="1868">HYPERLINK("https://media.licdn.com/dms/image/v2/D4E22AQF43ox8lkN-bA/feedshare-shrink_1280/B4EZzcXMPQHgAQ-/0/1773223593560?e=2147483647&amp;v=beta&amp;t=zjtuBHzDF8lSrGXL1eXMr3DFh81zfjNOsX3HkrUk_QI","View Creative")</f>
        <v>View Creative</v>
      </c>
      <c r="L5740" s="4" t="s">
        <v>60</v>
      </c>
      <c r="M5740" s="4" t="s">
        <v>6304</v>
      </c>
      <c r="N5740" s="4" t="s">
        <v>7435</v>
      </c>
      <c r="O5740" s="4" t="s">
        <v>63</v>
      </c>
      <c r="P5740" s="4" t="s">
        <v>64</v>
      </c>
    </row>
    <row r="5741">
      <c r="A5741" s="4" t="s">
        <v>6304</v>
      </c>
      <c r="B5741" s="4" t="s">
        <v>7323</v>
      </c>
      <c r="C5741" s="4">
        <v>221.0</v>
      </c>
      <c r="D5741" s="5" t="str">
        <f t="shared" si="1867"/>
        <v>Open Ad</v>
      </c>
      <c r="E5741" s="4" t="s">
        <v>78</v>
      </c>
      <c r="F5741" s="4" t="s">
        <v>6765</v>
      </c>
      <c r="G5741" s="4" t="s">
        <v>7436</v>
      </c>
      <c r="H5741" s="4" t="s">
        <v>49</v>
      </c>
      <c r="I5741" s="4" t="s">
        <v>7325</v>
      </c>
      <c r="J5741" s="4" t="s">
        <v>78</v>
      </c>
      <c r="K5741" s="7" t="str">
        <f t="shared" si="1868"/>
        <v>View Creative</v>
      </c>
      <c r="L5741" s="4" t="s">
        <v>60</v>
      </c>
      <c r="M5741" s="4" t="s">
        <v>6304</v>
      </c>
      <c r="N5741" s="4" t="s">
        <v>7435</v>
      </c>
      <c r="O5741" s="4" t="s">
        <v>63</v>
      </c>
      <c r="P5741" s="4" t="s">
        <v>64</v>
      </c>
    </row>
    <row r="5742">
      <c r="A5742" s="4" t="s">
        <v>6304</v>
      </c>
      <c r="B5742" s="4" t="s">
        <v>7323</v>
      </c>
      <c r="C5742" s="4">
        <v>222.0</v>
      </c>
      <c r="D5742" s="5" t="str">
        <f t="shared" ref="D5742:D5743" si="1869">HYPERLINK("https://www.linkedin.com/ad-library/detail/1196015963","Open Ad")</f>
        <v>Open Ad</v>
      </c>
      <c r="E5742" s="4" t="s">
        <v>78</v>
      </c>
      <c r="F5742" s="4" t="s">
        <v>6765</v>
      </c>
      <c r="G5742" s="4" t="s">
        <v>7392</v>
      </c>
      <c r="H5742" s="4" t="s">
        <v>49</v>
      </c>
      <c r="I5742" s="4" t="s">
        <v>7325</v>
      </c>
      <c r="J5742" s="4" t="s">
        <v>78</v>
      </c>
      <c r="K5742" s="7" t="str">
        <f t="shared" ref="K5742:K5743" si="1870">HYPERLINK("https://media.licdn.com/dms/image/v2/D4D10AQGQIJq-FhRa0Q/image-shrink_1280/B4DZ0Ql3MbH4Ac-/0/1774099854350/2png?e=2147483647&amp;v=beta&amp;t=y1v-SxIxcwPrXsKf7HVvVNTO_-psFrVBwCn6chrjqNo","View Creative")</f>
        <v>View Creative</v>
      </c>
      <c r="L5742" s="4" t="s">
        <v>60</v>
      </c>
      <c r="M5742" s="4" t="s">
        <v>6304</v>
      </c>
      <c r="N5742" s="4" t="s">
        <v>7421</v>
      </c>
      <c r="O5742" s="4" t="s">
        <v>63</v>
      </c>
      <c r="P5742" s="4" t="s">
        <v>64</v>
      </c>
    </row>
    <row r="5743">
      <c r="A5743" s="4" t="s">
        <v>6304</v>
      </c>
      <c r="B5743" s="4" t="s">
        <v>7323</v>
      </c>
      <c r="C5743" s="4">
        <v>223.0</v>
      </c>
      <c r="D5743" s="5" t="str">
        <f t="shared" si="1869"/>
        <v>Open Ad</v>
      </c>
      <c r="E5743" s="4" t="s">
        <v>78</v>
      </c>
      <c r="F5743" s="4" t="s">
        <v>6765</v>
      </c>
      <c r="G5743" s="4" t="s">
        <v>7392</v>
      </c>
      <c r="H5743" s="4" t="s">
        <v>49</v>
      </c>
      <c r="I5743" s="4" t="s">
        <v>7325</v>
      </c>
      <c r="J5743" s="4" t="s">
        <v>78</v>
      </c>
      <c r="K5743" s="7" t="str">
        <f t="shared" si="1870"/>
        <v>View Creative</v>
      </c>
      <c r="L5743" s="4" t="s">
        <v>60</v>
      </c>
      <c r="M5743" s="4" t="s">
        <v>6304</v>
      </c>
      <c r="N5743" s="4" t="s">
        <v>7421</v>
      </c>
      <c r="O5743" s="4" t="s">
        <v>63</v>
      </c>
      <c r="P5743" s="4" t="s">
        <v>64</v>
      </c>
    </row>
    <row r="5744">
      <c r="A5744" s="4" t="s">
        <v>6304</v>
      </c>
      <c r="B5744" s="4" t="s">
        <v>7323</v>
      </c>
      <c r="C5744" s="4">
        <v>224.0</v>
      </c>
      <c r="D5744" s="5" t="str">
        <f t="shared" ref="D5744:D5745" si="1871">HYPERLINK("https://www.linkedin.com/ad-library/detail/1189186973","Open Ad")</f>
        <v>Open Ad</v>
      </c>
      <c r="E5744" s="4" t="s">
        <v>78</v>
      </c>
      <c r="F5744" s="4" t="s">
        <v>6765</v>
      </c>
      <c r="G5744" s="4" t="s">
        <v>7404</v>
      </c>
      <c r="H5744" s="4" t="s">
        <v>49</v>
      </c>
      <c r="I5744" s="4" t="s">
        <v>7325</v>
      </c>
      <c r="J5744" s="4" t="s">
        <v>78</v>
      </c>
      <c r="K5744" s="7" t="str">
        <f t="shared" ref="K5744:K5745" si="1872">HYPERLINK("https://media.licdn.com/dms/image/v2/D4D22AQEpPd3zrIcUvA/feedshare-shrink_1280/B4DZuOBLGhHwAs-/0/1767614231642?e=2147483647&amp;v=beta&amp;t=EhdyF1CtAC-GmZ2V62SjOTQxwOT9ysHWGe9yuqWZbNA","View Creative")</f>
        <v>View Creative</v>
      </c>
      <c r="L5744" s="4" t="s">
        <v>60</v>
      </c>
      <c r="M5744" s="4" t="s">
        <v>6304</v>
      </c>
      <c r="N5744" s="4" t="s">
        <v>7429</v>
      </c>
      <c r="O5744" s="4" t="s">
        <v>63</v>
      </c>
      <c r="P5744" s="4" t="s">
        <v>64</v>
      </c>
    </row>
    <row r="5745">
      <c r="A5745" s="4" t="s">
        <v>6304</v>
      </c>
      <c r="B5745" s="4" t="s">
        <v>7323</v>
      </c>
      <c r="C5745" s="4">
        <v>225.0</v>
      </c>
      <c r="D5745" s="5" t="str">
        <f t="shared" si="1871"/>
        <v>Open Ad</v>
      </c>
      <c r="E5745" s="4" t="s">
        <v>78</v>
      </c>
      <c r="F5745" s="4" t="s">
        <v>6765</v>
      </c>
      <c r="G5745" s="4" t="s">
        <v>7404</v>
      </c>
      <c r="H5745" s="4" t="s">
        <v>49</v>
      </c>
      <c r="I5745" s="4" t="s">
        <v>7325</v>
      </c>
      <c r="J5745" s="4" t="s">
        <v>78</v>
      </c>
      <c r="K5745" s="7" t="str">
        <f t="shared" si="1872"/>
        <v>View Creative</v>
      </c>
      <c r="L5745" s="4" t="s">
        <v>60</v>
      </c>
      <c r="M5745" s="4" t="s">
        <v>6304</v>
      </c>
      <c r="N5745" s="4" t="s">
        <v>7429</v>
      </c>
      <c r="O5745" s="4" t="s">
        <v>63</v>
      </c>
      <c r="P5745" s="4" t="s">
        <v>64</v>
      </c>
    </row>
    <row r="5746">
      <c r="A5746" s="4" t="s">
        <v>6304</v>
      </c>
      <c r="B5746" s="4" t="s">
        <v>7323</v>
      </c>
      <c r="C5746" s="4">
        <v>226.0</v>
      </c>
      <c r="D5746" s="5" t="str">
        <f>HYPERLINK("https://www.linkedin.com/ad-library/detail/1187787623","Open Ad")</f>
        <v>Open Ad</v>
      </c>
      <c r="E5746" s="4" t="s">
        <v>52</v>
      </c>
      <c r="F5746" s="4" t="s">
        <v>6765</v>
      </c>
      <c r="G5746" s="4" t="s">
        <v>7437</v>
      </c>
      <c r="H5746" s="4" t="s">
        <v>49</v>
      </c>
      <c r="I5746" s="4" t="s">
        <v>7325</v>
      </c>
      <c r="J5746" s="4" t="s">
        <v>52</v>
      </c>
      <c r="K5746" s="4" t="s">
        <v>59</v>
      </c>
      <c r="L5746" s="4" t="s">
        <v>60</v>
      </c>
      <c r="M5746" s="4" t="s">
        <v>6304</v>
      </c>
      <c r="N5746" s="4" t="s">
        <v>7429</v>
      </c>
      <c r="O5746" s="4" t="s">
        <v>63</v>
      </c>
      <c r="P5746" s="4" t="s">
        <v>64</v>
      </c>
    </row>
    <row r="5747">
      <c r="A5747" s="4" t="s">
        <v>6304</v>
      </c>
      <c r="B5747" s="4" t="s">
        <v>7323</v>
      </c>
      <c r="C5747" s="4">
        <v>227.0</v>
      </c>
      <c r="D5747" s="5" t="str">
        <f t="shared" ref="D5747:D5748" si="1873">HYPERLINK("https://www.linkedin.com/ad-library/detail/1222401013","Open Ad")</f>
        <v>Open Ad</v>
      </c>
      <c r="E5747" s="4" t="s">
        <v>78</v>
      </c>
      <c r="F5747" s="4" t="s">
        <v>6765</v>
      </c>
      <c r="G5747" s="4" t="s">
        <v>7438</v>
      </c>
      <c r="H5747" s="4" t="s">
        <v>49</v>
      </c>
      <c r="I5747" s="4" t="s">
        <v>7325</v>
      </c>
      <c r="J5747" s="4" t="s">
        <v>78</v>
      </c>
      <c r="K5747" s="7" t="str">
        <f t="shared" ref="K5747:K5748" si="1874">HYPERLINK("https://media.licdn.com/dms/image/v2/D4D10AQFIsbOCNkt2Ig/image-shrink_1280/B4DZ0QlADZJQAc-/0/1774099628490/1png?e=2147483647&amp;v=beta&amp;t=2bXNzGLfmV7K4XCQP5wb3G5UQwgziX9nmiMDhLo4CeI","View Creative")</f>
        <v>View Creative</v>
      </c>
      <c r="L5747" s="4" t="s">
        <v>60</v>
      </c>
      <c r="M5747" s="4" t="s">
        <v>6304</v>
      </c>
      <c r="N5747" s="4" t="s">
        <v>7422</v>
      </c>
      <c r="O5747" s="4" t="s">
        <v>63</v>
      </c>
      <c r="P5747" s="4" t="s">
        <v>64</v>
      </c>
    </row>
    <row r="5748">
      <c r="A5748" s="4" t="s">
        <v>6304</v>
      </c>
      <c r="B5748" s="4" t="s">
        <v>7323</v>
      </c>
      <c r="C5748" s="4">
        <v>228.0</v>
      </c>
      <c r="D5748" s="5" t="str">
        <f t="shared" si="1873"/>
        <v>Open Ad</v>
      </c>
      <c r="E5748" s="4" t="s">
        <v>78</v>
      </c>
      <c r="F5748" s="4" t="s">
        <v>6765</v>
      </c>
      <c r="G5748" s="4" t="s">
        <v>7438</v>
      </c>
      <c r="H5748" s="4" t="s">
        <v>49</v>
      </c>
      <c r="I5748" s="4" t="s">
        <v>7325</v>
      </c>
      <c r="J5748" s="4" t="s">
        <v>78</v>
      </c>
      <c r="K5748" s="7" t="str">
        <f t="shared" si="1874"/>
        <v>View Creative</v>
      </c>
      <c r="L5748" s="4" t="s">
        <v>60</v>
      </c>
      <c r="M5748" s="4" t="s">
        <v>6304</v>
      </c>
      <c r="N5748" s="4" t="s">
        <v>7422</v>
      </c>
      <c r="O5748" s="4" t="s">
        <v>63</v>
      </c>
      <c r="P5748" s="4" t="s">
        <v>64</v>
      </c>
    </row>
    <row r="5749">
      <c r="A5749" s="4" t="s">
        <v>6304</v>
      </c>
      <c r="B5749" s="4" t="s">
        <v>7323</v>
      </c>
      <c r="C5749" s="4">
        <v>229.0</v>
      </c>
      <c r="D5749" s="5" t="str">
        <f t="shared" ref="D5749:D5750" si="1875">HYPERLINK("https://www.linkedin.com/ad-library/detail/1197905083","Open Ad")</f>
        <v>Open Ad</v>
      </c>
      <c r="E5749" s="4" t="s">
        <v>78</v>
      </c>
      <c r="F5749" s="4" t="s">
        <v>6765</v>
      </c>
      <c r="G5749" s="4" t="s">
        <v>7439</v>
      </c>
      <c r="H5749" s="4" t="s">
        <v>7440</v>
      </c>
      <c r="I5749" s="4" t="s">
        <v>7325</v>
      </c>
      <c r="J5749" s="4" t="s">
        <v>78</v>
      </c>
      <c r="K5749" s="7" t="str">
        <f t="shared" ref="K5749:K5750" si="1876">HYPERLINK("https://media.licdn.com/dms/image/v2/D4D22AQEqsp7xi1RQVg/feedshare-shrink_1280/B4DZy6JVc9I4Ag-/0/1772649535735?e=2147483647&amp;v=beta&amp;t=Hw5S_sLbBGGVCAtFRwZ2H8ERbvSc0GsxOEeI-IMpQEM","View Creative")</f>
        <v>View Creative</v>
      </c>
      <c r="L5749" s="4" t="s">
        <v>60</v>
      </c>
      <c r="M5749" s="4" t="s">
        <v>6304</v>
      </c>
      <c r="N5749" s="4" t="s">
        <v>7441</v>
      </c>
      <c r="O5749" s="4" t="s">
        <v>63</v>
      </c>
      <c r="P5749" s="4" t="s">
        <v>64</v>
      </c>
    </row>
    <row r="5750">
      <c r="A5750" s="4" t="s">
        <v>6304</v>
      </c>
      <c r="B5750" s="4" t="s">
        <v>7323</v>
      </c>
      <c r="C5750" s="4">
        <v>230.0</v>
      </c>
      <c r="D5750" s="5" t="str">
        <f t="shared" si="1875"/>
        <v>Open Ad</v>
      </c>
      <c r="E5750" s="4" t="s">
        <v>78</v>
      </c>
      <c r="F5750" s="4" t="s">
        <v>6765</v>
      </c>
      <c r="G5750" s="4" t="s">
        <v>7439</v>
      </c>
      <c r="H5750" s="4" t="s">
        <v>7440</v>
      </c>
      <c r="I5750" s="4" t="s">
        <v>7325</v>
      </c>
      <c r="J5750" s="4" t="s">
        <v>78</v>
      </c>
      <c r="K5750" s="7" t="str">
        <f t="shared" si="1876"/>
        <v>View Creative</v>
      </c>
      <c r="L5750" s="4" t="s">
        <v>60</v>
      </c>
      <c r="M5750" s="4" t="s">
        <v>6304</v>
      </c>
      <c r="N5750" s="4" t="s">
        <v>7441</v>
      </c>
      <c r="O5750" s="4" t="s">
        <v>63</v>
      </c>
      <c r="P5750" s="4" t="s">
        <v>64</v>
      </c>
    </row>
    <row r="5751">
      <c r="A5751" s="4" t="s">
        <v>6304</v>
      </c>
      <c r="B5751" s="4" t="s">
        <v>7323</v>
      </c>
      <c r="C5751" s="4">
        <v>231.0</v>
      </c>
      <c r="D5751" s="5" t="str">
        <f t="shared" ref="D5751:D5752" si="1877">HYPERLINK("https://www.linkedin.com/ad-library/detail/1223481573","Open Ad")</f>
        <v>Open Ad</v>
      </c>
      <c r="E5751" s="4" t="s">
        <v>78</v>
      </c>
      <c r="F5751" s="4" t="s">
        <v>6765</v>
      </c>
      <c r="G5751" s="4" t="s">
        <v>7442</v>
      </c>
      <c r="H5751" s="4" t="s">
        <v>49</v>
      </c>
      <c r="I5751" s="4" t="s">
        <v>7325</v>
      </c>
      <c r="J5751" s="4" t="s">
        <v>78</v>
      </c>
      <c r="K5751" s="7" t="str">
        <f t="shared" ref="K5751:K5752" si="1878">HYPERLINK("https://media.licdn.com/dms/image/v2/D4D10AQGKomDvXYwzuw/image-shrink_1280/B4DZ20scxHI0Ag-/0/1776853044626/omripng?e=2147483647&amp;v=beta&amp;t=xXnmgkSdh8Iqkylj7bCIducYO4Fth9XE2UqExqncLFU","View Creative")</f>
        <v>View Creative</v>
      </c>
      <c r="L5751" s="4" t="s">
        <v>60</v>
      </c>
      <c r="M5751" s="4" t="s">
        <v>6304</v>
      </c>
      <c r="N5751" s="4" t="s">
        <v>7422</v>
      </c>
      <c r="O5751" s="4" t="s">
        <v>63</v>
      </c>
      <c r="P5751" s="4" t="s">
        <v>64</v>
      </c>
    </row>
    <row r="5752">
      <c r="A5752" s="4" t="s">
        <v>6304</v>
      </c>
      <c r="B5752" s="4" t="s">
        <v>7323</v>
      </c>
      <c r="C5752" s="4">
        <v>232.0</v>
      </c>
      <c r="D5752" s="5" t="str">
        <f t="shared" si="1877"/>
        <v>Open Ad</v>
      </c>
      <c r="E5752" s="4" t="s">
        <v>78</v>
      </c>
      <c r="F5752" s="4" t="s">
        <v>6765</v>
      </c>
      <c r="G5752" s="4" t="s">
        <v>7442</v>
      </c>
      <c r="H5752" s="4" t="s">
        <v>49</v>
      </c>
      <c r="I5752" s="4" t="s">
        <v>7325</v>
      </c>
      <c r="J5752" s="4" t="s">
        <v>78</v>
      </c>
      <c r="K5752" s="7" t="str">
        <f t="shared" si="1878"/>
        <v>View Creative</v>
      </c>
      <c r="L5752" s="4" t="s">
        <v>60</v>
      </c>
      <c r="M5752" s="4" t="s">
        <v>6304</v>
      </c>
      <c r="N5752" s="4" t="s">
        <v>7422</v>
      </c>
      <c r="O5752" s="4" t="s">
        <v>63</v>
      </c>
      <c r="P5752" s="4" t="s">
        <v>64</v>
      </c>
    </row>
    <row r="5753">
      <c r="A5753" s="4" t="s">
        <v>6304</v>
      </c>
      <c r="B5753" s="4" t="s">
        <v>7323</v>
      </c>
      <c r="C5753" s="4">
        <v>233.0</v>
      </c>
      <c r="D5753" s="5" t="str">
        <f t="shared" ref="D5753:D5754" si="1879">HYPERLINK("https://www.linkedin.com/ad-library/detail/1189287793","Open Ad")</f>
        <v>Open Ad</v>
      </c>
      <c r="E5753" s="4" t="s">
        <v>78</v>
      </c>
      <c r="F5753" s="4" t="s">
        <v>6765</v>
      </c>
      <c r="G5753" s="4" t="s">
        <v>7443</v>
      </c>
      <c r="H5753" s="4" t="s">
        <v>49</v>
      </c>
      <c r="I5753" s="4" t="s">
        <v>7325</v>
      </c>
      <c r="J5753" s="4" t="s">
        <v>78</v>
      </c>
      <c r="K5753" s="7" t="str">
        <f t="shared" ref="K5753:K5754" si="1880">HYPERLINK("https://media.licdn.com/dms/image/v2/D4D22AQEZdqQW8NpAIQ/feedshare-shrink_1280/B4DZx8Jj9tG0Ac-/0/1771609407915?e=2147483647&amp;v=beta&amp;t=PaXop3I3Oykhvs2HDm9Ww4zIU4_vAq4308yTAnNW70s","View Creative")</f>
        <v>View Creative</v>
      </c>
      <c r="L5753" s="4" t="s">
        <v>60</v>
      </c>
      <c r="M5753" s="4" t="s">
        <v>6304</v>
      </c>
      <c r="N5753" s="4" t="s">
        <v>7429</v>
      </c>
      <c r="O5753" s="4" t="s">
        <v>63</v>
      </c>
      <c r="P5753" s="4" t="s">
        <v>64</v>
      </c>
    </row>
    <row r="5754">
      <c r="A5754" s="4" t="s">
        <v>6304</v>
      </c>
      <c r="B5754" s="4" t="s">
        <v>7323</v>
      </c>
      <c r="C5754" s="4">
        <v>234.0</v>
      </c>
      <c r="D5754" s="5" t="str">
        <f t="shared" si="1879"/>
        <v>Open Ad</v>
      </c>
      <c r="E5754" s="4" t="s">
        <v>78</v>
      </c>
      <c r="F5754" s="4" t="s">
        <v>6765</v>
      </c>
      <c r="G5754" s="4" t="s">
        <v>7443</v>
      </c>
      <c r="H5754" s="4" t="s">
        <v>49</v>
      </c>
      <c r="I5754" s="4" t="s">
        <v>7325</v>
      </c>
      <c r="J5754" s="4" t="s">
        <v>78</v>
      </c>
      <c r="K5754" s="7" t="str">
        <f t="shared" si="1880"/>
        <v>View Creative</v>
      </c>
      <c r="L5754" s="4" t="s">
        <v>60</v>
      </c>
      <c r="M5754" s="4" t="s">
        <v>6304</v>
      </c>
      <c r="N5754" s="4" t="s">
        <v>7429</v>
      </c>
      <c r="O5754" s="4" t="s">
        <v>63</v>
      </c>
      <c r="P5754" s="4" t="s">
        <v>64</v>
      </c>
    </row>
    <row r="5755">
      <c r="A5755" s="4" t="s">
        <v>6304</v>
      </c>
      <c r="B5755" s="4" t="s">
        <v>7323</v>
      </c>
      <c r="C5755" s="4">
        <v>235.0</v>
      </c>
      <c r="D5755" s="5" t="str">
        <f t="shared" ref="D5755:D5756" si="1881">HYPERLINK("https://www.linkedin.com/ad-library/detail/1196602683","Open Ad")</f>
        <v>Open Ad</v>
      </c>
      <c r="E5755" s="4" t="s">
        <v>78</v>
      </c>
      <c r="F5755" s="4" t="s">
        <v>6765</v>
      </c>
      <c r="G5755" s="4" t="s">
        <v>7438</v>
      </c>
      <c r="H5755" s="4" t="s">
        <v>49</v>
      </c>
      <c r="I5755" s="4" t="s">
        <v>7325</v>
      </c>
      <c r="J5755" s="4" t="s">
        <v>78</v>
      </c>
      <c r="K5755" s="7" t="str">
        <f t="shared" ref="K5755:K5756" si="1882">HYPERLINK("https://media.licdn.com/dms/image/v2/D4D10AQFIsbOCNkt2Ig/image-shrink_1280/B4DZ0QlADZJQAc-/0/1774099628490/1png?e=2147483647&amp;v=beta&amp;t=2bXNzGLfmV7K4XCQP5wb3G5UQwgziX9nmiMDhLo4CeI","View Creative")</f>
        <v>View Creative</v>
      </c>
      <c r="L5755" s="4" t="s">
        <v>60</v>
      </c>
      <c r="M5755" s="4" t="s">
        <v>6304</v>
      </c>
      <c r="N5755" s="4" t="s">
        <v>7421</v>
      </c>
      <c r="O5755" s="4" t="s">
        <v>63</v>
      </c>
      <c r="P5755" s="4" t="s">
        <v>64</v>
      </c>
    </row>
    <row r="5756">
      <c r="A5756" s="4" t="s">
        <v>6304</v>
      </c>
      <c r="B5756" s="4" t="s">
        <v>7323</v>
      </c>
      <c r="C5756" s="4">
        <v>236.0</v>
      </c>
      <c r="D5756" s="5" t="str">
        <f t="shared" si="1881"/>
        <v>Open Ad</v>
      </c>
      <c r="E5756" s="4" t="s">
        <v>78</v>
      </c>
      <c r="F5756" s="4" t="s">
        <v>6765</v>
      </c>
      <c r="G5756" s="4" t="s">
        <v>7438</v>
      </c>
      <c r="H5756" s="4" t="s">
        <v>49</v>
      </c>
      <c r="I5756" s="4" t="s">
        <v>7325</v>
      </c>
      <c r="J5756" s="4" t="s">
        <v>78</v>
      </c>
      <c r="K5756" s="7" t="str">
        <f t="shared" si="1882"/>
        <v>View Creative</v>
      </c>
      <c r="L5756" s="4" t="s">
        <v>60</v>
      </c>
      <c r="M5756" s="4" t="s">
        <v>6304</v>
      </c>
      <c r="N5756" s="4" t="s">
        <v>7421</v>
      </c>
      <c r="O5756" s="4" t="s">
        <v>63</v>
      </c>
      <c r="P5756" s="4" t="s">
        <v>64</v>
      </c>
    </row>
    <row r="5757">
      <c r="A5757" s="4" t="s">
        <v>6304</v>
      </c>
      <c r="B5757" s="4" t="s">
        <v>7323</v>
      </c>
      <c r="C5757" s="4">
        <v>237.0</v>
      </c>
      <c r="D5757" s="5" t="str">
        <f t="shared" ref="D5757:D5758" si="1883">HYPERLINK("https://www.linkedin.com/ad-library/detail/1199207183","Open Ad")</f>
        <v>Open Ad</v>
      </c>
      <c r="E5757" s="4" t="s">
        <v>78</v>
      </c>
      <c r="F5757" s="4" t="s">
        <v>6765</v>
      </c>
      <c r="G5757" s="4" t="s">
        <v>7392</v>
      </c>
      <c r="H5757" s="4" t="s">
        <v>49</v>
      </c>
      <c r="I5757" s="4" t="s">
        <v>7325</v>
      </c>
      <c r="J5757" s="4" t="s">
        <v>78</v>
      </c>
      <c r="K5757" s="7" t="str">
        <f t="shared" ref="K5757:K5758" si="1884">HYPERLINK("https://media.licdn.com/dms/image/v2/D4D10AQGQIJq-FhRa0Q/image-shrink_1280/B4DZ0Ql3MbH4Ac-/0/1774099854350/2png?e=2147483647&amp;v=beta&amp;t=y1v-SxIxcwPrXsKf7HVvVNTO_-psFrVBwCn6chrjqNo","View Creative")</f>
        <v>View Creative</v>
      </c>
      <c r="L5757" s="4" t="s">
        <v>60</v>
      </c>
      <c r="M5757" s="4" t="s">
        <v>6304</v>
      </c>
      <c r="N5757" s="4" t="s">
        <v>7444</v>
      </c>
      <c r="O5757" s="4" t="s">
        <v>63</v>
      </c>
      <c r="P5757" s="4" t="s">
        <v>64</v>
      </c>
    </row>
    <row r="5758">
      <c r="A5758" s="4" t="s">
        <v>6304</v>
      </c>
      <c r="B5758" s="4" t="s">
        <v>7323</v>
      </c>
      <c r="C5758" s="4">
        <v>238.0</v>
      </c>
      <c r="D5758" s="5" t="str">
        <f t="shared" si="1883"/>
        <v>Open Ad</v>
      </c>
      <c r="E5758" s="4" t="s">
        <v>78</v>
      </c>
      <c r="F5758" s="4" t="s">
        <v>6765</v>
      </c>
      <c r="G5758" s="4" t="s">
        <v>7392</v>
      </c>
      <c r="H5758" s="4" t="s">
        <v>49</v>
      </c>
      <c r="I5758" s="4" t="s">
        <v>7325</v>
      </c>
      <c r="J5758" s="4" t="s">
        <v>78</v>
      </c>
      <c r="K5758" s="7" t="str">
        <f t="shared" si="1884"/>
        <v>View Creative</v>
      </c>
      <c r="L5758" s="4" t="s">
        <v>60</v>
      </c>
      <c r="M5758" s="4" t="s">
        <v>6304</v>
      </c>
      <c r="N5758" s="4" t="s">
        <v>7444</v>
      </c>
      <c r="O5758" s="4" t="s">
        <v>63</v>
      </c>
      <c r="P5758" s="4" t="s">
        <v>64</v>
      </c>
    </row>
    <row r="5759">
      <c r="A5759" s="4" t="s">
        <v>6304</v>
      </c>
      <c r="B5759" s="4" t="s">
        <v>7323</v>
      </c>
      <c r="C5759" s="4">
        <v>239.0</v>
      </c>
      <c r="D5759" s="5" t="str">
        <f t="shared" ref="D5759:D5760" si="1885">HYPERLINK("https://www.linkedin.com/ad-library/detail/1097182313","Open Ad")</f>
        <v>Open Ad</v>
      </c>
      <c r="E5759" s="4" t="s">
        <v>121</v>
      </c>
      <c r="F5759" s="4" t="s">
        <v>6765</v>
      </c>
      <c r="G5759" s="4" t="s">
        <v>7445</v>
      </c>
      <c r="H5759" s="4" t="s">
        <v>49</v>
      </c>
      <c r="I5759" s="4" t="s">
        <v>7325</v>
      </c>
      <c r="J5759" s="4" t="s">
        <v>121</v>
      </c>
      <c r="K5759" s="7" t="str">
        <f t="shared" ref="K5759:K5760" si="1886">HYPERLINK("https://dms.licdn.com/playlist/vid/v2/D4D05AQGRL8Deep4P6w/mp4-720p-30fp-crf28/B4DZsCh4xzGwCE-/0/1765274003719?e=2147483647&amp;v=beta&amp;t=KX7hA5uEf2yGYmooeDUg-PyweaulgZvJEDTflregPEE","View Creative")</f>
        <v>View Creative</v>
      </c>
      <c r="L5759" s="4" t="s">
        <v>60</v>
      </c>
      <c r="M5759" s="4" t="s">
        <v>6304</v>
      </c>
      <c r="N5759" s="4" t="s">
        <v>7446</v>
      </c>
      <c r="O5759" s="4" t="s">
        <v>63</v>
      </c>
      <c r="P5759" s="4" t="s">
        <v>64</v>
      </c>
    </row>
    <row r="5760">
      <c r="A5760" s="4" t="s">
        <v>6304</v>
      </c>
      <c r="B5760" s="4" t="s">
        <v>7323</v>
      </c>
      <c r="C5760" s="4">
        <v>240.0</v>
      </c>
      <c r="D5760" s="5" t="str">
        <f t="shared" si="1885"/>
        <v>Open Ad</v>
      </c>
      <c r="E5760" s="4" t="s">
        <v>121</v>
      </c>
      <c r="F5760" s="4" t="s">
        <v>6765</v>
      </c>
      <c r="G5760" s="4" t="s">
        <v>7445</v>
      </c>
      <c r="H5760" s="4" t="s">
        <v>49</v>
      </c>
      <c r="I5760" s="4" t="s">
        <v>7325</v>
      </c>
      <c r="J5760" s="4" t="s">
        <v>121</v>
      </c>
      <c r="K5760" s="7" t="str">
        <f t="shared" si="1886"/>
        <v>View Creative</v>
      </c>
      <c r="L5760" s="4" t="s">
        <v>60</v>
      </c>
      <c r="M5760" s="4" t="s">
        <v>6304</v>
      </c>
      <c r="N5760" s="4" t="s">
        <v>7446</v>
      </c>
      <c r="O5760" s="4" t="s">
        <v>63</v>
      </c>
      <c r="P5760" s="4" t="s">
        <v>64</v>
      </c>
    </row>
    <row r="5761">
      <c r="A5761" s="4" t="s">
        <v>6304</v>
      </c>
      <c r="B5761" s="4" t="s">
        <v>7323</v>
      </c>
      <c r="C5761" s="4">
        <v>241.0</v>
      </c>
      <c r="D5761" s="5" t="str">
        <f t="shared" ref="D5761:D5762" si="1887">HYPERLINK("https://www.linkedin.com/ad-library/detail/990376443","Open Ad")</f>
        <v>Open Ad</v>
      </c>
      <c r="E5761" s="4" t="s">
        <v>78</v>
      </c>
      <c r="F5761" s="4" t="s">
        <v>6765</v>
      </c>
      <c r="G5761" s="4" t="s">
        <v>7447</v>
      </c>
      <c r="H5761" s="4" t="s">
        <v>49</v>
      </c>
      <c r="I5761" s="4" t="s">
        <v>7325</v>
      </c>
      <c r="J5761" s="4" t="s">
        <v>78</v>
      </c>
      <c r="K5761" s="7" t="str">
        <f t="shared" ref="K5761:K5762" si="1888">HYPERLINK("https://media.licdn.com/dms/image/v2/D4E22AQGZ3fgoKo_8YA/feedshare-shrink_1280/B4EZsCvwzxGcAc-/0/1765277634100?e=2147483647&amp;v=beta&amp;t=GDoew6V8b72QNu5yWAwoNaK9r9iI72-KzrtJl8xyKfM","View Creative")</f>
        <v>View Creative</v>
      </c>
      <c r="L5761" s="4" t="s">
        <v>60</v>
      </c>
      <c r="M5761" s="4" t="s">
        <v>6304</v>
      </c>
      <c r="N5761" s="4" t="s">
        <v>7448</v>
      </c>
      <c r="O5761" s="4" t="s">
        <v>63</v>
      </c>
      <c r="P5761" s="4" t="s">
        <v>64</v>
      </c>
    </row>
    <row r="5762">
      <c r="A5762" s="4" t="s">
        <v>6304</v>
      </c>
      <c r="B5762" s="4" t="s">
        <v>7323</v>
      </c>
      <c r="C5762" s="4">
        <v>242.0</v>
      </c>
      <c r="D5762" s="5" t="str">
        <f t="shared" si="1887"/>
        <v>Open Ad</v>
      </c>
      <c r="E5762" s="4" t="s">
        <v>78</v>
      </c>
      <c r="F5762" s="4" t="s">
        <v>6765</v>
      </c>
      <c r="G5762" s="4" t="s">
        <v>7447</v>
      </c>
      <c r="H5762" s="4" t="s">
        <v>49</v>
      </c>
      <c r="I5762" s="4" t="s">
        <v>7325</v>
      </c>
      <c r="J5762" s="4" t="s">
        <v>78</v>
      </c>
      <c r="K5762" s="7" t="str">
        <f t="shared" si="1888"/>
        <v>View Creative</v>
      </c>
      <c r="L5762" s="4" t="s">
        <v>60</v>
      </c>
      <c r="M5762" s="4" t="s">
        <v>6304</v>
      </c>
      <c r="N5762" s="4" t="s">
        <v>7448</v>
      </c>
      <c r="O5762" s="4" t="s">
        <v>63</v>
      </c>
      <c r="P5762" s="4" t="s">
        <v>64</v>
      </c>
    </row>
    <row r="5763">
      <c r="A5763" s="4" t="s">
        <v>6304</v>
      </c>
      <c r="B5763" s="4" t="s">
        <v>7323</v>
      </c>
      <c r="C5763" s="4">
        <v>243.0</v>
      </c>
      <c r="D5763" s="5" t="str">
        <f t="shared" ref="D5763:D5764" si="1889">HYPERLINK("https://www.linkedin.com/ad-library/detail/1097182323","Open Ad")</f>
        <v>Open Ad</v>
      </c>
      <c r="E5763" s="4" t="s">
        <v>121</v>
      </c>
      <c r="F5763" s="4" t="s">
        <v>6765</v>
      </c>
      <c r="G5763" s="4" t="s">
        <v>7449</v>
      </c>
      <c r="H5763" s="4" t="s">
        <v>49</v>
      </c>
      <c r="I5763" s="4" t="s">
        <v>7325</v>
      </c>
      <c r="J5763" s="4" t="s">
        <v>121</v>
      </c>
      <c r="K5763" s="7" t="str">
        <f t="shared" ref="K5763:K5764" si="1890">HYPERLINK("https://dms.licdn.com/playlist/vid/v2/D4D05AQGNnI7WcyQLzQ/mp4-720p-30fp-crf28/B4DZreCy2SH0CI-/0/1764661867584?e=2147483647&amp;v=beta&amp;t=9hq2a3WioGVMKRrHysbs9fzzh30ATvVKGnpGChEKZ3g","View Creative")</f>
        <v>View Creative</v>
      </c>
      <c r="L5763" s="4" t="s">
        <v>60</v>
      </c>
      <c r="M5763" s="4" t="s">
        <v>6304</v>
      </c>
      <c r="N5763" s="4" t="s">
        <v>7446</v>
      </c>
      <c r="O5763" s="4" t="s">
        <v>63</v>
      </c>
      <c r="P5763" s="4" t="s">
        <v>64</v>
      </c>
    </row>
    <row r="5764">
      <c r="A5764" s="4" t="s">
        <v>6304</v>
      </c>
      <c r="B5764" s="4" t="s">
        <v>7323</v>
      </c>
      <c r="C5764" s="4">
        <v>244.0</v>
      </c>
      <c r="D5764" s="5" t="str">
        <f t="shared" si="1889"/>
        <v>Open Ad</v>
      </c>
      <c r="E5764" s="4" t="s">
        <v>121</v>
      </c>
      <c r="F5764" s="4" t="s">
        <v>6765</v>
      </c>
      <c r="G5764" s="4" t="s">
        <v>7449</v>
      </c>
      <c r="H5764" s="4" t="s">
        <v>49</v>
      </c>
      <c r="I5764" s="4" t="s">
        <v>7325</v>
      </c>
      <c r="J5764" s="4" t="s">
        <v>121</v>
      </c>
      <c r="K5764" s="7" t="str">
        <f t="shared" si="1890"/>
        <v>View Creative</v>
      </c>
      <c r="L5764" s="4" t="s">
        <v>60</v>
      </c>
      <c r="M5764" s="4" t="s">
        <v>6304</v>
      </c>
      <c r="N5764" s="4" t="s">
        <v>7446</v>
      </c>
      <c r="O5764" s="4" t="s">
        <v>63</v>
      </c>
      <c r="P5764" s="4" t="s">
        <v>64</v>
      </c>
    </row>
    <row r="5765">
      <c r="A5765" s="4" t="s">
        <v>6304</v>
      </c>
      <c r="B5765" s="4" t="s">
        <v>7323</v>
      </c>
      <c r="C5765" s="4">
        <v>245.0</v>
      </c>
      <c r="D5765" s="5" t="str">
        <f t="shared" ref="D5765:D5766" si="1891">HYPERLINK("https://www.linkedin.com/ad-library/detail/971950843","Open Ad")</f>
        <v>Open Ad</v>
      </c>
      <c r="E5765" s="4" t="s">
        <v>78</v>
      </c>
      <c r="F5765" s="4" t="s">
        <v>6765</v>
      </c>
      <c r="G5765" s="4" t="s">
        <v>7450</v>
      </c>
      <c r="H5765" s="4" t="s">
        <v>49</v>
      </c>
      <c r="I5765" s="4" t="s">
        <v>7325</v>
      </c>
      <c r="J5765" s="4" t="s">
        <v>78</v>
      </c>
      <c r="K5765" s="7" t="str">
        <f t="shared" ref="K5765:K5766" si="1892">HYPERLINK("https://media.licdn.com/dms/image/v2/D4D22AQH9_nzticwW6g/feedshare-shrink_1280/B4DZro8r5LGgAo-/0/1764844815330?e=2147483647&amp;v=beta&amp;t=bJ2hgr4HjwvdD6dMxwetGfNtEkfLcHRZLMTQSCkRSQM","View Creative")</f>
        <v>View Creative</v>
      </c>
      <c r="L5765" s="4" t="s">
        <v>60</v>
      </c>
      <c r="M5765" s="4" t="s">
        <v>6304</v>
      </c>
      <c r="N5765" s="4" t="s">
        <v>7451</v>
      </c>
      <c r="O5765" s="4" t="s">
        <v>63</v>
      </c>
      <c r="P5765" s="4" t="s">
        <v>64</v>
      </c>
    </row>
    <row r="5766">
      <c r="A5766" s="4" t="s">
        <v>6304</v>
      </c>
      <c r="B5766" s="4" t="s">
        <v>7323</v>
      </c>
      <c r="C5766" s="4">
        <v>246.0</v>
      </c>
      <c r="D5766" s="5" t="str">
        <f t="shared" si="1891"/>
        <v>Open Ad</v>
      </c>
      <c r="E5766" s="4" t="s">
        <v>78</v>
      </c>
      <c r="F5766" s="4" t="s">
        <v>6765</v>
      </c>
      <c r="G5766" s="4" t="s">
        <v>7450</v>
      </c>
      <c r="H5766" s="4" t="s">
        <v>49</v>
      </c>
      <c r="I5766" s="4" t="s">
        <v>7325</v>
      </c>
      <c r="J5766" s="4" t="s">
        <v>78</v>
      </c>
      <c r="K5766" s="7" t="str">
        <f t="shared" si="1892"/>
        <v>View Creative</v>
      </c>
      <c r="L5766" s="4" t="s">
        <v>60</v>
      </c>
      <c r="M5766" s="4" t="s">
        <v>6304</v>
      </c>
      <c r="N5766" s="4" t="s">
        <v>7451</v>
      </c>
      <c r="O5766" s="4" t="s">
        <v>63</v>
      </c>
      <c r="P5766" s="4" t="s">
        <v>64</v>
      </c>
    </row>
    <row r="5767">
      <c r="A5767" s="4" t="s">
        <v>6304</v>
      </c>
      <c r="B5767" s="4" t="s">
        <v>7323</v>
      </c>
      <c r="C5767" s="4">
        <v>247.0</v>
      </c>
      <c r="D5767" s="5" t="str">
        <f t="shared" ref="D5767:D5768" si="1893">HYPERLINK("https://www.linkedin.com/ad-library/detail/1000880646","Open Ad")</f>
        <v>Open Ad</v>
      </c>
      <c r="E5767" s="4" t="s">
        <v>121</v>
      </c>
      <c r="F5767" s="4" t="s">
        <v>6765</v>
      </c>
      <c r="G5767" s="4" t="s">
        <v>7452</v>
      </c>
      <c r="H5767" s="4" t="s">
        <v>7453</v>
      </c>
      <c r="I5767" s="4" t="s">
        <v>7325</v>
      </c>
      <c r="J5767" s="4" t="s">
        <v>121</v>
      </c>
      <c r="K5767" s="7" t="str">
        <f t="shared" ref="K5767:K5768" si="1894">HYPERLINK("https://dms.licdn.com/playlist/vid/v2/D4D05AQGTsW2Hx2wMMQ/mp4-640p-30fp-crf28/B4DZsh.vszHwBw-/0/1765801660358?e=2147483647&amp;v=beta&amp;t=Xv3tSek06DrUp5vnNzYRn2o8rdeVreiCUit2dcz5Y0A","View Creative")</f>
        <v>View Creative</v>
      </c>
      <c r="L5767" s="4" t="s">
        <v>60</v>
      </c>
      <c r="M5767" s="4" t="s">
        <v>6304</v>
      </c>
      <c r="N5767" s="4" t="s">
        <v>7454</v>
      </c>
      <c r="O5767" s="4" t="s">
        <v>63</v>
      </c>
      <c r="P5767" s="4" t="s">
        <v>64</v>
      </c>
    </row>
    <row r="5768">
      <c r="A5768" s="4" t="s">
        <v>6304</v>
      </c>
      <c r="B5768" s="4" t="s">
        <v>7323</v>
      </c>
      <c r="C5768" s="4">
        <v>248.0</v>
      </c>
      <c r="D5768" s="5" t="str">
        <f t="shared" si="1893"/>
        <v>Open Ad</v>
      </c>
      <c r="E5768" s="4" t="s">
        <v>121</v>
      </c>
      <c r="F5768" s="4" t="s">
        <v>6765</v>
      </c>
      <c r="G5768" s="4" t="s">
        <v>7452</v>
      </c>
      <c r="H5768" s="4" t="s">
        <v>7453</v>
      </c>
      <c r="I5768" s="4" t="s">
        <v>7325</v>
      </c>
      <c r="J5768" s="4" t="s">
        <v>121</v>
      </c>
      <c r="K5768" s="7" t="str">
        <f t="shared" si="1894"/>
        <v>View Creative</v>
      </c>
      <c r="L5768" s="4" t="s">
        <v>60</v>
      </c>
      <c r="M5768" s="4" t="s">
        <v>6304</v>
      </c>
      <c r="N5768" s="4" t="s">
        <v>7454</v>
      </c>
      <c r="O5768" s="4" t="s">
        <v>63</v>
      </c>
      <c r="P5768" s="4" t="s">
        <v>64</v>
      </c>
    </row>
    <row r="5769">
      <c r="A5769" s="4" t="s">
        <v>6304</v>
      </c>
      <c r="B5769" s="4" t="s">
        <v>7323</v>
      </c>
      <c r="C5769" s="4">
        <v>249.0</v>
      </c>
      <c r="D5769" s="5" t="str">
        <f t="shared" ref="D5769:D5770" si="1895">HYPERLINK("https://www.linkedin.com/ad-library/detail/990483533","Open Ad")</f>
        <v>Open Ad</v>
      </c>
      <c r="E5769" s="4" t="s">
        <v>78</v>
      </c>
      <c r="F5769" s="4" t="s">
        <v>6765</v>
      </c>
      <c r="G5769" s="4" t="s">
        <v>7455</v>
      </c>
      <c r="H5769" s="4" t="s">
        <v>49</v>
      </c>
      <c r="I5769" s="4" t="s">
        <v>7325</v>
      </c>
      <c r="J5769" s="4" t="s">
        <v>78</v>
      </c>
      <c r="K5769" s="7" t="str">
        <f t="shared" ref="K5769:K5770" si="1896">HYPERLINK("https://media.licdn.com/dms/image/v2/D4D22AQH3I7CX2PDsOw/feedshare-shrink_1280/B4DZq7RnYuG8As-/0/1764078549694?e=2147483647&amp;v=beta&amp;t=c4tec5L3EYwO_gxVthgpkbnpG5jIlDW_Hel93hUlcWQ","View Creative")</f>
        <v>View Creative</v>
      </c>
      <c r="L5769" s="4" t="s">
        <v>60</v>
      </c>
      <c r="M5769" s="4" t="s">
        <v>6304</v>
      </c>
      <c r="N5769" s="4" t="s">
        <v>7456</v>
      </c>
      <c r="O5769" s="4" t="s">
        <v>63</v>
      </c>
      <c r="P5769" s="4" t="s">
        <v>64</v>
      </c>
    </row>
    <row r="5770">
      <c r="A5770" s="4" t="s">
        <v>6304</v>
      </c>
      <c r="B5770" s="4" t="s">
        <v>7323</v>
      </c>
      <c r="C5770" s="4">
        <v>250.0</v>
      </c>
      <c r="D5770" s="5" t="str">
        <f t="shared" si="1895"/>
        <v>Open Ad</v>
      </c>
      <c r="E5770" s="4" t="s">
        <v>78</v>
      </c>
      <c r="F5770" s="4" t="s">
        <v>6765</v>
      </c>
      <c r="G5770" s="4" t="s">
        <v>7455</v>
      </c>
      <c r="H5770" s="4" t="s">
        <v>49</v>
      </c>
      <c r="I5770" s="4" t="s">
        <v>7325</v>
      </c>
      <c r="J5770" s="4" t="s">
        <v>78</v>
      </c>
      <c r="K5770" s="7" t="str">
        <f t="shared" si="1896"/>
        <v>View Creative</v>
      </c>
      <c r="L5770" s="4" t="s">
        <v>60</v>
      </c>
      <c r="M5770" s="4" t="s">
        <v>6304</v>
      </c>
      <c r="N5770" s="4" t="s">
        <v>7456</v>
      </c>
      <c r="O5770" s="4" t="s">
        <v>63</v>
      </c>
      <c r="P5770" s="4" t="s">
        <v>64</v>
      </c>
    </row>
    <row r="5771">
      <c r="A5771" s="4" t="s">
        <v>6304</v>
      </c>
      <c r="B5771" s="4" t="s">
        <v>7323</v>
      </c>
      <c r="C5771" s="4">
        <v>251.0</v>
      </c>
      <c r="D5771" s="5" t="str">
        <f t="shared" ref="D5771:D5772" si="1897">HYPERLINK("https://www.linkedin.com/ad-library/detail/990501213","Open Ad")</f>
        <v>Open Ad</v>
      </c>
      <c r="E5771" s="4" t="s">
        <v>78</v>
      </c>
      <c r="F5771" s="4" t="s">
        <v>6765</v>
      </c>
      <c r="G5771" s="4" t="s">
        <v>7457</v>
      </c>
      <c r="H5771" s="4" t="s">
        <v>49</v>
      </c>
      <c r="I5771" s="4" t="s">
        <v>7325</v>
      </c>
      <c r="J5771" s="4" t="s">
        <v>78</v>
      </c>
      <c r="K5771" s="7" t="str">
        <f t="shared" ref="K5771:K5772" si="1898">HYPERLINK("https://media.licdn.com/dms/image/sync/v2/D4E27AQHVhTbhNRwCXQ/articleshare-shrink_1280_800/B4EZrPChVxIIAQ-/0/1764410136551?e=2147483647&amp;v=beta&amp;t=3Lh-5PD5xPylkUKPuWJV8FUzVaafjLGuPh4Ffb0HTcA","View Creative")</f>
        <v>View Creative</v>
      </c>
      <c r="L5771" s="4" t="s">
        <v>60</v>
      </c>
      <c r="M5771" s="4" t="s">
        <v>6304</v>
      </c>
      <c r="N5771" s="4" t="s">
        <v>7448</v>
      </c>
      <c r="O5771" s="4" t="s">
        <v>63</v>
      </c>
      <c r="P5771" s="4" t="s">
        <v>64</v>
      </c>
    </row>
    <row r="5772">
      <c r="A5772" s="4" t="s">
        <v>6304</v>
      </c>
      <c r="B5772" s="4" t="s">
        <v>7323</v>
      </c>
      <c r="C5772" s="4">
        <v>252.0</v>
      </c>
      <c r="D5772" s="5" t="str">
        <f t="shared" si="1897"/>
        <v>Open Ad</v>
      </c>
      <c r="E5772" s="4" t="s">
        <v>78</v>
      </c>
      <c r="F5772" s="4" t="s">
        <v>6765</v>
      </c>
      <c r="G5772" s="4" t="s">
        <v>7457</v>
      </c>
      <c r="H5772" s="4" t="s">
        <v>49</v>
      </c>
      <c r="I5772" s="4" t="s">
        <v>7325</v>
      </c>
      <c r="J5772" s="4" t="s">
        <v>78</v>
      </c>
      <c r="K5772" s="7" t="str">
        <f t="shared" si="1898"/>
        <v>View Creative</v>
      </c>
      <c r="L5772" s="4" t="s">
        <v>60</v>
      </c>
      <c r="M5772" s="4" t="s">
        <v>6304</v>
      </c>
      <c r="N5772" s="4" t="s">
        <v>7448</v>
      </c>
      <c r="O5772" s="4" t="s">
        <v>63</v>
      </c>
      <c r="P5772" s="4" t="s">
        <v>64</v>
      </c>
    </row>
    <row r="5773">
      <c r="A5773" s="4" t="s">
        <v>6304</v>
      </c>
      <c r="B5773" s="4" t="s">
        <v>7323</v>
      </c>
      <c r="C5773" s="4">
        <v>253.0</v>
      </c>
      <c r="D5773" s="5" t="str">
        <f t="shared" ref="D5773:D5774" si="1899">HYPERLINK("https://www.linkedin.com/ad-library/detail/990268823","Open Ad")</f>
        <v>Open Ad</v>
      </c>
      <c r="E5773" s="4" t="s">
        <v>78</v>
      </c>
      <c r="F5773" s="4" t="s">
        <v>6765</v>
      </c>
      <c r="G5773" s="4" t="s">
        <v>7458</v>
      </c>
      <c r="H5773" s="4" t="s">
        <v>49</v>
      </c>
      <c r="I5773" s="4" t="s">
        <v>7325</v>
      </c>
      <c r="J5773" s="4" t="s">
        <v>78</v>
      </c>
      <c r="K5773" s="7" t="str">
        <f t="shared" ref="K5773:K5774" si="1900">HYPERLINK("https://media.licdn.com/dms/image/v2/D4D22AQEjwKfgTute-w/feedshare-shrink_1280/B4DZp3dPpIHwAs-/0/1762940748461?e=2147483647&amp;v=beta&amp;t=kXPxoqiweQwFuE_M2l2d_AIWm25uImQLACI_kokO3fk","View Creative")</f>
        <v>View Creative</v>
      </c>
      <c r="L5773" s="4" t="s">
        <v>60</v>
      </c>
      <c r="M5773" s="4" t="s">
        <v>6304</v>
      </c>
      <c r="N5773" s="4" t="s">
        <v>7448</v>
      </c>
      <c r="O5773" s="4" t="s">
        <v>63</v>
      </c>
      <c r="P5773" s="4" t="s">
        <v>64</v>
      </c>
    </row>
    <row r="5774">
      <c r="A5774" s="4" t="s">
        <v>6304</v>
      </c>
      <c r="B5774" s="4" t="s">
        <v>7323</v>
      </c>
      <c r="C5774" s="4">
        <v>254.0</v>
      </c>
      <c r="D5774" s="5" t="str">
        <f t="shared" si="1899"/>
        <v>Open Ad</v>
      </c>
      <c r="E5774" s="4" t="s">
        <v>78</v>
      </c>
      <c r="F5774" s="4" t="s">
        <v>6765</v>
      </c>
      <c r="G5774" s="4" t="s">
        <v>7458</v>
      </c>
      <c r="H5774" s="4" t="s">
        <v>49</v>
      </c>
      <c r="I5774" s="4" t="s">
        <v>7325</v>
      </c>
      <c r="J5774" s="4" t="s">
        <v>78</v>
      </c>
      <c r="K5774" s="7" t="str">
        <f t="shared" si="1900"/>
        <v>View Creative</v>
      </c>
      <c r="L5774" s="4" t="s">
        <v>60</v>
      </c>
      <c r="M5774" s="4" t="s">
        <v>6304</v>
      </c>
      <c r="N5774" s="4" t="s">
        <v>7448</v>
      </c>
      <c r="O5774" s="4" t="s">
        <v>63</v>
      </c>
      <c r="P5774" s="4" t="s">
        <v>64</v>
      </c>
    </row>
    <row r="5775">
      <c r="A5775" s="4" t="s">
        <v>6304</v>
      </c>
      <c r="B5775" s="4" t="s">
        <v>7323</v>
      </c>
      <c r="C5775" s="4">
        <v>255.0</v>
      </c>
      <c r="D5775" s="5" t="str">
        <f t="shared" ref="D5775:D5776" si="1901">HYPERLINK("https://www.linkedin.com/ad-library/detail/1102584823","Open Ad")</f>
        <v>Open Ad</v>
      </c>
      <c r="E5775" s="4" t="s">
        <v>78</v>
      </c>
      <c r="F5775" s="4" t="s">
        <v>6765</v>
      </c>
      <c r="G5775" s="4" t="s">
        <v>7404</v>
      </c>
      <c r="H5775" s="4" t="s">
        <v>49</v>
      </c>
      <c r="I5775" s="4" t="s">
        <v>7325</v>
      </c>
      <c r="J5775" s="4" t="s">
        <v>78</v>
      </c>
      <c r="K5775" s="7" t="str">
        <f t="shared" ref="K5775:K5776" si="1902">HYPERLINK("https://media.licdn.com/dms/image/v2/D4D22AQEpPd3zrIcUvA/feedshare-shrink_1280/B4DZuOBLGhHwAs-/0/1767614231642?e=2147483647&amp;v=beta&amp;t=EhdyF1CtAC-GmZ2V62SjOTQxwOT9ysHWGe9yuqWZbNA","View Creative")</f>
        <v>View Creative</v>
      </c>
      <c r="L5775" s="4" t="s">
        <v>60</v>
      </c>
      <c r="M5775" s="4" t="s">
        <v>6304</v>
      </c>
      <c r="N5775" s="4" t="s">
        <v>7459</v>
      </c>
      <c r="O5775" s="4" t="s">
        <v>63</v>
      </c>
      <c r="P5775" s="4" t="s">
        <v>64</v>
      </c>
    </row>
    <row r="5776">
      <c r="A5776" s="4" t="s">
        <v>6304</v>
      </c>
      <c r="B5776" s="4" t="s">
        <v>7323</v>
      </c>
      <c r="C5776" s="4">
        <v>256.0</v>
      </c>
      <c r="D5776" s="5" t="str">
        <f t="shared" si="1901"/>
        <v>Open Ad</v>
      </c>
      <c r="E5776" s="4" t="s">
        <v>78</v>
      </c>
      <c r="F5776" s="4" t="s">
        <v>6765</v>
      </c>
      <c r="G5776" s="4" t="s">
        <v>7404</v>
      </c>
      <c r="H5776" s="4" t="s">
        <v>49</v>
      </c>
      <c r="I5776" s="4" t="s">
        <v>7325</v>
      </c>
      <c r="J5776" s="4" t="s">
        <v>78</v>
      </c>
      <c r="K5776" s="7" t="str">
        <f t="shared" si="1902"/>
        <v>View Creative</v>
      </c>
      <c r="L5776" s="4" t="s">
        <v>60</v>
      </c>
      <c r="M5776" s="4" t="s">
        <v>6304</v>
      </c>
      <c r="N5776" s="4" t="s">
        <v>7459</v>
      </c>
      <c r="O5776" s="4" t="s">
        <v>63</v>
      </c>
      <c r="P5776" s="4" t="s">
        <v>64</v>
      </c>
    </row>
    <row r="5777">
      <c r="A5777" s="4" t="s">
        <v>6304</v>
      </c>
      <c r="B5777" s="4" t="s">
        <v>7323</v>
      </c>
      <c r="C5777" s="4">
        <v>257.0</v>
      </c>
      <c r="D5777" s="5" t="str">
        <f t="shared" ref="D5777:D5778" si="1903">HYPERLINK("https://www.linkedin.com/ad-library/detail/1176002973","Open Ad")</f>
        <v>Open Ad</v>
      </c>
      <c r="E5777" s="4" t="s">
        <v>78</v>
      </c>
      <c r="F5777" s="4" t="s">
        <v>6765</v>
      </c>
      <c r="G5777" s="4" t="s">
        <v>7460</v>
      </c>
      <c r="H5777" s="4" t="s">
        <v>49</v>
      </c>
      <c r="I5777" s="4" t="s">
        <v>7325</v>
      </c>
      <c r="J5777" s="4" t="s">
        <v>78</v>
      </c>
      <c r="K5777" s="7" t="str">
        <f t="shared" ref="K5777:K5778" si="1904">HYPERLINK("https://media.licdn.com/dms/image/v2/D4D22AQFCQSukBx-ScA/feedshare-shrink_1280/B4DZxMa2FTHAAg-/0/1770808632674?e=2147483647&amp;v=beta&amp;t=x3aLN7fNlxD_Ga0-gVhAjKvhbGdxoDD-tBRdPJ7h1SY","View Creative")</f>
        <v>View Creative</v>
      </c>
      <c r="L5777" s="4" t="s">
        <v>60</v>
      </c>
      <c r="M5777" s="4" t="s">
        <v>6304</v>
      </c>
      <c r="N5777" s="4" t="s">
        <v>7461</v>
      </c>
      <c r="O5777" s="4" t="s">
        <v>63</v>
      </c>
      <c r="P5777" s="4" t="s">
        <v>64</v>
      </c>
    </row>
    <row r="5778">
      <c r="A5778" s="4" t="s">
        <v>6304</v>
      </c>
      <c r="B5778" s="4" t="s">
        <v>7323</v>
      </c>
      <c r="C5778" s="4">
        <v>258.0</v>
      </c>
      <c r="D5778" s="5" t="str">
        <f t="shared" si="1903"/>
        <v>Open Ad</v>
      </c>
      <c r="E5778" s="4" t="s">
        <v>78</v>
      </c>
      <c r="F5778" s="4" t="s">
        <v>6765</v>
      </c>
      <c r="G5778" s="4" t="s">
        <v>7460</v>
      </c>
      <c r="H5778" s="4" t="s">
        <v>49</v>
      </c>
      <c r="I5778" s="4" t="s">
        <v>7325</v>
      </c>
      <c r="J5778" s="4" t="s">
        <v>78</v>
      </c>
      <c r="K5778" s="7" t="str">
        <f t="shared" si="1904"/>
        <v>View Creative</v>
      </c>
      <c r="L5778" s="4" t="s">
        <v>60</v>
      </c>
      <c r="M5778" s="4" t="s">
        <v>6304</v>
      </c>
      <c r="N5778" s="4" t="s">
        <v>7461</v>
      </c>
      <c r="O5778" s="4" t="s">
        <v>63</v>
      </c>
      <c r="P5778" s="4" t="s">
        <v>64</v>
      </c>
    </row>
    <row r="5779">
      <c r="A5779" s="4" t="s">
        <v>6304</v>
      </c>
      <c r="B5779" s="4" t="s">
        <v>7323</v>
      </c>
      <c r="C5779" s="4">
        <v>259.0</v>
      </c>
      <c r="D5779" s="5" t="str">
        <f t="shared" ref="D5779:D5780" si="1905">HYPERLINK("https://www.linkedin.com/ad-library/detail/990454503","Open Ad")</f>
        <v>Open Ad</v>
      </c>
      <c r="E5779" s="4" t="s">
        <v>78</v>
      </c>
      <c r="F5779" s="4" t="s">
        <v>6765</v>
      </c>
      <c r="G5779" s="4" t="s">
        <v>7462</v>
      </c>
      <c r="H5779" s="4" t="s">
        <v>611</v>
      </c>
      <c r="I5779" s="4" t="s">
        <v>7325</v>
      </c>
      <c r="J5779" s="4" t="s">
        <v>78</v>
      </c>
      <c r="K5779" s="7" t="str">
        <f t="shared" ref="K5779:K5780" si="1906">HYPERLINK("https://media.licdn.com/dms/image/v2/D4D22AQF89sokYPwgiA/feedshare-shrink_1280/B4DZqQ3DIjGgAs-/0/1763366941846?e=2147483647&amp;v=beta&amp;t=k2qBfFOMYdoi7TJaUsrROb0ijJiKISlr_H530v7k9H4","View Creative")</f>
        <v>View Creative</v>
      </c>
      <c r="L5779" s="4" t="s">
        <v>60</v>
      </c>
      <c r="M5779" s="4" t="s">
        <v>6304</v>
      </c>
      <c r="N5779" s="4" t="s">
        <v>7463</v>
      </c>
      <c r="O5779" s="4" t="s">
        <v>63</v>
      </c>
      <c r="P5779" s="4" t="s">
        <v>64</v>
      </c>
    </row>
    <row r="5780">
      <c r="A5780" s="4" t="s">
        <v>6304</v>
      </c>
      <c r="B5780" s="4" t="s">
        <v>7323</v>
      </c>
      <c r="C5780" s="4">
        <v>260.0</v>
      </c>
      <c r="D5780" s="5" t="str">
        <f t="shared" si="1905"/>
        <v>Open Ad</v>
      </c>
      <c r="E5780" s="4" t="s">
        <v>78</v>
      </c>
      <c r="F5780" s="4" t="s">
        <v>6765</v>
      </c>
      <c r="G5780" s="4" t="s">
        <v>7462</v>
      </c>
      <c r="H5780" s="4" t="s">
        <v>611</v>
      </c>
      <c r="I5780" s="4" t="s">
        <v>7325</v>
      </c>
      <c r="J5780" s="4" t="s">
        <v>78</v>
      </c>
      <c r="K5780" s="7" t="str">
        <f t="shared" si="1906"/>
        <v>View Creative</v>
      </c>
      <c r="L5780" s="4" t="s">
        <v>60</v>
      </c>
      <c r="M5780" s="4" t="s">
        <v>6304</v>
      </c>
      <c r="N5780" s="4" t="s">
        <v>7463</v>
      </c>
      <c r="O5780" s="4" t="s">
        <v>63</v>
      </c>
      <c r="P5780" s="4" t="s">
        <v>64</v>
      </c>
    </row>
    <row r="5781">
      <c r="A5781" s="4" t="s">
        <v>6304</v>
      </c>
      <c r="B5781" s="4" t="s">
        <v>7323</v>
      </c>
      <c r="C5781" s="4">
        <v>261.0</v>
      </c>
      <c r="D5781" s="5" t="str">
        <f t="shared" ref="D5781:D5782" si="1907">HYPERLINK("https://www.linkedin.com/ad-library/detail/990229433","Open Ad")</f>
        <v>Open Ad</v>
      </c>
      <c r="E5781" s="4" t="s">
        <v>121</v>
      </c>
      <c r="F5781" s="4" t="s">
        <v>6765</v>
      </c>
      <c r="G5781" s="8" t="s">
        <v>7464</v>
      </c>
      <c r="H5781" s="4" t="s">
        <v>49</v>
      </c>
      <c r="I5781" s="4" t="s">
        <v>7325</v>
      </c>
      <c r="J5781" s="4" t="s">
        <v>121</v>
      </c>
      <c r="K5781" s="7" t="str">
        <f t="shared" ref="K5781:K5782" si="1908">HYPERLINK("https://dms.licdn.com/playlist/vid/v2/D4D05AQHxw7nXQrUgOQ/mp4-720p-30fp-crf28/B4DZrYyVU.IgCI-/0/1764573670769?e=2147483647&amp;v=beta&amp;t=j3YRmN219aJzW40fw5ykcH6azavG5H92XmiZK5fFX5Y","View Creative")</f>
        <v>View Creative</v>
      </c>
      <c r="L5781" s="4" t="s">
        <v>60</v>
      </c>
      <c r="M5781" s="4" t="s">
        <v>6304</v>
      </c>
      <c r="N5781" s="4" t="s">
        <v>7463</v>
      </c>
      <c r="O5781" s="4" t="s">
        <v>63</v>
      </c>
      <c r="P5781" s="4" t="s">
        <v>64</v>
      </c>
    </row>
    <row r="5782">
      <c r="A5782" s="4" t="s">
        <v>6304</v>
      </c>
      <c r="B5782" s="4" t="s">
        <v>7323</v>
      </c>
      <c r="C5782" s="4">
        <v>262.0</v>
      </c>
      <c r="D5782" s="5" t="str">
        <f t="shared" si="1907"/>
        <v>Open Ad</v>
      </c>
      <c r="E5782" s="4" t="s">
        <v>121</v>
      </c>
      <c r="F5782" s="4" t="s">
        <v>6765</v>
      </c>
      <c r="G5782" s="8" t="s">
        <v>7464</v>
      </c>
      <c r="H5782" s="4" t="s">
        <v>49</v>
      </c>
      <c r="I5782" s="4" t="s">
        <v>7325</v>
      </c>
      <c r="J5782" s="4" t="s">
        <v>121</v>
      </c>
      <c r="K5782" s="7" t="str">
        <f t="shared" si="1908"/>
        <v>View Creative</v>
      </c>
      <c r="L5782" s="4" t="s">
        <v>60</v>
      </c>
      <c r="M5782" s="4" t="s">
        <v>6304</v>
      </c>
      <c r="N5782" s="4" t="s">
        <v>7463</v>
      </c>
      <c r="O5782" s="4" t="s">
        <v>63</v>
      </c>
      <c r="P5782" s="4" t="s">
        <v>64</v>
      </c>
    </row>
    <row r="5783">
      <c r="A5783" s="4" t="s">
        <v>6304</v>
      </c>
      <c r="B5783" s="4" t="s">
        <v>7323</v>
      </c>
      <c r="C5783" s="4">
        <v>263.0</v>
      </c>
      <c r="D5783" s="5" t="str">
        <f>HYPERLINK("https://www.linkedin.com/ad-library/detail/1175222623","Open Ad")</f>
        <v>Open Ad</v>
      </c>
      <c r="E5783" s="4" t="s">
        <v>52</v>
      </c>
      <c r="F5783" s="4" t="s">
        <v>6765</v>
      </c>
      <c r="G5783" s="4" t="s">
        <v>7437</v>
      </c>
      <c r="H5783" s="4" t="s">
        <v>49</v>
      </c>
      <c r="I5783" s="4" t="s">
        <v>7325</v>
      </c>
      <c r="J5783" s="4" t="s">
        <v>52</v>
      </c>
      <c r="K5783" s="4" t="s">
        <v>59</v>
      </c>
      <c r="L5783" s="4" t="s">
        <v>60</v>
      </c>
      <c r="M5783" s="4" t="s">
        <v>6304</v>
      </c>
      <c r="N5783" s="4" t="s">
        <v>7461</v>
      </c>
      <c r="O5783" s="4" t="s">
        <v>63</v>
      </c>
      <c r="P5783" s="4" t="s">
        <v>64</v>
      </c>
    </row>
    <row r="5784">
      <c r="A5784" s="4" t="s">
        <v>6304</v>
      </c>
      <c r="B5784" s="4" t="s">
        <v>7323</v>
      </c>
      <c r="C5784" s="4">
        <v>264.0</v>
      </c>
      <c r="D5784" s="5" t="str">
        <f t="shared" ref="D5784:D5785" si="1909">HYPERLINK("https://www.linkedin.com/ad-library/detail/1176002963","Open Ad")</f>
        <v>Open Ad</v>
      </c>
      <c r="E5784" s="4" t="s">
        <v>78</v>
      </c>
      <c r="F5784" s="4" t="s">
        <v>6765</v>
      </c>
      <c r="G5784" s="4" t="s">
        <v>7404</v>
      </c>
      <c r="H5784" s="4" t="s">
        <v>49</v>
      </c>
      <c r="I5784" s="4" t="s">
        <v>7325</v>
      </c>
      <c r="J5784" s="4" t="s">
        <v>78</v>
      </c>
      <c r="K5784" s="7" t="str">
        <f t="shared" ref="K5784:K5785" si="1910">HYPERLINK("https://media.licdn.com/dms/image/v2/D4D22AQEpPd3zrIcUvA/feedshare-shrink_1280/B4DZuOBLGhHwAs-/0/1767614231642?e=2147483647&amp;v=beta&amp;t=EhdyF1CtAC-GmZ2V62SjOTQxwOT9ysHWGe9yuqWZbNA","View Creative")</f>
        <v>View Creative</v>
      </c>
      <c r="L5784" s="4" t="s">
        <v>60</v>
      </c>
      <c r="M5784" s="4" t="s">
        <v>6304</v>
      </c>
      <c r="N5784" s="4" t="s">
        <v>7461</v>
      </c>
      <c r="O5784" s="4" t="s">
        <v>63</v>
      </c>
      <c r="P5784" s="4" t="s">
        <v>64</v>
      </c>
    </row>
    <row r="5785">
      <c r="A5785" s="4" t="s">
        <v>6304</v>
      </c>
      <c r="B5785" s="4" t="s">
        <v>7323</v>
      </c>
      <c r="C5785" s="4">
        <v>265.0</v>
      </c>
      <c r="D5785" s="5" t="str">
        <f t="shared" si="1909"/>
        <v>Open Ad</v>
      </c>
      <c r="E5785" s="4" t="s">
        <v>78</v>
      </c>
      <c r="F5785" s="4" t="s">
        <v>6765</v>
      </c>
      <c r="G5785" s="4" t="s">
        <v>7404</v>
      </c>
      <c r="H5785" s="4" t="s">
        <v>49</v>
      </c>
      <c r="I5785" s="4" t="s">
        <v>7325</v>
      </c>
      <c r="J5785" s="4" t="s">
        <v>78</v>
      </c>
      <c r="K5785" s="7" t="str">
        <f t="shared" si="1910"/>
        <v>View Creative</v>
      </c>
      <c r="L5785" s="4" t="s">
        <v>60</v>
      </c>
      <c r="M5785" s="4" t="s">
        <v>6304</v>
      </c>
      <c r="N5785" s="4" t="s">
        <v>7461</v>
      </c>
      <c r="O5785" s="4" t="s">
        <v>63</v>
      </c>
      <c r="P5785" s="4" t="s">
        <v>64</v>
      </c>
    </row>
    <row r="5786">
      <c r="A5786" s="4" t="s">
        <v>6304</v>
      </c>
      <c r="B5786" s="4" t="s">
        <v>7323</v>
      </c>
      <c r="C5786" s="4">
        <v>266.0</v>
      </c>
      <c r="D5786" s="5" t="str">
        <f t="shared" ref="D5786:D5787" si="1911">HYPERLINK("https://www.linkedin.com/ad-library/detail/1104683853","Open Ad")</f>
        <v>Open Ad</v>
      </c>
      <c r="E5786" s="4" t="s">
        <v>121</v>
      </c>
      <c r="F5786" s="4" t="s">
        <v>6765</v>
      </c>
      <c r="G5786" s="4" t="s">
        <v>7465</v>
      </c>
      <c r="H5786" s="4" t="s">
        <v>49</v>
      </c>
      <c r="I5786" s="4" t="s">
        <v>7325</v>
      </c>
      <c r="J5786" s="4" t="s">
        <v>121</v>
      </c>
      <c r="K5786" s="7" t="str">
        <f t="shared" ref="K5786:K5787" si="1912">HYPERLINK("https://dms.licdn.com/playlist/vid/v2/D4E05AQHpW7ghOJJ4Vw/mp4-640p-30fp-crf28/B4EZtKRjTnI0Bw-/0/1766477686967?e=2147483647&amp;v=beta&amp;t=GJ9ZZupNz1xUGUDXUpIhbGUJoUbFMNJsybfIkZYg-f8","View Creative")</f>
        <v>View Creative</v>
      </c>
      <c r="L5786" s="4" t="s">
        <v>60</v>
      </c>
      <c r="M5786" s="4" t="s">
        <v>6304</v>
      </c>
      <c r="N5786" s="4" t="s">
        <v>7459</v>
      </c>
      <c r="O5786" s="4" t="s">
        <v>63</v>
      </c>
      <c r="P5786" s="4" t="s">
        <v>64</v>
      </c>
    </row>
    <row r="5787">
      <c r="A5787" s="4" t="s">
        <v>6304</v>
      </c>
      <c r="B5787" s="4" t="s">
        <v>7323</v>
      </c>
      <c r="C5787" s="4">
        <v>267.0</v>
      </c>
      <c r="D5787" s="5" t="str">
        <f t="shared" si="1911"/>
        <v>Open Ad</v>
      </c>
      <c r="E5787" s="4" t="s">
        <v>121</v>
      </c>
      <c r="F5787" s="4" t="s">
        <v>6765</v>
      </c>
      <c r="G5787" s="4" t="s">
        <v>7465</v>
      </c>
      <c r="H5787" s="4" t="s">
        <v>49</v>
      </c>
      <c r="I5787" s="4" t="s">
        <v>7325</v>
      </c>
      <c r="J5787" s="4" t="s">
        <v>121</v>
      </c>
      <c r="K5787" s="7" t="str">
        <f t="shared" si="1912"/>
        <v>View Creative</v>
      </c>
      <c r="L5787" s="4" t="s">
        <v>60</v>
      </c>
      <c r="M5787" s="4" t="s">
        <v>6304</v>
      </c>
      <c r="N5787" s="4" t="s">
        <v>7459</v>
      </c>
      <c r="O5787" s="4" t="s">
        <v>63</v>
      </c>
      <c r="P5787" s="4" t="s">
        <v>64</v>
      </c>
    </row>
    <row r="5788">
      <c r="A5788" s="4" t="s">
        <v>6304</v>
      </c>
      <c r="B5788" s="4" t="s">
        <v>7323</v>
      </c>
      <c r="C5788" s="4">
        <v>268.0</v>
      </c>
      <c r="D5788" s="5" t="str">
        <f t="shared" ref="D5788:D5789" si="1913">HYPERLINK("https://www.linkedin.com/ad-library/detail/990424743","Open Ad")</f>
        <v>Open Ad</v>
      </c>
      <c r="E5788" s="4" t="s">
        <v>121</v>
      </c>
      <c r="F5788" s="4" t="s">
        <v>6765</v>
      </c>
      <c r="G5788" s="4" t="s">
        <v>7445</v>
      </c>
      <c r="H5788" s="4" t="s">
        <v>49</v>
      </c>
      <c r="I5788" s="4" t="s">
        <v>7325</v>
      </c>
      <c r="J5788" s="4" t="s">
        <v>121</v>
      </c>
      <c r="K5788" s="7" t="str">
        <f t="shared" ref="K5788:K5789" si="1914">HYPERLINK("https://dms.licdn.com/playlist/vid/v2/D4D05AQGRL8Deep4P6w/mp4-720p-30fp-crf28/B4DZsCh4xzGwCE-/0/1765274003719?e=2147483647&amp;v=beta&amp;t=KX7hA5uEf2yGYmooeDUg-PyweaulgZvJEDTflregPEE","View Creative")</f>
        <v>View Creative</v>
      </c>
      <c r="L5788" s="4" t="s">
        <v>60</v>
      </c>
      <c r="M5788" s="4" t="s">
        <v>6304</v>
      </c>
      <c r="N5788" s="4" t="s">
        <v>7463</v>
      </c>
      <c r="O5788" s="4" t="s">
        <v>63</v>
      </c>
      <c r="P5788" s="4" t="s">
        <v>64</v>
      </c>
    </row>
    <row r="5789">
      <c r="A5789" s="4" t="s">
        <v>6304</v>
      </c>
      <c r="B5789" s="4" t="s">
        <v>7323</v>
      </c>
      <c r="C5789" s="4">
        <v>269.0</v>
      </c>
      <c r="D5789" s="5" t="str">
        <f t="shared" si="1913"/>
        <v>Open Ad</v>
      </c>
      <c r="E5789" s="4" t="s">
        <v>121</v>
      </c>
      <c r="F5789" s="4" t="s">
        <v>6765</v>
      </c>
      <c r="G5789" s="4" t="s">
        <v>7445</v>
      </c>
      <c r="H5789" s="4" t="s">
        <v>49</v>
      </c>
      <c r="I5789" s="4" t="s">
        <v>7325</v>
      </c>
      <c r="J5789" s="4" t="s">
        <v>121</v>
      </c>
      <c r="K5789" s="7" t="str">
        <f t="shared" si="1914"/>
        <v>View Creative</v>
      </c>
      <c r="L5789" s="4" t="s">
        <v>60</v>
      </c>
      <c r="M5789" s="4" t="s">
        <v>6304</v>
      </c>
      <c r="N5789" s="4" t="s">
        <v>7463</v>
      </c>
      <c r="O5789" s="4" t="s">
        <v>63</v>
      </c>
      <c r="P5789" s="4" t="s">
        <v>64</v>
      </c>
    </row>
    <row r="5790">
      <c r="A5790" s="4" t="s">
        <v>6304</v>
      </c>
      <c r="B5790" s="4" t="s">
        <v>7323</v>
      </c>
      <c r="C5790" s="4">
        <v>270.0</v>
      </c>
      <c r="D5790" s="5" t="str">
        <f t="shared" ref="D5790:D5791" si="1915">HYPERLINK("https://www.linkedin.com/ad-library/detail/971878443","Open Ad")</f>
        <v>Open Ad</v>
      </c>
      <c r="E5790" s="4" t="s">
        <v>121</v>
      </c>
      <c r="F5790" s="4" t="s">
        <v>6765</v>
      </c>
      <c r="G5790" s="8" t="s">
        <v>7464</v>
      </c>
      <c r="H5790" s="4" t="s">
        <v>49</v>
      </c>
      <c r="I5790" s="4" t="s">
        <v>7325</v>
      </c>
      <c r="J5790" s="4" t="s">
        <v>121</v>
      </c>
      <c r="K5790" s="7" t="str">
        <f t="shared" ref="K5790:K5791" si="1916">HYPERLINK("https://dms.licdn.com/playlist/vid/v2/D4D05AQHxw7nXQrUgOQ/mp4-720p-30fp-crf28/B4DZrYyVU.IgCI-/0/1764573670769?e=2147483647&amp;v=beta&amp;t=j3YRmN219aJzW40fw5ykcH6azavG5H92XmiZK5fFX5Y","View Creative")</f>
        <v>View Creative</v>
      </c>
      <c r="L5790" s="4" t="s">
        <v>60</v>
      </c>
      <c r="M5790" s="4" t="s">
        <v>6304</v>
      </c>
      <c r="N5790" s="4" t="s">
        <v>7466</v>
      </c>
      <c r="O5790" s="4" t="s">
        <v>63</v>
      </c>
      <c r="P5790" s="4" t="s">
        <v>64</v>
      </c>
    </row>
    <row r="5791">
      <c r="A5791" s="4" t="s">
        <v>6304</v>
      </c>
      <c r="B5791" s="4" t="s">
        <v>7323</v>
      </c>
      <c r="C5791" s="4">
        <v>271.0</v>
      </c>
      <c r="D5791" s="5" t="str">
        <f t="shared" si="1915"/>
        <v>Open Ad</v>
      </c>
      <c r="E5791" s="4" t="s">
        <v>121</v>
      </c>
      <c r="F5791" s="4" t="s">
        <v>6765</v>
      </c>
      <c r="G5791" s="8" t="s">
        <v>7464</v>
      </c>
      <c r="H5791" s="4" t="s">
        <v>49</v>
      </c>
      <c r="I5791" s="4" t="s">
        <v>7325</v>
      </c>
      <c r="J5791" s="4" t="s">
        <v>121</v>
      </c>
      <c r="K5791" s="7" t="str">
        <f t="shared" si="1916"/>
        <v>View Creative</v>
      </c>
      <c r="L5791" s="4" t="s">
        <v>60</v>
      </c>
      <c r="M5791" s="4" t="s">
        <v>6304</v>
      </c>
      <c r="N5791" s="4" t="s">
        <v>7466</v>
      </c>
      <c r="O5791" s="4" t="s">
        <v>63</v>
      </c>
      <c r="P5791" s="4" t="s">
        <v>64</v>
      </c>
    </row>
    <row r="5792">
      <c r="A5792" s="4" t="s">
        <v>6304</v>
      </c>
      <c r="B5792" s="4" t="s">
        <v>7323</v>
      </c>
      <c r="C5792" s="4">
        <v>272.0</v>
      </c>
      <c r="D5792" s="5" t="str">
        <f t="shared" ref="D5792:D5793" si="1917">HYPERLINK("https://www.linkedin.com/ad-library/detail/1177184193","Open Ad")</f>
        <v>Open Ad</v>
      </c>
      <c r="E5792" s="4" t="s">
        <v>78</v>
      </c>
      <c r="F5792" s="4" t="s">
        <v>6765</v>
      </c>
      <c r="G5792" s="8" t="s">
        <v>7467</v>
      </c>
      <c r="H5792" s="4" t="s">
        <v>49</v>
      </c>
      <c r="I5792" s="4" t="s">
        <v>7325</v>
      </c>
      <c r="J5792" s="4" t="s">
        <v>78</v>
      </c>
      <c r="K5792" s="7" t="str">
        <f t="shared" ref="K5792:K5793" si="1918">HYPERLINK("https://media.licdn.com/dms/image/v2/D4D22AQEDCE9GZWGSPg/feedshare-shrink_1280/B4DZwj3lCPJ0Ac-/0/1770128298392?e=2147483647&amp;v=beta&amp;t=eXSROtIAFVsIDUI1zc3LrPrRZ8KGbHHEFFvCNeztzFE","View Creative")</f>
        <v>View Creative</v>
      </c>
      <c r="L5792" s="4" t="s">
        <v>60</v>
      </c>
      <c r="M5792" s="4" t="s">
        <v>6304</v>
      </c>
      <c r="N5792" s="4" t="s">
        <v>7461</v>
      </c>
      <c r="O5792" s="4" t="s">
        <v>63</v>
      </c>
      <c r="P5792" s="4" t="s">
        <v>64</v>
      </c>
    </row>
    <row r="5793">
      <c r="A5793" s="4" t="s">
        <v>6304</v>
      </c>
      <c r="B5793" s="4" t="s">
        <v>7323</v>
      </c>
      <c r="C5793" s="4">
        <v>273.0</v>
      </c>
      <c r="D5793" s="5" t="str">
        <f t="shared" si="1917"/>
        <v>Open Ad</v>
      </c>
      <c r="E5793" s="4" t="s">
        <v>78</v>
      </c>
      <c r="F5793" s="4" t="s">
        <v>6765</v>
      </c>
      <c r="G5793" s="8" t="s">
        <v>7467</v>
      </c>
      <c r="H5793" s="4" t="s">
        <v>49</v>
      </c>
      <c r="I5793" s="4" t="s">
        <v>7325</v>
      </c>
      <c r="J5793" s="4" t="s">
        <v>78</v>
      </c>
      <c r="K5793" s="7" t="str">
        <f t="shared" si="1918"/>
        <v>View Creative</v>
      </c>
      <c r="L5793" s="4" t="s">
        <v>60</v>
      </c>
      <c r="M5793" s="4" t="s">
        <v>6304</v>
      </c>
      <c r="N5793" s="4" t="s">
        <v>7461</v>
      </c>
      <c r="O5793" s="4" t="s">
        <v>63</v>
      </c>
      <c r="P5793" s="4" t="s">
        <v>64</v>
      </c>
    </row>
    <row r="5794">
      <c r="A5794" s="4" t="s">
        <v>6304</v>
      </c>
      <c r="B5794" s="4" t="s">
        <v>7323</v>
      </c>
      <c r="C5794" s="4">
        <v>274.0</v>
      </c>
      <c r="D5794" s="5" t="str">
        <f t="shared" ref="D5794:D5795" si="1919">HYPERLINK("https://www.linkedin.com/ad-library/detail/1176793843","Open Ad")</f>
        <v>Open Ad</v>
      </c>
      <c r="E5794" s="4" t="s">
        <v>78</v>
      </c>
      <c r="F5794" s="4" t="s">
        <v>6765</v>
      </c>
      <c r="G5794" s="4" t="s">
        <v>7468</v>
      </c>
      <c r="H5794" s="4" t="s">
        <v>7412</v>
      </c>
      <c r="I5794" s="4" t="s">
        <v>7325</v>
      </c>
      <c r="J5794" s="4" t="s">
        <v>78</v>
      </c>
      <c r="K5794" s="7" t="str">
        <f t="shared" ref="K5794:K5795" si="1920">HYPERLINK("https://media.licdn.com/dms/image/v2/D4D22AQHgSRonEQ-VxQ/feedshare-shrink_1280/B4DZxC_CPOIAAc-/0/1770650346822?e=2147483647&amp;v=beta&amp;t=CVay05af__mEGPfTCsJ2QH50xL-skSwNSk4fIlzl2JU","View Creative")</f>
        <v>View Creative</v>
      </c>
      <c r="L5794" s="4" t="s">
        <v>60</v>
      </c>
      <c r="M5794" s="4" t="s">
        <v>6304</v>
      </c>
      <c r="N5794" s="4" t="s">
        <v>7469</v>
      </c>
      <c r="O5794" s="4" t="s">
        <v>63</v>
      </c>
      <c r="P5794" s="4" t="s">
        <v>64</v>
      </c>
    </row>
    <row r="5795">
      <c r="A5795" s="4" t="s">
        <v>6304</v>
      </c>
      <c r="B5795" s="4" t="s">
        <v>7323</v>
      </c>
      <c r="C5795" s="4">
        <v>275.0</v>
      </c>
      <c r="D5795" s="5" t="str">
        <f t="shared" si="1919"/>
        <v>Open Ad</v>
      </c>
      <c r="E5795" s="4" t="s">
        <v>78</v>
      </c>
      <c r="F5795" s="4" t="s">
        <v>6765</v>
      </c>
      <c r="G5795" s="4" t="s">
        <v>7468</v>
      </c>
      <c r="H5795" s="4" t="s">
        <v>7412</v>
      </c>
      <c r="I5795" s="4" t="s">
        <v>7325</v>
      </c>
      <c r="J5795" s="4" t="s">
        <v>78</v>
      </c>
      <c r="K5795" s="7" t="str">
        <f t="shared" si="1920"/>
        <v>View Creative</v>
      </c>
      <c r="L5795" s="4" t="s">
        <v>60</v>
      </c>
      <c r="M5795" s="4" t="s">
        <v>6304</v>
      </c>
      <c r="N5795" s="4" t="s">
        <v>7469</v>
      </c>
      <c r="O5795" s="4" t="s">
        <v>63</v>
      </c>
      <c r="P5795" s="4" t="s">
        <v>64</v>
      </c>
    </row>
    <row r="5796">
      <c r="A5796" s="4" t="s">
        <v>6304</v>
      </c>
      <c r="B5796" s="4" t="s">
        <v>7323</v>
      </c>
      <c r="C5796" s="4">
        <v>276.0</v>
      </c>
      <c r="D5796" s="5" t="str">
        <f t="shared" ref="D5796:D5797" si="1921">HYPERLINK("https://www.linkedin.com/ad-library/detail/1102484833","Open Ad")</f>
        <v>Open Ad</v>
      </c>
      <c r="E5796" s="4" t="s">
        <v>78</v>
      </c>
      <c r="F5796" s="4" t="s">
        <v>6765</v>
      </c>
      <c r="G5796" s="4" t="s">
        <v>7470</v>
      </c>
      <c r="H5796" s="4" t="s">
        <v>49</v>
      </c>
      <c r="I5796" s="4" t="s">
        <v>7325</v>
      </c>
      <c r="J5796" s="4" t="s">
        <v>78</v>
      </c>
      <c r="K5796" s="7" t="str">
        <f t="shared" ref="K5796:K5797" si="1922">HYPERLINK("https://media.licdn.com/dms/image/v2/D4D22AQGhK5FRG4si5g/feedshare-shrink_1280/B4DZs1o.8RJEAs-/0/1766131495770?e=2147483647&amp;v=beta&amp;t=43xLaVOHh5dWjkwycq07j9keV4R5SuPA4RuUIBT2wHI","View Creative")</f>
        <v>View Creative</v>
      </c>
      <c r="L5796" s="4" t="s">
        <v>60</v>
      </c>
      <c r="M5796" s="4" t="s">
        <v>6304</v>
      </c>
      <c r="N5796" s="4" t="s">
        <v>7459</v>
      </c>
      <c r="O5796" s="4" t="s">
        <v>63</v>
      </c>
      <c r="P5796" s="4" t="s">
        <v>64</v>
      </c>
    </row>
    <row r="5797">
      <c r="A5797" s="4" t="s">
        <v>6304</v>
      </c>
      <c r="B5797" s="4" t="s">
        <v>7323</v>
      </c>
      <c r="C5797" s="4">
        <v>277.0</v>
      </c>
      <c r="D5797" s="5" t="str">
        <f t="shared" si="1921"/>
        <v>Open Ad</v>
      </c>
      <c r="E5797" s="4" t="s">
        <v>78</v>
      </c>
      <c r="F5797" s="4" t="s">
        <v>6765</v>
      </c>
      <c r="G5797" s="4" t="s">
        <v>7470</v>
      </c>
      <c r="H5797" s="4" t="s">
        <v>49</v>
      </c>
      <c r="I5797" s="4" t="s">
        <v>7325</v>
      </c>
      <c r="J5797" s="4" t="s">
        <v>78</v>
      </c>
      <c r="K5797" s="7" t="str">
        <f t="shared" si="1922"/>
        <v>View Creative</v>
      </c>
      <c r="L5797" s="4" t="s">
        <v>60</v>
      </c>
      <c r="M5797" s="4" t="s">
        <v>6304</v>
      </c>
      <c r="N5797" s="4" t="s">
        <v>7459</v>
      </c>
      <c r="O5797" s="4" t="s">
        <v>63</v>
      </c>
      <c r="P5797" s="4" t="s">
        <v>64</v>
      </c>
    </row>
    <row r="5798">
      <c r="A5798" s="4" t="s">
        <v>6304</v>
      </c>
      <c r="B5798" s="4" t="s">
        <v>7323</v>
      </c>
      <c r="C5798" s="4">
        <v>278.0</v>
      </c>
      <c r="D5798" s="5" t="str">
        <f t="shared" ref="D5798:D5799" si="1923">HYPERLINK("https://www.linkedin.com/ad-library/detail/1096882453","Open Ad")</f>
        <v>Open Ad</v>
      </c>
      <c r="E5798" s="4" t="s">
        <v>121</v>
      </c>
      <c r="F5798" s="4" t="s">
        <v>6765</v>
      </c>
      <c r="G5798" s="8" t="s">
        <v>7464</v>
      </c>
      <c r="H5798" s="4" t="s">
        <v>49</v>
      </c>
      <c r="I5798" s="4" t="s">
        <v>7325</v>
      </c>
      <c r="J5798" s="4" t="s">
        <v>121</v>
      </c>
      <c r="K5798" s="7" t="str">
        <f t="shared" ref="K5798:K5799" si="1924">HYPERLINK("https://dms.licdn.com/playlist/vid/v2/D4D05AQHxw7nXQrUgOQ/mp4-720p-30fp-crf28/B4DZrYyVU.IgCI-/0/1764573670769?e=2147483647&amp;v=beta&amp;t=j3YRmN219aJzW40fw5ykcH6azavG5H92XmiZK5fFX5Y","View Creative")</f>
        <v>View Creative</v>
      </c>
      <c r="L5798" s="4" t="s">
        <v>60</v>
      </c>
      <c r="M5798" s="4" t="s">
        <v>6304</v>
      </c>
      <c r="N5798" s="4" t="s">
        <v>7446</v>
      </c>
      <c r="O5798" s="4" t="s">
        <v>63</v>
      </c>
      <c r="P5798" s="4" t="s">
        <v>64</v>
      </c>
    </row>
    <row r="5799">
      <c r="A5799" s="4" t="s">
        <v>6304</v>
      </c>
      <c r="B5799" s="4" t="s">
        <v>7323</v>
      </c>
      <c r="C5799" s="4">
        <v>279.0</v>
      </c>
      <c r="D5799" s="5" t="str">
        <f t="shared" si="1923"/>
        <v>Open Ad</v>
      </c>
      <c r="E5799" s="4" t="s">
        <v>121</v>
      </c>
      <c r="F5799" s="4" t="s">
        <v>6765</v>
      </c>
      <c r="G5799" s="8" t="s">
        <v>7464</v>
      </c>
      <c r="H5799" s="4" t="s">
        <v>49</v>
      </c>
      <c r="I5799" s="4" t="s">
        <v>7325</v>
      </c>
      <c r="J5799" s="4" t="s">
        <v>121</v>
      </c>
      <c r="K5799" s="7" t="str">
        <f t="shared" si="1924"/>
        <v>View Creative</v>
      </c>
      <c r="L5799" s="4" t="s">
        <v>60</v>
      </c>
      <c r="M5799" s="4" t="s">
        <v>6304</v>
      </c>
      <c r="N5799" s="4" t="s">
        <v>7446</v>
      </c>
      <c r="O5799" s="4" t="s">
        <v>63</v>
      </c>
      <c r="P5799" s="4" t="s">
        <v>64</v>
      </c>
    </row>
    <row r="5800">
      <c r="A5800" s="4" t="s">
        <v>6304</v>
      </c>
      <c r="B5800" s="4" t="s">
        <v>7323</v>
      </c>
      <c r="C5800" s="4">
        <v>280.0</v>
      </c>
      <c r="D5800" s="5" t="str">
        <f t="shared" ref="D5800:D5801" si="1925">HYPERLINK("https://www.linkedin.com/ad-library/detail/990307693","Open Ad")</f>
        <v>Open Ad</v>
      </c>
      <c r="E5800" s="4" t="s">
        <v>78</v>
      </c>
      <c r="F5800" s="4" t="s">
        <v>6765</v>
      </c>
      <c r="G5800" s="4" t="s">
        <v>7471</v>
      </c>
      <c r="H5800" s="4" t="s">
        <v>49</v>
      </c>
      <c r="I5800" s="4" t="s">
        <v>7325</v>
      </c>
      <c r="J5800" s="4" t="s">
        <v>78</v>
      </c>
      <c r="K5800" s="7" t="str">
        <f t="shared" ref="K5800:K5801" si="1926">HYPERLINK("https://media.licdn.com/dms/image/v2/D4E22AQGoyvTVKmm8jw/feedshare-shrink_1280/B4EZoLmjLJIIAs-/0/1761131247932?e=2147483647&amp;v=beta&amp;t=yyb9m2BJ8f5_Zd7kf6dCGI_KWgvIwEYnr1AJYM0MzGE","View Creative")</f>
        <v>View Creative</v>
      </c>
      <c r="L5800" s="4" t="s">
        <v>60</v>
      </c>
      <c r="M5800" s="4" t="s">
        <v>6304</v>
      </c>
      <c r="N5800" s="4" t="s">
        <v>7463</v>
      </c>
      <c r="O5800" s="4" t="s">
        <v>63</v>
      </c>
      <c r="P5800" s="4" t="s">
        <v>64</v>
      </c>
    </row>
    <row r="5801">
      <c r="A5801" s="4" t="s">
        <v>6304</v>
      </c>
      <c r="B5801" s="4" t="s">
        <v>7323</v>
      </c>
      <c r="C5801" s="4">
        <v>281.0</v>
      </c>
      <c r="D5801" s="5" t="str">
        <f t="shared" si="1925"/>
        <v>Open Ad</v>
      </c>
      <c r="E5801" s="4" t="s">
        <v>78</v>
      </c>
      <c r="F5801" s="4" t="s">
        <v>6765</v>
      </c>
      <c r="G5801" s="4" t="s">
        <v>7471</v>
      </c>
      <c r="H5801" s="4" t="s">
        <v>49</v>
      </c>
      <c r="I5801" s="4" t="s">
        <v>7325</v>
      </c>
      <c r="J5801" s="4" t="s">
        <v>78</v>
      </c>
      <c r="K5801" s="7" t="str">
        <f t="shared" si="1926"/>
        <v>View Creative</v>
      </c>
      <c r="L5801" s="4" t="s">
        <v>60</v>
      </c>
      <c r="M5801" s="4" t="s">
        <v>6304</v>
      </c>
      <c r="N5801" s="4" t="s">
        <v>7463</v>
      </c>
      <c r="O5801" s="4" t="s">
        <v>63</v>
      </c>
      <c r="P5801" s="4" t="s">
        <v>64</v>
      </c>
    </row>
    <row r="5802">
      <c r="A5802" s="4" t="s">
        <v>6304</v>
      </c>
      <c r="B5802" s="4" t="s">
        <v>7323</v>
      </c>
      <c r="C5802" s="4">
        <v>282.0</v>
      </c>
      <c r="D5802" s="5" t="str">
        <f t="shared" ref="D5802:D5803" si="1927">HYPERLINK("https://www.linkedin.com/ad-library/detail/1177383163","Open Ad")</f>
        <v>Open Ad</v>
      </c>
      <c r="E5802" s="4" t="s">
        <v>78</v>
      </c>
      <c r="F5802" s="4" t="s">
        <v>6765</v>
      </c>
      <c r="G5802" s="4" t="s">
        <v>7404</v>
      </c>
      <c r="H5802" s="4" t="s">
        <v>49</v>
      </c>
      <c r="I5802" s="4" t="s">
        <v>7325</v>
      </c>
      <c r="J5802" s="4" t="s">
        <v>78</v>
      </c>
      <c r="K5802" s="7" t="str">
        <f t="shared" ref="K5802:K5803" si="1928">HYPERLINK("https://media.licdn.com/dms/image/v2/D4D22AQEpPd3zrIcUvA/feedshare-shrink_1280/B4DZuOBLGhHwAs-/0/1767614231642?e=2147483647&amp;v=beta&amp;t=EhdyF1CtAC-GmZ2V62SjOTQxwOT9ysHWGe9yuqWZbNA","View Creative")</f>
        <v>View Creative</v>
      </c>
      <c r="L5802" s="4" t="s">
        <v>60</v>
      </c>
      <c r="M5802" s="4" t="s">
        <v>6304</v>
      </c>
      <c r="N5802" s="4" t="s">
        <v>7461</v>
      </c>
      <c r="O5802" s="4" t="s">
        <v>63</v>
      </c>
      <c r="P5802" s="4" t="s">
        <v>64</v>
      </c>
    </row>
    <row r="5803">
      <c r="A5803" s="4" t="s">
        <v>6304</v>
      </c>
      <c r="B5803" s="4" t="s">
        <v>7323</v>
      </c>
      <c r="C5803" s="4">
        <v>283.0</v>
      </c>
      <c r="D5803" s="5" t="str">
        <f t="shared" si="1927"/>
        <v>Open Ad</v>
      </c>
      <c r="E5803" s="4" t="s">
        <v>78</v>
      </c>
      <c r="F5803" s="4" t="s">
        <v>6765</v>
      </c>
      <c r="G5803" s="4" t="s">
        <v>7404</v>
      </c>
      <c r="H5803" s="4" t="s">
        <v>49</v>
      </c>
      <c r="I5803" s="4" t="s">
        <v>7325</v>
      </c>
      <c r="J5803" s="4" t="s">
        <v>78</v>
      </c>
      <c r="K5803" s="7" t="str">
        <f t="shared" si="1928"/>
        <v>View Creative</v>
      </c>
      <c r="L5803" s="4" t="s">
        <v>60</v>
      </c>
      <c r="M5803" s="4" t="s">
        <v>6304</v>
      </c>
      <c r="N5803" s="4" t="s">
        <v>7461</v>
      </c>
      <c r="O5803" s="4" t="s">
        <v>63</v>
      </c>
      <c r="P5803" s="4" t="s">
        <v>64</v>
      </c>
    </row>
    <row r="5804">
      <c r="A5804" s="4" t="s">
        <v>6304</v>
      </c>
      <c r="B5804" s="4" t="s">
        <v>7323</v>
      </c>
      <c r="C5804" s="4">
        <v>284.0</v>
      </c>
      <c r="D5804" s="5" t="str">
        <f t="shared" ref="D5804:D5805" si="1929">HYPERLINK("https://www.linkedin.com/ad-library/detail/990830603","Open Ad")</f>
        <v>Open Ad</v>
      </c>
      <c r="E5804" s="4" t="s">
        <v>121</v>
      </c>
      <c r="F5804" s="4" t="s">
        <v>6765</v>
      </c>
      <c r="G5804" s="4" t="s">
        <v>7445</v>
      </c>
      <c r="H5804" s="4" t="s">
        <v>49</v>
      </c>
      <c r="I5804" s="4" t="s">
        <v>7325</v>
      </c>
      <c r="J5804" s="4" t="s">
        <v>121</v>
      </c>
      <c r="K5804" s="7" t="str">
        <f t="shared" ref="K5804:K5805" si="1930">HYPERLINK("https://dms.licdn.com/playlist/vid/v2/D4D05AQGRL8Deep4P6w/mp4-720p-30fp-crf28/B4DZsCh4xzGwCE-/0/1765274003719?e=2147483647&amp;v=beta&amp;t=KX7hA5uEf2yGYmooeDUg-PyweaulgZvJEDTflregPEE","View Creative")</f>
        <v>View Creative</v>
      </c>
      <c r="L5804" s="4" t="s">
        <v>60</v>
      </c>
      <c r="M5804" s="4" t="s">
        <v>6304</v>
      </c>
      <c r="N5804" s="4" t="s">
        <v>7472</v>
      </c>
      <c r="O5804" s="4" t="s">
        <v>63</v>
      </c>
      <c r="P5804" s="4" t="s">
        <v>64</v>
      </c>
    </row>
    <row r="5805">
      <c r="A5805" s="4" t="s">
        <v>6304</v>
      </c>
      <c r="B5805" s="4" t="s">
        <v>7323</v>
      </c>
      <c r="C5805" s="4">
        <v>285.0</v>
      </c>
      <c r="D5805" s="5" t="str">
        <f t="shared" si="1929"/>
        <v>Open Ad</v>
      </c>
      <c r="E5805" s="4" t="s">
        <v>121</v>
      </c>
      <c r="F5805" s="4" t="s">
        <v>6765</v>
      </c>
      <c r="G5805" s="4" t="s">
        <v>7445</v>
      </c>
      <c r="H5805" s="4" t="s">
        <v>49</v>
      </c>
      <c r="I5805" s="4" t="s">
        <v>7325</v>
      </c>
      <c r="J5805" s="4" t="s">
        <v>121</v>
      </c>
      <c r="K5805" s="7" t="str">
        <f t="shared" si="1930"/>
        <v>View Creative</v>
      </c>
      <c r="L5805" s="4" t="s">
        <v>60</v>
      </c>
      <c r="M5805" s="4" t="s">
        <v>6304</v>
      </c>
      <c r="N5805" s="4" t="s">
        <v>7472</v>
      </c>
      <c r="O5805" s="4" t="s">
        <v>63</v>
      </c>
      <c r="P5805" s="4" t="s">
        <v>64</v>
      </c>
    </row>
    <row r="5806">
      <c r="A5806" s="4" t="s">
        <v>6304</v>
      </c>
      <c r="B5806" s="4" t="s">
        <v>7323</v>
      </c>
      <c r="C5806" s="4">
        <v>286.0</v>
      </c>
      <c r="D5806" s="5" t="str">
        <f t="shared" ref="D5806:D5807" si="1931">HYPERLINK("https://www.linkedin.com/ad-library/detail/878481233","Open Ad")</f>
        <v>Open Ad</v>
      </c>
      <c r="E5806" s="4" t="s">
        <v>78</v>
      </c>
      <c r="F5806" s="4" t="s">
        <v>6765</v>
      </c>
      <c r="G5806" s="4" t="s">
        <v>7473</v>
      </c>
      <c r="H5806" s="4" t="s">
        <v>49</v>
      </c>
      <c r="I5806" s="4" t="s">
        <v>7325</v>
      </c>
      <c r="J5806" s="4" t="s">
        <v>78</v>
      </c>
      <c r="K5806" s="7" t="str">
        <f t="shared" ref="K5806:K5807" si="1932">HYPERLINK("https://media.licdn.com/dms/image/v2/D4D10AQGCnWBctDjjjA/image-shrink_1280/B4DZnZRD0CKoAM-/0/1760286752869/1759734356587jpeg?e=2147483647&amp;v=beta&amp;t=dGf8K4h-dsiXzD-PZ-Pf8Kupvna9WKYhoAcrmgyJx2I","View Creative")</f>
        <v>View Creative</v>
      </c>
      <c r="L5806" s="4" t="s">
        <v>60</v>
      </c>
      <c r="M5806" s="4" t="s">
        <v>6304</v>
      </c>
      <c r="N5806" s="4" t="s">
        <v>7474</v>
      </c>
      <c r="O5806" s="4" t="s">
        <v>63</v>
      </c>
      <c r="P5806" s="4" t="s">
        <v>64</v>
      </c>
    </row>
    <row r="5807">
      <c r="A5807" s="4" t="s">
        <v>6304</v>
      </c>
      <c r="B5807" s="4" t="s">
        <v>7323</v>
      </c>
      <c r="C5807" s="4">
        <v>287.0</v>
      </c>
      <c r="D5807" s="5" t="str">
        <f t="shared" si="1931"/>
        <v>Open Ad</v>
      </c>
      <c r="E5807" s="4" t="s">
        <v>78</v>
      </c>
      <c r="F5807" s="4" t="s">
        <v>6765</v>
      </c>
      <c r="G5807" s="4" t="s">
        <v>7473</v>
      </c>
      <c r="H5807" s="4" t="s">
        <v>49</v>
      </c>
      <c r="I5807" s="4" t="s">
        <v>7325</v>
      </c>
      <c r="J5807" s="4" t="s">
        <v>78</v>
      </c>
      <c r="K5807" s="7" t="str">
        <f t="shared" si="1932"/>
        <v>View Creative</v>
      </c>
      <c r="L5807" s="4" t="s">
        <v>60</v>
      </c>
      <c r="M5807" s="4" t="s">
        <v>6304</v>
      </c>
      <c r="N5807" s="4" t="s">
        <v>7474</v>
      </c>
      <c r="O5807" s="4" t="s">
        <v>63</v>
      </c>
      <c r="P5807" s="4" t="s">
        <v>64</v>
      </c>
    </row>
    <row r="5808">
      <c r="A5808" s="4" t="s">
        <v>6304</v>
      </c>
      <c r="B5808" s="4" t="s">
        <v>7323</v>
      </c>
      <c r="C5808" s="4">
        <v>288.0</v>
      </c>
      <c r="D5808" s="5" t="str">
        <f t="shared" ref="D5808:D5809" si="1933">HYPERLINK("https://www.linkedin.com/ad-library/detail/878481213","Open Ad")</f>
        <v>Open Ad</v>
      </c>
      <c r="E5808" s="4" t="s">
        <v>78</v>
      </c>
      <c r="F5808" s="4" t="s">
        <v>6765</v>
      </c>
      <c r="G5808" s="4" t="s">
        <v>7475</v>
      </c>
      <c r="H5808" s="4" t="s">
        <v>49</v>
      </c>
      <c r="I5808" s="4" t="s">
        <v>7325</v>
      </c>
      <c r="J5808" s="4" t="s">
        <v>78</v>
      </c>
      <c r="K5808" s="7" t="str">
        <f t="shared" ref="K5808:K5809" si="1934">HYPERLINK("https://media.licdn.com/dms/image/v2/D4E22AQHAtS7WfEMGUQ/feedshare-image-high-res/B4EZnC_ET6GcAo-/0/1759912937577?e=2147483647&amp;v=beta&amp;t=NaRSY8280_v4sV5uDmBBOsskUzKbD5EXD0rArRkKynQ","View Creative")</f>
        <v>View Creative</v>
      </c>
      <c r="L5808" s="4" t="s">
        <v>60</v>
      </c>
      <c r="M5808" s="4" t="s">
        <v>6304</v>
      </c>
      <c r="N5808" s="4" t="s">
        <v>7474</v>
      </c>
      <c r="O5808" s="4" t="s">
        <v>63</v>
      </c>
      <c r="P5808" s="4" t="s">
        <v>64</v>
      </c>
    </row>
    <row r="5809">
      <c r="A5809" s="4" t="s">
        <v>6304</v>
      </c>
      <c r="B5809" s="4" t="s">
        <v>7323</v>
      </c>
      <c r="C5809" s="4">
        <v>289.0</v>
      </c>
      <c r="D5809" s="5" t="str">
        <f t="shared" si="1933"/>
        <v>Open Ad</v>
      </c>
      <c r="E5809" s="4" t="s">
        <v>78</v>
      </c>
      <c r="F5809" s="4" t="s">
        <v>6765</v>
      </c>
      <c r="G5809" s="4" t="s">
        <v>7475</v>
      </c>
      <c r="H5809" s="4" t="s">
        <v>49</v>
      </c>
      <c r="I5809" s="4" t="s">
        <v>7325</v>
      </c>
      <c r="J5809" s="4" t="s">
        <v>78</v>
      </c>
      <c r="K5809" s="7" t="str">
        <f t="shared" si="1934"/>
        <v>View Creative</v>
      </c>
      <c r="L5809" s="4" t="s">
        <v>60</v>
      </c>
      <c r="M5809" s="4" t="s">
        <v>6304</v>
      </c>
      <c r="N5809" s="4" t="s">
        <v>7474</v>
      </c>
      <c r="O5809" s="4" t="s">
        <v>63</v>
      </c>
      <c r="P5809" s="4" t="s">
        <v>64</v>
      </c>
    </row>
    <row r="5810">
      <c r="A5810" s="4" t="s">
        <v>6304</v>
      </c>
      <c r="B5810" s="4" t="s">
        <v>7323</v>
      </c>
      <c r="C5810" s="4">
        <v>290.0</v>
      </c>
      <c r="D5810" s="5" t="str">
        <f t="shared" ref="D5810:D5811" si="1935">HYPERLINK("https://www.linkedin.com/ad-library/detail/878481223","Open Ad")</f>
        <v>Open Ad</v>
      </c>
      <c r="E5810" s="4" t="s">
        <v>78</v>
      </c>
      <c r="F5810" s="4" t="s">
        <v>6765</v>
      </c>
      <c r="G5810" s="4" t="s">
        <v>7476</v>
      </c>
      <c r="H5810" s="4" t="s">
        <v>49</v>
      </c>
      <c r="I5810" s="4" t="s">
        <v>7325</v>
      </c>
      <c r="J5810" s="4" t="s">
        <v>78</v>
      </c>
      <c r="K5810" s="7" t="str">
        <f t="shared" ref="K5810:K5811" si="1936">HYPERLINK("https://media.licdn.com/dms/image/v2/D4D22AQGIThHZmeLzSQ/feedshare-shrink_1280/B4DZmUgA4rIEAs-/0/1759133045527?e=2147483647&amp;v=beta&amp;t=nZPSs1lQlUged9i6-ElWR-jTWcG85b1-hE37Y4Jr3v4","View Creative")</f>
        <v>View Creative</v>
      </c>
      <c r="L5810" s="4" t="s">
        <v>60</v>
      </c>
      <c r="M5810" s="4" t="s">
        <v>6304</v>
      </c>
      <c r="N5810" s="4" t="s">
        <v>7474</v>
      </c>
      <c r="O5810" s="4" t="s">
        <v>63</v>
      </c>
      <c r="P5810" s="4" t="s">
        <v>64</v>
      </c>
    </row>
    <row r="5811">
      <c r="A5811" s="4" t="s">
        <v>6304</v>
      </c>
      <c r="B5811" s="4" t="s">
        <v>7323</v>
      </c>
      <c r="C5811" s="4">
        <v>291.0</v>
      </c>
      <c r="D5811" s="5" t="str">
        <f t="shared" si="1935"/>
        <v>Open Ad</v>
      </c>
      <c r="E5811" s="4" t="s">
        <v>78</v>
      </c>
      <c r="F5811" s="4" t="s">
        <v>6765</v>
      </c>
      <c r="G5811" s="4" t="s">
        <v>7476</v>
      </c>
      <c r="H5811" s="4" t="s">
        <v>49</v>
      </c>
      <c r="I5811" s="4" t="s">
        <v>7325</v>
      </c>
      <c r="J5811" s="4" t="s">
        <v>78</v>
      </c>
      <c r="K5811" s="7" t="str">
        <f t="shared" si="1936"/>
        <v>View Creative</v>
      </c>
      <c r="L5811" s="4" t="s">
        <v>60</v>
      </c>
      <c r="M5811" s="4" t="s">
        <v>6304</v>
      </c>
      <c r="N5811" s="4" t="s">
        <v>7474</v>
      </c>
      <c r="O5811" s="4" t="s">
        <v>63</v>
      </c>
      <c r="P5811" s="4" t="s">
        <v>64</v>
      </c>
    </row>
    <row r="5812">
      <c r="A5812" s="4" t="s">
        <v>6304</v>
      </c>
      <c r="B5812" s="4" t="s">
        <v>7323</v>
      </c>
      <c r="C5812" s="4">
        <v>292.0</v>
      </c>
      <c r="D5812" s="5" t="str">
        <f t="shared" ref="D5812:D5813" si="1937">HYPERLINK("https://www.linkedin.com/ad-library/detail/970980123","Open Ad")</f>
        <v>Open Ad</v>
      </c>
      <c r="E5812" s="4" t="s">
        <v>78</v>
      </c>
      <c r="F5812" s="4" t="s">
        <v>6765</v>
      </c>
      <c r="G5812" s="4" t="s">
        <v>7462</v>
      </c>
      <c r="H5812" s="4" t="s">
        <v>611</v>
      </c>
      <c r="I5812" s="4" t="s">
        <v>7325</v>
      </c>
      <c r="J5812" s="4" t="s">
        <v>78</v>
      </c>
      <c r="K5812" s="7" t="str">
        <f t="shared" ref="K5812:K5813" si="1938">HYPERLINK("https://media.licdn.com/dms/image/v2/D4D22AQF89sokYPwgiA/feedshare-shrink_1280/B4DZqQ3DIjGgAs-/0/1763366941846?e=2147483647&amp;v=beta&amp;t=k2qBfFOMYdoi7TJaUsrROb0ijJiKISlr_H530v7k9H4","View Creative")</f>
        <v>View Creative</v>
      </c>
      <c r="L5812" s="4" t="s">
        <v>60</v>
      </c>
      <c r="M5812" s="4" t="s">
        <v>6304</v>
      </c>
      <c r="N5812" s="4" t="s">
        <v>7477</v>
      </c>
      <c r="O5812" s="4" t="s">
        <v>63</v>
      </c>
      <c r="P5812" s="4" t="s">
        <v>64</v>
      </c>
    </row>
    <row r="5813">
      <c r="A5813" s="4" t="s">
        <v>6304</v>
      </c>
      <c r="B5813" s="4" t="s">
        <v>7323</v>
      </c>
      <c r="C5813" s="4">
        <v>293.0</v>
      </c>
      <c r="D5813" s="5" t="str">
        <f t="shared" si="1937"/>
        <v>Open Ad</v>
      </c>
      <c r="E5813" s="4" t="s">
        <v>78</v>
      </c>
      <c r="F5813" s="4" t="s">
        <v>6765</v>
      </c>
      <c r="G5813" s="4" t="s">
        <v>7462</v>
      </c>
      <c r="H5813" s="4" t="s">
        <v>611</v>
      </c>
      <c r="I5813" s="4" t="s">
        <v>7325</v>
      </c>
      <c r="J5813" s="4" t="s">
        <v>78</v>
      </c>
      <c r="K5813" s="7" t="str">
        <f t="shared" si="1938"/>
        <v>View Creative</v>
      </c>
      <c r="L5813" s="4" t="s">
        <v>60</v>
      </c>
      <c r="M5813" s="4" t="s">
        <v>6304</v>
      </c>
      <c r="N5813" s="4" t="s">
        <v>7477</v>
      </c>
      <c r="O5813" s="4" t="s">
        <v>63</v>
      </c>
      <c r="P5813" s="4" t="s">
        <v>64</v>
      </c>
    </row>
    <row r="5814">
      <c r="A5814" s="4" t="s">
        <v>6304</v>
      </c>
      <c r="B5814" s="4" t="s">
        <v>7323</v>
      </c>
      <c r="C5814" s="4">
        <v>294.0</v>
      </c>
      <c r="D5814" s="5" t="str">
        <f t="shared" ref="D5814:D5815" si="1939">HYPERLINK("https://www.linkedin.com/ad-library/detail/970849323","Open Ad")</f>
        <v>Open Ad</v>
      </c>
      <c r="E5814" s="4" t="s">
        <v>121</v>
      </c>
      <c r="F5814" s="4" t="s">
        <v>6765</v>
      </c>
      <c r="G5814" s="4" t="s">
        <v>7478</v>
      </c>
      <c r="H5814" s="4" t="s">
        <v>49</v>
      </c>
      <c r="I5814" s="4" t="s">
        <v>7325</v>
      </c>
      <c r="J5814" s="4" t="s">
        <v>121</v>
      </c>
      <c r="K5814" s="7" t="str">
        <f t="shared" ref="K5814:K5815" si="1940">HYPERLINK("https://dms.licdn.com/playlist/vid/v2/D4D10AQGR8-jaF9Li-w/progressive-servable-video/B4DZrOzLHGHwAc-/0/1764406114112/ad2?e=2147483647&amp;v=beta&amp;t=5DbNHKnORtK4MkCIWlqxEtZYKcIYzvqUEQfFrojiUS8","View Creative")</f>
        <v>View Creative</v>
      </c>
      <c r="L5814" s="4" t="s">
        <v>60</v>
      </c>
      <c r="M5814" s="4" t="s">
        <v>6304</v>
      </c>
      <c r="N5814" s="4" t="s">
        <v>7479</v>
      </c>
      <c r="O5814" s="4" t="s">
        <v>63</v>
      </c>
      <c r="P5814" s="4" t="s">
        <v>64</v>
      </c>
    </row>
    <row r="5815">
      <c r="A5815" s="4" t="s">
        <v>6304</v>
      </c>
      <c r="B5815" s="4" t="s">
        <v>7323</v>
      </c>
      <c r="C5815" s="4">
        <v>295.0</v>
      </c>
      <c r="D5815" s="5" t="str">
        <f t="shared" si="1939"/>
        <v>Open Ad</v>
      </c>
      <c r="E5815" s="4" t="s">
        <v>121</v>
      </c>
      <c r="F5815" s="4" t="s">
        <v>6765</v>
      </c>
      <c r="G5815" s="4" t="s">
        <v>7478</v>
      </c>
      <c r="H5815" s="4" t="s">
        <v>49</v>
      </c>
      <c r="I5815" s="4" t="s">
        <v>7325</v>
      </c>
      <c r="J5815" s="4" t="s">
        <v>121</v>
      </c>
      <c r="K5815" s="7" t="str">
        <f t="shared" si="1940"/>
        <v>View Creative</v>
      </c>
      <c r="L5815" s="4" t="s">
        <v>60</v>
      </c>
      <c r="M5815" s="4" t="s">
        <v>6304</v>
      </c>
      <c r="N5815" s="4" t="s">
        <v>7479</v>
      </c>
      <c r="O5815" s="4" t="s">
        <v>63</v>
      </c>
      <c r="P5815" s="4" t="s">
        <v>64</v>
      </c>
    </row>
    <row r="5816">
      <c r="A5816" s="4" t="s">
        <v>6304</v>
      </c>
      <c r="B5816" s="4" t="s">
        <v>7323</v>
      </c>
      <c r="C5816" s="4">
        <v>296.0</v>
      </c>
      <c r="D5816" s="5" t="str">
        <f t="shared" ref="D5816:D5817" si="1941">HYPERLINK("https://www.linkedin.com/ad-library/detail/905076333","Open Ad")</f>
        <v>Open Ad</v>
      </c>
      <c r="E5816" s="4" t="s">
        <v>78</v>
      </c>
      <c r="F5816" s="4" t="s">
        <v>6765</v>
      </c>
      <c r="G5816" s="4" t="s">
        <v>7475</v>
      </c>
      <c r="H5816" s="4" t="s">
        <v>49</v>
      </c>
      <c r="I5816" s="4" t="s">
        <v>7325</v>
      </c>
      <c r="J5816" s="4" t="s">
        <v>78</v>
      </c>
      <c r="K5816" s="7" t="str">
        <f t="shared" ref="K5816:K5817" si="1942">HYPERLINK("https://media.licdn.com/dms/image/v2/D4E22AQHAtS7WfEMGUQ/feedshare-image-high-res/B4EZnC_ET6GcAo-/0/1759912937577?e=2147483647&amp;v=beta&amp;t=NaRSY8280_v4sV5uDmBBOsskUzKbD5EXD0rArRkKynQ","View Creative")</f>
        <v>View Creative</v>
      </c>
      <c r="L5816" s="4" t="s">
        <v>60</v>
      </c>
      <c r="M5816" s="4" t="s">
        <v>6304</v>
      </c>
      <c r="N5816" s="4" t="s">
        <v>7480</v>
      </c>
      <c r="O5816" s="4" t="s">
        <v>63</v>
      </c>
      <c r="P5816" s="4" t="s">
        <v>64</v>
      </c>
    </row>
    <row r="5817">
      <c r="A5817" s="4" t="s">
        <v>6304</v>
      </c>
      <c r="B5817" s="4" t="s">
        <v>7323</v>
      </c>
      <c r="C5817" s="4">
        <v>297.0</v>
      </c>
      <c r="D5817" s="5" t="str">
        <f t="shared" si="1941"/>
        <v>Open Ad</v>
      </c>
      <c r="E5817" s="4" t="s">
        <v>78</v>
      </c>
      <c r="F5817" s="4" t="s">
        <v>6765</v>
      </c>
      <c r="G5817" s="4" t="s">
        <v>7475</v>
      </c>
      <c r="H5817" s="4" t="s">
        <v>49</v>
      </c>
      <c r="I5817" s="4" t="s">
        <v>7325</v>
      </c>
      <c r="J5817" s="4" t="s">
        <v>78</v>
      </c>
      <c r="K5817" s="7" t="str">
        <f t="shared" si="1942"/>
        <v>View Creative</v>
      </c>
      <c r="L5817" s="4" t="s">
        <v>60</v>
      </c>
      <c r="M5817" s="4" t="s">
        <v>6304</v>
      </c>
      <c r="N5817" s="4" t="s">
        <v>7480</v>
      </c>
      <c r="O5817" s="4" t="s">
        <v>63</v>
      </c>
      <c r="P5817" s="4" t="s">
        <v>64</v>
      </c>
    </row>
    <row r="5818">
      <c r="A5818" s="4" t="s">
        <v>6304</v>
      </c>
      <c r="B5818" s="4" t="s">
        <v>7323</v>
      </c>
      <c r="C5818" s="4">
        <v>298.0</v>
      </c>
      <c r="D5818" s="5" t="str">
        <f t="shared" ref="D5818:D5819" si="1943">HYPERLINK("https://www.linkedin.com/ad-library/detail/836534933","Open Ad")</f>
        <v>Open Ad</v>
      </c>
      <c r="E5818" s="4" t="s">
        <v>78</v>
      </c>
      <c r="F5818" s="4" t="s">
        <v>6765</v>
      </c>
      <c r="G5818" s="4" t="s">
        <v>7481</v>
      </c>
      <c r="H5818" s="4" t="s">
        <v>49</v>
      </c>
      <c r="I5818" s="4" t="s">
        <v>7325</v>
      </c>
      <c r="J5818" s="4" t="s">
        <v>78</v>
      </c>
      <c r="K5818" s="7" t="str">
        <f t="shared" ref="K5818:K5819" si="1944">HYPERLINK("https://media.licdn.com/dms/image/v2/D4D22AQGzFbupCEJM2w/feedshare-shrink_1280/B4DZhgKsA8HsAo-/0/1753960072533?e=2147483647&amp;v=beta&amp;t=tu9picQ4dgJiyfL2DNKEtogYtwvmxlJsoA0jDlf_nSw","View Creative")</f>
        <v>View Creative</v>
      </c>
      <c r="L5818" s="4" t="s">
        <v>60</v>
      </c>
      <c r="M5818" s="4" t="s">
        <v>6304</v>
      </c>
      <c r="N5818" s="4" t="s">
        <v>7482</v>
      </c>
      <c r="O5818" s="4" t="s">
        <v>63</v>
      </c>
      <c r="P5818" s="4" t="s">
        <v>64</v>
      </c>
    </row>
    <row r="5819">
      <c r="A5819" s="4" t="s">
        <v>6304</v>
      </c>
      <c r="B5819" s="4" t="s">
        <v>7323</v>
      </c>
      <c r="C5819" s="4">
        <v>299.0</v>
      </c>
      <c r="D5819" s="5" t="str">
        <f t="shared" si="1943"/>
        <v>Open Ad</v>
      </c>
      <c r="E5819" s="4" t="s">
        <v>78</v>
      </c>
      <c r="F5819" s="4" t="s">
        <v>6765</v>
      </c>
      <c r="G5819" s="4" t="s">
        <v>7481</v>
      </c>
      <c r="H5819" s="4" t="s">
        <v>49</v>
      </c>
      <c r="I5819" s="4" t="s">
        <v>7325</v>
      </c>
      <c r="J5819" s="4" t="s">
        <v>78</v>
      </c>
      <c r="K5819" s="7" t="str">
        <f t="shared" si="1944"/>
        <v>View Creative</v>
      </c>
      <c r="L5819" s="4" t="s">
        <v>60</v>
      </c>
      <c r="M5819" s="4" t="s">
        <v>6304</v>
      </c>
      <c r="N5819" s="4" t="s">
        <v>7482</v>
      </c>
      <c r="O5819" s="4" t="s">
        <v>63</v>
      </c>
      <c r="P5819" s="4" t="s">
        <v>64</v>
      </c>
    </row>
    <row r="5820">
      <c r="A5820" s="4" t="s">
        <v>6304</v>
      </c>
      <c r="B5820" s="4" t="s">
        <v>7323</v>
      </c>
      <c r="C5820" s="4">
        <v>300.0</v>
      </c>
      <c r="D5820" s="5" t="str">
        <f t="shared" ref="D5820:D5821" si="1945">HYPERLINK("https://www.linkedin.com/ad-library/detail/970859583","Open Ad")</f>
        <v>Open Ad</v>
      </c>
      <c r="E5820" s="4" t="s">
        <v>78</v>
      </c>
      <c r="F5820" s="4" t="s">
        <v>6765</v>
      </c>
      <c r="G5820" s="4" t="s">
        <v>7483</v>
      </c>
      <c r="H5820" s="4" t="s">
        <v>49</v>
      </c>
      <c r="I5820" s="4" t="s">
        <v>7325</v>
      </c>
      <c r="J5820" s="4" t="s">
        <v>78</v>
      </c>
      <c r="K5820" s="7" t="str">
        <f t="shared" ref="K5820:K5821" si="1946">HYPERLINK("https://media.licdn.com/dms/image/v2/D4E22AQF9haFiB79XLw/feedshare-shrink_1280/B4EZpN1DmhKcAs-/0/1762242346157?e=2147483647&amp;v=beta&amp;t=Are383pK-MgOiixzV31HgeY52XiH1gpdV8U6jmkQEog","View Creative")</f>
        <v>View Creative</v>
      </c>
      <c r="L5820" s="4" t="s">
        <v>60</v>
      </c>
      <c r="M5820" s="4" t="s">
        <v>6304</v>
      </c>
      <c r="N5820" s="4" t="s">
        <v>7479</v>
      </c>
      <c r="O5820" s="4" t="s">
        <v>63</v>
      </c>
      <c r="P5820" s="4" t="s">
        <v>64</v>
      </c>
    </row>
    <row r="5821">
      <c r="A5821" s="4" t="s">
        <v>6304</v>
      </c>
      <c r="B5821" s="4" t="s">
        <v>7323</v>
      </c>
      <c r="C5821" s="4">
        <v>301.0</v>
      </c>
      <c r="D5821" s="5" t="str">
        <f t="shared" si="1945"/>
        <v>Open Ad</v>
      </c>
      <c r="E5821" s="4" t="s">
        <v>78</v>
      </c>
      <c r="F5821" s="4" t="s">
        <v>6765</v>
      </c>
      <c r="G5821" s="4" t="s">
        <v>7483</v>
      </c>
      <c r="H5821" s="4" t="s">
        <v>49</v>
      </c>
      <c r="I5821" s="4" t="s">
        <v>7325</v>
      </c>
      <c r="J5821" s="4" t="s">
        <v>78</v>
      </c>
      <c r="K5821" s="7" t="str">
        <f t="shared" si="1946"/>
        <v>View Creative</v>
      </c>
      <c r="L5821" s="4" t="s">
        <v>60</v>
      </c>
      <c r="M5821" s="4" t="s">
        <v>6304</v>
      </c>
      <c r="N5821" s="4" t="s">
        <v>7479</v>
      </c>
      <c r="O5821" s="4" t="s">
        <v>63</v>
      </c>
      <c r="P5821" s="4" t="s">
        <v>64</v>
      </c>
    </row>
    <row r="5822">
      <c r="A5822" s="4" t="s">
        <v>6304</v>
      </c>
      <c r="B5822" s="4" t="s">
        <v>7323</v>
      </c>
      <c r="C5822" s="4">
        <v>302.0</v>
      </c>
      <c r="D5822" s="5" t="str">
        <f t="shared" ref="D5822:D5823" si="1947">HYPERLINK("https://www.linkedin.com/ad-library/detail/836584893","Open Ad")</f>
        <v>Open Ad</v>
      </c>
      <c r="E5822" s="4" t="s">
        <v>78</v>
      </c>
      <c r="F5822" s="4" t="s">
        <v>6765</v>
      </c>
      <c r="G5822" s="4" t="s">
        <v>7484</v>
      </c>
      <c r="H5822" s="4" t="s">
        <v>611</v>
      </c>
      <c r="I5822" s="4" t="s">
        <v>7325</v>
      </c>
      <c r="J5822" s="4" t="s">
        <v>78</v>
      </c>
      <c r="K5822" s="7" t="str">
        <f t="shared" ref="K5822:K5823" si="1948">HYPERLINK("https://media.licdn.com/dms/image/v2/D4D22AQFM9OpVBcLU0w/feedshare-shrink_1280/B4DZhRf9YSHsAs-/0/1753713991112?e=2147483647&amp;v=beta&amp;t=I2tF1z1vDqMwbbFbP2qXnFfy4fVlA52nPbbhYBuZ5No","View Creative")</f>
        <v>View Creative</v>
      </c>
      <c r="L5822" s="4" t="s">
        <v>60</v>
      </c>
      <c r="M5822" s="4" t="s">
        <v>6304</v>
      </c>
      <c r="N5822" s="4" t="s">
        <v>7482</v>
      </c>
      <c r="O5822" s="4" t="s">
        <v>63</v>
      </c>
      <c r="P5822" s="4" t="s">
        <v>64</v>
      </c>
    </row>
    <row r="5823">
      <c r="A5823" s="4" t="s">
        <v>6304</v>
      </c>
      <c r="B5823" s="4" t="s">
        <v>7323</v>
      </c>
      <c r="C5823" s="4">
        <v>303.0</v>
      </c>
      <c r="D5823" s="5" t="str">
        <f t="shared" si="1947"/>
        <v>Open Ad</v>
      </c>
      <c r="E5823" s="4" t="s">
        <v>78</v>
      </c>
      <c r="F5823" s="4" t="s">
        <v>6765</v>
      </c>
      <c r="G5823" s="4" t="s">
        <v>7484</v>
      </c>
      <c r="H5823" s="4" t="s">
        <v>611</v>
      </c>
      <c r="I5823" s="4" t="s">
        <v>7325</v>
      </c>
      <c r="J5823" s="4" t="s">
        <v>78</v>
      </c>
      <c r="K5823" s="7" t="str">
        <f t="shared" si="1948"/>
        <v>View Creative</v>
      </c>
      <c r="L5823" s="4" t="s">
        <v>60</v>
      </c>
      <c r="M5823" s="4" t="s">
        <v>6304</v>
      </c>
      <c r="N5823" s="4" t="s">
        <v>7482</v>
      </c>
      <c r="O5823" s="4" t="s">
        <v>63</v>
      </c>
      <c r="P5823" s="4" t="s">
        <v>64</v>
      </c>
    </row>
    <row r="5824">
      <c r="A5824" s="4" t="s">
        <v>6304</v>
      </c>
      <c r="B5824" s="4" t="s">
        <v>7323</v>
      </c>
      <c r="C5824" s="4">
        <v>304.0</v>
      </c>
      <c r="D5824" s="5" t="str">
        <f t="shared" ref="D5824:D5825" si="1949">HYPERLINK("https://www.linkedin.com/ad-library/detail/970898483","Open Ad")</f>
        <v>Open Ad</v>
      </c>
      <c r="E5824" s="4" t="s">
        <v>78</v>
      </c>
      <c r="F5824" s="4" t="s">
        <v>6765</v>
      </c>
      <c r="G5824" s="4" t="s">
        <v>7455</v>
      </c>
      <c r="H5824" s="4" t="s">
        <v>49</v>
      </c>
      <c r="I5824" s="4" t="s">
        <v>7325</v>
      </c>
      <c r="J5824" s="4" t="s">
        <v>78</v>
      </c>
      <c r="K5824" s="7" t="str">
        <f t="shared" ref="K5824:K5825" si="1950">HYPERLINK("https://media.licdn.com/dms/image/v2/D4D22AQH3I7CX2PDsOw/feedshare-shrink_1280/B4DZq7RnYuG8As-/0/1764078549694?e=2147483647&amp;v=beta&amp;t=c4tec5L3EYwO_gxVthgpkbnpG5jIlDW_Hel93hUlcWQ","View Creative")</f>
        <v>View Creative</v>
      </c>
      <c r="L5824" s="4" t="s">
        <v>60</v>
      </c>
      <c r="M5824" s="4" t="s">
        <v>6304</v>
      </c>
      <c r="N5824" s="4" t="s">
        <v>7479</v>
      </c>
      <c r="O5824" s="4" t="s">
        <v>63</v>
      </c>
      <c r="P5824" s="4" t="s">
        <v>64</v>
      </c>
    </row>
    <row r="5825">
      <c r="A5825" s="4" t="s">
        <v>6304</v>
      </c>
      <c r="B5825" s="4" t="s">
        <v>7323</v>
      </c>
      <c r="C5825" s="4">
        <v>305.0</v>
      </c>
      <c r="D5825" s="5" t="str">
        <f t="shared" si="1949"/>
        <v>Open Ad</v>
      </c>
      <c r="E5825" s="4" t="s">
        <v>78</v>
      </c>
      <c r="F5825" s="4" t="s">
        <v>6765</v>
      </c>
      <c r="G5825" s="4" t="s">
        <v>7455</v>
      </c>
      <c r="H5825" s="4" t="s">
        <v>49</v>
      </c>
      <c r="I5825" s="4" t="s">
        <v>7325</v>
      </c>
      <c r="J5825" s="4" t="s">
        <v>78</v>
      </c>
      <c r="K5825" s="7" t="str">
        <f t="shared" si="1950"/>
        <v>View Creative</v>
      </c>
      <c r="L5825" s="4" t="s">
        <v>60</v>
      </c>
      <c r="M5825" s="4" t="s">
        <v>6304</v>
      </c>
      <c r="N5825" s="4" t="s">
        <v>7479</v>
      </c>
      <c r="O5825" s="4" t="s">
        <v>63</v>
      </c>
      <c r="P5825" s="4" t="s">
        <v>64</v>
      </c>
    </row>
    <row r="5826">
      <c r="A5826" s="4" t="s">
        <v>6304</v>
      </c>
      <c r="B5826" s="4" t="s">
        <v>7323</v>
      </c>
      <c r="C5826" s="4">
        <v>306.0</v>
      </c>
      <c r="D5826" s="5" t="str">
        <f t="shared" ref="D5826:D5827" si="1951">HYPERLINK("https://www.linkedin.com/ad-library/detail/970789743","Open Ad")</f>
        <v>Open Ad</v>
      </c>
      <c r="E5826" s="4" t="s">
        <v>121</v>
      </c>
      <c r="F5826" s="4" t="s">
        <v>6765</v>
      </c>
      <c r="G5826" s="4" t="s">
        <v>7416</v>
      </c>
      <c r="H5826" s="4" t="s">
        <v>49</v>
      </c>
      <c r="I5826" s="4" t="s">
        <v>7325</v>
      </c>
      <c r="J5826" s="4" t="s">
        <v>121</v>
      </c>
      <c r="K5826" s="7" t="str">
        <f t="shared" ref="K5826:K5827" si="1952">HYPERLINK("https://dms.licdn.com/playlist/vid/v2/D4D10AQGGR_EKKXoJIw/progressive-servable-video/B4DZrOzLcnH0Ac-/0/1764406115038/ad2?e=2147483647&amp;v=beta&amp;t=e5zGgFVVwCJWmoIRx_lJJUCqKL1kGbq4PlvBd2QJUDU","View Creative")</f>
        <v>View Creative</v>
      </c>
      <c r="L5826" s="4" t="s">
        <v>60</v>
      </c>
      <c r="M5826" s="4" t="s">
        <v>6304</v>
      </c>
      <c r="N5826" s="4" t="s">
        <v>7479</v>
      </c>
      <c r="O5826" s="4" t="s">
        <v>63</v>
      </c>
      <c r="P5826" s="4" t="s">
        <v>64</v>
      </c>
    </row>
    <row r="5827">
      <c r="A5827" s="4" t="s">
        <v>6304</v>
      </c>
      <c r="B5827" s="4" t="s">
        <v>7323</v>
      </c>
      <c r="C5827" s="4">
        <v>307.0</v>
      </c>
      <c r="D5827" s="5" t="str">
        <f t="shared" si="1951"/>
        <v>Open Ad</v>
      </c>
      <c r="E5827" s="4" t="s">
        <v>121</v>
      </c>
      <c r="F5827" s="4" t="s">
        <v>6765</v>
      </c>
      <c r="G5827" s="4" t="s">
        <v>7416</v>
      </c>
      <c r="H5827" s="4" t="s">
        <v>49</v>
      </c>
      <c r="I5827" s="4" t="s">
        <v>7325</v>
      </c>
      <c r="J5827" s="4" t="s">
        <v>121</v>
      </c>
      <c r="K5827" s="7" t="str">
        <f t="shared" si="1952"/>
        <v>View Creative</v>
      </c>
      <c r="L5827" s="4" t="s">
        <v>60</v>
      </c>
      <c r="M5827" s="4" t="s">
        <v>6304</v>
      </c>
      <c r="N5827" s="4" t="s">
        <v>7479</v>
      </c>
      <c r="O5827" s="4" t="s">
        <v>63</v>
      </c>
      <c r="P5827" s="4" t="s">
        <v>64</v>
      </c>
    </row>
    <row r="5828">
      <c r="A5828" s="4" t="s">
        <v>6304</v>
      </c>
      <c r="B5828" s="4" t="s">
        <v>7323</v>
      </c>
      <c r="C5828" s="4">
        <v>308.0</v>
      </c>
      <c r="D5828" s="5" t="str">
        <f t="shared" ref="D5828:D5829" si="1953">HYPERLINK("https://www.linkedin.com/ad-library/detail/970938453","Open Ad")</f>
        <v>Open Ad</v>
      </c>
      <c r="E5828" s="4" t="s">
        <v>78</v>
      </c>
      <c r="F5828" s="4" t="s">
        <v>6765</v>
      </c>
      <c r="G5828" s="4" t="s">
        <v>7485</v>
      </c>
      <c r="H5828" s="4" t="s">
        <v>49</v>
      </c>
      <c r="I5828" s="4" t="s">
        <v>7325</v>
      </c>
      <c r="J5828" s="4" t="s">
        <v>78</v>
      </c>
      <c r="K5828" s="7" t="str">
        <f t="shared" ref="K5828:K5829" si="1954">HYPERLINK("https://media.licdn.com/dms/image/v2/D4D22AQFhHFU_enUY2w/feedshare-shrink_1280/B4DZqgXKhHJ4As-/0/1763627029825?e=2147483647&amp;v=beta&amp;t=dZTjGGJnCLJgTiJk4kexAvdaIJ0x_FbrcGCL_PD_dKY","View Creative")</f>
        <v>View Creative</v>
      </c>
      <c r="L5828" s="4" t="s">
        <v>60</v>
      </c>
      <c r="M5828" s="4" t="s">
        <v>6304</v>
      </c>
      <c r="N5828" s="4" t="s">
        <v>7477</v>
      </c>
      <c r="O5828" s="4" t="s">
        <v>63</v>
      </c>
      <c r="P5828" s="4" t="s">
        <v>64</v>
      </c>
    </row>
    <row r="5829">
      <c r="A5829" s="4" t="s">
        <v>6304</v>
      </c>
      <c r="B5829" s="4" t="s">
        <v>7323</v>
      </c>
      <c r="C5829" s="4">
        <v>309.0</v>
      </c>
      <c r="D5829" s="5" t="str">
        <f t="shared" si="1953"/>
        <v>Open Ad</v>
      </c>
      <c r="E5829" s="4" t="s">
        <v>78</v>
      </c>
      <c r="F5829" s="4" t="s">
        <v>6765</v>
      </c>
      <c r="G5829" s="4" t="s">
        <v>7485</v>
      </c>
      <c r="H5829" s="4" t="s">
        <v>49</v>
      </c>
      <c r="I5829" s="4" t="s">
        <v>7325</v>
      </c>
      <c r="J5829" s="4" t="s">
        <v>78</v>
      </c>
      <c r="K5829" s="7" t="str">
        <f t="shared" si="1954"/>
        <v>View Creative</v>
      </c>
      <c r="L5829" s="4" t="s">
        <v>60</v>
      </c>
      <c r="M5829" s="4" t="s">
        <v>6304</v>
      </c>
      <c r="N5829" s="4" t="s">
        <v>7477</v>
      </c>
      <c r="O5829" s="4" t="s">
        <v>63</v>
      </c>
      <c r="P5829" s="4" t="s">
        <v>64</v>
      </c>
    </row>
    <row r="5830">
      <c r="A5830" s="4" t="s">
        <v>6304</v>
      </c>
      <c r="B5830" s="4" t="s">
        <v>7323</v>
      </c>
      <c r="C5830" s="4">
        <v>310.0</v>
      </c>
      <c r="D5830" s="5" t="str">
        <f t="shared" ref="D5830:D5831" si="1955">HYPERLINK("https://www.linkedin.com/ad-library/detail/836604843","Open Ad")</f>
        <v>Open Ad</v>
      </c>
      <c r="E5830" s="4" t="s">
        <v>78</v>
      </c>
      <c r="F5830" s="4" t="s">
        <v>6765</v>
      </c>
      <c r="G5830" s="4" t="s">
        <v>7486</v>
      </c>
      <c r="H5830" s="4" t="s">
        <v>49</v>
      </c>
      <c r="I5830" s="4" t="s">
        <v>7325</v>
      </c>
      <c r="J5830" s="4" t="s">
        <v>78</v>
      </c>
      <c r="K5830" s="7" t="str">
        <f t="shared" ref="K5830:K5831" si="1956">HYPERLINK("https://media.licdn.com/dms/image/v2/D4D22AQGGAnnf_QLXxg/feedshare-shrink_1280/B4DZft9ieaHkAk-/0/1752044022608?e=2147483647&amp;v=beta&amp;t=u62BiiXEVVcoB4WZ_cB-BpzWzln-cdkte86HxnHUGDc","View Creative")</f>
        <v>View Creative</v>
      </c>
      <c r="L5830" s="4" t="s">
        <v>60</v>
      </c>
      <c r="M5830" s="4" t="s">
        <v>6304</v>
      </c>
      <c r="N5830" s="4" t="s">
        <v>7482</v>
      </c>
      <c r="O5830" s="4" t="s">
        <v>63</v>
      </c>
      <c r="P5830" s="4" t="s">
        <v>64</v>
      </c>
    </row>
    <row r="5831">
      <c r="A5831" s="4" t="s">
        <v>6304</v>
      </c>
      <c r="B5831" s="4" t="s">
        <v>7323</v>
      </c>
      <c r="C5831" s="4">
        <v>311.0</v>
      </c>
      <c r="D5831" s="5" t="str">
        <f t="shared" si="1955"/>
        <v>Open Ad</v>
      </c>
      <c r="E5831" s="4" t="s">
        <v>78</v>
      </c>
      <c r="F5831" s="4" t="s">
        <v>6765</v>
      </c>
      <c r="G5831" s="4" t="s">
        <v>7486</v>
      </c>
      <c r="H5831" s="4" t="s">
        <v>49</v>
      </c>
      <c r="I5831" s="4" t="s">
        <v>7325</v>
      </c>
      <c r="J5831" s="4" t="s">
        <v>78</v>
      </c>
      <c r="K5831" s="7" t="str">
        <f t="shared" si="1956"/>
        <v>View Creative</v>
      </c>
      <c r="L5831" s="4" t="s">
        <v>60</v>
      </c>
      <c r="M5831" s="4" t="s">
        <v>6304</v>
      </c>
      <c r="N5831" s="4" t="s">
        <v>7482</v>
      </c>
      <c r="O5831" s="4" t="s">
        <v>63</v>
      </c>
      <c r="P5831" s="4" t="s">
        <v>64</v>
      </c>
    </row>
    <row r="5832">
      <c r="A5832" s="4" t="s">
        <v>6304</v>
      </c>
      <c r="B5832" s="4" t="s">
        <v>7323</v>
      </c>
      <c r="C5832" s="4">
        <v>312.0</v>
      </c>
      <c r="D5832" s="5" t="str">
        <f t="shared" ref="D5832:D5833" si="1957">HYPERLINK("https://www.linkedin.com/ad-library/detail/821031723","Open Ad")</f>
        <v>Open Ad</v>
      </c>
      <c r="E5832" s="4" t="s">
        <v>78</v>
      </c>
      <c r="F5832" s="4" t="s">
        <v>6765</v>
      </c>
      <c r="G5832" s="4" t="s">
        <v>7487</v>
      </c>
      <c r="H5832" s="4" t="s">
        <v>49</v>
      </c>
      <c r="I5832" s="4" t="s">
        <v>7325</v>
      </c>
      <c r="J5832" s="4" t="s">
        <v>78</v>
      </c>
      <c r="K5832" s="7" t="str">
        <f t="shared" ref="K5832:K5833" si="1958">HYPERLINK("https://media.licdn.com/dms/image/v2/D4E22AQFr6qUH40tfAg/feedshare-image-high-res/B4EZkVee7uGoAo-/0/1757001938885?e=2147483647&amp;v=beta&amp;t=NJXtGkGmlew5OGCeqEVjJlyaZsMK_xYFpZj52VIiGws","View Creative")</f>
        <v>View Creative</v>
      </c>
      <c r="L5832" s="4" t="s">
        <v>60</v>
      </c>
      <c r="M5832" s="4" t="s">
        <v>6304</v>
      </c>
      <c r="N5832" s="4" t="s">
        <v>7488</v>
      </c>
      <c r="O5832" s="4" t="s">
        <v>63</v>
      </c>
      <c r="P5832" s="4" t="s">
        <v>64</v>
      </c>
    </row>
    <row r="5833">
      <c r="A5833" s="4" t="s">
        <v>6304</v>
      </c>
      <c r="B5833" s="4" t="s">
        <v>7323</v>
      </c>
      <c r="C5833" s="4">
        <v>313.0</v>
      </c>
      <c r="D5833" s="5" t="str">
        <f t="shared" si="1957"/>
        <v>Open Ad</v>
      </c>
      <c r="E5833" s="4" t="s">
        <v>78</v>
      </c>
      <c r="F5833" s="4" t="s">
        <v>6765</v>
      </c>
      <c r="G5833" s="4" t="s">
        <v>7487</v>
      </c>
      <c r="H5833" s="4" t="s">
        <v>49</v>
      </c>
      <c r="I5833" s="4" t="s">
        <v>7325</v>
      </c>
      <c r="J5833" s="4" t="s">
        <v>78</v>
      </c>
      <c r="K5833" s="7" t="str">
        <f t="shared" si="1958"/>
        <v>View Creative</v>
      </c>
      <c r="L5833" s="4" t="s">
        <v>60</v>
      </c>
      <c r="M5833" s="4" t="s">
        <v>6304</v>
      </c>
      <c r="N5833" s="4" t="s">
        <v>7488</v>
      </c>
      <c r="O5833" s="4" t="s">
        <v>63</v>
      </c>
      <c r="P5833" s="4" t="s">
        <v>64</v>
      </c>
    </row>
    <row r="5834">
      <c r="A5834" s="4" t="s">
        <v>6304</v>
      </c>
      <c r="B5834" s="4" t="s">
        <v>7323</v>
      </c>
      <c r="C5834" s="4">
        <v>314.0</v>
      </c>
      <c r="D5834" s="5" t="str">
        <f t="shared" ref="D5834:D5835" si="1959">HYPERLINK("https://www.linkedin.com/ad-library/detail/911284093","Open Ad")</f>
        <v>Open Ad</v>
      </c>
      <c r="E5834" s="4" t="s">
        <v>78</v>
      </c>
      <c r="F5834" s="4" t="s">
        <v>6765</v>
      </c>
      <c r="G5834" s="4" t="s">
        <v>7489</v>
      </c>
      <c r="H5834" s="4" t="s">
        <v>49</v>
      </c>
      <c r="I5834" s="4" t="s">
        <v>7325</v>
      </c>
      <c r="J5834" s="4" t="s">
        <v>78</v>
      </c>
      <c r="K5834" s="7" t="str">
        <f t="shared" ref="K5834:K5835" si="1960">HYPERLINK("https://media.licdn.com/dms/image/v2/D4D22AQGc-dOA9dL0gg/feedshare-shrink_1280/B4DZgNxihwH8Ao-/0/1752577748429?e=2147483647&amp;v=beta&amp;t=KqPrwQ6oFU0NrzCA_PL_MoDHawpLFIRiHXrS2in6PwU","View Creative")</f>
        <v>View Creative</v>
      </c>
      <c r="L5834" s="4" t="s">
        <v>60</v>
      </c>
      <c r="M5834" s="4" t="s">
        <v>6304</v>
      </c>
      <c r="N5834" s="4" t="s">
        <v>7480</v>
      </c>
      <c r="O5834" s="4" t="s">
        <v>63</v>
      </c>
      <c r="P5834" s="4" t="s">
        <v>64</v>
      </c>
    </row>
    <row r="5835">
      <c r="A5835" s="4" t="s">
        <v>6304</v>
      </c>
      <c r="B5835" s="4" t="s">
        <v>7323</v>
      </c>
      <c r="C5835" s="4">
        <v>315.0</v>
      </c>
      <c r="D5835" s="5" t="str">
        <f t="shared" si="1959"/>
        <v>Open Ad</v>
      </c>
      <c r="E5835" s="4" t="s">
        <v>78</v>
      </c>
      <c r="F5835" s="4" t="s">
        <v>6765</v>
      </c>
      <c r="G5835" s="4" t="s">
        <v>7489</v>
      </c>
      <c r="H5835" s="4" t="s">
        <v>49</v>
      </c>
      <c r="I5835" s="4" t="s">
        <v>7325</v>
      </c>
      <c r="J5835" s="4" t="s">
        <v>78</v>
      </c>
      <c r="K5835" s="7" t="str">
        <f t="shared" si="1960"/>
        <v>View Creative</v>
      </c>
      <c r="L5835" s="4" t="s">
        <v>60</v>
      </c>
      <c r="M5835" s="4" t="s">
        <v>6304</v>
      </c>
      <c r="N5835" s="4" t="s">
        <v>7480</v>
      </c>
      <c r="O5835" s="4" t="s">
        <v>63</v>
      </c>
      <c r="P5835" s="4" t="s">
        <v>64</v>
      </c>
    </row>
    <row r="5836">
      <c r="A5836" s="4" t="s">
        <v>6304</v>
      </c>
      <c r="B5836" s="4" t="s">
        <v>7323</v>
      </c>
      <c r="C5836" s="4">
        <v>316.0</v>
      </c>
      <c r="D5836" s="5" t="str">
        <f t="shared" ref="D5836:D5837" si="1961">HYPERLINK("https://www.linkedin.com/ad-library/detail/878451503","Open Ad")</f>
        <v>Open Ad</v>
      </c>
      <c r="E5836" s="4" t="s">
        <v>78</v>
      </c>
      <c r="F5836" s="4" t="s">
        <v>6765</v>
      </c>
      <c r="G5836" s="4" t="s">
        <v>7473</v>
      </c>
      <c r="H5836" s="4" t="s">
        <v>49</v>
      </c>
      <c r="I5836" s="4" t="s">
        <v>7325</v>
      </c>
      <c r="J5836" s="4" t="s">
        <v>78</v>
      </c>
      <c r="K5836" s="7" t="str">
        <f t="shared" ref="K5836:K5837" si="1962">HYPERLINK("https://media.licdn.com/dms/image/v2/D4D10AQEcN2mShiQ0yA/image-shrink_1280/B4DZnZQ.jWHYAM-/0/1760286733344/brand-reports-otterlyaipng?e=2147483647&amp;v=beta&amp;t=ITlTrw3tTmOnrI9YTjmIfeRVkvCF7ynltUqzF--OXqg","View Creative")</f>
        <v>View Creative</v>
      </c>
      <c r="L5836" s="4" t="s">
        <v>60</v>
      </c>
      <c r="M5836" s="4" t="s">
        <v>6304</v>
      </c>
      <c r="N5836" s="4" t="s">
        <v>7474</v>
      </c>
      <c r="O5836" s="4" t="s">
        <v>63</v>
      </c>
      <c r="P5836" s="4" t="s">
        <v>64</v>
      </c>
    </row>
    <row r="5837">
      <c r="A5837" s="4" t="s">
        <v>6304</v>
      </c>
      <c r="B5837" s="4" t="s">
        <v>7323</v>
      </c>
      <c r="C5837" s="4">
        <v>317.0</v>
      </c>
      <c r="D5837" s="5" t="str">
        <f t="shared" si="1961"/>
        <v>Open Ad</v>
      </c>
      <c r="E5837" s="4" t="s">
        <v>78</v>
      </c>
      <c r="F5837" s="4" t="s">
        <v>6765</v>
      </c>
      <c r="G5837" s="4" t="s">
        <v>7473</v>
      </c>
      <c r="H5837" s="4" t="s">
        <v>49</v>
      </c>
      <c r="I5837" s="4" t="s">
        <v>7325</v>
      </c>
      <c r="J5837" s="4" t="s">
        <v>78</v>
      </c>
      <c r="K5837" s="7" t="str">
        <f t="shared" si="1962"/>
        <v>View Creative</v>
      </c>
      <c r="L5837" s="4" t="s">
        <v>60</v>
      </c>
      <c r="M5837" s="4" t="s">
        <v>6304</v>
      </c>
      <c r="N5837" s="4" t="s">
        <v>7474</v>
      </c>
      <c r="O5837" s="4" t="s">
        <v>63</v>
      </c>
      <c r="P5837" s="4" t="s">
        <v>64</v>
      </c>
    </row>
    <row r="5838">
      <c r="A5838" s="4" t="s">
        <v>6304</v>
      </c>
      <c r="B5838" s="4" t="s">
        <v>7323</v>
      </c>
      <c r="C5838" s="4">
        <v>318.0</v>
      </c>
      <c r="D5838" s="5" t="str">
        <f t="shared" ref="D5838:D5839" si="1963">HYPERLINK("https://www.linkedin.com/ad-library/detail/889297056","Open Ad")</f>
        <v>Open Ad</v>
      </c>
      <c r="E5838" s="4" t="s">
        <v>78</v>
      </c>
      <c r="F5838" s="4" t="s">
        <v>6765</v>
      </c>
      <c r="G5838" s="4" t="s">
        <v>7490</v>
      </c>
      <c r="H5838" s="4" t="s">
        <v>49</v>
      </c>
      <c r="I5838" s="4" t="s">
        <v>7325</v>
      </c>
      <c r="J5838" s="4" t="s">
        <v>78</v>
      </c>
      <c r="K5838" s="7" t="str">
        <f t="shared" ref="K5838:K5839" si="1964">HYPERLINK("https://media.licdn.com/dms/image/v2/D4D22AQEVXbiTOOzGzQ/feedshare-shrink_1280/B4DZl3S9mZJIAs-/0/1758643086077?e=2147483647&amp;v=beta&amp;t=tUtnALINyCgdqEMELKytTMZE-u7vwPwnOHRTqW8sTl0","View Creative")</f>
        <v>View Creative</v>
      </c>
      <c r="L5838" s="4" t="s">
        <v>60</v>
      </c>
      <c r="M5838" s="4" t="s">
        <v>6304</v>
      </c>
      <c r="N5838" s="4" t="s">
        <v>7491</v>
      </c>
      <c r="O5838" s="4" t="s">
        <v>63</v>
      </c>
      <c r="P5838" s="4" t="s">
        <v>64</v>
      </c>
    </row>
    <row r="5839">
      <c r="A5839" s="4" t="s">
        <v>6304</v>
      </c>
      <c r="B5839" s="4" t="s">
        <v>7323</v>
      </c>
      <c r="C5839" s="4">
        <v>319.0</v>
      </c>
      <c r="D5839" s="5" t="str">
        <f t="shared" si="1963"/>
        <v>Open Ad</v>
      </c>
      <c r="E5839" s="4" t="s">
        <v>78</v>
      </c>
      <c r="F5839" s="4" t="s">
        <v>6765</v>
      </c>
      <c r="G5839" s="4" t="s">
        <v>7490</v>
      </c>
      <c r="H5839" s="4" t="s">
        <v>49</v>
      </c>
      <c r="I5839" s="4" t="s">
        <v>7325</v>
      </c>
      <c r="J5839" s="4" t="s">
        <v>78</v>
      </c>
      <c r="K5839" s="7" t="str">
        <f t="shared" si="1964"/>
        <v>View Creative</v>
      </c>
      <c r="L5839" s="4" t="s">
        <v>60</v>
      </c>
      <c r="M5839" s="4" t="s">
        <v>6304</v>
      </c>
      <c r="N5839" s="4" t="s">
        <v>7491</v>
      </c>
      <c r="O5839" s="4" t="s">
        <v>63</v>
      </c>
      <c r="P5839" s="4" t="s">
        <v>64</v>
      </c>
    </row>
    <row r="5840">
      <c r="A5840" s="4" t="s">
        <v>6304</v>
      </c>
      <c r="B5840" s="4" t="s">
        <v>7323</v>
      </c>
      <c r="C5840" s="4">
        <v>320.0</v>
      </c>
      <c r="D5840" s="5" t="str">
        <f t="shared" ref="D5840:D5841" si="1965">HYPERLINK("https://www.linkedin.com/ad-library/detail/836652793","Open Ad")</f>
        <v>Open Ad</v>
      </c>
      <c r="E5840" s="4" t="s">
        <v>78</v>
      </c>
      <c r="F5840" s="4" t="s">
        <v>6765</v>
      </c>
      <c r="G5840" s="4" t="s">
        <v>7492</v>
      </c>
      <c r="H5840" s="4" t="s">
        <v>7493</v>
      </c>
      <c r="I5840" s="4" t="s">
        <v>7325</v>
      </c>
      <c r="J5840" s="4" t="s">
        <v>78</v>
      </c>
      <c r="K5840" s="7" t="str">
        <f t="shared" ref="K5840:K5841" si="1966">HYPERLINK("https://media.licdn.com/dms/image/v2/D4D22AQHrxI0CZ6gD9Q/feedshare-shrink_1280/B4DZkyWUGhJUAs-/0/1757486336161?e=2147483647&amp;v=beta&amp;t=XT-YlADijZ35uz9oW4vN9dPKf1kU2O6cmXwi4Who-tE","View Creative")</f>
        <v>View Creative</v>
      </c>
      <c r="L5840" s="4" t="s">
        <v>60</v>
      </c>
      <c r="M5840" s="4" t="s">
        <v>6304</v>
      </c>
      <c r="N5840" s="4" t="s">
        <v>6997</v>
      </c>
      <c r="O5840" s="4" t="s">
        <v>63</v>
      </c>
      <c r="P5840" s="4" t="s">
        <v>64</v>
      </c>
    </row>
    <row r="5841">
      <c r="A5841" s="4" t="s">
        <v>6304</v>
      </c>
      <c r="B5841" s="4" t="s">
        <v>7323</v>
      </c>
      <c r="C5841" s="4">
        <v>321.0</v>
      </c>
      <c r="D5841" s="5" t="str">
        <f t="shared" si="1965"/>
        <v>Open Ad</v>
      </c>
      <c r="E5841" s="4" t="s">
        <v>78</v>
      </c>
      <c r="F5841" s="4" t="s">
        <v>6765</v>
      </c>
      <c r="G5841" s="4" t="s">
        <v>7492</v>
      </c>
      <c r="H5841" s="4" t="s">
        <v>7493</v>
      </c>
      <c r="I5841" s="4" t="s">
        <v>7325</v>
      </c>
      <c r="J5841" s="4" t="s">
        <v>78</v>
      </c>
      <c r="K5841" s="7" t="str">
        <f t="shared" si="1966"/>
        <v>View Creative</v>
      </c>
      <c r="L5841" s="4" t="s">
        <v>60</v>
      </c>
      <c r="M5841" s="4" t="s">
        <v>6304</v>
      </c>
      <c r="N5841" s="4" t="s">
        <v>6997</v>
      </c>
      <c r="O5841" s="4" t="s">
        <v>63</v>
      </c>
      <c r="P5841" s="4" t="s">
        <v>64</v>
      </c>
    </row>
    <row r="5842">
      <c r="A5842" s="4" t="s">
        <v>6304</v>
      </c>
      <c r="B5842" s="4" t="s">
        <v>7323</v>
      </c>
      <c r="C5842" s="4">
        <v>322.0</v>
      </c>
      <c r="D5842" s="5" t="str">
        <f t="shared" ref="D5842:D5843" si="1967">HYPERLINK("https://www.linkedin.com/ad-library/detail/911245423","Open Ad")</f>
        <v>Open Ad</v>
      </c>
      <c r="E5842" s="4" t="s">
        <v>78</v>
      </c>
      <c r="F5842" s="4" t="s">
        <v>6765</v>
      </c>
      <c r="G5842" s="4" t="s">
        <v>7484</v>
      </c>
      <c r="H5842" s="4" t="s">
        <v>611</v>
      </c>
      <c r="I5842" s="4" t="s">
        <v>7325</v>
      </c>
      <c r="J5842" s="4" t="s">
        <v>78</v>
      </c>
      <c r="K5842" s="7" t="str">
        <f t="shared" ref="K5842:K5843" si="1968">HYPERLINK("https://media.licdn.com/dms/image/v2/D4D22AQFM9OpVBcLU0w/feedshare-shrink_1280/B4DZhRf9YSHsAs-/0/1753713991112?e=2147483647&amp;v=beta&amp;t=I2tF1z1vDqMwbbFbP2qXnFfy4fVlA52nPbbhYBuZ5No","View Creative")</f>
        <v>View Creative</v>
      </c>
      <c r="L5842" s="4" t="s">
        <v>60</v>
      </c>
      <c r="M5842" s="4" t="s">
        <v>6304</v>
      </c>
      <c r="N5842" s="4" t="s">
        <v>7480</v>
      </c>
      <c r="O5842" s="4" t="s">
        <v>63</v>
      </c>
      <c r="P5842" s="4" t="s">
        <v>64</v>
      </c>
    </row>
    <row r="5843">
      <c r="A5843" s="4" t="s">
        <v>6304</v>
      </c>
      <c r="B5843" s="4" t="s">
        <v>7323</v>
      </c>
      <c r="C5843" s="4">
        <v>323.0</v>
      </c>
      <c r="D5843" s="5" t="str">
        <f t="shared" si="1967"/>
        <v>Open Ad</v>
      </c>
      <c r="E5843" s="4" t="s">
        <v>78</v>
      </c>
      <c r="F5843" s="4" t="s">
        <v>6765</v>
      </c>
      <c r="G5843" s="4" t="s">
        <v>7484</v>
      </c>
      <c r="H5843" s="4" t="s">
        <v>611</v>
      </c>
      <c r="I5843" s="4" t="s">
        <v>7325</v>
      </c>
      <c r="J5843" s="4" t="s">
        <v>78</v>
      </c>
      <c r="K5843" s="7" t="str">
        <f t="shared" si="1968"/>
        <v>View Creative</v>
      </c>
      <c r="L5843" s="4" t="s">
        <v>60</v>
      </c>
      <c r="M5843" s="4" t="s">
        <v>6304</v>
      </c>
      <c r="N5843" s="4" t="s">
        <v>7480</v>
      </c>
      <c r="O5843" s="4" t="s">
        <v>63</v>
      </c>
      <c r="P5843" s="4" t="s">
        <v>64</v>
      </c>
    </row>
    <row r="5844">
      <c r="A5844" s="4" t="s">
        <v>6304</v>
      </c>
      <c r="B5844" s="4" t="s">
        <v>7323</v>
      </c>
      <c r="C5844" s="4">
        <v>324.0</v>
      </c>
      <c r="D5844" s="5" t="str">
        <f t="shared" ref="D5844:D5845" si="1969">HYPERLINK("https://www.linkedin.com/ad-library/detail/836514643","Open Ad")</f>
        <v>Open Ad</v>
      </c>
      <c r="E5844" s="4" t="s">
        <v>78</v>
      </c>
      <c r="F5844" s="4" t="s">
        <v>6765</v>
      </c>
      <c r="G5844" s="4" t="s">
        <v>7487</v>
      </c>
      <c r="H5844" s="4" t="s">
        <v>49</v>
      </c>
      <c r="I5844" s="4" t="s">
        <v>7325</v>
      </c>
      <c r="J5844" s="4" t="s">
        <v>78</v>
      </c>
      <c r="K5844" s="7" t="str">
        <f t="shared" ref="K5844:K5845" si="1970">HYPERLINK("https://media.licdn.com/dms/image/v2/D4E22AQFr6qUH40tfAg/feedshare-image-high-res/B4EZkVee7uGoAo-/0/1757001938885?e=2147483647&amp;v=beta&amp;t=NJXtGkGmlew5OGCeqEVjJlyaZsMK_xYFpZj52VIiGws","View Creative")</f>
        <v>View Creative</v>
      </c>
      <c r="L5844" s="4" t="s">
        <v>60</v>
      </c>
      <c r="M5844" s="4" t="s">
        <v>6304</v>
      </c>
      <c r="N5844" s="4" t="s">
        <v>7482</v>
      </c>
      <c r="O5844" s="4" t="s">
        <v>63</v>
      </c>
      <c r="P5844" s="4" t="s">
        <v>64</v>
      </c>
    </row>
    <row r="5845">
      <c r="A5845" s="4" t="s">
        <v>6304</v>
      </c>
      <c r="B5845" s="4" t="s">
        <v>7323</v>
      </c>
      <c r="C5845" s="4">
        <v>325.0</v>
      </c>
      <c r="D5845" s="5" t="str">
        <f t="shared" si="1969"/>
        <v>Open Ad</v>
      </c>
      <c r="E5845" s="4" t="s">
        <v>78</v>
      </c>
      <c r="F5845" s="4" t="s">
        <v>6765</v>
      </c>
      <c r="G5845" s="4" t="s">
        <v>7487</v>
      </c>
      <c r="H5845" s="4" t="s">
        <v>49</v>
      </c>
      <c r="I5845" s="4" t="s">
        <v>7325</v>
      </c>
      <c r="J5845" s="4" t="s">
        <v>78</v>
      </c>
      <c r="K5845" s="7" t="str">
        <f t="shared" si="1970"/>
        <v>View Creative</v>
      </c>
      <c r="L5845" s="4" t="s">
        <v>60</v>
      </c>
      <c r="M5845" s="4" t="s">
        <v>6304</v>
      </c>
      <c r="N5845" s="4" t="s">
        <v>7482</v>
      </c>
      <c r="O5845" s="4" t="s">
        <v>63</v>
      </c>
      <c r="P5845" s="4" t="s">
        <v>64</v>
      </c>
    </row>
    <row r="5846">
      <c r="A5846" s="4" t="s">
        <v>6304</v>
      </c>
      <c r="B5846" s="4" t="s">
        <v>7323</v>
      </c>
      <c r="C5846" s="4">
        <v>326.0</v>
      </c>
      <c r="D5846" s="5" t="str">
        <f t="shared" ref="D5846:D5847" si="1971">HYPERLINK("https://www.linkedin.com/ad-library/detail/911185463","Open Ad")</f>
        <v>Open Ad</v>
      </c>
      <c r="E5846" s="4" t="s">
        <v>78</v>
      </c>
      <c r="F5846" s="4" t="s">
        <v>6765</v>
      </c>
      <c r="G5846" s="4" t="s">
        <v>7471</v>
      </c>
      <c r="H5846" s="4" t="s">
        <v>49</v>
      </c>
      <c r="I5846" s="4" t="s">
        <v>7325</v>
      </c>
      <c r="J5846" s="4" t="s">
        <v>78</v>
      </c>
      <c r="K5846" s="7" t="str">
        <f t="shared" ref="K5846:K5847" si="1972">HYPERLINK("https://media.licdn.com/dms/image/v2/D4E22AQGoyvTVKmm8jw/feedshare-shrink_1280/B4EZoLmjLJIIAs-/0/1761131247932?e=2147483647&amp;v=beta&amp;t=yyb9m2BJ8f5_Zd7kf6dCGI_KWgvIwEYnr1AJYM0MzGE","View Creative")</f>
        <v>View Creative</v>
      </c>
      <c r="L5846" s="4" t="s">
        <v>60</v>
      </c>
      <c r="M5846" s="4" t="s">
        <v>6304</v>
      </c>
      <c r="N5846" s="4" t="s">
        <v>7480</v>
      </c>
      <c r="O5846" s="4" t="s">
        <v>63</v>
      </c>
      <c r="P5846" s="4" t="s">
        <v>64</v>
      </c>
    </row>
    <row r="5847">
      <c r="A5847" s="4" t="s">
        <v>6304</v>
      </c>
      <c r="B5847" s="4" t="s">
        <v>7323</v>
      </c>
      <c r="C5847" s="4">
        <v>327.0</v>
      </c>
      <c r="D5847" s="5" t="str">
        <f t="shared" si="1971"/>
        <v>Open Ad</v>
      </c>
      <c r="E5847" s="4" t="s">
        <v>78</v>
      </c>
      <c r="F5847" s="4" t="s">
        <v>6765</v>
      </c>
      <c r="G5847" s="4" t="s">
        <v>7471</v>
      </c>
      <c r="H5847" s="4" t="s">
        <v>49</v>
      </c>
      <c r="I5847" s="4" t="s">
        <v>7325</v>
      </c>
      <c r="J5847" s="4" t="s">
        <v>78</v>
      </c>
      <c r="K5847" s="7" t="str">
        <f t="shared" si="1972"/>
        <v>View Creative</v>
      </c>
      <c r="L5847" s="4" t="s">
        <v>60</v>
      </c>
      <c r="M5847" s="4" t="s">
        <v>6304</v>
      </c>
      <c r="N5847" s="4" t="s">
        <v>7480</v>
      </c>
      <c r="O5847" s="4" t="s">
        <v>63</v>
      </c>
      <c r="P5847" s="4" t="s">
        <v>64</v>
      </c>
    </row>
    <row r="5848">
      <c r="A5848" s="4" t="s">
        <v>6304</v>
      </c>
      <c r="B5848" s="4" t="s">
        <v>7323</v>
      </c>
      <c r="C5848" s="4">
        <v>328.0</v>
      </c>
      <c r="D5848" s="5" t="str">
        <f t="shared" ref="D5848:D5849" si="1973">HYPERLINK("https://www.linkedin.com/ad-library/detail/836514653","Open Ad")</f>
        <v>Open Ad</v>
      </c>
      <c r="E5848" s="4" t="s">
        <v>78</v>
      </c>
      <c r="F5848" s="4" t="s">
        <v>6765</v>
      </c>
      <c r="G5848" s="4" t="s">
        <v>7489</v>
      </c>
      <c r="H5848" s="4" t="s">
        <v>49</v>
      </c>
      <c r="I5848" s="4" t="s">
        <v>7325</v>
      </c>
      <c r="J5848" s="4" t="s">
        <v>78</v>
      </c>
      <c r="K5848" s="7" t="str">
        <f t="shared" ref="K5848:K5849" si="1974">HYPERLINK("https://media.licdn.com/dms/image/v2/D4D22AQGc-dOA9dL0gg/feedshare-shrink_1280/B4DZgNxihwH8Ao-/0/1752577748429?e=2147483647&amp;v=beta&amp;t=KqPrwQ6oFU0NrzCA_PL_MoDHawpLFIRiHXrS2in6PwU","View Creative")</f>
        <v>View Creative</v>
      </c>
      <c r="L5848" s="4" t="s">
        <v>60</v>
      </c>
      <c r="M5848" s="4" t="s">
        <v>6304</v>
      </c>
      <c r="N5848" s="4" t="s">
        <v>7482</v>
      </c>
      <c r="O5848" s="4" t="s">
        <v>63</v>
      </c>
      <c r="P5848" s="4" t="s">
        <v>64</v>
      </c>
    </row>
    <row r="5849">
      <c r="A5849" s="4" t="s">
        <v>6304</v>
      </c>
      <c r="B5849" s="4" t="s">
        <v>7323</v>
      </c>
      <c r="C5849" s="4">
        <v>329.0</v>
      </c>
      <c r="D5849" s="5" t="str">
        <f t="shared" si="1973"/>
        <v>Open Ad</v>
      </c>
      <c r="E5849" s="4" t="s">
        <v>78</v>
      </c>
      <c r="F5849" s="4" t="s">
        <v>6765</v>
      </c>
      <c r="G5849" s="4" t="s">
        <v>7489</v>
      </c>
      <c r="H5849" s="4" t="s">
        <v>49</v>
      </c>
      <c r="I5849" s="4" t="s">
        <v>7325</v>
      </c>
      <c r="J5849" s="4" t="s">
        <v>78</v>
      </c>
      <c r="K5849" s="7" t="str">
        <f t="shared" si="1974"/>
        <v>View Creative</v>
      </c>
      <c r="L5849" s="4" t="s">
        <v>60</v>
      </c>
      <c r="M5849" s="4" t="s">
        <v>6304</v>
      </c>
      <c r="N5849" s="4" t="s">
        <v>7482</v>
      </c>
      <c r="O5849" s="4" t="s">
        <v>63</v>
      </c>
      <c r="P5849" s="4" t="s">
        <v>64</v>
      </c>
    </row>
    <row r="5850">
      <c r="A5850" s="4" t="s">
        <v>6304</v>
      </c>
      <c r="B5850" s="4" t="s">
        <v>7323</v>
      </c>
      <c r="C5850" s="4">
        <v>330.0</v>
      </c>
      <c r="D5850" s="5" t="str">
        <f t="shared" ref="D5850:D5851" si="1975">HYPERLINK("https://www.linkedin.com/ad-library/detail/970798733","Open Ad")</f>
        <v>Open Ad</v>
      </c>
      <c r="E5850" s="4" t="s">
        <v>121</v>
      </c>
      <c r="F5850" s="4" t="s">
        <v>6765</v>
      </c>
      <c r="G5850" s="4" t="s">
        <v>7478</v>
      </c>
      <c r="H5850" s="4" t="s">
        <v>49</v>
      </c>
      <c r="I5850" s="4" t="s">
        <v>7325</v>
      </c>
      <c r="J5850" s="4" t="s">
        <v>121</v>
      </c>
      <c r="K5850" s="7" t="str">
        <f t="shared" ref="K5850:K5851" si="1976">HYPERLINK("https://dms.licdn.com/playlist/vid/v2/D4D10AQFgHZtnnvp-Zw/mp4-640p-30fp-crf28/B4DZrOzLHSIgCA-/0/1764406130266/ad1?e=2147483647&amp;v=beta&amp;t=C3znZMeusDYHEpCoBEjcsfaOVTNeH3GktwS76QRoudg","View Creative")</f>
        <v>View Creative</v>
      </c>
      <c r="L5850" s="4" t="s">
        <v>60</v>
      </c>
      <c r="M5850" s="4" t="s">
        <v>6304</v>
      </c>
      <c r="N5850" s="4" t="s">
        <v>7479</v>
      </c>
      <c r="O5850" s="4" t="s">
        <v>63</v>
      </c>
      <c r="P5850" s="4" t="s">
        <v>64</v>
      </c>
    </row>
    <row r="5851">
      <c r="A5851" s="4" t="s">
        <v>6304</v>
      </c>
      <c r="B5851" s="4" t="s">
        <v>7323</v>
      </c>
      <c r="C5851" s="4">
        <v>331.0</v>
      </c>
      <c r="D5851" s="5" t="str">
        <f t="shared" si="1975"/>
        <v>Open Ad</v>
      </c>
      <c r="E5851" s="4" t="s">
        <v>121</v>
      </c>
      <c r="F5851" s="4" t="s">
        <v>6765</v>
      </c>
      <c r="G5851" s="4" t="s">
        <v>7478</v>
      </c>
      <c r="H5851" s="4" t="s">
        <v>49</v>
      </c>
      <c r="I5851" s="4" t="s">
        <v>7325</v>
      </c>
      <c r="J5851" s="4" t="s">
        <v>121</v>
      </c>
      <c r="K5851" s="7" t="str">
        <f t="shared" si="1976"/>
        <v>View Creative</v>
      </c>
      <c r="L5851" s="4" t="s">
        <v>60</v>
      </c>
      <c r="M5851" s="4" t="s">
        <v>6304</v>
      </c>
      <c r="N5851" s="4" t="s">
        <v>7479</v>
      </c>
      <c r="O5851" s="4" t="s">
        <v>63</v>
      </c>
      <c r="P5851" s="4" t="s">
        <v>64</v>
      </c>
    </row>
    <row r="5852">
      <c r="A5852" s="4" t="s">
        <v>6304</v>
      </c>
      <c r="B5852" s="4" t="s">
        <v>7323</v>
      </c>
      <c r="C5852" s="4">
        <v>332.0</v>
      </c>
      <c r="D5852" s="5" t="str">
        <f t="shared" ref="D5852:D5853" si="1977">HYPERLINK("https://www.linkedin.com/ad-library/detail/836554673","Open Ad")</f>
        <v>Open Ad</v>
      </c>
      <c r="E5852" s="4" t="s">
        <v>78</v>
      </c>
      <c r="F5852" s="4" t="s">
        <v>6765</v>
      </c>
      <c r="G5852" s="4" t="s">
        <v>7494</v>
      </c>
      <c r="H5852" s="4" t="s">
        <v>49</v>
      </c>
      <c r="I5852" s="4" t="s">
        <v>7325</v>
      </c>
      <c r="J5852" s="4" t="s">
        <v>78</v>
      </c>
      <c r="K5852" s="7" t="str">
        <f t="shared" ref="K5852:K5853" si="1978">HYPERLINK("https://media.licdn.com/dms/image/v2/D4D22AQG0NZfMqtsVow/feedshare-shrink_1280/B4DZijeT36HwAk-/0/1755089290093?e=2147483647&amp;v=beta&amp;t=2r0VFxjtctER6U2aEaKiyE2fUa-7-S_gqctxRoQDDeQ","View Creative")</f>
        <v>View Creative</v>
      </c>
      <c r="L5852" s="4" t="s">
        <v>60</v>
      </c>
      <c r="M5852" s="4" t="s">
        <v>6304</v>
      </c>
      <c r="N5852" s="4" t="s">
        <v>7482</v>
      </c>
      <c r="O5852" s="4" t="s">
        <v>63</v>
      </c>
      <c r="P5852" s="4" t="s">
        <v>64</v>
      </c>
    </row>
    <row r="5853">
      <c r="A5853" s="4" t="s">
        <v>6304</v>
      </c>
      <c r="B5853" s="4" t="s">
        <v>7323</v>
      </c>
      <c r="C5853" s="4">
        <v>333.0</v>
      </c>
      <c r="D5853" s="5" t="str">
        <f t="shared" si="1977"/>
        <v>Open Ad</v>
      </c>
      <c r="E5853" s="4" t="s">
        <v>78</v>
      </c>
      <c r="F5853" s="4" t="s">
        <v>6765</v>
      </c>
      <c r="G5853" s="4" t="s">
        <v>7494</v>
      </c>
      <c r="H5853" s="4" t="s">
        <v>49</v>
      </c>
      <c r="I5853" s="4" t="s">
        <v>7325</v>
      </c>
      <c r="J5853" s="4" t="s">
        <v>78</v>
      </c>
      <c r="K5853" s="7" t="str">
        <f t="shared" si="1978"/>
        <v>View Creative</v>
      </c>
      <c r="L5853" s="4" t="s">
        <v>60</v>
      </c>
      <c r="M5853" s="4" t="s">
        <v>6304</v>
      </c>
      <c r="N5853" s="4" t="s">
        <v>7482</v>
      </c>
      <c r="O5853" s="4" t="s">
        <v>63</v>
      </c>
      <c r="P5853" s="4" t="s">
        <v>64</v>
      </c>
    </row>
    <row r="5854">
      <c r="A5854" s="4" t="s">
        <v>6304</v>
      </c>
      <c r="B5854" s="4" t="s">
        <v>7323</v>
      </c>
      <c r="C5854" s="4">
        <v>334.0</v>
      </c>
      <c r="D5854" s="5" t="str">
        <f t="shared" ref="D5854:D5855" si="1979">HYPERLINK("https://www.linkedin.com/ad-library/detail/820971713","Open Ad")</f>
        <v>Open Ad</v>
      </c>
      <c r="E5854" s="4" t="s">
        <v>78</v>
      </c>
      <c r="F5854" s="4" t="s">
        <v>6765</v>
      </c>
      <c r="G5854" s="4" t="s">
        <v>7484</v>
      </c>
      <c r="H5854" s="4" t="s">
        <v>611</v>
      </c>
      <c r="I5854" s="4" t="s">
        <v>7325</v>
      </c>
      <c r="J5854" s="4" t="s">
        <v>78</v>
      </c>
      <c r="K5854" s="7" t="str">
        <f t="shared" ref="K5854:K5855" si="1980">HYPERLINK("https://media.licdn.com/dms/image/v2/D4D22AQFM9OpVBcLU0w/feedshare-shrink_1280/B4DZhRf9YSHsAs-/0/1753713991112?e=2147483647&amp;v=beta&amp;t=I2tF1z1vDqMwbbFbP2qXnFfy4fVlA52nPbbhYBuZ5No","View Creative")</f>
        <v>View Creative</v>
      </c>
      <c r="L5854" s="4" t="s">
        <v>60</v>
      </c>
      <c r="M5854" s="4" t="s">
        <v>6304</v>
      </c>
      <c r="N5854" s="4" t="s">
        <v>7488</v>
      </c>
      <c r="O5854" s="4" t="s">
        <v>63</v>
      </c>
      <c r="P5854" s="4" t="s">
        <v>64</v>
      </c>
    </row>
    <row r="5855">
      <c r="A5855" s="4" t="s">
        <v>6304</v>
      </c>
      <c r="B5855" s="4" t="s">
        <v>7323</v>
      </c>
      <c r="C5855" s="4">
        <v>335.0</v>
      </c>
      <c r="D5855" s="5" t="str">
        <f t="shared" si="1979"/>
        <v>Open Ad</v>
      </c>
      <c r="E5855" s="4" t="s">
        <v>78</v>
      </c>
      <c r="F5855" s="4" t="s">
        <v>6765</v>
      </c>
      <c r="G5855" s="4" t="s">
        <v>7484</v>
      </c>
      <c r="H5855" s="4" t="s">
        <v>611</v>
      </c>
      <c r="I5855" s="4" t="s">
        <v>7325</v>
      </c>
      <c r="J5855" s="4" t="s">
        <v>78</v>
      </c>
      <c r="K5855" s="7" t="str">
        <f t="shared" si="1980"/>
        <v>View Creative</v>
      </c>
      <c r="L5855" s="4" t="s">
        <v>60</v>
      </c>
      <c r="M5855" s="4" t="s">
        <v>6304</v>
      </c>
      <c r="N5855" s="4" t="s">
        <v>7488</v>
      </c>
      <c r="O5855" s="4" t="s">
        <v>63</v>
      </c>
      <c r="P5855" s="4" t="s">
        <v>64</v>
      </c>
    </row>
    <row r="5856">
      <c r="A5856" s="4" t="s">
        <v>6304</v>
      </c>
      <c r="B5856" s="4" t="s">
        <v>7323</v>
      </c>
      <c r="C5856" s="4">
        <v>336.0</v>
      </c>
      <c r="D5856" s="5" t="str">
        <f t="shared" ref="D5856:D5857" si="1981">HYPERLINK("https://www.linkedin.com/ad-library/detail/820971723","Open Ad")</f>
        <v>Open Ad</v>
      </c>
      <c r="E5856" s="4" t="s">
        <v>78</v>
      </c>
      <c r="F5856" s="4" t="s">
        <v>6765</v>
      </c>
      <c r="G5856" s="4" t="s">
        <v>7489</v>
      </c>
      <c r="H5856" s="4" t="s">
        <v>49</v>
      </c>
      <c r="I5856" s="4" t="s">
        <v>7325</v>
      </c>
      <c r="J5856" s="4" t="s">
        <v>78</v>
      </c>
      <c r="K5856" s="7" t="str">
        <f t="shared" ref="K5856:K5857" si="1982">HYPERLINK("https://media.licdn.com/dms/image/v2/D4D22AQGc-dOA9dL0gg/feedshare-shrink_1280/B4DZgNxihwH8Ao-/0/1752577748429?e=2147483647&amp;v=beta&amp;t=KqPrwQ6oFU0NrzCA_PL_MoDHawpLFIRiHXrS2in6PwU","View Creative")</f>
        <v>View Creative</v>
      </c>
      <c r="L5856" s="4" t="s">
        <v>60</v>
      </c>
      <c r="M5856" s="4" t="s">
        <v>6304</v>
      </c>
      <c r="N5856" s="4" t="s">
        <v>7488</v>
      </c>
      <c r="O5856" s="4" t="s">
        <v>63</v>
      </c>
      <c r="P5856" s="4" t="s">
        <v>64</v>
      </c>
    </row>
    <row r="5857">
      <c r="A5857" s="4" t="s">
        <v>6304</v>
      </c>
      <c r="B5857" s="4" t="s">
        <v>7323</v>
      </c>
      <c r="C5857" s="4">
        <v>337.0</v>
      </c>
      <c r="D5857" s="5" t="str">
        <f t="shared" si="1981"/>
        <v>Open Ad</v>
      </c>
      <c r="E5857" s="4" t="s">
        <v>78</v>
      </c>
      <c r="F5857" s="4" t="s">
        <v>6765</v>
      </c>
      <c r="G5857" s="4" t="s">
        <v>7489</v>
      </c>
      <c r="H5857" s="4" t="s">
        <v>49</v>
      </c>
      <c r="I5857" s="4" t="s">
        <v>7325</v>
      </c>
      <c r="J5857" s="4" t="s">
        <v>78</v>
      </c>
      <c r="K5857" s="7" t="str">
        <f t="shared" si="1982"/>
        <v>View Creative</v>
      </c>
      <c r="L5857" s="4" t="s">
        <v>60</v>
      </c>
      <c r="M5857" s="4" t="s">
        <v>6304</v>
      </c>
      <c r="N5857" s="4" t="s">
        <v>7488</v>
      </c>
      <c r="O5857" s="4" t="s">
        <v>63</v>
      </c>
      <c r="P5857" s="4" t="s">
        <v>64</v>
      </c>
    </row>
    <row r="5858">
      <c r="A5858" s="4" t="s">
        <v>6304</v>
      </c>
      <c r="B5858" s="4" t="s">
        <v>7323</v>
      </c>
      <c r="C5858" s="4">
        <v>338.0</v>
      </c>
      <c r="D5858" s="5" t="str">
        <f t="shared" ref="D5858:D5859" si="1983">HYPERLINK("https://www.linkedin.com/ad-library/detail/811214663","Open Ad")</f>
        <v>Open Ad</v>
      </c>
      <c r="E5858" s="4" t="s">
        <v>78</v>
      </c>
      <c r="F5858" s="4" t="s">
        <v>6765</v>
      </c>
      <c r="G5858" s="4" t="s">
        <v>7495</v>
      </c>
      <c r="H5858" s="4" t="s">
        <v>49</v>
      </c>
      <c r="I5858" s="4" t="s">
        <v>7325</v>
      </c>
      <c r="J5858" s="4" t="s">
        <v>78</v>
      </c>
      <c r="K5858" s="7" t="str">
        <f t="shared" ref="K5858:K5859" si="1984">HYPERLINK("https://media.licdn.com/dms/image/v2/D4D10AQENWA5fAWg02Q/image-shrink_1280/B4DZesAiQAGgAM-/0/1750937512294/rank1onchatgpt?e=2147483647&amp;v=beta&amp;t=1t1VvmReNvJM3Fbj1Dj4RrE3RlYAMcGStKrrV1ki-bY","View Creative")</f>
        <v>View Creative</v>
      </c>
      <c r="L5858" s="4" t="s">
        <v>60</v>
      </c>
      <c r="M5858" s="4" t="s">
        <v>6304</v>
      </c>
      <c r="N5858" s="4" t="s">
        <v>7496</v>
      </c>
      <c r="O5858" s="4" t="s">
        <v>63</v>
      </c>
      <c r="P5858" s="4" t="s">
        <v>64</v>
      </c>
    </row>
    <row r="5859">
      <c r="A5859" s="4" t="s">
        <v>6304</v>
      </c>
      <c r="B5859" s="4" t="s">
        <v>7323</v>
      </c>
      <c r="C5859" s="4">
        <v>339.0</v>
      </c>
      <c r="D5859" s="5" t="str">
        <f t="shared" si="1983"/>
        <v>Open Ad</v>
      </c>
      <c r="E5859" s="4" t="s">
        <v>78</v>
      </c>
      <c r="F5859" s="4" t="s">
        <v>6765</v>
      </c>
      <c r="G5859" s="4" t="s">
        <v>7495</v>
      </c>
      <c r="H5859" s="4" t="s">
        <v>49</v>
      </c>
      <c r="I5859" s="4" t="s">
        <v>7325</v>
      </c>
      <c r="J5859" s="4" t="s">
        <v>78</v>
      </c>
      <c r="K5859" s="7" t="str">
        <f t="shared" si="1984"/>
        <v>View Creative</v>
      </c>
      <c r="L5859" s="4" t="s">
        <v>60</v>
      </c>
      <c r="M5859" s="4" t="s">
        <v>6304</v>
      </c>
      <c r="N5859" s="4" t="s">
        <v>7496</v>
      </c>
      <c r="O5859" s="4" t="s">
        <v>63</v>
      </c>
      <c r="P5859" s="4" t="s">
        <v>64</v>
      </c>
    </row>
    <row r="5860">
      <c r="A5860" s="4" t="s">
        <v>6304</v>
      </c>
      <c r="B5860" s="4" t="s">
        <v>7323</v>
      </c>
      <c r="C5860" s="4">
        <v>340.0</v>
      </c>
      <c r="D5860" s="5" t="str">
        <f t="shared" ref="D5860:D5861" si="1985">HYPERLINK("https://www.linkedin.com/ad-library/detail/811243373","Open Ad")</f>
        <v>Open Ad</v>
      </c>
      <c r="E5860" s="4" t="s">
        <v>78</v>
      </c>
      <c r="F5860" s="4" t="s">
        <v>6765</v>
      </c>
      <c r="G5860" s="4" t="s">
        <v>7497</v>
      </c>
      <c r="H5860" s="4" t="s">
        <v>49</v>
      </c>
      <c r="I5860" s="4" t="s">
        <v>7325</v>
      </c>
      <c r="J5860" s="4" t="s">
        <v>78</v>
      </c>
      <c r="K5860" s="7" t="str">
        <f t="shared" ref="K5860:K5861" si="1986">HYPERLINK("https://media.licdn.com/dms/image/v2/D4D10AQEvq2inHYzoCw/image-shrink_1280/B4DZesAH6tGsAM-/0/1750937403848/brand-report-ai-searchpng?e=2147483647&amp;v=beta&amp;t=NOIYT6Fyqzp26DoNrP-4gdcSssiG2o5Id65CUl-LpSo","View Creative")</f>
        <v>View Creative</v>
      </c>
      <c r="L5860" s="4" t="s">
        <v>60</v>
      </c>
      <c r="M5860" s="4" t="s">
        <v>6304</v>
      </c>
      <c r="N5860" s="4" t="s">
        <v>7496</v>
      </c>
      <c r="O5860" s="4" t="s">
        <v>63</v>
      </c>
      <c r="P5860" s="4" t="s">
        <v>64</v>
      </c>
    </row>
    <row r="5861">
      <c r="A5861" s="4" t="s">
        <v>6304</v>
      </c>
      <c r="B5861" s="4" t="s">
        <v>7323</v>
      </c>
      <c r="C5861" s="4">
        <v>341.0</v>
      </c>
      <c r="D5861" s="5" t="str">
        <f t="shared" si="1985"/>
        <v>Open Ad</v>
      </c>
      <c r="E5861" s="4" t="s">
        <v>78</v>
      </c>
      <c r="F5861" s="4" t="s">
        <v>6765</v>
      </c>
      <c r="G5861" s="4" t="s">
        <v>7497</v>
      </c>
      <c r="H5861" s="4" t="s">
        <v>49</v>
      </c>
      <c r="I5861" s="4" t="s">
        <v>7325</v>
      </c>
      <c r="J5861" s="4" t="s">
        <v>78</v>
      </c>
      <c r="K5861" s="7" t="str">
        <f t="shared" si="1986"/>
        <v>View Creative</v>
      </c>
      <c r="L5861" s="4" t="s">
        <v>60</v>
      </c>
      <c r="M5861" s="4" t="s">
        <v>6304</v>
      </c>
      <c r="N5861" s="4" t="s">
        <v>7496</v>
      </c>
      <c r="O5861" s="4" t="s">
        <v>63</v>
      </c>
      <c r="P5861" s="4" t="s">
        <v>64</v>
      </c>
    </row>
    <row r="5862">
      <c r="A5862" s="4" t="s">
        <v>6304</v>
      </c>
      <c r="B5862" s="4" t="s">
        <v>7323</v>
      </c>
      <c r="C5862" s="4">
        <v>342.0</v>
      </c>
      <c r="D5862" s="5" t="str">
        <f t="shared" ref="D5862:D5863" si="1987">HYPERLINK("https://www.linkedin.com/ad-library/detail/820911723","Open Ad")</f>
        <v>Open Ad</v>
      </c>
      <c r="E5862" s="4" t="s">
        <v>78</v>
      </c>
      <c r="F5862" s="4" t="s">
        <v>6765</v>
      </c>
      <c r="G5862" s="4" t="s">
        <v>7498</v>
      </c>
      <c r="H5862" s="4" t="s">
        <v>49</v>
      </c>
      <c r="I5862" s="4" t="s">
        <v>7325</v>
      </c>
      <c r="J5862" s="4" t="s">
        <v>78</v>
      </c>
      <c r="K5862" s="7" t="str">
        <f t="shared" ref="K5862:K5863" si="1988">HYPERLINK("https://media.licdn.com/dms/image/v2/D4E22AQGeuFMhqJA6oA/feedshare-image-high-res/B4EZjtOH53GcAs-/0/1756326560828?e=2147483647&amp;v=beta&amp;t=kr97yd9fpxNz9A-b6ikQauBpSwChkDEF2t5sX3MHrCY","View Creative")</f>
        <v>View Creative</v>
      </c>
      <c r="L5862" s="4" t="s">
        <v>60</v>
      </c>
      <c r="M5862" s="4" t="s">
        <v>6304</v>
      </c>
      <c r="N5862" s="4" t="s">
        <v>7488</v>
      </c>
      <c r="O5862" s="4" t="s">
        <v>63</v>
      </c>
      <c r="P5862" s="4" t="s">
        <v>64</v>
      </c>
    </row>
    <row r="5863">
      <c r="A5863" s="4" t="s">
        <v>6304</v>
      </c>
      <c r="B5863" s="4" t="s">
        <v>7323</v>
      </c>
      <c r="C5863" s="4">
        <v>343.0</v>
      </c>
      <c r="D5863" s="5" t="str">
        <f t="shared" si="1987"/>
        <v>Open Ad</v>
      </c>
      <c r="E5863" s="4" t="s">
        <v>78</v>
      </c>
      <c r="F5863" s="4" t="s">
        <v>6765</v>
      </c>
      <c r="G5863" s="4" t="s">
        <v>7498</v>
      </c>
      <c r="H5863" s="4" t="s">
        <v>49</v>
      </c>
      <c r="I5863" s="4" t="s">
        <v>7325</v>
      </c>
      <c r="J5863" s="4" t="s">
        <v>78</v>
      </c>
      <c r="K5863" s="7" t="str">
        <f t="shared" si="1988"/>
        <v>View Creative</v>
      </c>
      <c r="L5863" s="4" t="s">
        <v>60</v>
      </c>
      <c r="M5863" s="4" t="s">
        <v>6304</v>
      </c>
      <c r="N5863" s="4" t="s">
        <v>7488</v>
      </c>
      <c r="O5863" s="4" t="s">
        <v>63</v>
      </c>
      <c r="P5863" s="4" t="s">
        <v>64</v>
      </c>
    </row>
    <row r="5864">
      <c r="A5864" s="4" t="s">
        <v>6304</v>
      </c>
      <c r="B5864" s="4" t="s">
        <v>7323</v>
      </c>
      <c r="C5864" s="4">
        <v>344.0</v>
      </c>
      <c r="D5864" s="5" t="str">
        <f t="shared" ref="D5864:D5865" si="1989">HYPERLINK("https://www.linkedin.com/ad-library/detail/811250253","Open Ad")</f>
        <v>Open Ad</v>
      </c>
      <c r="E5864" s="4" t="s">
        <v>78</v>
      </c>
      <c r="F5864" s="4" t="s">
        <v>6765</v>
      </c>
      <c r="G5864" s="4" t="s">
        <v>7499</v>
      </c>
      <c r="H5864" s="4" t="s">
        <v>611</v>
      </c>
      <c r="I5864" s="4" t="s">
        <v>7325</v>
      </c>
      <c r="J5864" s="4" t="s">
        <v>78</v>
      </c>
      <c r="K5864" s="7" t="str">
        <f t="shared" ref="K5864:K5865" si="1990">HYPERLINK("https://media.licdn.com/dms/image/v2/D4D10AQFqN22BHgFM1A/image-shrink_1280/B4DZer_N3tHMAM-/0/1750937166158/billboard-4png?e=2147483647&amp;v=beta&amp;t=PlJ1MWOM53t1HFqGCa_B373i0yJD4oCgQJcttl3arBU","View Creative")</f>
        <v>View Creative</v>
      </c>
      <c r="L5864" s="4" t="s">
        <v>60</v>
      </c>
      <c r="M5864" s="4" t="s">
        <v>6304</v>
      </c>
      <c r="N5864" s="4" t="s">
        <v>7496</v>
      </c>
      <c r="O5864" s="4" t="s">
        <v>63</v>
      </c>
      <c r="P5864" s="4" t="s">
        <v>64</v>
      </c>
    </row>
    <row r="5865">
      <c r="A5865" s="4" t="s">
        <v>6304</v>
      </c>
      <c r="B5865" s="4" t="s">
        <v>7323</v>
      </c>
      <c r="C5865" s="4">
        <v>345.0</v>
      </c>
      <c r="D5865" s="5" t="str">
        <f t="shared" si="1989"/>
        <v>Open Ad</v>
      </c>
      <c r="E5865" s="4" t="s">
        <v>78</v>
      </c>
      <c r="F5865" s="4" t="s">
        <v>6765</v>
      </c>
      <c r="G5865" s="4" t="s">
        <v>7499</v>
      </c>
      <c r="H5865" s="4" t="s">
        <v>611</v>
      </c>
      <c r="I5865" s="4" t="s">
        <v>7325</v>
      </c>
      <c r="J5865" s="4" t="s">
        <v>78</v>
      </c>
      <c r="K5865" s="7" t="str">
        <f t="shared" si="1990"/>
        <v>View Creative</v>
      </c>
      <c r="L5865" s="4" t="s">
        <v>60</v>
      </c>
      <c r="M5865" s="4" t="s">
        <v>6304</v>
      </c>
      <c r="N5865" s="4" t="s">
        <v>7496</v>
      </c>
      <c r="O5865" s="4" t="s">
        <v>63</v>
      </c>
      <c r="P5865" s="4" t="s">
        <v>64</v>
      </c>
    </row>
    <row r="5866">
      <c r="A5866" s="4"/>
      <c r="B5866" s="4"/>
      <c r="C5866" s="4"/>
      <c r="E5866" s="4"/>
      <c r="F5866" s="4"/>
      <c r="G5866" s="4"/>
      <c r="H5866" s="4"/>
      <c r="I5866" s="4"/>
      <c r="J5866" s="4"/>
      <c r="K5866" s="4"/>
      <c r="L5866" s="4"/>
      <c r="M5866" s="4"/>
      <c r="N5866" s="4"/>
      <c r="O5866" s="4"/>
      <c r="P5866" s="4"/>
    </row>
    <row r="5867">
      <c r="A5867" s="4" t="s">
        <v>7500</v>
      </c>
      <c r="B5867" s="4" t="s">
        <v>7501</v>
      </c>
      <c r="C5867" s="4">
        <v>1.0</v>
      </c>
      <c r="D5867" s="5" t="str">
        <f t="shared" ref="D5867:D5868" si="1991">HYPERLINK("https://www.linkedin.com/ad-library/detail/1436007603","Open Ad")</f>
        <v>Open Ad</v>
      </c>
      <c r="E5867" s="4" t="s">
        <v>78</v>
      </c>
      <c r="F5867" s="4" t="s">
        <v>6765</v>
      </c>
      <c r="G5867" s="4" t="s">
        <v>7502</v>
      </c>
      <c r="H5867" s="4" t="s">
        <v>49</v>
      </c>
      <c r="I5867" s="4" t="s">
        <v>7503</v>
      </c>
      <c r="J5867" s="4" t="s">
        <v>78</v>
      </c>
      <c r="K5867" s="7" t="str">
        <f t="shared" ref="K5867:K5868" si="1992">HYPERLINK("https://media.licdn.com/dms/image/v2/D4D10AQFluvEyyy-JOA/image-shrink_1280/B4DZbhbbj2HEAM-/0/1747538787039/testimonialpng?e=2147483647&amp;v=beta&amp;t=VJWRIUnC3aqtI_-unph4BLl7QgcKU-XRN4SYJhM0uO0","View Creative")</f>
        <v>View Creative</v>
      </c>
      <c r="L5867" s="4" t="s">
        <v>60</v>
      </c>
      <c r="M5867" s="4" t="s">
        <v>7500</v>
      </c>
      <c r="N5867" s="4"/>
      <c r="O5867" s="4" t="s">
        <v>63</v>
      </c>
      <c r="P5867" s="4" t="s">
        <v>64</v>
      </c>
    </row>
    <row r="5868">
      <c r="A5868" s="4" t="s">
        <v>7500</v>
      </c>
      <c r="B5868" s="4" t="s">
        <v>7501</v>
      </c>
      <c r="C5868" s="4">
        <v>2.0</v>
      </c>
      <c r="D5868" s="5" t="str">
        <f t="shared" si="1991"/>
        <v>Open Ad</v>
      </c>
      <c r="E5868" s="4" t="s">
        <v>78</v>
      </c>
      <c r="F5868" s="4" t="s">
        <v>6765</v>
      </c>
      <c r="G5868" s="4" t="s">
        <v>7502</v>
      </c>
      <c r="H5868" s="4" t="s">
        <v>49</v>
      </c>
      <c r="I5868" s="4" t="s">
        <v>7503</v>
      </c>
      <c r="J5868" s="4" t="s">
        <v>78</v>
      </c>
      <c r="K5868" s="7" t="str">
        <f t="shared" si="1992"/>
        <v>View Creative</v>
      </c>
      <c r="L5868" s="4" t="s">
        <v>60</v>
      </c>
      <c r="M5868" s="4" t="s">
        <v>7500</v>
      </c>
      <c r="N5868" s="4"/>
      <c r="O5868" s="4" t="s">
        <v>63</v>
      </c>
      <c r="P5868" s="4" t="s">
        <v>64</v>
      </c>
    </row>
    <row r="5869">
      <c r="A5869" s="4" t="s">
        <v>7500</v>
      </c>
      <c r="B5869" s="4" t="s">
        <v>7501</v>
      </c>
      <c r="C5869" s="4">
        <v>3.0</v>
      </c>
      <c r="D5869" s="5" t="str">
        <f t="shared" ref="D5869:D5870" si="1993">HYPERLINK("https://www.linkedin.com/ad-library/detail/1180287683","Open Ad")</f>
        <v>Open Ad</v>
      </c>
      <c r="E5869" s="4" t="s">
        <v>78</v>
      </c>
      <c r="F5869" s="4" t="s">
        <v>6765</v>
      </c>
      <c r="G5869" s="4" t="s">
        <v>7504</v>
      </c>
      <c r="H5869" s="4" t="s">
        <v>49</v>
      </c>
      <c r="I5869" s="4" t="s">
        <v>7503</v>
      </c>
      <c r="J5869" s="4" t="s">
        <v>78</v>
      </c>
      <c r="K5869" s="7" t="str">
        <f t="shared" ref="K5869:K5870" si="1994">HYPERLINK("https://media.licdn.com/dms/image/v2/D4D10AQEFvnGefch08w/image-shrink_1280/B4DZrfooTIGQAM-/0/1764688562729?e=2147483647&amp;v=beta&amp;t=1hOosj_KsZhjxFRh4NgIRSWInkTJgEQxymN0ixAPIXs","View Creative")</f>
        <v>View Creative</v>
      </c>
      <c r="L5869" s="4" t="s">
        <v>60</v>
      </c>
      <c r="M5869" s="4" t="s">
        <v>7500</v>
      </c>
      <c r="N5869" s="4"/>
      <c r="O5869" s="4" t="s">
        <v>63</v>
      </c>
      <c r="P5869" s="4" t="s">
        <v>64</v>
      </c>
    </row>
    <row r="5870">
      <c r="A5870" s="4" t="s">
        <v>7500</v>
      </c>
      <c r="B5870" s="4" t="s">
        <v>7501</v>
      </c>
      <c r="C5870" s="4">
        <v>4.0</v>
      </c>
      <c r="D5870" s="5" t="str">
        <f t="shared" si="1993"/>
        <v>Open Ad</v>
      </c>
      <c r="E5870" s="4" t="s">
        <v>78</v>
      </c>
      <c r="F5870" s="4" t="s">
        <v>6765</v>
      </c>
      <c r="G5870" s="4" t="s">
        <v>7504</v>
      </c>
      <c r="H5870" s="4" t="s">
        <v>49</v>
      </c>
      <c r="I5870" s="4" t="s">
        <v>7503</v>
      </c>
      <c r="J5870" s="4" t="s">
        <v>78</v>
      </c>
      <c r="K5870" s="7" t="str">
        <f t="shared" si="1994"/>
        <v>View Creative</v>
      </c>
      <c r="L5870" s="4" t="s">
        <v>60</v>
      </c>
      <c r="M5870" s="4" t="s">
        <v>7500</v>
      </c>
      <c r="N5870" s="4"/>
      <c r="O5870" s="4" t="s">
        <v>63</v>
      </c>
      <c r="P5870" s="4" t="s">
        <v>64</v>
      </c>
    </row>
    <row r="5871">
      <c r="A5871" s="4" t="s">
        <v>7500</v>
      </c>
      <c r="B5871" s="4" t="s">
        <v>7501</v>
      </c>
      <c r="C5871" s="4">
        <v>5.0</v>
      </c>
      <c r="D5871" s="5" t="str">
        <f t="shared" ref="D5871:D5872" si="1995">HYPERLINK("https://www.linkedin.com/ad-library/detail/1165597573","Open Ad")</f>
        <v>Open Ad</v>
      </c>
      <c r="E5871" s="4" t="s">
        <v>78</v>
      </c>
      <c r="F5871" s="4" t="s">
        <v>6765</v>
      </c>
      <c r="G5871" s="4" t="s">
        <v>7505</v>
      </c>
      <c r="H5871" s="4" t="s">
        <v>49</v>
      </c>
      <c r="I5871" s="4" t="s">
        <v>7503</v>
      </c>
      <c r="J5871" s="4" t="s">
        <v>78</v>
      </c>
      <c r="K5871" s="7" t="str">
        <f t="shared" ref="K5871:K5872" si="1996">HYPERLINK("https://media.licdn.com/dms/image/v2/D5622AQG7Y_-cttWl_Q/feedshare-shrink_1280/B56ZwP52.1JQAc-/0/1769793352390?e=2147483647&amp;v=beta&amp;t=48nIr0RY5--X2MweB4JYAJacH3XYuO2wDubqYU5QZEo","View Creative")</f>
        <v>View Creative</v>
      </c>
      <c r="L5871" s="4" t="s">
        <v>60</v>
      </c>
      <c r="M5871" s="4" t="s">
        <v>7500</v>
      </c>
      <c r="N5871" s="4"/>
      <c r="O5871" s="4" t="s">
        <v>63</v>
      </c>
      <c r="P5871" s="4" t="s">
        <v>64</v>
      </c>
    </row>
    <row r="5872">
      <c r="A5872" s="4" t="s">
        <v>7500</v>
      </c>
      <c r="B5872" s="4" t="s">
        <v>7501</v>
      </c>
      <c r="C5872" s="4">
        <v>6.0</v>
      </c>
      <c r="D5872" s="5" t="str">
        <f t="shared" si="1995"/>
        <v>Open Ad</v>
      </c>
      <c r="E5872" s="4" t="s">
        <v>78</v>
      </c>
      <c r="F5872" s="4" t="s">
        <v>6765</v>
      </c>
      <c r="G5872" s="4" t="s">
        <v>7505</v>
      </c>
      <c r="H5872" s="4" t="s">
        <v>49</v>
      </c>
      <c r="I5872" s="4" t="s">
        <v>7503</v>
      </c>
      <c r="J5872" s="4" t="s">
        <v>78</v>
      </c>
      <c r="K5872" s="7" t="str">
        <f t="shared" si="1996"/>
        <v>View Creative</v>
      </c>
      <c r="L5872" s="4" t="s">
        <v>60</v>
      </c>
      <c r="M5872" s="4" t="s">
        <v>7500</v>
      </c>
      <c r="N5872" s="4"/>
      <c r="O5872" s="4" t="s">
        <v>63</v>
      </c>
      <c r="P5872" s="4" t="s">
        <v>64</v>
      </c>
    </row>
    <row r="5873">
      <c r="A5873" s="4" t="s">
        <v>7500</v>
      </c>
      <c r="B5873" s="4" t="s">
        <v>7501</v>
      </c>
      <c r="C5873" s="4">
        <v>7.0</v>
      </c>
      <c r="D5873" s="5" t="str">
        <f t="shared" ref="D5873:D5874" si="1997">HYPERLINK("https://www.linkedin.com/ad-library/detail/1181987053","Open Ad")</f>
        <v>Open Ad</v>
      </c>
      <c r="E5873" s="4" t="s">
        <v>78</v>
      </c>
      <c r="F5873" s="4" t="s">
        <v>6765</v>
      </c>
      <c r="G5873" s="4" t="s">
        <v>7506</v>
      </c>
      <c r="H5873" s="4" t="s">
        <v>49</v>
      </c>
      <c r="I5873" s="4" t="s">
        <v>7503</v>
      </c>
      <c r="J5873" s="4" t="s">
        <v>78</v>
      </c>
      <c r="K5873" s="7" t="str">
        <f t="shared" ref="K5873:K5874" si="1998">HYPERLINK("https://media.licdn.com/dms/image/v2/D4D22AQEYhx5CgCHz9g/feedshare-shrink_1280/B4DZp5AtBnHsAs-/0/1762966819547?e=2147483647&amp;v=beta&amp;t=DSsjJWxRtKRXJsaC7UMbJSH8uzHHVV6d43prXmutqCc","View Creative")</f>
        <v>View Creative</v>
      </c>
      <c r="L5873" s="4" t="s">
        <v>60</v>
      </c>
      <c r="M5873" s="4" t="s">
        <v>7500</v>
      </c>
      <c r="N5873" s="4"/>
      <c r="O5873" s="4" t="s">
        <v>63</v>
      </c>
      <c r="P5873" s="4" t="s">
        <v>64</v>
      </c>
    </row>
    <row r="5874">
      <c r="A5874" s="4" t="s">
        <v>7500</v>
      </c>
      <c r="B5874" s="4" t="s">
        <v>7501</v>
      </c>
      <c r="C5874" s="4">
        <v>8.0</v>
      </c>
      <c r="D5874" s="5" t="str">
        <f t="shared" si="1997"/>
        <v>Open Ad</v>
      </c>
      <c r="E5874" s="4" t="s">
        <v>78</v>
      </c>
      <c r="F5874" s="4" t="s">
        <v>6765</v>
      </c>
      <c r="G5874" s="4" t="s">
        <v>7506</v>
      </c>
      <c r="H5874" s="4" t="s">
        <v>49</v>
      </c>
      <c r="I5874" s="4" t="s">
        <v>7503</v>
      </c>
      <c r="J5874" s="4" t="s">
        <v>78</v>
      </c>
      <c r="K5874" s="7" t="str">
        <f t="shared" si="1998"/>
        <v>View Creative</v>
      </c>
      <c r="L5874" s="4" t="s">
        <v>60</v>
      </c>
      <c r="M5874" s="4" t="s">
        <v>7500</v>
      </c>
      <c r="N5874" s="4"/>
      <c r="O5874" s="4" t="s">
        <v>63</v>
      </c>
      <c r="P5874" s="4" t="s">
        <v>64</v>
      </c>
    </row>
    <row r="5875">
      <c r="A5875" s="4" t="s">
        <v>7500</v>
      </c>
      <c r="B5875" s="4" t="s">
        <v>7501</v>
      </c>
      <c r="C5875" s="4">
        <v>9.0</v>
      </c>
      <c r="D5875" s="5" t="str">
        <f t="shared" ref="D5875:D5876" si="1999">HYPERLINK("https://www.linkedin.com/ad-library/detail/1181187923","Open Ad")</f>
        <v>Open Ad</v>
      </c>
      <c r="E5875" s="4" t="s">
        <v>78</v>
      </c>
      <c r="F5875" s="4" t="s">
        <v>6765</v>
      </c>
      <c r="G5875" s="4" t="s">
        <v>7507</v>
      </c>
      <c r="H5875" s="4" t="s">
        <v>7508</v>
      </c>
      <c r="I5875" s="4" t="s">
        <v>7503</v>
      </c>
      <c r="J5875" s="4" t="s">
        <v>78</v>
      </c>
      <c r="K5875" s="7" t="str">
        <f t="shared" ref="K5875:K5876" si="2000">HYPERLINK("https://media.licdn.com/dms/image/v2/D4D10AQGZ4cGTPffM7w/image-shrink_1280/B4DZpUltL2JcAM-/0/1762355763388?e=2147483647&amp;v=beta&amp;t=BznkIVQ6UPmU66PhUceWRHXv8QiVHG6QojyARL8R7JE","View Creative")</f>
        <v>View Creative</v>
      </c>
      <c r="L5875" s="4" t="s">
        <v>60</v>
      </c>
      <c r="M5875" s="4" t="s">
        <v>7500</v>
      </c>
      <c r="N5875" s="4"/>
      <c r="O5875" s="4" t="s">
        <v>63</v>
      </c>
      <c r="P5875" s="4" t="s">
        <v>64</v>
      </c>
    </row>
    <row r="5876">
      <c r="A5876" s="4" t="s">
        <v>7500</v>
      </c>
      <c r="B5876" s="4" t="s">
        <v>7501</v>
      </c>
      <c r="C5876" s="4">
        <v>10.0</v>
      </c>
      <c r="D5876" s="5" t="str">
        <f t="shared" si="1999"/>
        <v>Open Ad</v>
      </c>
      <c r="E5876" s="4" t="s">
        <v>78</v>
      </c>
      <c r="F5876" s="4" t="s">
        <v>6765</v>
      </c>
      <c r="G5876" s="4" t="s">
        <v>7507</v>
      </c>
      <c r="H5876" s="4" t="s">
        <v>7508</v>
      </c>
      <c r="I5876" s="4" t="s">
        <v>7503</v>
      </c>
      <c r="J5876" s="4" t="s">
        <v>78</v>
      </c>
      <c r="K5876" s="7" t="str">
        <f t="shared" si="2000"/>
        <v>View Creative</v>
      </c>
      <c r="L5876" s="4" t="s">
        <v>60</v>
      </c>
      <c r="M5876" s="4" t="s">
        <v>7500</v>
      </c>
      <c r="N5876" s="4"/>
      <c r="O5876" s="4" t="s">
        <v>63</v>
      </c>
      <c r="P5876" s="4" t="s">
        <v>64</v>
      </c>
    </row>
    <row r="5877">
      <c r="A5877" s="4" t="s">
        <v>7500</v>
      </c>
      <c r="B5877" s="4" t="s">
        <v>7501</v>
      </c>
      <c r="C5877" s="4">
        <v>11.0</v>
      </c>
      <c r="D5877" s="5" t="str">
        <f t="shared" ref="D5877:D5878" si="2001">HYPERLINK("https://www.linkedin.com/ad-library/detail/1122181483","Open Ad")</f>
        <v>Open Ad</v>
      </c>
      <c r="E5877" s="4" t="s">
        <v>78</v>
      </c>
      <c r="F5877" s="4" t="s">
        <v>6765</v>
      </c>
      <c r="G5877" s="4" t="s">
        <v>7509</v>
      </c>
      <c r="H5877" s="4" t="s">
        <v>49</v>
      </c>
      <c r="I5877" s="4" t="s">
        <v>7503</v>
      </c>
      <c r="J5877" s="4" t="s">
        <v>78</v>
      </c>
      <c r="K5877" s="7" t="str">
        <f t="shared" ref="K5877:K5880" si="2002">HYPERLINK("https://media.licdn.com/dms/image/v2/D4D10AQEh-XNYX7hm9Q/image-shrink_1280/B4DZvn8AopJsAc-/0/1769122827438/StateofAISearch2026png?e=2147483647&amp;v=beta&amp;t=Kvmib6awKkbx2D2NGleR3LdTlCTRspfjxM4PPwsQeOU","View Creative")</f>
        <v>View Creative</v>
      </c>
      <c r="L5877" s="4" t="s">
        <v>60</v>
      </c>
      <c r="M5877" s="4" t="s">
        <v>7500</v>
      </c>
      <c r="N5877" s="4"/>
      <c r="O5877" s="4" t="s">
        <v>63</v>
      </c>
      <c r="P5877" s="4" t="s">
        <v>64</v>
      </c>
    </row>
    <row r="5878">
      <c r="A5878" s="4" t="s">
        <v>7500</v>
      </c>
      <c r="B5878" s="4" t="s">
        <v>7501</v>
      </c>
      <c r="C5878" s="4">
        <v>12.0</v>
      </c>
      <c r="D5878" s="5" t="str">
        <f t="shared" si="2001"/>
        <v>Open Ad</v>
      </c>
      <c r="E5878" s="4" t="s">
        <v>78</v>
      </c>
      <c r="F5878" s="4" t="s">
        <v>6765</v>
      </c>
      <c r="G5878" s="4" t="s">
        <v>7509</v>
      </c>
      <c r="H5878" s="4" t="s">
        <v>49</v>
      </c>
      <c r="I5878" s="4" t="s">
        <v>7503</v>
      </c>
      <c r="J5878" s="4" t="s">
        <v>78</v>
      </c>
      <c r="K5878" s="7" t="str">
        <f t="shared" si="2002"/>
        <v>View Creative</v>
      </c>
      <c r="L5878" s="4" t="s">
        <v>60</v>
      </c>
      <c r="M5878" s="4" t="s">
        <v>7500</v>
      </c>
      <c r="N5878" s="4"/>
      <c r="O5878" s="4" t="s">
        <v>63</v>
      </c>
      <c r="P5878" s="4" t="s">
        <v>64</v>
      </c>
    </row>
    <row r="5879">
      <c r="A5879" s="4" t="s">
        <v>7500</v>
      </c>
      <c r="B5879" s="4" t="s">
        <v>7501</v>
      </c>
      <c r="C5879" s="4">
        <v>13.0</v>
      </c>
      <c r="D5879" s="5" t="str">
        <f t="shared" ref="D5879:D5880" si="2003">HYPERLINK("https://www.linkedin.com/ad-library/detail/1181386143","Open Ad")</f>
        <v>Open Ad</v>
      </c>
      <c r="E5879" s="4" t="s">
        <v>78</v>
      </c>
      <c r="F5879" s="4" t="s">
        <v>6765</v>
      </c>
      <c r="G5879" s="4" t="s">
        <v>7510</v>
      </c>
      <c r="H5879" s="4" t="s">
        <v>49</v>
      </c>
      <c r="I5879" s="4" t="s">
        <v>7503</v>
      </c>
      <c r="J5879" s="4" t="s">
        <v>78</v>
      </c>
      <c r="K5879" s="7" t="str">
        <f t="shared" si="2002"/>
        <v>View Creative</v>
      </c>
      <c r="L5879" s="4" t="s">
        <v>60</v>
      </c>
      <c r="M5879" s="4" t="s">
        <v>7500</v>
      </c>
      <c r="N5879" s="4"/>
      <c r="O5879" s="4" t="s">
        <v>63</v>
      </c>
      <c r="P5879" s="4" t="s">
        <v>64</v>
      </c>
    </row>
    <row r="5880">
      <c r="A5880" s="4" t="s">
        <v>7500</v>
      </c>
      <c r="B5880" s="4" t="s">
        <v>7501</v>
      </c>
      <c r="C5880" s="4">
        <v>14.0</v>
      </c>
      <c r="D5880" s="5" t="str">
        <f t="shared" si="2003"/>
        <v>Open Ad</v>
      </c>
      <c r="E5880" s="4" t="s">
        <v>78</v>
      </c>
      <c r="F5880" s="4" t="s">
        <v>6765</v>
      </c>
      <c r="G5880" s="4" t="s">
        <v>7510</v>
      </c>
      <c r="H5880" s="4" t="s">
        <v>49</v>
      </c>
      <c r="I5880" s="4" t="s">
        <v>7503</v>
      </c>
      <c r="J5880" s="4" t="s">
        <v>78</v>
      </c>
      <c r="K5880" s="7" t="str">
        <f t="shared" si="2002"/>
        <v>View Creative</v>
      </c>
      <c r="L5880" s="4" t="s">
        <v>60</v>
      </c>
      <c r="M5880" s="4" t="s">
        <v>7500</v>
      </c>
      <c r="N5880" s="4"/>
      <c r="O5880" s="4" t="s">
        <v>63</v>
      </c>
      <c r="P5880" s="4" t="s">
        <v>64</v>
      </c>
    </row>
    <row r="5881">
      <c r="A5881" s="4" t="s">
        <v>7500</v>
      </c>
      <c r="B5881" s="4" t="s">
        <v>7501</v>
      </c>
      <c r="C5881" s="4">
        <v>15.0</v>
      </c>
      <c r="D5881" s="5" t="str">
        <f t="shared" ref="D5881:D5882" si="2004">HYPERLINK("https://www.linkedin.com/ad-library/detail/1436007593","Open Ad")</f>
        <v>Open Ad</v>
      </c>
      <c r="E5881" s="4" t="s">
        <v>78</v>
      </c>
      <c r="F5881" s="4" t="s">
        <v>6765</v>
      </c>
      <c r="G5881" s="4" t="s">
        <v>7511</v>
      </c>
      <c r="H5881" s="4" t="s">
        <v>49</v>
      </c>
      <c r="I5881" s="4" t="s">
        <v>7503</v>
      </c>
      <c r="J5881" s="4" t="s">
        <v>78</v>
      </c>
      <c r="K5881" s="7" t="str">
        <f t="shared" ref="K5881:K5882" si="2005">HYPERLINK("https://media.licdn.com/dms/image/v2/D4D10AQFN-J9SCqa0kg/image-shrink_1280/B4DZbhb5i8HQAM-/0/1747538910054/free_audit_1bpng?e=2147483647&amp;v=beta&amp;t=4RJ5_lGa2mzhIciZXwhfKhP3iigxJYT-Boy2_47QqdA","View Creative")</f>
        <v>View Creative</v>
      </c>
      <c r="L5881" s="4" t="s">
        <v>60</v>
      </c>
      <c r="M5881" s="4" t="s">
        <v>7500</v>
      </c>
      <c r="N5881" s="4"/>
      <c r="O5881" s="4" t="s">
        <v>63</v>
      </c>
      <c r="P5881" s="4" t="s">
        <v>64</v>
      </c>
    </row>
    <row r="5882">
      <c r="A5882" s="4" t="s">
        <v>7500</v>
      </c>
      <c r="B5882" s="4" t="s">
        <v>7501</v>
      </c>
      <c r="C5882" s="4">
        <v>16.0</v>
      </c>
      <c r="D5882" s="5" t="str">
        <f t="shared" si="2004"/>
        <v>Open Ad</v>
      </c>
      <c r="E5882" s="4" t="s">
        <v>78</v>
      </c>
      <c r="F5882" s="4" t="s">
        <v>6765</v>
      </c>
      <c r="G5882" s="4" t="s">
        <v>7511</v>
      </c>
      <c r="H5882" s="4" t="s">
        <v>49</v>
      </c>
      <c r="I5882" s="4" t="s">
        <v>7503</v>
      </c>
      <c r="J5882" s="4" t="s">
        <v>78</v>
      </c>
      <c r="K5882" s="7" t="str">
        <f t="shared" si="2005"/>
        <v>View Creative</v>
      </c>
      <c r="L5882" s="4" t="s">
        <v>60</v>
      </c>
      <c r="M5882" s="4" t="s">
        <v>7500</v>
      </c>
      <c r="N5882" s="4"/>
      <c r="O5882" s="4" t="s">
        <v>63</v>
      </c>
      <c r="P5882" s="4" t="s">
        <v>64</v>
      </c>
    </row>
    <row r="5883">
      <c r="A5883" s="4" t="s">
        <v>7500</v>
      </c>
      <c r="B5883" s="4" t="s">
        <v>7501</v>
      </c>
      <c r="C5883" s="4">
        <v>17.0</v>
      </c>
      <c r="D5883" s="5" t="str">
        <f t="shared" ref="D5883:D5884" si="2006">HYPERLINK("https://www.linkedin.com/ad-library/detail/1436167913","Open Ad")</f>
        <v>Open Ad</v>
      </c>
      <c r="E5883" s="4" t="s">
        <v>78</v>
      </c>
      <c r="F5883" s="4" t="s">
        <v>6765</v>
      </c>
      <c r="G5883" s="4" t="s">
        <v>7510</v>
      </c>
      <c r="H5883" s="4" t="s">
        <v>49</v>
      </c>
      <c r="I5883" s="4" t="s">
        <v>7503</v>
      </c>
      <c r="J5883" s="4" t="s">
        <v>78</v>
      </c>
      <c r="K5883" s="7" t="str">
        <f t="shared" ref="K5883:K5884" si="2007">HYPERLINK("https://media.licdn.com/dms/image/v2/D4D10AQEh-XNYX7hm9Q/image-shrink_1280/B4DZvn8AopJsAc-/0/1769122827438/StateofAISearch2026png?e=2147483647&amp;v=beta&amp;t=Kvmib6awKkbx2D2NGleR3LdTlCTRspfjxM4PPwsQeOU","View Creative")</f>
        <v>View Creative</v>
      </c>
      <c r="L5883" s="4" t="s">
        <v>60</v>
      </c>
      <c r="M5883" s="4" t="s">
        <v>7500</v>
      </c>
      <c r="N5883" s="4"/>
      <c r="O5883" s="4" t="s">
        <v>63</v>
      </c>
      <c r="P5883" s="4" t="s">
        <v>64</v>
      </c>
    </row>
    <row r="5884">
      <c r="A5884" s="4" t="s">
        <v>7500</v>
      </c>
      <c r="B5884" s="4" t="s">
        <v>7501</v>
      </c>
      <c r="C5884" s="4">
        <v>18.0</v>
      </c>
      <c r="D5884" s="5" t="str">
        <f t="shared" si="2006"/>
        <v>Open Ad</v>
      </c>
      <c r="E5884" s="4" t="s">
        <v>78</v>
      </c>
      <c r="F5884" s="4" t="s">
        <v>6765</v>
      </c>
      <c r="G5884" s="4" t="s">
        <v>7510</v>
      </c>
      <c r="H5884" s="4" t="s">
        <v>49</v>
      </c>
      <c r="I5884" s="4" t="s">
        <v>7503</v>
      </c>
      <c r="J5884" s="4" t="s">
        <v>78</v>
      </c>
      <c r="K5884" s="7" t="str">
        <f t="shared" si="2007"/>
        <v>View Creative</v>
      </c>
      <c r="L5884" s="4" t="s">
        <v>60</v>
      </c>
      <c r="M5884" s="4" t="s">
        <v>7500</v>
      </c>
      <c r="N5884" s="4"/>
      <c r="O5884" s="4" t="s">
        <v>63</v>
      </c>
      <c r="P5884" s="4" t="s">
        <v>64</v>
      </c>
    </row>
    <row r="5885">
      <c r="A5885" s="4" t="s">
        <v>7500</v>
      </c>
      <c r="B5885" s="4" t="s">
        <v>7501</v>
      </c>
      <c r="C5885" s="4">
        <v>19.0</v>
      </c>
      <c r="D5885" s="5" t="str">
        <f t="shared" ref="D5885:D5886" si="2008">HYPERLINK("https://www.linkedin.com/ad-library/detail/1181087603","Open Ad")</f>
        <v>Open Ad</v>
      </c>
      <c r="E5885" s="4" t="s">
        <v>78</v>
      </c>
      <c r="F5885" s="4" t="s">
        <v>6765</v>
      </c>
      <c r="G5885" s="4" t="s">
        <v>7512</v>
      </c>
      <c r="H5885" s="4" t="s">
        <v>49</v>
      </c>
      <c r="I5885" s="4" t="s">
        <v>7503</v>
      </c>
      <c r="J5885" s="4" t="s">
        <v>78</v>
      </c>
      <c r="K5885" s="7" t="str">
        <f t="shared" ref="K5885:K5886" si="2009">HYPERLINK("https://media.licdn.com/dms/image/v2/D4D10AQF0PZr3z2PK9w/image_627_1200/B56Zrp74FjHIAY-/0/1764861379035?e=2147483647&amp;v=beta&amp;t=503SFCACzKu_xiM8Mi143gMxevCJJLUc74L05x0m5tk","View Creative")</f>
        <v>View Creative</v>
      </c>
      <c r="L5885" s="4" t="s">
        <v>60</v>
      </c>
      <c r="M5885" s="4" t="s">
        <v>7500</v>
      </c>
      <c r="N5885" s="4"/>
      <c r="O5885" s="4" t="s">
        <v>63</v>
      </c>
      <c r="P5885" s="4" t="s">
        <v>64</v>
      </c>
    </row>
    <row r="5886">
      <c r="A5886" s="4" t="s">
        <v>7500</v>
      </c>
      <c r="B5886" s="4" t="s">
        <v>7501</v>
      </c>
      <c r="C5886" s="4">
        <v>20.0</v>
      </c>
      <c r="D5886" s="5" t="str">
        <f t="shared" si="2008"/>
        <v>Open Ad</v>
      </c>
      <c r="E5886" s="4" t="s">
        <v>78</v>
      </c>
      <c r="F5886" s="4" t="s">
        <v>6765</v>
      </c>
      <c r="G5886" s="4" t="s">
        <v>7512</v>
      </c>
      <c r="H5886" s="4" t="s">
        <v>49</v>
      </c>
      <c r="I5886" s="4" t="s">
        <v>7503</v>
      </c>
      <c r="J5886" s="4" t="s">
        <v>78</v>
      </c>
      <c r="K5886" s="7" t="str">
        <f t="shared" si="2009"/>
        <v>View Creative</v>
      </c>
      <c r="L5886" s="4" t="s">
        <v>60</v>
      </c>
      <c r="M5886" s="4" t="s">
        <v>7500</v>
      </c>
      <c r="N5886" s="4"/>
      <c r="O5886" s="4" t="s">
        <v>63</v>
      </c>
      <c r="P5886" s="4" t="s">
        <v>64</v>
      </c>
    </row>
    <row r="5887">
      <c r="A5887" s="4" t="s">
        <v>7500</v>
      </c>
      <c r="B5887" s="4" t="s">
        <v>7501</v>
      </c>
      <c r="C5887" s="4">
        <v>21.0</v>
      </c>
      <c r="D5887" s="5" t="str">
        <f t="shared" ref="D5887:D5888" si="2010">HYPERLINK("https://www.linkedin.com/ad-library/detail/1101403573","Open Ad")</f>
        <v>Open Ad</v>
      </c>
      <c r="E5887" s="4" t="s">
        <v>78</v>
      </c>
      <c r="F5887" s="4" t="s">
        <v>6765</v>
      </c>
      <c r="G5887" s="4" t="s">
        <v>7513</v>
      </c>
      <c r="H5887" s="4" t="s">
        <v>49</v>
      </c>
      <c r="I5887" s="4" t="s">
        <v>7503</v>
      </c>
      <c r="J5887" s="4" t="s">
        <v>78</v>
      </c>
      <c r="K5887" s="7" t="str">
        <f t="shared" ref="K5887:K5888" si="2011">HYPERLINK("https://media.licdn.com/dms/image/v2/D4D22AQGWL7J9AuR4nA/feedshare-shrink_1280/B4DZpKqebaGwAs-/0/1762189242160?e=2147483647&amp;v=beta&amp;t=IHSx_oOYNkJG39sPO5CvBkeSGofOAF8WwuEqNJt_v_E","View Creative")</f>
        <v>View Creative</v>
      </c>
      <c r="L5887" s="4" t="s">
        <v>60</v>
      </c>
      <c r="M5887" s="4" t="s">
        <v>7500</v>
      </c>
      <c r="N5887" s="4"/>
      <c r="O5887" s="4" t="s">
        <v>63</v>
      </c>
      <c r="P5887" s="4" t="s">
        <v>64</v>
      </c>
    </row>
    <row r="5888">
      <c r="A5888" s="4" t="s">
        <v>7500</v>
      </c>
      <c r="B5888" s="4" t="s">
        <v>7501</v>
      </c>
      <c r="C5888" s="4">
        <v>22.0</v>
      </c>
      <c r="D5888" s="5" t="str">
        <f t="shared" si="2010"/>
        <v>Open Ad</v>
      </c>
      <c r="E5888" s="4" t="s">
        <v>78</v>
      </c>
      <c r="F5888" s="4" t="s">
        <v>6765</v>
      </c>
      <c r="G5888" s="4" t="s">
        <v>7513</v>
      </c>
      <c r="H5888" s="4" t="s">
        <v>49</v>
      </c>
      <c r="I5888" s="4" t="s">
        <v>7503</v>
      </c>
      <c r="J5888" s="4" t="s">
        <v>78</v>
      </c>
      <c r="K5888" s="7" t="str">
        <f t="shared" si="2011"/>
        <v>View Creative</v>
      </c>
      <c r="L5888" s="4" t="s">
        <v>60</v>
      </c>
      <c r="M5888" s="4" t="s">
        <v>7500</v>
      </c>
      <c r="N5888" s="4"/>
      <c r="O5888" s="4" t="s">
        <v>63</v>
      </c>
      <c r="P5888" s="4" t="s">
        <v>64</v>
      </c>
    </row>
    <row r="5889">
      <c r="A5889" s="4" t="s">
        <v>7500</v>
      </c>
      <c r="B5889" s="4" t="s">
        <v>7501</v>
      </c>
      <c r="C5889" s="4">
        <v>23.0</v>
      </c>
      <c r="D5889" s="5" t="str">
        <f t="shared" ref="D5889:D5890" si="2012">HYPERLINK("https://www.linkedin.com/ad-library/detail/1178145533","Open Ad")</f>
        <v>Open Ad</v>
      </c>
      <c r="E5889" s="4" t="s">
        <v>78</v>
      </c>
      <c r="F5889" s="4" t="s">
        <v>6765</v>
      </c>
      <c r="G5889" s="4" t="s">
        <v>7514</v>
      </c>
      <c r="H5889" s="4" t="s">
        <v>246</v>
      </c>
      <c r="I5889" s="4" t="s">
        <v>7503</v>
      </c>
      <c r="J5889" s="4" t="s">
        <v>78</v>
      </c>
      <c r="K5889" s="7" t="str">
        <f t="shared" ref="K5889:K5890" si="2013">HYPERLINK("https://media.licdn.com/dms/image/v2/D4E22AQGHa-YeKVpxgA/feedshare-shrink_1280/B4EZwVqmQ4GsAc-/0/1769890014778?e=2147483647&amp;v=beta&amp;t=hNE8PyA0wix2Cp8_UFIDq1mXBlVzKz7YnP8yQuj4da0","View Creative")</f>
        <v>View Creative</v>
      </c>
      <c r="L5889" s="4" t="s">
        <v>60</v>
      </c>
      <c r="M5889" s="4" t="s">
        <v>7500</v>
      </c>
      <c r="N5889" s="4"/>
      <c r="O5889" s="4" t="s">
        <v>63</v>
      </c>
      <c r="P5889" s="4" t="s">
        <v>64</v>
      </c>
    </row>
    <row r="5890">
      <c r="A5890" s="4" t="s">
        <v>7500</v>
      </c>
      <c r="B5890" s="4" t="s">
        <v>7501</v>
      </c>
      <c r="C5890" s="4">
        <v>24.0</v>
      </c>
      <c r="D5890" s="5" t="str">
        <f t="shared" si="2012"/>
        <v>Open Ad</v>
      </c>
      <c r="E5890" s="4" t="s">
        <v>78</v>
      </c>
      <c r="F5890" s="4" t="s">
        <v>6765</v>
      </c>
      <c r="G5890" s="4" t="s">
        <v>7514</v>
      </c>
      <c r="H5890" s="4" t="s">
        <v>246</v>
      </c>
      <c r="I5890" s="4" t="s">
        <v>7503</v>
      </c>
      <c r="J5890" s="4" t="s">
        <v>78</v>
      </c>
      <c r="K5890" s="7" t="str">
        <f t="shared" si="2013"/>
        <v>View Creative</v>
      </c>
      <c r="L5890" s="4" t="s">
        <v>60</v>
      </c>
      <c r="M5890" s="4" t="s">
        <v>7500</v>
      </c>
      <c r="N5890" s="4"/>
      <c r="O5890" s="4" t="s">
        <v>63</v>
      </c>
      <c r="P5890" s="4" t="s">
        <v>64</v>
      </c>
    </row>
    <row r="5891">
      <c r="A5891" s="4" t="s">
        <v>7500</v>
      </c>
      <c r="B5891" s="4" t="s">
        <v>7501</v>
      </c>
      <c r="C5891" s="4">
        <v>25.0</v>
      </c>
      <c r="D5891" s="5" t="str">
        <f t="shared" ref="D5891:D5892" si="2014">HYPERLINK("https://www.linkedin.com/ad-library/detail/1180718323","Open Ad")</f>
        <v>Open Ad</v>
      </c>
      <c r="E5891" s="4" t="s">
        <v>78</v>
      </c>
      <c r="F5891" s="4" t="s">
        <v>6765</v>
      </c>
      <c r="G5891" s="4" t="s">
        <v>7515</v>
      </c>
      <c r="H5891" s="4" t="s">
        <v>49</v>
      </c>
      <c r="I5891" s="4" t="s">
        <v>7503</v>
      </c>
      <c r="J5891" s="4" t="s">
        <v>78</v>
      </c>
      <c r="K5891" s="7" t="str">
        <f t="shared" ref="K5891:K5892" si="2015">HYPERLINK("https://media.licdn.com/dms/image/v2/D4D10AQHzxE8-Gu5Ngw/image-shrink_1280/B4DZyXXDlgKEAc-/0/1772065930183/Prompt-Universe-Finalpng?e=2147483647&amp;v=beta&amp;t=B9AjtF4KePbsFKCoKXzYd0X44WwtH0dviiiyZQuiXQ8","View Creative")</f>
        <v>View Creative</v>
      </c>
      <c r="L5891" s="4" t="s">
        <v>60</v>
      </c>
      <c r="M5891" s="4" t="s">
        <v>7500</v>
      </c>
      <c r="N5891" s="4"/>
      <c r="O5891" s="4" t="s">
        <v>63</v>
      </c>
      <c r="P5891" s="4" t="s">
        <v>64</v>
      </c>
    </row>
    <row r="5892">
      <c r="A5892" s="4" t="s">
        <v>7500</v>
      </c>
      <c r="B5892" s="4" t="s">
        <v>7501</v>
      </c>
      <c r="C5892" s="4">
        <v>26.0</v>
      </c>
      <c r="D5892" s="5" t="str">
        <f t="shared" si="2014"/>
        <v>Open Ad</v>
      </c>
      <c r="E5892" s="4" t="s">
        <v>78</v>
      </c>
      <c r="F5892" s="4" t="s">
        <v>6765</v>
      </c>
      <c r="G5892" s="4" t="s">
        <v>7515</v>
      </c>
      <c r="H5892" s="4" t="s">
        <v>49</v>
      </c>
      <c r="I5892" s="4" t="s">
        <v>7503</v>
      </c>
      <c r="J5892" s="4" t="s">
        <v>78</v>
      </c>
      <c r="K5892" s="7" t="str">
        <f t="shared" si="2015"/>
        <v>View Creative</v>
      </c>
      <c r="L5892" s="4" t="s">
        <v>60</v>
      </c>
      <c r="M5892" s="4" t="s">
        <v>7500</v>
      </c>
      <c r="N5892" s="4"/>
      <c r="O5892" s="4" t="s">
        <v>63</v>
      </c>
      <c r="P5892" s="4" t="s">
        <v>64</v>
      </c>
    </row>
    <row r="5893">
      <c r="A5893" s="4" t="s">
        <v>7500</v>
      </c>
      <c r="B5893" s="4" t="s">
        <v>7501</v>
      </c>
      <c r="C5893" s="4">
        <v>27.0</v>
      </c>
      <c r="D5893" s="5" t="str">
        <f t="shared" ref="D5893:D5894" si="2016">HYPERLINK("https://www.linkedin.com/ad-library/detail/1177740043","Open Ad")</f>
        <v>Open Ad</v>
      </c>
      <c r="E5893" s="4" t="s">
        <v>78</v>
      </c>
      <c r="F5893" s="4" t="s">
        <v>6765</v>
      </c>
      <c r="G5893" s="4" t="s">
        <v>7516</v>
      </c>
      <c r="H5893" s="4" t="s">
        <v>49</v>
      </c>
      <c r="I5893" s="4" t="s">
        <v>7503</v>
      </c>
      <c r="J5893" s="4" t="s">
        <v>78</v>
      </c>
      <c r="K5893" s="7" t="str">
        <f t="shared" ref="K5893:K5894" si="2017">HYPERLINK("https://media.licdn.com/dms/image/v2/D4D10AQEh-XNYX7hm9Q/image-shrink_1280/B4DZvn8AopJsAc-/0/1769122827438/StateofAISearch2026png?e=2147483647&amp;v=beta&amp;t=Kvmib6awKkbx2D2NGleR3LdTlCTRspfjxM4PPwsQeOU","View Creative")</f>
        <v>View Creative</v>
      </c>
      <c r="L5893" s="4" t="s">
        <v>60</v>
      </c>
      <c r="M5893" s="4" t="s">
        <v>7500</v>
      </c>
      <c r="N5893" s="4"/>
      <c r="O5893" s="4" t="s">
        <v>63</v>
      </c>
      <c r="P5893" s="4" t="s">
        <v>64</v>
      </c>
    </row>
    <row r="5894">
      <c r="A5894" s="4" t="s">
        <v>7500</v>
      </c>
      <c r="B5894" s="4" t="s">
        <v>7501</v>
      </c>
      <c r="C5894" s="4">
        <v>28.0</v>
      </c>
      <c r="D5894" s="5" t="str">
        <f t="shared" si="2016"/>
        <v>Open Ad</v>
      </c>
      <c r="E5894" s="4" t="s">
        <v>78</v>
      </c>
      <c r="F5894" s="4" t="s">
        <v>6765</v>
      </c>
      <c r="G5894" s="4" t="s">
        <v>7516</v>
      </c>
      <c r="H5894" s="4" t="s">
        <v>49</v>
      </c>
      <c r="I5894" s="4" t="s">
        <v>7503</v>
      </c>
      <c r="J5894" s="4" t="s">
        <v>78</v>
      </c>
      <c r="K5894" s="7" t="str">
        <f t="shared" si="2017"/>
        <v>View Creative</v>
      </c>
      <c r="L5894" s="4" t="s">
        <v>60</v>
      </c>
      <c r="M5894" s="4" t="s">
        <v>7500</v>
      </c>
      <c r="N5894" s="4"/>
      <c r="O5894" s="4" t="s">
        <v>63</v>
      </c>
      <c r="P5894" s="4" t="s">
        <v>64</v>
      </c>
    </row>
    <row r="5895">
      <c r="A5895" s="4" t="s">
        <v>7500</v>
      </c>
      <c r="B5895" s="4" t="s">
        <v>7501</v>
      </c>
      <c r="C5895" s="4">
        <v>29.0</v>
      </c>
      <c r="D5895" s="5" t="str">
        <f t="shared" ref="D5895:D5896" si="2018">HYPERLINK("https://www.linkedin.com/ad-library/detail/1180787983","Open Ad")</f>
        <v>Open Ad</v>
      </c>
      <c r="E5895" s="4" t="s">
        <v>78</v>
      </c>
      <c r="F5895" s="4" t="s">
        <v>6765</v>
      </c>
      <c r="G5895" s="4" t="s">
        <v>7517</v>
      </c>
      <c r="H5895" s="4" t="s">
        <v>49</v>
      </c>
      <c r="I5895" s="4" t="s">
        <v>7503</v>
      </c>
      <c r="J5895" s="4" t="s">
        <v>78</v>
      </c>
      <c r="K5895" s="7" t="str">
        <f t="shared" ref="K5895:K5896" si="2019">HYPERLINK("https://media.licdn.com/dms/image/v2/D4E10AQG9Pe0EzBN87g/image_627_1200/B56Zrp7fwCLMAY-/0/1764861279352?e=2147483647&amp;v=beta&amp;t=HwyFGFpkU9OGXnnHK9edS1hHQYggZ9QxhMOldyYzwSI","View Creative")</f>
        <v>View Creative</v>
      </c>
      <c r="L5895" s="4" t="s">
        <v>60</v>
      </c>
      <c r="M5895" s="4" t="s">
        <v>7500</v>
      </c>
      <c r="N5895" s="4"/>
      <c r="O5895" s="4" t="s">
        <v>63</v>
      </c>
      <c r="P5895" s="4" t="s">
        <v>64</v>
      </c>
    </row>
    <row r="5896">
      <c r="A5896" s="4" t="s">
        <v>7500</v>
      </c>
      <c r="B5896" s="4" t="s">
        <v>7501</v>
      </c>
      <c r="C5896" s="4">
        <v>30.0</v>
      </c>
      <c r="D5896" s="5" t="str">
        <f t="shared" si="2018"/>
        <v>Open Ad</v>
      </c>
      <c r="E5896" s="4" t="s">
        <v>78</v>
      </c>
      <c r="F5896" s="4" t="s">
        <v>6765</v>
      </c>
      <c r="G5896" s="4" t="s">
        <v>7517</v>
      </c>
      <c r="H5896" s="4" t="s">
        <v>49</v>
      </c>
      <c r="I5896" s="4" t="s">
        <v>7503</v>
      </c>
      <c r="J5896" s="4" t="s">
        <v>78</v>
      </c>
      <c r="K5896" s="7" t="str">
        <f t="shared" si="2019"/>
        <v>View Creative</v>
      </c>
      <c r="L5896" s="4" t="s">
        <v>60</v>
      </c>
      <c r="M5896" s="4" t="s">
        <v>7500</v>
      </c>
      <c r="N5896" s="4"/>
      <c r="O5896" s="4" t="s">
        <v>63</v>
      </c>
      <c r="P5896" s="4" t="s">
        <v>64</v>
      </c>
    </row>
    <row r="5897">
      <c r="A5897" s="4" t="s">
        <v>7500</v>
      </c>
      <c r="B5897" s="4" t="s">
        <v>7501</v>
      </c>
      <c r="C5897" s="4">
        <v>31.0</v>
      </c>
      <c r="D5897" s="5" t="str">
        <f t="shared" ref="D5897:D5898" si="2020">HYPERLINK("https://www.linkedin.com/ad-library/detail/1181087583","Open Ad")</f>
        <v>Open Ad</v>
      </c>
      <c r="E5897" s="4" t="s">
        <v>78</v>
      </c>
      <c r="F5897" s="4" t="s">
        <v>6765</v>
      </c>
      <c r="G5897" s="4" t="s">
        <v>7518</v>
      </c>
      <c r="H5897" s="4" t="s">
        <v>49</v>
      </c>
      <c r="I5897" s="4" t="s">
        <v>7503</v>
      </c>
      <c r="J5897" s="4" t="s">
        <v>78</v>
      </c>
      <c r="K5897" s="7" t="str">
        <f t="shared" ref="K5897:K5898" si="2021">HYPERLINK("https://media.licdn.com/dms/image/v2/D4D22AQFBmPZmS_oUlw/feedshare-shrink_1280/B4DZpa.E14GsAs-/0/1762462815781?e=2147483647&amp;v=beta&amp;t=GBUK-Y0pD5-AuUrnRN__Y1iw1N5bLKvB8tGHcEvoMWk","View Creative")</f>
        <v>View Creative</v>
      </c>
      <c r="L5897" s="4" t="s">
        <v>60</v>
      </c>
      <c r="M5897" s="4" t="s">
        <v>7500</v>
      </c>
      <c r="N5897" s="4"/>
      <c r="O5897" s="4" t="s">
        <v>63</v>
      </c>
      <c r="P5897" s="4" t="s">
        <v>64</v>
      </c>
    </row>
    <row r="5898">
      <c r="A5898" s="4" t="s">
        <v>7500</v>
      </c>
      <c r="B5898" s="4" t="s">
        <v>7501</v>
      </c>
      <c r="C5898" s="4">
        <v>32.0</v>
      </c>
      <c r="D5898" s="5" t="str">
        <f t="shared" si="2020"/>
        <v>Open Ad</v>
      </c>
      <c r="E5898" s="4" t="s">
        <v>78</v>
      </c>
      <c r="F5898" s="4" t="s">
        <v>6765</v>
      </c>
      <c r="G5898" s="4" t="s">
        <v>7518</v>
      </c>
      <c r="H5898" s="4" t="s">
        <v>49</v>
      </c>
      <c r="I5898" s="4" t="s">
        <v>7503</v>
      </c>
      <c r="J5898" s="4" t="s">
        <v>78</v>
      </c>
      <c r="K5898" s="7" t="str">
        <f t="shared" si="2021"/>
        <v>View Creative</v>
      </c>
      <c r="L5898" s="4" t="s">
        <v>60</v>
      </c>
      <c r="M5898" s="4" t="s">
        <v>7500</v>
      </c>
      <c r="N5898" s="4"/>
      <c r="O5898" s="4" t="s">
        <v>63</v>
      </c>
      <c r="P5898" s="4" t="s">
        <v>64</v>
      </c>
    </row>
    <row r="5899">
      <c r="A5899" s="4" t="s">
        <v>7500</v>
      </c>
      <c r="B5899" s="4" t="s">
        <v>7501</v>
      </c>
      <c r="C5899" s="4">
        <v>33.0</v>
      </c>
      <c r="D5899" s="5" t="str">
        <f t="shared" ref="D5899:D5900" si="2022">HYPERLINK("https://www.linkedin.com/ad-library/detail/1178039653","Open Ad")</f>
        <v>Open Ad</v>
      </c>
      <c r="E5899" s="4" t="s">
        <v>78</v>
      </c>
      <c r="F5899" s="4" t="s">
        <v>6765</v>
      </c>
      <c r="G5899" s="4" t="s">
        <v>7510</v>
      </c>
      <c r="H5899" s="4" t="s">
        <v>49</v>
      </c>
      <c r="I5899" s="4" t="s">
        <v>7503</v>
      </c>
      <c r="J5899" s="4" t="s">
        <v>78</v>
      </c>
      <c r="K5899" s="7" t="str">
        <f t="shared" ref="K5899:K5900" si="2023">HYPERLINK("https://media.licdn.com/dms/image/v2/D4D10AQEh-XNYX7hm9Q/image-shrink_1280/B4DZvn8AopJsAc-/0/1769122827438/StateofAISearch2026png?e=2147483647&amp;v=beta&amp;t=Kvmib6awKkbx2D2NGleR3LdTlCTRspfjxM4PPwsQeOU","View Creative")</f>
        <v>View Creative</v>
      </c>
      <c r="L5899" s="4" t="s">
        <v>60</v>
      </c>
      <c r="M5899" s="4" t="s">
        <v>7500</v>
      </c>
      <c r="N5899" s="4"/>
      <c r="O5899" s="4" t="s">
        <v>63</v>
      </c>
      <c r="P5899" s="4" t="s">
        <v>64</v>
      </c>
    </row>
    <row r="5900">
      <c r="A5900" s="4" t="s">
        <v>7500</v>
      </c>
      <c r="B5900" s="4" t="s">
        <v>7501</v>
      </c>
      <c r="C5900" s="4">
        <v>34.0</v>
      </c>
      <c r="D5900" s="5" t="str">
        <f t="shared" si="2022"/>
        <v>Open Ad</v>
      </c>
      <c r="E5900" s="4" t="s">
        <v>78</v>
      </c>
      <c r="F5900" s="4" t="s">
        <v>6765</v>
      </c>
      <c r="G5900" s="4" t="s">
        <v>7510</v>
      </c>
      <c r="H5900" s="4" t="s">
        <v>49</v>
      </c>
      <c r="I5900" s="4" t="s">
        <v>7503</v>
      </c>
      <c r="J5900" s="4" t="s">
        <v>78</v>
      </c>
      <c r="K5900" s="7" t="str">
        <f t="shared" si="2023"/>
        <v>View Creative</v>
      </c>
      <c r="L5900" s="4" t="s">
        <v>60</v>
      </c>
      <c r="M5900" s="4" t="s">
        <v>7500</v>
      </c>
      <c r="N5900" s="4"/>
      <c r="O5900" s="4" t="s">
        <v>63</v>
      </c>
      <c r="P5900" s="4" t="s">
        <v>64</v>
      </c>
    </row>
    <row r="5901">
      <c r="A5901" s="4" t="s">
        <v>7500</v>
      </c>
      <c r="B5901" s="4" t="s">
        <v>7501</v>
      </c>
      <c r="C5901" s="4">
        <v>35.0</v>
      </c>
      <c r="D5901" s="5" t="str">
        <f t="shared" ref="D5901:D5902" si="2024">HYPERLINK("https://www.linkedin.com/ad-library/detail/1192110933","Open Ad")</f>
        <v>Open Ad</v>
      </c>
      <c r="E5901" s="4" t="s">
        <v>78</v>
      </c>
      <c r="F5901" s="4" t="s">
        <v>6765</v>
      </c>
      <c r="G5901" s="4" t="s">
        <v>7519</v>
      </c>
      <c r="H5901" s="4" t="s">
        <v>49</v>
      </c>
      <c r="I5901" s="4" t="s">
        <v>7503</v>
      </c>
      <c r="J5901" s="4" t="s">
        <v>78</v>
      </c>
      <c r="K5901" s="7" t="str">
        <f t="shared" ref="K5901:K5902" si="2025">HYPERLINK("https://media.licdn.com/dms/image/v2/D4D10AQGA41If1Bc9wA/image-shrink_1280/B4DZzfWEjsG0Ac-/0/1773273631228/Rootly-Single-Image-Adspng?e=2147483647&amp;v=beta&amp;t=I4M8gjM2J3NueYrFFFsWNmpEXFIgxIvqHdddhwosaT4","View Creative")</f>
        <v>View Creative</v>
      </c>
      <c r="L5901" s="4" t="s">
        <v>60</v>
      </c>
      <c r="M5901" s="4" t="s">
        <v>7500</v>
      </c>
      <c r="N5901" s="4"/>
      <c r="O5901" s="4" t="s">
        <v>63</v>
      </c>
      <c r="P5901" s="4" t="s">
        <v>64</v>
      </c>
    </row>
    <row r="5902">
      <c r="A5902" s="4" t="s">
        <v>7500</v>
      </c>
      <c r="B5902" s="4" t="s">
        <v>7501</v>
      </c>
      <c r="C5902" s="4">
        <v>36.0</v>
      </c>
      <c r="D5902" s="5" t="str">
        <f t="shared" si="2024"/>
        <v>Open Ad</v>
      </c>
      <c r="E5902" s="4" t="s">
        <v>78</v>
      </c>
      <c r="F5902" s="4" t="s">
        <v>6765</v>
      </c>
      <c r="G5902" s="4" t="s">
        <v>7519</v>
      </c>
      <c r="H5902" s="4" t="s">
        <v>49</v>
      </c>
      <c r="I5902" s="4" t="s">
        <v>7503</v>
      </c>
      <c r="J5902" s="4" t="s">
        <v>78</v>
      </c>
      <c r="K5902" s="7" t="str">
        <f t="shared" si="2025"/>
        <v>View Creative</v>
      </c>
      <c r="L5902" s="4" t="s">
        <v>60</v>
      </c>
      <c r="M5902" s="4" t="s">
        <v>7500</v>
      </c>
      <c r="N5902" s="4"/>
      <c r="O5902" s="4" t="s">
        <v>63</v>
      </c>
      <c r="P5902" s="4" t="s">
        <v>64</v>
      </c>
    </row>
    <row r="5903">
      <c r="A5903" s="4" t="s">
        <v>7500</v>
      </c>
      <c r="B5903" s="4" t="s">
        <v>7501</v>
      </c>
      <c r="C5903" s="4">
        <v>37.0</v>
      </c>
      <c r="D5903" s="5" t="str">
        <f t="shared" ref="D5903:D5904" si="2026">HYPERLINK("https://www.linkedin.com/ad-library/detail/1181087593","Open Ad")</f>
        <v>Open Ad</v>
      </c>
      <c r="E5903" s="4" t="s">
        <v>78</v>
      </c>
      <c r="F5903" s="4" t="s">
        <v>6765</v>
      </c>
      <c r="G5903" s="4" t="s">
        <v>7513</v>
      </c>
      <c r="H5903" s="4" t="s">
        <v>49</v>
      </c>
      <c r="I5903" s="4" t="s">
        <v>7503</v>
      </c>
      <c r="J5903" s="4" t="s">
        <v>78</v>
      </c>
      <c r="K5903" s="7" t="str">
        <f t="shared" ref="K5903:K5904" si="2027">HYPERLINK("https://media.licdn.com/dms/image/v2/D4D22AQGWL7J9AuR4nA/feedshare-shrink_1280/B4DZpKqebaGwAs-/0/1762189242160?e=2147483647&amp;v=beta&amp;t=IHSx_oOYNkJG39sPO5CvBkeSGofOAF8WwuEqNJt_v_E","View Creative")</f>
        <v>View Creative</v>
      </c>
      <c r="L5903" s="4" t="s">
        <v>60</v>
      </c>
      <c r="M5903" s="4" t="s">
        <v>7500</v>
      </c>
      <c r="N5903" s="4"/>
      <c r="O5903" s="4" t="s">
        <v>63</v>
      </c>
      <c r="P5903" s="4" t="s">
        <v>64</v>
      </c>
    </row>
    <row r="5904">
      <c r="A5904" s="4" t="s">
        <v>7500</v>
      </c>
      <c r="B5904" s="4" t="s">
        <v>7501</v>
      </c>
      <c r="C5904" s="4">
        <v>38.0</v>
      </c>
      <c r="D5904" s="5" t="str">
        <f t="shared" si="2026"/>
        <v>Open Ad</v>
      </c>
      <c r="E5904" s="4" t="s">
        <v>78</v>
      </c>
      <c r="F5904" s="4" t="s">
        <v>6765</v>
      </c>
      <c r="G5904" s="4" t="s">
        <v>7513</v>
      </c>
      <c r="H5904" s="4" t="s">
        <v>49</v>
      </c>
      <c r="I5904" s="4" t="s">
        <v>7503</v>
      </c>
      <c r="J5904" s="4" t="s">
        <v>78</v>
      </c>
      <c r="K5904" s="7" t="str">
        <f t="shared" si="2027"/>
        <v>View Creative</v>
      </c>
      <c r="L5904" s="4" t="s">
        <v>60</v>
      </c>
      <c r="M5904" s="4" t="s">
        <v>7500</v>
      </c>
      <c r="N5904" s="4"/>
      <c r="O5904" s="4" t="s">
        <v>63</v>
      </c>
      <c r="P5904" s="4" t="s">
        <v>64</v>
      </c>
    </row>
    <row r="5905">
      <c r="A5905" s="4" t="s">
        <v>7500</v>
      </c>
      <c r="B5905" s="4" t="s">
        <v>7501</v>
      </c>
      <c r="C5905" s="4">
        <v>39.0</v>
      </c>
      <c r="D5905" s="5" t="str">
        <f t="shared" ref="D5905:D5906" si="2028">HYPERLINK("https://www.linkedin.com/ad-library/detail/1101003013","Open Ad")</f>
        <v>Open Ad</v>
      </c>
      <c r="E5905" s="4" t="s">
        <v>78</v>
      </c>
      <c r="F5905" s="4" t="s">
        <v>6765</v>
      </c>
      <c r="G5905" s="4" t="s">
        <v>7506</v>
      </c>
      <c r="H5905" s="4" t="s">
        <v>49</v>
      </c>
      <c r="I5905" s="4" t="s">
        <v>7503</v>
      </c>
      <c r="J5905" s="4" t="s">
        <v>78</v>
      </c>
      <c r="K5905" s="7" t="str">
        <f t="shared" ref="K5905:K5906" si="2029">HYPERLINK("https://media.licdn.com/dms/image/v2/D4D22AQEYhx5CgCHz9g/feedshare-shrink_1280/B4DZp5AtBnHsAs-/0/1762966819547?e=2147483647&amp;v=beta&amp;t=DSsjJWxRtKRXJsaC7UMbJSH8uzHHVV6d43prXmutqCc","View Creative")</f>
        <v>View Creative</v>
      </c>
      <c r="L5905" s="4" t="s">
        <v>60</v>
      </c>
      <c r="M5905" s="4" t="s">
        <v>7500</v>
      </c>
      <c r="N5905" s="4"/>
      <c r="O5905" s="4" t="s">
        <v>63</v>
      </c>
      <c r="P5905" s="4" t="s">
        <v>64</v>
      </c>
    </row>
    <row r="5906">
      <c r="A5906" s="4" t="s">
        <v>7500</v>
      </c>
      <c r="B5906" s="4" t="s">
        <v>7501</v>
      </c>
      <c r="C5906" s="4">
        <v>40.0</v>
      </c>
      <c r="D5906" s="5" t="str">
        <f t="shared" si="2028"/>
        <v>Open Ad</v>
      </c>
      <c r="E5906" s="4" t="s">
        <v>78</v>
      </c>
      <c r="F5906" s="4" t="s">
        <v>6765</v>
      </c>
      <c r="G5906" s="4" t="s">
        <v>7506</v>
      </c>
      <c r="H5906" s="4" t="s">
        <v>49</v>
      </c>
      <c r="I5906" s="4" t="s">
        <v>7503</v>
      </c>
      <c r="J5906" s="4" t="s">
        <v>78</v>
      </c>
      <c r="K5906" s="7" t="str">
        <f t="shared" si="2029"/>
        <v>View Creative</v>
      </c>
      <c r="L5906" s="4" t="s">
        <v>60</v>
      </c>
      <c r="M5906" s="4" t="s">
        <v>7500</v>
      </c>
      <c r="N5906" s="4"/>
      <c r="O5906" s="4" t="s">
        <v>63</v>
      </c>
      <c r="P5906" s="4" t="s">
        <v>64</v>
      </c>
    </row>
    <row r="5907">
      <c r="A5907" s="4" t="s">
        <v>7500</v>
      </c>
      <c r="B5907" s="4" t="s">
        <v>7501</v>
      </c>
      <c r="C5907" s="4">
        <v>41.0</v>
      </c>
      <c r="D5907" s="5" t="str">
        <f t="shared" ref="D5907:D5908" si="2030">HYPERLINK("https://www.linkedin.com/ad-library/detail/1182795103","Open Ad")</f>
        <v>Open Ad</v>
      </c>
      <c r="E5907" s="4" t="s">
        <v>78</v>
      </c>
      <c r="F5907" s="4" t="s">
        <v>6765</v>
      </c>
      <c r="G5907" s="4" t="s">
        <v>7515</v>
      </c>
      <c r="H5907" s="4" t="s">
        <v>49</v>
      </c>
      <c r="I5907" s="4" t="s">
        <v>7503</v>
      </c>
      <c r="J5907" s="4" t="s">
        <v>78</v>
      </c>
      <c r="K5907" s="7" t="str">
        <f t="shared" ref="K5907:K5908" si="2031">HYPERLINK("https://media.licdn.com/dms/image/v2/D4D10AQGuBlZPHLvRpw/image-shrink_1280/B4DZyf6YgSH4Ac-/0/1772209408503/Prompt-Universe-2png?e=2147483647&amp;v=beta&amp;t=MT-DeeFZtjiUHcRz7JtzapMRNkZstJutZlUTJR_Udmk","View Creative")</f>
        <v>View Creative</v>
      </c>
      <c r="L5907" s="4" t="s">
        <v>60</v>
      </c>
      <c r="M5907" s="4" t="s">
        <v>7500</v>
      </c>
      <c r="N5907" s="4"/>
      <c r="O5907" s="4" t="s">
        <v>63</v>
      </c>
      <c r="P5907" s="4" t="s">
        <v>64</v>
      </c>
    </row>
    <row r="5908">
      <c r="A5908" s="4" t="s">
        <v>7500</v>
      </c>
      <c r="B5908" s="4" t="s">
        <v>7501</v>
      </c>
      <c r="C5908" s="4">
        <v>42.0</v>
      </c>
      <c r="D5908" s="5" t="str">
        <f t="shared" si="2030"/>
        <v>Open Ad</v>
      </c>
      <c r="E5908" s="4" t="s">
        <v>78</v>
      </c>
      <c r="F5908" s="4" t="s">
        <v>6765</v>
      </c>
      <c r="G5908" s="4" t="s">
        <v>7515</v>
      </c>
      <c r="H5908" s="4" t="s">
        <v>49</v>
      </c>
      <c r="I5908" s="4" t="s">
        <v>7503</v>
      </c>
      <c r="J5908" s="4" t="s">
        <v>78</v>
      </c>
      <c r="K5908" s="7" t="str">
        <f t="shared" si="2031"/>
        <v>View Creative</v>
      </c>
      <c r="L5908" s="4" t="s">
        <v>60</v>
      </c>
      <c r="M5908" s="4" t="s">
        <v>7500</v>
      </c>
      <c r="N5908" s="4"/>
      <c r="O5908" s="4" t="s">
        <v>63</v>
      </c>
      <c r="P5908" s="4" t="s">
        <v>64</v>
      </c>
    </row>
    <row r="5909">
      <c r="A5909" s="4" t="s">
        <v>7500</v>
      </c>
      <c r="B5909" s="4" t="s">
        <v>7501</v>
      </c>
      <c r="C5909" s="4">
        <v>43.0</v>
      </c>
      <c r="D5909" s="5" t="str">
        <f t="shared" ref="D5909:D5910" si="2032">HYPERLINK("https://www.linkedin.com/ad-library/detail/1115416543","Open Ad")</f>
        <v>Open Ad</v>
      </c>
      <c r="E5909" s="4" t="s">
        <v>78</v>
      </c>
      <c r="F5909" s="4" t="s">
        <v>6765</v>
      </c>
      <c r="G5909" s="4" t="s">
        <v>7520</v>
      </c>
      <c r="H5909" s="4" t="s">
        <v>49</v>
      </c>
      <c r="I5909" s="4" t="s">
        <v>7503</v>
      </c>
      <c r="J5909" s="4" t="s">
        <v>78</v>
      </c>
      <c r="K5909" s="7" t="str">
        <f t="shared" ref="K5909:K5910" si="2033">HYPERLINK("https://media.licdn.com/dms/image/v2/D5622AQHA7IWwp6xvIQ/feedshare-image-high-res/B56ZvmVCU_GYAY-/0/1769095833398?e=2147483647&amp;v=beta&amp;t=IhPLkmZC8obHOgPn0DHvL9Rf6FSdQfLibyS6PqaBmps","View Creative")</f>
        <v>View Creative</v>
      </c>
      <c r="L5909" s="4" t="s">
        <v>60</v>
      </c>
      <c r="M5909" s="4" t="s">
        <v>7500</v>
      </c>
      <c r="N5909" s="4" t="s">
        <v>7521</v>
      </c>
      <c r="O5909" s="4" t="s">
        <v>63</v>
      </c>
      <c r="P5909" s="4" t="s">
        <v>64</v>
      </c>
    </row>
    <row r="5910">
      <c r="A5910" s="4" t="s">
        <v>7500</v>
      </c>
      <c r="B5910" s="4" t="s">
        <v>7501</v>
      </c>
      <c r="C5910" s="4">
        <v>44.0</v>
      </c>
      <c r="D5910" s="5" t="str">
        <f t="shared" si="2032"/>
        <v>Open Ad</v>
      </c>
      <c r="E5910" s="4" t="s">
        <v>78</v>
      </c>
      <c r="F5910" s="4" t="s">
        <v>6765</v>
      </c>
      <c r="G5910" s="4" t="s">
        <v>7520</v>
      </c>
      <c r="H5910" s="4" t="s">
        <v>49</v>
      </c>
      <c r="I5910" s="4" t="s">
        <v>7503</v>
      </c>
      <c r="J5910" s="4" t="s">
        <v>78</v>
      </c>
      <c r="K5910" s="7" t="str">
        <f t="shared" si="2033"/>
        <v>View Creative</v>
      </c>
      <c r="L5910" s="4" t="s">
        <v>60</v>
      </c>
      <c r="M5910" s="4" t="s">
        <v>7500</v>
      </c>
      <c r="N5910" s="4" t="s">
        <v>7521</v>
      </c>
      <c r="O5910" s="4" t="s">
        <v>63</v>
      </c>
      <c r="P5910" s="4" t="s">
        <v>64</v>
      </c>
    </row>
    <row r="5911">
      <c r="A5911" s="4" t="s">
        <v>7500</v>
      </c>
      <c r="B5911" s="4" t="s">
        <v>7501</v>
      </c>
      <c r="C5911" s="4">
        <v>45.0</v>
      </c>
      <c r="D5911" s="5" t="str">
        <f t="shared" ref="D5911:D5912" si="2034">HYPERLINK("https://www.linkedin.com/ad-library/detail/1177147683","Open Ad")</f>
        <v>Open Ad</v>
      </c>
      <c r="E5911" s="4" t="s">
        <v>78</v>
      </c>
      <c r="F5911" s="4" t="s">
        <v>6765</v>
      </c>
      <c r="G5911" s="4" t="s">
        <v>7516</v>
      </c>
      <c r="H5911" s="4" t="s">
        <v>49</v>
      </c>
      <c r="I5911" s="4" t="s">
        <v>7503</v>
      </c>
      <c r="J5911" s="4" t="s">
        <v>78</v>
      </c>
      <c r="K5911" s="7" t="str">
        <f t="shared" ref="K5911:K5912" si="2035">HYPERLINK("https://media.licdn.com/dms/image/v2/D4D10AQEh-XNYX7hm9Q/image-shrink_1280/B4DZvn8AopJsAc-/0/1769122827438/StateofAISearch2026png?e=2147483647&amp;v=beta&amp;t=Kvmib6awKkbx2D2NGleR3LdTlCTRspfjxM4PPwsQeOU","View Creative")</f>
        <v>View Creative</v>
      </c>
      <c r="L5911" s="4" t="s">
        <v>60</v>
      </c>
      <c r="M5911" s="4" t="s">
        <v>7500</v>
      </c>
      <c r="N5911" s="4"/>
      <c r="O5911" s="4" t="s">
        <v>63</v>
      </c>
      <c r="P5911" s="4" t="s">
        <v>64</v>
      </c>
    </row>
    <row r="5912">
      <c r="A5912" s="4" t="s">
        <v>7500</v>
      </c>
      <c r="B5912" s="4" t="s">
        <v>7501</v>
      </c>
      <c r="C5912" s="4">
        <v>46.0</v>
      </c>
      <c r="D5912" s="5" t="str">
        <f t="shared" si="2034"/>
        <v>Open Ad</v>
      </c>
      <c r="E5912" s="4" t="s">
        <v>78</v>
      </c>
      <c r="F5912" s="4" t="s">
        <v>6765</v>
      </c>
      <c r="G5912" s="4" t="s">
        <v>7516</v>
      </c>
      <c r="H5912" s="4" t="s">
        <v>49</v>
      </c>
      <c r="I5912" s="4" t="s">
        <v>7503</v>
      </c>
      <c r="J5912" s="4" t="s">
        <v>78</v>
      </c>
      <c r="K5912" s="7" t="str">
        <f t="shared" si="2035"/>
        <v>View Creative</v>
      </c>
      <c r="L5912" s="4" t="s">
        <v>60</v>
      </c>
      <c r="M5912" s="4" t="s">
        <v>7500</v>
      </c>
      <c r="N5912" s="4"/>
      <c r="O5912" s="4" t="s">
        <v>63</v>
      </c>
      <c r="P5912" s="4" t="s">
        <v>64</v>
      </c>
    </row>
    <row r="5913">
      <c r="A5913" s="4" t="s">
        <v>7500</v>
      </c>
      <c r="B5913" s="4" t="s">
        <v>7501</v>
      </c>
      <c r="C5913" s="4">
        <v>47.0</v>
      </c>
      <c r="D5913" s="5" t="str">
        <f t="shared" ref="D5913:D5914" si="2036">HYPERLINK("https://www.linkedin.com/ad-library/detail/1101302133","Open Ad")</f>
        <v>Open Ad</v>
      </c>
      <c r="E5913" s="4" t="s">
        <v>78</v>
      </c>
      <c r="F5913" s="4" t="s">
        <v>6765</v>
      </c>
      <c r="G5913" s="4" t="s">
        <v>7504</v>
      </c>
      <c r="H5913" s="4" t="s">
        <v>49</v>
      </c>
      <c r="I5913" s="4" t="s">
        <v>7503</v>
      </c>
      <c r="J5913" s="4" t="s">
        <v>78</v>
      </c>
      <c r="K5913" s="7" t="str">
        <f t="shared" ref="K5913:K5914" si="2037">HYPERLINK("https://media.licdn.com/dms/image/v2/D4D10AQEFvnGefch08w/image-shrink_1280/B4DZrfooTIGQAM-/0/1764688562729?e=2147483647&amp;v=beta&amp;t=1hOosj_KsZhjxFRh4NgIRSWInkTJgEQxymN0ixAPIXs","View Creative")</f>
        <v>View Creative</v>
      </c>
      <c r="L5913" s="4" t="s">
        <v>60</v>
      </c>
      <c r="M5913" s="4" t="s">
        <v>7500</v>
      </c>
      <c r="N5913" s="4"/>
      <c r="O5913" s="4" t="s">
        <v>63</v>
      </c>
      <c r="P5913" s="4" t="s">
        <v>64</v>
      </c>
    </row>
    <row r="5914">
      <c r="A5914" s="4" t="s">
        <v>7500</v>
      </c>
      <c r="B5914" s="4" t="s">
        <v>7501</v>
      </c>
      <c r="C5914" s="4">
        <v>48.0</v>
      </c>
      <c r="D5914" s="5" t="str">
        <f t="shared" si="2036"/>
        <v>Open Ad</v>
      </c>
      <c r="E5914" s="4" t="s">
        <v>78</v>
      </c>
      <c r="F5914" s="4" t="s">
        <v>6765</v>
      </c>
      <c r="G5914" s="4" t="s">
        <v>7504</v>
      </c>
      <c r="H5914" s="4" t="s">
        <v>49</v>
      </c>
      <c r="I5914" s="4" t="s">
        <v>7503</v>
      </c>
      <c r="J5914" s="4" t="s">
        <v>78</v>
      </c>
      <c r="K5914" s="7" t="str">
        <f t="shared" si="2037"/>
        <v>View Creative</v>
      </c>
      <c r="L5914" s="4" t="s">
        <v>60</v>
      </c>
      <c r="M5914" s="4" t="s">
        <v>7500</v>
      </c>
      <c r="N5914" s="4"/>
      <c r="O5914" s="4" t="s">
        <v>63</v>
      </c>
      <c r="P5914" s="4" t="s">
        <v>64</v>
      </c>
    </row>
    <row r="5915">
      <c r="A5915" s="4" t="s">
        <v>7500</v>
      </c>
      <c r="B5915" s="4" t="s">
        <v>7501</v>
      </c>
      <c r="C5915" s="4">
        <v>49.0</v>
      </c>
      <c r="D5915" s="5" t="str">
        <f t="shared" ref="D5915:D5916" si="2038">HYPERLINK("https://www.linkedin.com/ad-library/detail/1101802203","Open Ad")</f>
        <v>Open Ad</v>
      </c>
      <c r="E5915" s="4" t="s">
        <v>78</v>
      </c>
      <c r="F5915" s="4" t="s">
        <v>6765</v>
      </c>
      <c r="G5915" s="4" t="s">
        <v>7517</v>
      </c>
      <c r="H5915" s="4" t="s">
        <v>49</v>
      </c>
      <c r="I5915" s="4" t="s">
        <v>7503</v>
      </c>
      <c r="J5915" s="4" t="s">
        <v>78</v>
      </c>
      <c r="K5915" s="7" t="str">
        <f t="shared" ref="K5915:K5916" si="2039">HYPERLINK("https://media.licdn.com/dms/image/v2/D4E10AQG9Pe0EzBN87g/image_627_1200/B56Zrp7fwCLMAY-/0/1764861279352?e=2147483647&amp;v=beta&amp;t=HwyFGFpkU9OGXnnHK9edS1hHQYggZ9QxhMOldyYzwSI","View Creative")</f>
        <v>View Creative</v>
      </c>
      <c r="L5915" s="4" t="s">
        <v>60</v>
      </c>
      <c r="M5915" s="4" t="s">
        <v>7500</v>
      </c>
      <c r="N5915" s="4"/>
      <c r="O5915" s="4" t="s">
        <v>63</v>
      </c>
      <c r="P5915" s="4" t="s">
        <v>64</v>
      </c>
    </row>
    <row r="5916">
      <c r="A5916" s="4" t="s">
        <v>7500</v>
      </c>
      <c r="B5916" s="4" t="s">
        <v>7501</v>
      </c>
      <c r="C5916" s="4">
        <v>50.0</v>
      </c>
      <c r="D5916" s="5" t="str">
        <f t="shared" si="2038"/>
        <v>Open Ad</v>
      </c>
      <c r="E5916" s="4" t="s">
        <v>78</v>
      </c>
      <c r="F5916" s="4" t="s">
        <v>6765</v>
      </c>
      <c r="G5916" s="4" t="s">
        <v>7517</v>
      </c>
      <c r="H5916" s="4" t="s">
        <v>49</v>
      </c>
      <c r="I5916" s="4" t="s">
        <v>7503</v>
      </c>
      <c r="J5916" s="4" t="s">
        <v>78</v>
      </c>
      <c r="K5916" s="7" t="str">
        <f t="shared" si="2039"/>
        <v>View Creative</v>
      </c>
      <c r="L5916" s="4" t="s">
        <v>60</v>
      </c>
      <c r="M5916" s="4" t="s">
        <v>7500</v>
      </c>
      <c r="N5916" s="4"/>
      <c r="O5916" s="4" t="s">
        <v>63</v>
      </c>
      <c r="P5916" s="4" t="s">
        <v>64</v>
      </c>
    </row>
    <row r="5917">
      <c r="A5917" s="4" t="s">
        <v>7500</v>
      </c>
      <c r="B5917" s="4" t="s">
        <v>7501</v>
      </c>
      <c r="C5917" s="4">
        <v>51.0</v>
      </c>
      <c r="D5917" s="5" t="str">
        <f t="shared" ref="D5917:D5918" si="2040">HYPERLINK("https://www.linkedin.com/ad-library/detail/1101502673","Open Ad")</f>
        <v>Open Ad</v>
      </c>
      <c r="E5917" s="4" t="s">
        <v>78</v>
      </c>
      <c r="F5917" s="4" t="s">
        <v>6765</v>
      </c>
      <c r="G5917" s="4" t="s">
        <v>7522</v>
      </c>
      <c r="H5917" s="4" t="s">
        <v>49</v>
      </c>
      <c r="I5917" s="4" t="s">
        <v>7503</v>
      </c>
      <c r="J5917" s="4" t="s">
        <v>78</v>
      </c>
      <c r="K5917" s="7" t="str">
        <f t="shared" ref="K5917:K5918" si="2041">HYPERLINK("https://media.licdn.com/dms/image/v2/D4D22AQGjw75XWr_ZeQ/feedshare-shrink_1280/B4DZra26_7JcAw-/0/1764608422336?e=2147483647&amp;v=beta&amp;t=UdvYuib9z4kg21VtRtaQ9nbOE4xkQfPkNrHPzaiOyhs","View Creative")</f>
        <v>View Creative</v>
      </c>
      <c r="L5917" s="4" t="s">
        <v>60</v>
      </c>
      <c r="M5917" s="4" t="s">
        <v>7500</v>
      </c>
      <c r="N5917" s="4"/>
      <c r="O5917" s="4" t="s">
        <v>63</v>
      </c>
      <c r="P5917" s="4" t="s">
        <v>64</v>
      </c>
    </row>
    <row r="5918">
      <c r="A5918" s="4" t="s">
        <v>7500</v>
      </c>
      <c r="B5918" s="4" t="s">
        <v>7501</v>
      </c>
      <c r="C5918" s="4">
        <v>52.0</v>
      </c>
      <c r="D5918" s="5" t="str">
        <f t="shared" si="2040"/>
        <v>Open Ad</v>
      </c>
      <c r="E5918" s="4" t="s">
        <v>78</v>
      </c>
      <c r="F5918" s="4" t="s">
        <v>6765</v>
      </c>
      <c r="G5918" s="4" t="s">
        <v>7522</v>
      </c>
      <c r="H5918" s="4" t="s">
        <v>49</v>
      </c>
      <c r="I5918" s="4" t="s">
        <v>7503</v>
      </c>
      <c r="J5918" s="4" t="s">
        <v>78</v>
      </c>
      <c r="K5918" s="7" t="str">
        <f t="shared" si="2041"/>
        <v>View Creative</v>
      </c>
      <c r="L5918" s="4" t="s">
        <v>60</v>
      </c>
      <c r="M5918" s="4" t="s">
        <v>7500</v>
      </c>
      <c r="N5918" s="4"/>
      <c r="O5918" s="4" t="s">
        <v>63</v>
      </c>
      <c r="P5918" s="4" t="s">
        <v>64</v>
      </c>
    </row>
    <row r="5919">
      <c r="A5919" s="4" t="s">
        <v>7500</v>
      </c>
      <c r="B5919" s="4" t="s">
        <v>7501</v>
      </c>
      <c r="C5919" s="4">
        <v>53.0</v>
      </c>
      <c r="D5919" s="5" t="str">
        <f t="shared" ref="D5919:D5920" si="2042">HYPERLINK("https://www.linkedin.com/ad-library/detail/971842293","Open Ad")</f>
        <v>Open Ad</v>
      </c>
      <c r="E5919" s="4" t="s">
        <v>78</v>
      </c>
      <c r="F5919" s="4" t="s">
        <v>6765</v>
      </c>
      <c r="G5919" s="4" t="s">
        <v>7523</v>
      </c>
      <c r="H5919" s="4" t="s">
        <v>49</v>
      </c>
      <c r="I5919" s="4" t="s">
        <v>7503</v>
      </c>
      <c r="J5919" s="4" t="s">
        <v>78</v>
      </c>
      <c r="K5919" s="7" t="str">
        <f t="shared" ref="K5919:K5920" si="2043">HYPERLINK("https://media.licdn.com/dms/image/v2/D4D10AQEadrqCMhqldA/image-shrink_1280/B4DZpuVp3XGQAQ-/0/1762787762707?e=2147483647&amp;v=beta&amp;t=xj2zvQHvUOL8iffX_wDpliWcKXa7JiunSsK9shPfJ90","View Creative")</f>
        <v>View Creative</v>
      </c>
      <c r="L5919" s="4" t="s">
        <v>60</v>
      </c>
      <c r="M5919" s="4" t="s">
        <v>7500</v>
      </c>
      <c r="N5919" s="4"/>
      <c r="O5919" s="4" t="s">
        <v>63</v>
      </c>
      <c r="P5919" s="4" t="s">
        <v>64</v>
      </c>
    </row>
    <row r="5920">
      <c r="A5920" s="4" t="s">
        <v>7500</v>
      </c>
      <c r="B5920" s="4" t="s">
        <v>7501</v>
      </c>
      <c r="C5920" s="4">
        <v>54.0</v>
      </c>
      <c r="D5920" s="5" t="str">
        <f t="shared" si="2042"/>
        <v>Open Ad</v>
      </c>
      <c r="E5920" s="4" t="s">
        <v>78</v>
      </c>
      <c r="F5920" s="4" t="s">
        <v>6765</v>
      </c>
      <c r="G5920" s="4" t="s">
        <v>7523</v>
      </c>
      <c r="H5920" s="4" t="s">
        <v>49</v>
      </c>
      <c r="I5920" s="4" t="s">
        <v>7503</v>
      </c>
      <c r="J5920" s="4" t="s">
        <v>78</v>
      </c>
      <c r="K5920" s="7" t="str">
        <f t="shared" si="2043"/>
        <v>View Creative</v>
      </c>
      <c r="L5920" s="4" t="s">
        <v>60</v>
      </c>
      <c r="M5920" s="4" t="s">
        <v>7500</v>
      </c>
      <c r="N5920" s="4"/>
      <c r="O5920" s="4" t="s">
        <v>63</v>
      </c>
      <c r="P5920" s="4" t="s">
        <v>64</v>
      </c>
    </row>
    <row r="5921">
      <c r="A5921" s="4" t="s">
        <v>7500</v>
      </c>
      <c r="B5921" s="4" t="s">
        <v>7501</v>
      </c>
      <c r="C5921" s="4">
        <v>55.0</v>
      </c>
      <c r="D5921" s="5" t="str">
        <f t="shared" ref="D5921:D5922" si="2044">HYPERLINK("https://www.linkedin.com/ad-library/detail/971744073","Open Ad")</f>
        <v>Open Ad</v>
      </c>
      <c r="E5921" s="4" t="s">
        <v>78</v>
      </c>
      <c r="F5921" s="4" t="s">
        <v>6765</v>
      </c>
      <c r="G5921" s="4" t="s">
        <v>7518</v>
      </c>
      <c r="H5921" s="4" t="s">
        <v>49</v>
      </c>
      <c r="I5921" s="4" t="s">
        <v>7503</v>
      </c>
      <c r="J5921" s="4" t="s">
        <v>78</v>
      </c>
      <c r="K5921" s="7" t="str">
        <f t="shared" ref="K5921:K5922" si="2045">HYPERLINK("https://media.licdn.com/dms/image/v2/D4D22AQFBmPZmS_oUlw/feedshare-shrink_1280/B4DZpa.E14GsAs-/0/1762462815781?e=2147483647&amp;v=beta&amp;t=GBUK-Y0pD5-AuUrnRN__Y1iw1N5bLKvB8tGHcEvoMWk","View Creative")</f>
        <v>View Creative</v>
      </c>
      <c r="L5921" s="4" t="s">
        <v>60</v>
      </c>
      <c r="M5921" s="4" t="s">
        <v>7500</v>
      </c>
      <c r="N5921" s="4"/>
      <c r="O5921" s="4" t="s">
        <v>63</v>
      </c>
      <c r="P5921" s="4" t="s">
        <v>64</v>
      </c>
    </row>
    <row r="5922">
      <c r="A5922" s="4" t="s">
        <v>7500</v>
      </c>
      <c r="B5922" s="4" t="s">
        <v>7501</v>
      </c>
      <c r="C5922" s="4">
        <v>56.0</v>
      </c>
      <c r="D5922" s="5" t="str">
        <f t="shared" si="2044"/>
        <v>Open Ad</v>
      </c>
      <c r="E5922" s="4" t="s">
        <v>78</v>
      </c>
      <c r="F5922" s="4" t="s">
        <v>6765</v>
      </c>
      <c r="G5922" s="4" t="s">
        <v>7518</v>
      </c>
      <c r="H5922" s="4" t="s">
        <v>49</v>
      </c>
      <c r="I5922" s="4" t="s">
        <v>7503</v>
      </c>
      <c r="J5922" s="4" t="s">
        <v>78</v>
      </c>
      <c r="K5922" s="7" t="str">
        <f t="shared" si="2045"/>
        <v>View Creative</v>
      </c>
      <c r="L5922" s="4" t="s">
        <v>60</v>
      </c>
      <c r="M5922" s="4" t="s">
        <v>7500</v>
      </c>
      <c r="N5922" s="4"/>
      <c r="O5922" s="4" t="s">
        <v>63</v>
      </c>
      <c r="P5922" s="4" t="s">
        <v>64</v>
      </c>
    </row>
    <row r="5923">
      <c r="A5923" s="4" t="s">
        <v>7500</v>
      </c>
      <c r="B5923" s="4" t="s">
        <v>7501</v>
      </c>
      <c r="C5923" s="4">
        <v>57.0</v>
      </c>
      <c r="D5923" s="5" t="str">
        <f t="shared" ref="D5923:D5924" si="2046">HYPERLINK("https://www.linkedin.com/ad-library/detail/971792843","Open Ad")</f>
        <v>Open Ad</v>
      </c>
      <c r="E5923" s="4" t="s">
        <v>78</v>
      </c>
      <c r="F5923" s="4" t="s">
        <v>6765</v>
      </c>
      <c r="G5923" s="4" t="s">
        <v>7512</v>
      </c>
      <c r="H5923" s="4" t="s">
        <v>49</v>
      </c>
      <c r="I5923" s="4" t="s">
        <v>7503</v>
      </c>
      <c r="J5923" s="4" t="s">
        <v>78</v>
      </c>
      <c r="K5923" s="7" t="str">
        <f t="shared" ref="K5923:K5924" si="2047">HYPERLINK("https://media.licdn.com/dms/image/v2/D4D10AQF0PZr3z2PK9w/image_627_1200/B56Zrp74FjHIAY-/0/1764861379035?e=2147483647&amp;v=beta&amp;t=503SFCACzKu_xiM8Mi143gMxevCJJLUc74L05x0m5tk","View Creative")</f>
        <v>View Creative</v>
      </c>
      <c r="L5923" s="4" t="s">
        <v>60</v>
      </c>
      <c r="M5923" s="4" t="s">
        <v>7500</v>
      </c>
      <c r="N5923" s="4"/>
      <c r="O5923" s="4" t="s">
        <v>63</v>
      </c>
      <c r="P5923" s="4" t="s">
        <v>64</v>
      </c>
    </row>
    <row r="5924">
      <c r="A5924" s="4" t="s">
        <v>7500</v>
      </c>
      <c r="B5924" s="4" t="s">
        <v>7501</v>
      </c>
      <c r="C5924" s="4">
        <v>58.0</v>
      </c>
      <c r="D5924" s="5" t="str">
        <f t="shared" si="2046"/>
        <v>Open Ad</v>
      </c>
      <c r="E5924" s="4" t="s">
        <v>78</v>
      </c>
      <c r="F5924" s="4" t="s">
        <v>6765</v>
      </c>
      <c r="G5924" s="4" t="s">
        <v>7512</v>
      </c>
      <c r="H5924" s="4" t="s">
        <v>49</v>
      </c>
      <c r="I5924" s="4" t="s">
        <v>7503</v>
      </c>
      <c r="J5924" s="4" t="s">
        <v>78</v>
      </c>
      <c r="K5924" s="7" t="str">
        <f t="shared" si="2047"/>
        <v>View Creative</v>
      </c>
      <c r="L5924" s="4" t="s">
        <v>60</v>
      </c>
      <c r="M5924" s="4" t="s">
        <v>7500</v>
      </c>
      <c r="N5924" s="4"/>
      <c r="O5924" s="4" t="s">
        <v>63</v>
      </c>
      <c r="P5924" s="4" t="s">
        <v>64</v>
      </c>
    </row>
    <row r="5925">
      <c r="A5925" s="4" t="s">
        <v>7500</v>
      </c>
      <c r="B5925" s="4" t="s">
        <v>7501</v>
      </c>
      <c r="C5925" s="4">
        <v>59.0</v>
      </c>
      <c r="D5925" s="5" t="str">
        <f t="shared" ref="D5925:D5926" si="2048">HYPERLINK("https://www.linkedin.com/ad-library/detail/971862113","Open Ad")</f>
        <v>Open Ad</v>
      </c>
      <c r="E5925" s="4" t="s">
        <v>78</v>
      </c>
      <c r="F5925" s="4" t="s">
        <v>6765</v>
      </c>
      <c r="G5925" s="4" t="s">
        <v>7518</v>
      </c>
      <c r="H5925" s="4" t="s">
        <v>49</v>
      </c>
      <c r="I5925" s="4" t="s">
        <v>7503</v>
      </c>
      <c r="J5925" s="4" t="s">
        <v>78</v>
      </c>
      <c r="K5925" s="7" t="str">
        <f t="shared" ref="K5925:K5926" si="2049">HYPERLINK("https://media.licdn.com/dms/image/v2/D4D22AQFBmPZmS_oUlw/feedshare-shrink_1280/B4DZpa.E14GsAs-/0/1762462815781?e=2147483647&amp;v=beta&amp;t=GBUK-Y0pD5-AuUrnRN__Y1iw1N5bLKvB8tGHcEvoMWk","View Creative")</f>
        <v>View Creative</v>
      </c>
      <c r="L5925" s="4" t="s">
        <v>60</v>
      </c>
      <c r="M5925" s="4" t="s">
        <v>7500</v>
      </c>
      <c r="N5925" s="4"/>
      <c r="O5925" s="4" t="s">
        <v>63</v>
      </c>
      <c r="P5925" s="4" t="s">
        <v>64</v>
      </c>
    </row>
    <row r="5926">
      <c r="A5926" s="4" t="s">
        <v>7500</v>
      </c>
      <c r="B5926" s="4" t="s">
        <v>7501</v>
      </c>
      <c r="C5926" s="4">
        <v>60.0</v>
      </c>
      <c r="D5926" s="5" t="str">
        <f t="shared" si="2048"/>
        <v>Open Ad</v>
      </c>
      <c r="E5926" s="4" t="s">
        <v>78</v>
      </c>
      <c r="F5926" s="4" t="s">
        <v>6765</v>
      </c>
      <c r="G5926" s="4" t="s">
        <v>7518</v>
      </c>
      <c r="H5926" s="4" t="s">
        <v>49</v>
      </c>
      <c r="I5926" s="4" t="s">
        <v>7503</v>
      </c>
      <c r="J5926" s="4" t="s">
        <v>78</v>
      </c>
      <c r="K5926" s="7" t="str">
        <f t="shared" si="2049"/>
        <v>View Creative</v>
      </c>
      <c r="L5926" s="4" t="s">
        <v>60</v>
      </c>
      <c r="M5926" s="4" t="s">
        <v>7500</v>
      </c>
      <c r="N5926" s="4"/>
      <c r="O5926" s="4" t="s">
        <v>63</v>
      </c>
      <c r="P5926" s="4" t="s">
        <v>64</v>
      </c>
    </row>
    <row r="5927">
      <c r="A5927" s="4" t="s">
        <v>7500</v>
      </c>
      <c r="B5927" s="4" t="s">
        <v>7501</v>
      </c>
      <c r="C5927" s="4">
        <v>61.0</v>
      </c>
      <c r="D5927" s="5" t="str">
        <f t="shared" ref="D5927:D5928" si="2050">HYPERLINK("https://www.linkedin.com/ad-library/detail/971822373","Open Ad")</f>
        <v>Open Ad</v>
      </c>
      <c r="E5927" s="4" t="s">
        <v>78</v>
      </c>
      <c r="F5927" s="4" t="s">
        <v>6765</v>
      </c>
      <c r="G5927" s="4" t="s">
        <v>7506</v>
      </c>
      <c r="H5927" s="4" t="s">
        <v>49</v>
      </c>
      <c r="I5927" s="4" t="s">
        <v>7503</v>
      </c>
      <c r="J5927" s="4" t="s">
        <v>78</v>
      </c>
      <c r="K5927" s="7" t="str">
        <f t="shared" ref="K5927:K5928" si="2051">HYPERLINK("https://media.licdn.com/dms/image/v2/D4D22AQEYhx5CgCHz9g/feedshare-shrink_1280/B4DZp5AtBnHsAs-/0/1762966819547?e=2147483647&amp;v=beta&amp;t=DSsjJWxRtKRXJsaC7UMbJSH8uzHHVV6d43prXmutqCc","View Creative")</f>
        <v>View Creative</v>
      </c>
      <c r="L5927" s="4" t="s">
        <v>60</v>
      </c>
      <c r="M5927" s="4" t="s">
        <v>7500</v>
      </c>
      <c r="N5927" s="4"/>
      <c r="O5927" s="4" t="s">
        <v>63</v>
      </c>
      <c r="P5927" s="4" t="s">
        <v>64</v>
      </c>
    </row>
    <row r="5928">
      <c r="A5928" s="4" t="s">
        <v>7500</v>
      </c>
      <c r="B5928" s="4" t="s">
        <v>7501</v>
      </c>
      <c r="C5928" s="4">
        <v>62.0</v>
      </c>
      <c r="D5928" s="5" t="str">
        <f t="shared" si="2050"/>
        <v>Open Ad</v>
      </c>
      <c r="E5928" s="4" t="s">
        <v>78</v>
      </c>
      <c r="F5928" s="4" t="s">
        <v>6765</v>
      </c>
      <c r="G5928" s="4" t="s">
        <v>7506</v>
      </c>
      <c r="H5928" s="4" t="s">
        <v>49</v>
      </c>
      <c r="I5928" s="4" t="s">
        <v>7503</v>
      </c>
      <c r="J5928" s="4" t="s">
        <v>78</v>
      </c>
      <c r="K5928" s="7" t="str">
        <f t="shared" si="2051"/>
        <v>View Creative</v>
      </c>
      <c r="L5928" s="4" t="s">
        <v>60</v>
      </c>
      <c r="M5928" s="4" t="s">
        <v>7500</v>
      </c>
      <c r="N5928" s="4"/>
      <c r="O5928" s="4" t="s">
        <v>63</v>
      </c>
      <c r="P5928" s="4" t="s">
        <v>64</v>
      </c>
    </row>
    <row r="5929">
      <c r="A5929" s="4" t="s">
        <v>7500</v>
      </c>
      <c r="B5929" s="4" t="s">
        <v>7501</v>
      </c>
      <c r="C5929" s="4">
        <v>63.0</v>
      </c>
      <c r="D5929" s="5" t="str">
        <f t="shared" ref="D5929:D5930" si="2052">HYPERLINK("https://www.linkedin.com/ad-library/detail/971901833","Open Ad")</f>
        <v>Open Ad</v>
      </c>
      <c r="E5929" s="4" t="s">
        <v>78</v>
      </c>
      <c r="F5929" s="4" t="s">
        <v>6765</v>
      </c>
      <c r="G5929" s="4" t="s">
        <v>7517</v>
      </c>
      <c r="H5929" s="4" t="s">
        <v>49</v>
      </c>
      <c r="I5929" s="4" t="s">
        <v>7503</v>
      </c>
      <c r="J5929" s="4" t="s">
        <v>78</v>
      </c>
      <c r="K5929" s="7" t="str">
        <f t="shared" ref="K5929:K5930" si="2053">HYPERLINK("https://media.licdn.com/dms/image/v2/D4E10AQG9Pe0EzBN87g/image_627_1200/B56Zrp7fwCLMAY-/0/1764861279352?e=2147483647&amp;v=beta&amp;t=HwyFGFpkU9OGXnnHK9edS1hHQYggZ9QxhMOldyYzwSI","View Creative")</f>
        <v>View Creative</v>
      </c>
      <c r="L5929" s="4" t="s">
        <v>60</v>
      </c>
      <c r="M5929" s="4" t="s">
        <v>7500</v>
      </c>
      <c r="N5929" s="4"/>
      <c r="O5929" s="4" t="s">
        <v>63</v>
      </c>
      <c r="P5929" s="4" t="s">
        <v>64</v>
      </c>
    </row>
    <row r="5930">
      <c r="A5930" s="4" t="s">
        <v>7500</v>
      </c>
      <c r="B5930" s="4" t="s">
        <v>7501</v>
      </c>
      <c r="C5930" s="4">
        <v>64.0</v>
      </c>
      <c r="D5930" s="5" t="str">
        <f t="shared" si="2052"/>
        <v>Open Ad</v>
      </c>
      <c r="E5930" s="4" t="s">
        <v>78</v>
      </c>
      <c r="F5930" s="4" t="s">
        <v>6765</v>
      </c>
      <c r="G5930" s="4" t="s">
        <v>7517</v>
      </c>
      <c r="H5930" s="4" t="s">
        <v>49</v>
      </c>
      <c r="I5930" s="4" t="s">
        <v>7503</v>
      </c>
      <c r="J5930" s="4" t="s">
        <v>78</v>
      </c>
      <c r="K5930" s="7" t="str">
        <f t="shared" si="2053"/>
        <v>View Creative</v>
      </c>
      <c r="L5930" s="4" t="s">
        <v>60</v>
      </c>
      <c r="M5930" s="4" t="s">
        <v>7500</v>
      </c>
      <c r="N5930" s="4"/>
      <c r="O5930" s="4" t="s">
        <v>63</v>
      </c>
      <c r="P5930" s="4" t="s">
        <v>64</v>
      </c>
    </row>
    <row r="5931">
      <c r="A5931" s="4" t="s">
        <v>7500</v>
      </c>
      <c r="B5931" s="4" t="s">
        <v>7501</v>
      </c>
      <c r="C5931" s="4">
        <v>65.0</v>
      </c>
      <c r="D5931" s="5" t="str">
        <f t="shared" ref="D5931:D5932" si="2054">HYPERLINK("https://www.linkedin.com/ad-library/detail/971901803","Open Ad")</f>
        <v>Open Ad</v>
      </c>
      <c r="E5931" s="4" t="s">
        <v>78</v>
      </c>
      <c r="F5931" s="4" t="s">
        <v>6765</v>
      </c>
      <c r="G5931" s="4" t="s">
        <v>7506</v>
      </c>
      <c r="H5931" s="4" t="s">
        <v>49</v>
      </c>
      <c r="I5931" s="4" t="s">
        <v>7503</v>
      </c>
      <c r="J5931" s="4" t="s">
        <v>78</v>
      </c>
      <c r="K5931" s="7" t="str">
        <f t="shared" ref="K5931:K5932" si="2055">HYPERLINK("https://media.licdn.com/dms/image/v2/D4D22AQEYhx5CgCHz9g/feedshare-shrink_1280/B4DZp5AtBnHsAs-/0/1762966819547?e=2147483647&amp;v=beta&amp;t=DSsjJWxRtKRXJsaC7UMbJSH8uzHHVV6d43prXmutqCc","View Creative")</f>
        <v>View Creative</v>
      </c>
      <c r="L5931" s="4" t="s">
        <v>60</v>
      </c>
      <c r="M5931" s="4" t="s">
        <v>7500</v>
      </c>
      <c r="N5931" s="4"/>
      <c r="O5931" s="4" t="s">
        <v>63</v>
      </c>
      <c r="P5931" s="4" t="s">
        <v>64</v>
      </c>
    </row>
    <row r="5932">
      <c r="A5932" s="4" t="s">
        <v>7500</v>
      </c>
      <c r="B5932" s="4" t="s">
        <v>7501</v>
      </c>
      <c r="C5932" s="4">
        <v>66.0</v>
      </c>
      <c r="D5932" s="5" t="str">
        <f t="shared" si="2054"/>
        <v>Open Ad</v>
      </c>
      <c r="E5932" s="4" t="s">
        <v>78</v>
      </c>
      <c r="F5932" s="4" t="s">
        <v>6765</v>
      </c>
      <c r="G5932" s="4" t="s">
        <v>7506</v>
      </c>
      <c r="H5932" s="4" t="s">
        <v>49</v>
      </c>
      <c r="I5932" s="4" t="s">
        <v>7503</v>
      </c>
      <c r="J5932" s="4" t="s">
        <v>78</v>
      </c>
      <c r="K5932" s="7" t="str">
        <f t="shared" si="2055"/>
        <v>View Creative</v>
      </c>
      <c r="L5932" s="4" t="s">
        <v>60</v>
      </c>
      <c r="M5932" s="4" t="s">
        <v>7500</v>
      </c>
      <c r="N5932" s="4"/>
      <c r="O5932" s="4" t="s">
        <v>63</v>
      </c>
      <c r="P5932" s="4" t="s">
        <v>64</v>
      </c>
    </row>
    <row r="5933">
      <c r="A5933" s="4" t="s">
        <v>7500</v>
      </c>
      <c r="B5933" s="4" t="s">
        <v>7501</v>
      </c>
      <c r="C5933" s="4">
        <v>67.0</v>
      </c>
      <c r="D5933" s="5" t="str">
        <f t="shared" ref="D5933:D5934" si="2056">HYPERLINK("https://www.linkedin.com/ad-library/detail/971744023","Open Ad")</f>
        <v>Open Ad</v>
      </c>
      <c r="E5933" s="4" t="s">
        <v>78</v>
      </c>
      <c r="F5933" s="4" t="s">
        <v>6765</v>
      </c>
      <c r="G5933" s="4" t="s">
        <v>7517</v>
      </c>
      <c r="H5933" s="4" t="s">
        <v>49</v>
      </c>
      <c r="I5933" s="4" t="s">
        <v>7503</v>
      </c>
      <c r="J5933" s="4" t="s">
        <v>78</v>
      </c>
      <c r="K5933" s="7" t="str">
        <f t="shared" ref="K5933:K5934" si="2057">HYPERLINK("https://media.licdn.com/dms/image/v2/D4E10AQG9Pe0EzBN87g/image_627_1200/B56Zrp7fwCLMAY-/0/1764861279352?e=2147483647&amp;v=beta&amp;t=HwyFGFpkU9OGXnnHK9edS1hHQYggZ9QxhMOldyYzwSI","View Creative")</f>
        <v>View Creative</v>
      </c>
      <c r="L5933" s="4" t="s">
        <v>60</v>
      </c>
      <c r="M5933" s="4" t="s">
        <v>7500</v>
      </c>
      <c r="N5933" s="4"/>
      <c r="O5933" s="4" t="s">
        <v>63</v>
      </c>
      <c r="P5933" s="4" t="s">
        <v>64</v>
      </c>
    </row>
    <row r="5934">
      <c r="A5934" s="4" t="s">
        <v>7500</v>
      </c>
      <c r="B5934" s="4" t="s">
        <v>7501</v>
      </c>
      <c r="C5934" s="4">
        <v>68.0</v>
      </c>
      <c r="D5934" s="5" t="str">
        <f t="shared" si="2056"/>
        <v>Open Ad</v>
      </c>
      <c r="E5934" s="4" t="s">
        <v>78</v>
      </c>
      <c r="F5934" s="4" t="s">
        <v>6765</v>
      </c>
      <c r="G5934" s="4" t="s">
        <v>7517</v>
      </c>
      <c r="H5934" s="4" t="s">
        <v>49</v>
      </c>
      <c r="I5934" s="4" t="s">
        <v>7503</v>
      </c>
      <c r="J5934" s="4" t="s">
        <v>78</v>
      </c>
      <c r="K5934" s="7" t="str">
        <f t="shared" si="2057"/>
        <v>View Creative</v>
      </c>
      <c r="L5934" s="4" t="s">
        <v>60</v>
      </c>
      <c r="M5934" s="4" t="s">
        <v>7500</v>
      </c>
      <c r="N5934" s="4"/>
      <c r="O5934" s="4" t="s">
        <v>63</v>
      </c>
      <c r="P5934" s="4" t="s">
        <v>64</v>
      </c>
    </row>
    <row r="5935">
      <c r="A5935" s="4" t="s">
        <v>7500</v>
      </c>
      <c r="B5935" s="4" t="s">
        <v>7501</v>
      </c>
      <c r="C5935" s="4">
        <v>69.0</v>
      </c>
      <c r="D5935" s="5" t="str">
        <f t="shared" ref="D5935:D5936" si="2058">HYPERLINK("https://www.linkedin.com/ad-library/detail/1101403563","Open Ad")</f>
        <v>Open Ad</v>
      </c>
      <c r="E5935" s="4" t="s">
        <v>78</v>
      </c>
      <c r="F5935" s="4" t="s">
        <v>6765</v>
      </c>
      <c r="G5935" s="4" t="s">
        <v>7524</v>
      </c>
      <c r="H5935" s="4" t="s">
        <v>49</v>
      </c>
      <c r="I5935" s="4" t="s">
        <v>7503</v>
      </c>
      <c r="J5935" s="4" t="s">
        <v>78</v>
      </c>
      <c r="K5935" s="7" t="str">
        <f t="shared" ref="K5935:K5936" si="2059">HYPERLINK("https://media.licdn.com/dms/image/v2/D4D22AQFyAG-pJvkMAA/feedshare-shrink_800/B4DZntYVztKoAk-/0/1760624205905?e=2147483647&amp;v=beta&amp;t=mt1_0wkeMGAzk7rZ8-6m0cuDbfD9rUUI2mXOG3gtSxo","View Creative")</f>
        <v>View Creative</v>
      </c>
      <c r="L5935" s="4" t="s">
        <v>60</v>
      </c>
      <c r="M5935" s="4" t="s">
        <v>7500</v>
      </c>
      <c r="N5935" s="4"/>
      <c r="O5935" s="4" t="s">
        <v>63</v>
      </c>
      <c r="P5935" s="4" t="s">
        <v>64</v>
      </c>
    </row>
    <row r="5936">
      <c r="A5936" s="4" t="s">
        <v>7500</v>
      </c>
      <c r="B5936" s="4" t="s">
        <v>7501</v>
      </c>
      <c r="C5936" s="4">
        <v>70.0</v>
      </c>
      <c r="D5936" s="5" t="str">
        <f t="shared" si="2058"/>
        <v>Open Ad</v>
      </c>
      <c r="E5936" s="4" t="s">
        <v>78</v>
      </c>
      <c r="F5936" s="4" t="s">
        <v>6765</v>
      </c>
      <c r="G5936" s="4" t="s">
        <v>7524</v>
      </c>
      <c r="H5936" s="4" t="s">
        <v>49</v>
      </c>
      <c r="I5936" s="4" t="s">
        <v>7503</v>
      </c>
      <c r="J5936" s="4" t="s">
        <v>78</v>
      </c>
      <c r="K5936" s="7" t="str">
        <f t="shared" si="2059"/>
        <v>View Creative</v>
      </c>
      <c r="L5936" s="4" t="s">
        <v>60</v>
      </c>
      <c r="M5936" s="4" t="s">
        <v>7500</v>
      </c>
      <c r="N5936" s="4"/>
      <c r="O5936" s="4" t="s">
        <v>63</v>
      </c>
      <c r="P5936" s="4" t="s">
        <v>64</v>
      </c>
    </row>
    <row r="5937">
      <c r="A5937" s="4" t="s">
        <v>7500</v>
      </c>
      <c r="B5937" s="4" t="s">
        <v>7501</v>
      </c>
      <c r="C5937" s="4">
        <v>71.0</v>
      </c>
      <c r="D5937" s="5" t="str">
        <f t="shared" ref="D5937:D5938" si="2060">HYPERLINK("https://www.linkedin.com/ad-library/detail/1101602723","Open Ad")</f>
        <v>Open Ad</v>
      </c>
      <c r="E5937" s="4" t="s">
        <v>78</v>
      </c>
      <c r="F5937" s="4" t="s">
        <v>6765</v>
      </c>
      <c r="G5937" s="4" t="s">
        <v>7518</v>
      </c>
      <c r="H5937" s="4" t="s">
        <v>49</v>
      </c>
      <c r="I5937" s="4" t="s">
        <v>7503</v>
      </c>
      <c r="J5937" s="4" t="s">
        <v>78</v>
      </c>
      <c r="K5937" s="7" t="str">
        <f t="shared" ref="K5937:K5938" si="2061">HYPERLINK("https://media.licdn.com/dms/image/v2/D4D22AQFBmPZmS_oUlw/feedshare-shrink_1280/B4DZpa.E14GsAs-/0/1762462815781?e=2147483647&amp;v=beta&amp;t=GBUK-Y0pD5-AuUrnRN__Y1iw1N5bLKvB8tGHcEvoMWk","View Creative")</f>
        <v>View Creative</v>
      </c>
      <c r="L5937" s="4" t="s">
        <v>60</v>
      </c>
      <c r="M5937" s="4" t="s">
        <v>7500</v>
      </c>
      <c r="N5937" s="4"/>
      <c r="O5937" s="4" t="s">
        <v>63</v>
      </c>
      <c r="P5937" s="4" t="s">
        <v>64</v>
      </c>
    </row>
    <row r="5938">
      <c r="A5938" s="4" t="s">
        <v>7500</v>
      </c>
      <c r="B5938" s="4" t="s">
        <v>7501</v>
      </c>
      <c r="C5938" s="4">
        <v>72.0</v>
      </c>
      <c r="D5938" s="5" t="str">
        <f t="shared" si="2060"/>
        <v>Open Ad</v>
      </c>
      <c r="E5938" s="4" t="s">
        <v>78</v>
      </c>
      <c r="F5938" s="4" t="s">
        <v>6765</v>
      </c>
      <c r="G5938" s="4" t="s">
        <v>7518</v>
      </c>
      <c r="H5938" s="4" t="s">
        <v>49</v>
      </c>
      <c r="I5938" s="4" t="s">
        <v>7503</v>
      </c>
      <c r="J5938" s="4" t="s">
        <v>78</v>
      </c>
      <c r="K5938" s="7" t="str">
        <f t="shared" si="2061"/>
        <v>View Creative</v>
      </c>
      <c r="L5938" s="4" t="s">
        <v>60</v>
      </c>
      <c r="M5938" s="4" t="s">
        <v>7500</v>
      </c>
      <c r="N5938" s="4"/>
      <c r="O5938" s="4" t="s">
        <v>63</v>
      </c>
      <c r="P5938" s="4" t="s">
        <v>64</v>
      </c>
    </row>
    <row r="5939">
      <c r="A5939" s="4" t="s">
        <v>7500</v>
      </c>
      <c r="B5939" s="4" t="s">
        <v>7501</v>
      </c>
      <c r="C5939" s="4">
        <v>73.0</v>
      </c>
      <c r="D5939" s="5" t="str">
        <f t="shared" ref="D5939:D5940" si="2062">HYPERLINK("https://www.linkedin.com/ad-library/detail/971910493","Open Ad")</f>
        <v>Open Ad</v>
      </c>
      <c r="E5939" s="4" t="s">
        <v>78</v>
      </c>
      <c r="F5939" s="4" t="s">
        <v>6765</v>
      </c>
      <c r="G5939" s="4" t="s">
        <v>7524</v>
      </c>
      <c r="H5939" s="4" t="s">
        <v>49</v>
      </c>
      <c r="I5939" s="4" t="s">
        <v>7503</v>
      </c>
      <c r="J5939" s="4" t="s">
        <v>78</v>
      </c>
      <c r="K5939" s="7" t="str">
        <f t="shared" ref="K5939:K5940" si="2063">HYPERLINK("https://media.licdn.com/dms/image/v2/D4D22AQFyAG-pJvkMAA/feedshare-shrink_800/B4DZntYVztKoAk-/0/1760624205905?e=2147483647&amp;v=beta&amp;t=mt1_0wkeMGAzk7rZ8-6m0cuDbfD9rUUI2mXOG3gtSxo","View Creative")</f>
        <v>View Creative</v>
      </c>
      <c r="L5939" s="4" t="s">
        <v>60</v>
      </c>
      <c r="M5939" s="4" t="s">
        <v>7500</v>
      </c>
      <c r="N5939" s="4"/>
      <c r="O5939" s="4" t="s">
        <v>63</v>
      </c>
      <c r="P5939" s="4" t="s">
        <v>64</v>
      </c>
    </row>
    <row r="5940">
      <c r="A5940" s="4" t="s">
        <v>7500</v>
      </c>
      <c r="B5940" s="4" t="s">
        <v>7501</v>
      </c>
      <c r="C5940" s="4">
        <v>74.0</v>
      </c>
      <c r="D5940" s="5" t="str">
        <f t="shared" si="2062"/>
        <v>Open Ad</v>
      </c>
      <c r="E5940" s="4" t="s">
        <v>78</v>
      </c>
      <c r="F5940" s="4" t="s">
        <v>6765</v>
      </c>
      <c r="G5940" s="4" t="s">
        <v>7524</v>
      </c>
      <c r="H5940" s="4" t="s">
        <v>49</v>
      </c>
      <c r="I5940" s="4" t="s">
        <v>7503</v>
      </c>
      <c r="J5940" s="4" t="s">
        <v>78</v>
      </c>
      <c r="K5940" s="7" t="str">
        <f t="shared" si="2063"/>
        <v>View Creative</v>
      </c>
      <c r="L5940" s="4" t="s">
        <v>60</v>
      </c>
      <c r="M5940" s="4" t="s">
        <v>7500</v>
      </c>
      <c r="N5940" s="4"/>
      <c r="O5940" s="4" t="s">
        <v>63</v>
      </c>
      <c r="P5940" s="4" t="s">
        <v>64</v>
      </c>
    </row>
    <row r="5941">
      <c r="A5941" s="4" t="s">
        <v>7500</v>
      </c>
      <c r="B5941" s="4" t="s">
        <v>7501</v>
      </c>
      <c r="C5941" s="4">
        <v>75.0</v>
      </c>
      <c r="D5941" s="5" t="str">
        <f t="shared" ref="D5941:D5942" si="2064">HYPERLINK("https://www.linkedin.com/ad-library/detail/1099902723","Open Ad")</f>
        <v>Open Ad</v>
      </c>
      <c r="E5941" s="4" t="s">
        <v>78</v>
      </c>
      <c r="F5941" s="4" t="s">
        <v>6765</v>
      </c>
      <c r="G5941" s="4" t="s">
        <v>7523</v>
      </c>
      <c r="H5941" s="4" t="s">
        <v>49</v>
      </c>
      <c r="I5941" s="4" t="s">
        <v>7503</v>
      </c>
      <c r="J5941" s="4" t="s">
        <v>78</v>
      </c>
      <c r="K5941" s="7" t="str">
        <f t="shared" ref="K5941:K5942" si="2065">HYPERLINK("https://media.licdn.com/dms/image/v2/D4D10AQEadrqCMhqldA/image-shrink_1280/B4DZpuVp3XGQAQ-/0/1762787762707?e=2147483647&amp;v=beta&amp;t=xj2zvQHvUOL8iffX_wDpliWcKXa7JiunSsK9shPfJ90","View Creative")</f>
        <v>View Creative</v>
      </c>
      <c r="L5941" s="4" t="s">
        <v>60</v>
      </c>
      <c r="M5941" s="4" t="s">
        <v>7500</v>
      </c>
      <c r="N5941" s="4"/>
      <c r="O5941" s="4" t="s">
        <v>63</v>
      </c>
      <c r="P5941" s="4" t="s">
        <v>64</v>
      </c>
    </row>
    <row r="5942">
      <c r="A5942" s="4" t="s">
        <v>7500</v>
      </c>
      <c r="B5942" s="4" t="s">
        <v>7501</v>
      </c>
      <c r="C5942" s="4">
        <v>76.0</v>
      </c>
      <c r="D5942" s="5" t="str">
        <f t="shared" si="2064"/>
        <v>Open Ad</v>
      </c>
      <c r="E5942" s="4" t="s">
        <v>78</v>
      </c>
      <c r="F5942" s="4" t="s">
        <v>6765</v>
      </c>
      <c r="G5942" s="4" t="s">
        <v>7523</v>
      </c>
      <c r="H5942" s="4" t="s">
        <v>49</v>
      </c>
      <c r="I5942" s="4" t="s">
        <v>7503</v>
      </c>
      <c r="J5942" s="4" t="s">
        <v>78</v>
      </c>
      <c r="K5942" s="7" t="str">
        <f t="shared" si="2065"/>
        <v>View Creative</v>
      </c>
      <c r="L5942" s="4" t="s">
        <v>60</v>
      </c>
      <c r="M5942" s="4" t="s">
        <v>7500</v>
      </c>
      <c r="N5942" s="4"/>
      <c r="O5942" s="4" t="s">
        <v>63</v>
      </c>
      <c r="P5942" s="4" t="s">
        <v>64</v>
      </c>
    </row>
    <row r="5943">
      <c r="A5943" s="4" t="s">
        <v>7500</v>
      </c>
      <c r="B5943" s="4" t="s">
        <v>7501</v>
      </c>
      <c r="C5943" s="4">
        <v>77.0</v>
      </c>
      <c r="D5943" s="5" t="str">
        <f t="shared" ref="D5943:D5944" si="2066">HYPERLINK("https://www.linkedin.com/ad-library/detail/1101403553","Open Ad")</f>
        <v>Open Ad</v>
      </c>
      <c r="E5943" s="4" t="s">
        <v>78</v>
      </c>
      <c r="F5943" s="4" t="s">
        <v>6765</v>
      </c>
      <c r="G5943" s="4" t="s">
        <v>7525</v>
      </c>
      <c r="H5943" s="4" t="s">
        <v>49</v>
      </c>
      <c r="I5943" s="4" t="s">
        <v>7503</v>
      </c>
      <c r="J5943" s="4" t="s">
        <v>78</v>
      </c>
      <c r="K5943" s="7" t="str">
        <f t="shared" ref="K5943:K5944" si="2067">HYPERLINK("https://media.licdn.com/dms/image/sync/v2/D4D27AQG93uHYtOxmMg/articleshare-proxy-image-offsite-ads_627_1200/B56Zrp7hwULAAA-/0/1775923348505?e=2147483647&amp;v=beta&amp;t=CkB0cCKpKWEVdxFMvJEnrX8diokdbREAIywcGSOloac","View Creative")</f>
        <v>View Creative</v>
      </c>
      <c r="L5943" s="4" t="s">
        <v>60</v>
      </c>
      <c r="M5943" s="4" t="s">
        <v>7500</v>
      </c>
      <c r="N5943" s="4"/>
      <c r="O5943" s="4" t="s">
        <v>63</v>
      </c>
      <c r="P5943" s="4" t="s">
        <v>64</v>
      </c>
    </row>
    <row r="5944">
      <c r="A5944" s="4" t="s">
        <v>7500</v>
      </c>
      <c r="B5944" s="4" t="s">
        <v>7501</v>
      </c>
      <c r="C5944" s="4">
        <v>78.0</v>
      </c>
      <c r="D5944" s="5" t="str">
        <f t="shared" si="2066"/>
        <v>Open Ad</v>
      </c>
      <c r="E5944" s="4" t="s">
        <v>78</v>
      </c>
      <c r="F5944" s="4" t="s">
        <v>6765</v>
      </c>
      <c r="G5944" s="4" t="s">
        <v>7525</v>
      </c>
      <c r="H5944" s="4" t="s">
        <v>49</v>
      </c>
      <c r="I5944" s="4" t="s">
        <v>7503</v>
      </c>
      <c r="J5944" s="4" t="s">
        <v>78</v>
      </c>
      <c r="K5944" s="7" t="str">
        <f t="shared" si="2067"/>
        <v>View Creative</v>
      </c>
      <c r="L5944" s="4" t="s">
        <v>60</v>
      </c>
      <c r="M5944" s="4" t="s">
        <v>7500</v>
      </c>
      <c r="N5944" s="4"/>
      <c r="O5944" s="4" t="s">
        <v>63</v>
      </c>
      <c r="P5944" s="4" t="s">
        <v>64</v>
      </c>
    </row>
    <row r="5945">
      <c r="A5945" s="4" t="s">
        <v>7500</v>
      </c>
      <c r="B5945" s="4" t="s">
        <v>7501</v>
      </c>
      <c r="C5945" s="4">
        <v>79.0</v>
      </c>
      <c r="D5945" s="5" t="str">
        <f t="shared" ref="D5945:D5946" si="2068">HYPERLINK("https://www.linkedin.com/ad-library/detail/971763273","Open Ad")</f>
        <v>Open Ad</v>
      </c>
      <c r="E5945" s="4" t="s">
        <v>78</v>
      </c>
      <c r="F5945" s="4" t="s">
        <v>6765</v>
      </c>
      <c r="G5945" s="4" t="s">
        <v>7513</v>
      </c>
      <c r="H5945" s="4" t="s">
        <v>49</v>
      </c>
      <c r="I5945" s="4" t="s">
        <v>7503</v>
      </c>
      <c r="J5945" s="4" t="s">
        <v>78</v>
      </c>
      <c r="K5945" s="7" t="str">
        <f t="shared" ref="K5945:K5946" si="2069">HYPERLINK("https://media.licdn.com/dms/image/v2/D4D22AQGWL7J9AuR4nA/feedshare-shrink_1280/B4DZpKqebaGwAs-/0/1762189242160?e=2147483647&amp;v=beta&amp;t=IHSx_oOYNkJG39sPO5CvBkeSGofOAF8WwuEqNJt_v_E","View Creative")</f>
        <v>View Creative</v>
      </c>
      <c r="L5945" s="4" t="s">
        <v>60</v>
      </c>
      <c r="M5945" s="4" t="s">
        <v>7500</v>
      </c>
      <c r="N5945" s="4"/>
      <c r="O5945" s="4" t="s">
        <v>63</v>
      </c>
      <c r="P5945" s="4" t="s">
        <v>64</v>
      </c>
    </row>
    <row r="5946">
      <c r="A5946" s="4" t="s">
        <v>7500</v>
      </c>
      <c r="B5946" s="4" t="s">
        <v>7501</v>
      </c>
      <c r="C5946" s="4">
        <v>80.0</v>
      </c>
      <c r="D5946" s="5" t="str">
        <f t="shared" si="2068"/>
        <v>Open Ad</v>
      </c>
      <c r="E5946" s="4" t="s">
        <v>78</v>
      </c>
      <c r="F5946" s="4" t="s">
        <v>6765</v>
      </c>
      <c r="G5946" s="4" t="s">
        <v>7513</v>
      </c>
      <c r="H5946" s="4" t="s">
        <v>49</v>
      </c>
      <c r="I5946" s="4" t="s">
        <v>7503</v>
      </c>
      <c r="J5946" s="4" t="s">
        <v>78</v>
      </c>
      <c r="K5946" s="7" t="str">
        <f t="shared" si="2069"/>
        <v>View Creative</v>
      </c>
      <c r="L5946" s="4" t="s">
        <v>60</v>
      </c>
      <c r="M5946" s="4" t="s">
        <v>7500</v>
      </c>
      <c r="N5946" s="4"/>
      <c r="O5946" s="4" t="s">
        <v>63</v>
      </c>
      <c r="P5946" s="4" t="s">
        <v>64</v>
      </c>
    </row>
    <row r="5947">
      <c r="A5947" s="4" t="s">
        <v>7500</v>
      </c>
      <c r="B5947" s="4" t="s">
        <v>7501</v>
      </c>
      <c r="C5947" s="4">
        <v>81.0</v>
      </c>
      <c r="D5947" s="5" t="str">
        <f t="shared" ref="D5947:D5948" si="2070">HYPERLINK("https://www.linkedin.com/ad-library/detail/971744033","Open Ad")</f>
        <v>Open Ad</v>
      </c>
      <c r="E5947" s="4" t="s">
        <v>78</v>
      </c>
      <c r="F5947" s="4" t="s">
        <v>6765</v>
      </c>
      <c r="G5947" s="4" t="s">
        <v>7525</v>
      </c>
      <c r="H5947" s="4" t="s">
        <v>49</v>
      </c>
      <c r="I5947" s="4" t="s">
        <v>7503</v>
      </c>
      <c r="J5947" s="4" t="s">
        <v>78</v>
      </c>
      <c r="K5947" s="7" t="str">
        <f t="shared" ref="K5947:K5948" si="2071">HYPERLINK("https://media.licdn.com/dms/image/sync/v2/D4D27AQG93uHYtOxmMg/articleshare-proxy-image-offsite-ads_627_1200/B56Zrp7hwULAAA-/0/1775923348505?e=2147483647&amp;v=beta&amp;t=CkB0cCKpKWEVdxFMvJEnrX8diokdbREAIywcGSOloac","View Creative")</f>
        <v>View Creative</v>
      </c>
      <c r="L5947" s="4" t="s">
        <v>60</v>
      </c>
      <c r="M5947" s="4" t="s">
        <v>7500</v>
      </c>
      <c r="N5947" s="4"/>
      <c r="O5947" s="4" t="s">
        <v>63</v>
      </c>
      <c r="P5947" s="4" t="s">
        <v>64</v>
      </c>
    </row>
    <row r="5948">
      <c r="A5948" s="4" t="s">
        <v>7500</v>
      </c>
      <c r="B5948" s="4" t="s">
        <v>7501</v>
      </c>
      <c r="C5948" s="4">
        <v>82.0</v>
      </c>
      <c r="D5948" s="5" t="str">
        <f t="shared" si="2070"/>
        <v>Open Ad</v>
      </c>
      <c r="E5948" s="4" t="s">
        <v>78</v>
      </c>
      <c r="F5948" s="4" t="s">
        <v>6765</v>
      </c>
      <c r="G5948" s="4" t="s">
        <v>7525</v>
      </c>
      <c r="H5948" s="4" t="s">
        <v>49</v>
      </c>
      <c r="I5948" s="4" t="s">
        <v>7503</v>
      </c>
      <c r="J5948" s="4" t="s">
        <v>78</v>
      </c>
      <c r="K5948" s="7" t="str">
        <f t="shared" si="2071"/>
        <v>View Creative</v>
      </c>
      <c r="L5948" s="4" t="s">
        <v>60</v>
      </c>
      <c r="M5948" s="4" t="s">
        <v>7500</v>
      </c>
      <c r="N5948" s="4"/>
      <c r="O5948" s="4" t="s">
        <v>63</v>
      </c>
      <c r="P5948" s="4" t="s">
        <v>64</v>
      </c>
    </row>
    <row r="5949">
      <c r="A5949" s="4" t="s">
        <v>7500</v>
      </c>
      <c r="B5949" s="4" t="s">
        <v>7501</v>
      </c>
      <c r="C5949" s="4">
        <v>83.0</v>
      </c>
      <c r="D5949" s="5" t="str">
        <f t="shared" ref="D5949:D5950" si="2072">HYPERLINK("https://www.linkedin.com/ad-library/detail/1100002183","Open Ad")</f>
        <v>Open Ad</v>
      </c>
      <c r="E5949" s="4" t="s">
        <v>78</v>
      </c>
      <c r="F5949" s="4" t="s">
        <v>6765</v>
      </c>
      <c r="G5949" s="4" t="s">
        <v>7512</v>
      </c>
      <c r="H5949" s="4" t="s">
        <v>49</v>
      </c>
      <c r="I5949" s="4" t="s">
        <v>7503</v>
      </c>
      <c r="J5949" s="4" t="s">
        <v>78</v>
      </c>
      <c r="K5949" s="7" t="str">
        <f t="shared" ref="K5949:K5950" si="2073">HYPERLINK("https://media.licdn.com/dms/image/v2/D4D10AQF0PZr3z2PK9w/image_627_1200/B56Zrp74FjHIAY-/0/1764861379035?e=2147483647&amp;v=beta&amp;t=503SFCACzKu_xiM8Mi143gMxevCJJLUc74L05x0m5tk","View Creative")</f>
        <v>View Creative</v>
      </c>
      <c r="L5949" s="4" t="s">
        <v>60</v>
      </c>
      <c r="M5949" s="4" t="s">
        <v>7500</v>
      </c>
      <c r="N5949" s="4"/>
      <c r="O5949" s="4" t="s">
        <v>63</v>
      </c>
      <c r="P5949" s="4" t="s">
        <v>64</v>
      </c>
    </row>
    <row r="5950">
      <c r="A5950" s="4" t="s">
        <v>7500</v>
      </c>
      <c r="B5950" s="4" t="s">
        <v>7501</v>
      </c>
      <c r="C5950" s="4">
        <v>84.0</v>
      </c>
      <c r="D5950" s="5" t="str">
        <f t="shared" si="2072"/>
        <v>Open Ad</v>
      </c>
      <c r="E5950" s="4" t="s">
        <v>78</v>
      </c>
      <c r="F5950" s="4" t="s">
        <v>6765</v>
      </c>
      <c r="G5950" s="4" t="s">
        <v>7512</v>
      </c>
      <c r="H5950" s="4" t="s">
        <v>49</v>
      </c>
      <c r="I5950" s="4" t="s">
        <v>7503</v>
      </c>
      <c r="J5950" s="4" t="s">
        <v>78</v>
      </c>
      <c r="K5950" s="7" t="str">
        <f t="shared" si="2073"/>
        <v>View Creative</v>
      </c>
      <c r="L5950" s="4" t="s">
        <v>60</v>
      </c>
      <c r="M5950" s="4" t="s">
        <v>7500</v>
      </c>
      <c r="N5950" s="4"/>
      <c r="O5950" s="4" t="s">
        <v>63</v>
      </c>
      <c r="P5950" s="4" t="s">
        <v>64</v>
      </c>
    </row>
    <row r="5951">
      <c r="A5951" s="4" t="s">
        <v>7500</v>
      </c>
      <c r="B5951" s="4" t="s">
        <v>7501</v>
      </c>
      <c r="C5951" s="4">
        <v>85.0</v>
      </c>
      <c r="D5951" s="5" t="str">
        <f t="shared" ref="D5951:D5952" si="2074">HYPERLINK("https://www.linkedin.com/ad-library/detail/971832373","Open Ad")</f>
        <v>Open Ad</v>
      </c>
      <c r="E5951" s="4" t="s">
        <v>78</v>
      </c>
      <c r="F5951" s="4" t="s">
        <v>6765</v>
      </c>
      <c r="G5951" s="4" t="s">
        <v>7507</v>
      </c>
      <c r="H5951" s="4" t="s">
        <v>7508</v>
      </c>
      <c r="I5951" s="4" t="s">
        <v>7503</v>
      </c>
      <c r="J5951" s="4" t="s">
        <v>78</v>
      </c>
      <c r="K5951" s="7" t="str">
        <f t="shared" ref="K5951:K5952" si="2075">HYPERLINK("https://media.licdn.com/dms/image/v2/D4D10AQGZ4cGTPffM7w/image-shrink_1280/B4DZpUltL2JcAM-/0/1762355763388?e=2147483647&amp;v=beta&amp;t=BznkIVQ6UPmU66PhUceWRHXv8QiVHG6QojyARL8R7JE","View Creative")</f>
        <v>View Creative</v>
      </c>
      <c r="L5951" s="4" t="s">
        <v>60</v>
      </c>
      <c r="M5951" s="4" t="s">
        <v>7500</v>
      </c>
      <c r="N5951" s="4"/>
      <c r="O5951" s="4" t="s">
        <v>63</v>
      </c>
      <c r="P5951" s="4" t="s">
        <v>64</v>
      </c>
    </row>
    <row r="5952">
      <c r="A5952" s="4" t="s">
        <v>7500</v>
      </c>
      <c r="B5952" s="4" t="s">
        <v>7501</v>
      </c>
      <c r="C5952" s="4">
        <v>86.0</v>
      </c>
      <c r="D5952" s="5" t="str">
        <f t="shared" si="2074"/>
        <v>Open Ad</v>
      </c>
      <c r="E5952" s="4" t="s">
        <v>78</v>
      </c>
      <c r="F5952" s="4" t="s">
        <v>6765</v>
      </c>
      <c r="G5952" s="4" t="s">
        <v>7507</v>
      </c>
      <c r="H5952" s="4" t="s">
        <v>7508</v>
      </c>
      <c r="I5952" s="4" t="s">
        <v>7503</v>
      </c>
      <c r="J5952" s="4" t="s">
        <v>78</v>
      </c>
      <c r="K5952" s="7" t="str">
        <f t="shared" si="2075"/>
        <v>View Creative</v>
      </c>
      <c r="L5952" s="4" t="s">
        <v>60</v>
      </c>
      <c r="M5952" s="4" t="s">
        <v>7500</v>
      </c>
      <c r="N5952" s="4"/>
      <c r="O5952" s="4" t="s">
        <v>63</v>
      </c>
      <c r="P5952" s="4" t="s">
        <v>64</v>
      </c>
    </row>
    <row r="5953">
      <c r="A5953" s="4" t="s">
        <v>7500</v>
      </c>
      <c r="B5953" s="4" t="s">
        <v>7501</v>
      </c>
      <c r="C5953" s="4">
        <v>87.0</v>
      </c>
      <c r="D5953" s="5" t="str">
        <f t="shared" ref="D5953:D5954" si="2076">HYPERLINK("https://www.linkedin.com/ad-library/detail/971910513","Open Ad")</f>
        <v>Open Ad</v>
      </c>
      <c r="E5953" s="4" t="s">
        <v>78</v>
      </c>
      <c r="F5953" s="4" t="s">
        <v>6765</v>
      </c>
      <c r="G5953" s="4" t="s">
        <v>7504</v>
      </c>
      <c r="H5953" s="4" t="s">
        <v>49</v>
      </c>
      <c r="I5953" s="4" t="s">
        <v>7503</v>
      </c>
      <c r="J5953" s="4" t="s">
        <v>78</v>
      </c>
      <c r="K5953" s="7" t="str">
        <f t="shared" ref="K5953:K5956" si="2077">HYPERLINK("https://media.licdn.com/dms/image/v2/D4D10AQEFvnGefch08w/image-shrink_1280/B4DZrfooTIGQAM-/0/1764688562729?e=2147483647&amp;v=beta&amp;t=1hOosj_KsZhjxFRh4NgIRSWInkTJgEQxymN0ixAPIXs","View Creative")</f>
        <v>View Creative</v>
      </c>
      <c r="L5953" s="4" t="s">
        <v>60</v>
      </c>
      <c r="M5953" s="4" t="s">
        <v>7500</v>
      </c>
      <c r="N5953" s="4"/>
      <c r="O5953" s="4" t="s">
        <v>63</v>
      </c>
      <c r="P5953" s="4" t="s">
        <v>64</v>
      </c>
    </row>
    <row r="5954">
      <c r="A5954" s="4" t="s">
        <v>7500</v>
      </c>
      <c r="B5954" s="4" t="s">
        <v>7501</v>
      </c>
      <c r="C5954" s="4">
        <v>88.0</v>
      </c>
      <c r="D5954" s="5" t="str">
        <f t="shared" si="2076"/>
        <v>Open Ad</v>
      </c>
      <c r="E5954" s="4" t="s">
        <v>78</v>
      </c>
      <c r="F5954" s="4" t="s">
        <v>6765</v>
      </c>
      <c r="G5954" s="4" t="s">
        <v>7504</v>
      </c>
      <c r="H5954" s="4" t="s">
        <v>49</v>
      </c>
      <c r="I5954" s="4" t="s">
        <v>7503</v>
      </c>
      <c r="J5954" s="4" t="s">
        <v>78</v>
      </c>
      <c r="K5954" s="7" t="str">
        <f t="shared" si="2077"/>
        <v>View Creative</v>
      </c>
      <c r="L5954" s="4" t="s">
        <v>60</v>
      </c>
      <c r="M5954" s="4" t="s">
        <v>7500</v>
      </c>
      <c r="N5954" s="4"/>
      <c r="O5954" s="4" t="s">
        <v>63</v>
      </c>
      <c r="P5954" s="4" t="s">
        <v>64</v>
      </c>
    </row>
    <row r="5955">
      <c r="A5955" s="4" t="s">
        <v>7500</v>
      </c>
      <c r="B5955" s="4" t="s">
        <v>7501</v>
      </c>
      <c r="C5955" s="4">
        <v>89.0</v>
      </c>
      <c r="D5955" s="5" t="str">
        <f t="shared" ref="D5955:D5956" si="2078">HYPERLINK("https://www.linkedin.com/ad-library/detail/971705613","Open Ad")</f>
        <v>Open Ad</v>
      </c>
      <c r="E5955" s="4" t="s">
        <v>78</v>
      </c>
      <c r="F5955" s="4" t="s">
        <v>6765</v>
      </c>
      <c r="G5955" s="4" t="s">
        <v>7504</v>
      </c>
      <c r="H5955" s="4" t="s">
        <v>49</v>
      </c>
      <c r="I5955" s="4" t="s">
        <v>7503</v>
      </c>
      <c r="J5955" s="4" t="s">
        <v>78</v>
      </c>
      <c r="K5955" s="7" t="str">
        <f t="shared" si="2077"/>
        <v>View Creative</v>
      </c>
      <c r="L5955" s="4" t="s">
        <v>60</v>
      </c>
      <c r="M5955" s="4" t="s">
        <v>7500</v>
      </c>
      <c r="N5955" s="4"/>
      <c r="O5955" s="4" t="s">
        <v>63</v>
      </c>
      <c r="P5955" s="4" t="s">
        <v>64</v>
      </c>
    </row>
    <row r="5956">
      <c r="A5956" s="4" t="s">
        <v>7500</v>
      </c>
      <c r="B5956" s="4" t="s">
        <v>7501</v>
      </c>
      <c r="C5956" s="4">
        <v>90.0</v>
      </c>
      <c r="D5956" s="5" t="str">
        <f t="shared" si="2078"/>
        <v>Open Ad</v>
      </c>
      <c r="E5956" s="4" t="s">
        <v>78</v>
      </c>
      <c r="F5956" s="4" t="s">
        <v>6765</v>
      </c>
      <c r="G5956" s="4" t="s">
        <v>7504</v>
      </c>
      <c r="H5956" s="4" t="s">
        <v>49</v>
      </c>
      <c r="I5956" s="4" t="s">
        <v>7503</v>
      </c>
      <c r="J5956" s="4" t="s">
        <v>78</v>
      </c>
      <c r="K5956" s="7" t="str">
        <f t="shared" si="2077"/>
        <v>View Creative</v>
      </c>
      <c r="L5956" s="4" t="s">
        <v>60</v>
      </c>
      <c r="M5956" s="4" t="s">
        <v>7500</v>
      </c>
      <c r="N5956" s="4"/>
      <c r="O5956" s="4" t="s">
        <v>63</v>
      </c>
      <c r="P5956" s="4" t="s">
        <v>64</v>
      </c>
    </row>
    <row r="5957">
      <c r="A5957" s="4" t="s">
        <v>7500</v>
      </c>
      <c r="B5957" s="4" t="s">
        <v>7501</v>
      </c>
      <c r="C5957" s="4">
        <v>91.0</v>
      </c>
      <c r="D5957" s="5" t="str">
        <f t="shared" ref="D5957:D5958" si="2079">HYPERLINK("https://www.linkedin.com/ad-library/detail/970943123","Open Ad")</f>
        <v>Open Ad</v>
      </c>
      <c r="E5957" s="4" t="s">
        <v>78</v>
      </c>
      <c r="F5957" s="4" t="s">
        <v>6765</v>
      </c>
      <c r="G5957" s="4" t="s">
        <v>7513</v>
      </c>
      <c r="H5957" s="4" t="s">
        <v>49</v>
      </c>
      <c r="I5957" s="4" t="s">
        <v>7503</v>
      </c>
      <c r="J5957" s="4" t="s">
        <v>78</v>
      </c>
      <c r="K5957" s="7" t="str">
        <f t="shared" ref="K5957:K5958" si="2080">HYPERLINK("https://media.licdn.com/dms/image/v2/D4D22AQGWL7J9AuR4nA/feedshare-shrink_1280/B4DZpKqebaGwAs-/0/1762189242160?e=2147483647&amp;v=beta&amp;t=IHSx_oOYNkJG39sPO5CvBkeSGofOAF8WwuEqNJt_v_E","View Creative")</f>
        <v>View Creative</v>
      </c>
      <c r="L5957" s="4" t="s">
        <v>60</v>
      </c>
      <c r="M5957" s="4" t="s">
        <v>7500</v>
      </c>
      <c r="N5957" s="4"/>
      <c r="O5957" s="4" t="s">
        <v>63</v>
      </c>
      <c r="P5957" s="4" t="s">
        <v>64</v>
      </c>
    </row>
    <row r="5958">
      <c r="A5958" s="4" t="s">
        <v>7500</v>
      </c>
      <c r="B5958" s="4" t="s">
        <v>7501</v>
      </c>
      <c r="C5958" s="4">
        <v>92.0</v>
      </c>
      <c r="D5958" s="5" t="str">
        <f t="shared" si="2079"/>
        <v>Open Ad</v>
      </c>
      <c r="E5958" s="4" t="s">
        <v>78</v>
      </c>
      <c r="F5958" s="4" t="s">
        <v>6765</v>
      </c>
      <c r="G5958" s="4" t="s">
        <v>7513</v>
      </c>
      <c r="H5958" s="4" t="s">
        <v>49</v>
      </c>
      <c r="I5958" s="4" t="s">
        <v>7503</v>
      </c>
      <c r="J5958" s="4" t="s">
        <v>78</v>
      </c>
      <c r="K5958" s="7" t="str">
        <f t="shared" si="2080"/>
        <v>View Creative</v>
      </c>
      <c r="L5958" s="4" t="s">
        <v>60</v>
      </c>
      <c r="M5958" s="4" t="s">
        <v>7500</v>
      </c>
      <c r="N5958" s="4"/>
      <c r="O5958" s="4" t="s">
        <v>63</v>
      </c>
      <c r="P5958" s="4" t="s">
        <v>64</v>
      </c>
    </row>
    <row r="5959">
      <c r="A5959" s="4" t="s">
        <v>7500</v>
      </c>
      <c r="B5959" s="4" t="s">
        <v>7501</v>
      </c>
      <c r="C5959" s="4">
        <v>93.0</v>
      </c>
      <c r="D5959" s="5" t="str">
        <f t="shared" ref="D5959:D5960" si="2081">HYPERLINK("https://www.linkedin.com/ad-library/detail/1101102513","Open Ad")</f>
        <v>Open Ad</v>
      </c>
      <c r="E5959" s="4" t="s">
        <v>78</v>
      </c>
      <c r="F5959" s="4" t="s">
        <v>6765</v>
      </c>
      <c r="G5959" s="4" t="s">
        <v>7507</v>
      </c>
      <c r="H5959" s="4" t="s">
        <v>7508</v>
      </c>
      <c r="I5959" s="4" t="s">
        <v>7503</v>
      </c>
      <c r="J5959" s="4" t="s">
        <v>78</v>
      </c>
      <c r="K5959" s="7" t="str">
        <f t="shared" ref="K5959:K5960" si="2082">HYPERLINK("https://media.licdn.com/dms/image/v2/D4D10AQGZ4cGTPffM7w/image-shrink_1280/B4DZpUltL2JcAM-/0/1762355763388?e=2147483647&amp;v=beta&amp;t=BznkIVQ6UPmU66PhUceWRHXv8QiVHG6QojyARL8R7JE","View Creative")</f>
        <v>View Creative</v>
      </c>
      <c r="L5959" s="4" t="s">
        <v>60</v>
      </c>
      <c r="M5959" s="4" t="s">
        <v>7500</v>
      </c>
      <c r="N5959" s="4"/>
      <c r="O5959" s="4" t="s">
        <v>63</v>
      </c>
      <c r="P5959" s="4" t="s">
        <v>64</v>
      </c>
    </row>
    <row r="5960">
      <c r="A5960" s="4" t="s">
        <v>7500</v>
      </c>
      <c r="B5960" s="4" t="s">
        <v>7501</v>
      </c>
      <c r="C5960" s="4">
        <v>94.0</v>
      </c>
      <c r="D5960" s="5" t="str">
        <f t="shared" si="2081"/>
        <v>Open Ad</v>
      </c>
      <c r="E5960" s="4" t="s">
        <v>78</v>
      </c>
      <c r="F5960" s="4" t="s">
        <v>6765</v>
      </c>
      <c r="G5960" s="4" t="s">
        <v>7507</v>
      </c>
      <c r="H5960" s="4" t="s">
        <v>7508</v>
      </c>
      <c r="I5960" s="4" t="s">
        <v>7503</v>
      </c>
      <c r="J5960" s="4" t="s">
        <v>78</v>
      </c>
      <c r="K5960" s="7" t="str">
        <f t="shared" si="2082"/>
        <v>View Creative</v>
      </c>
      <c r="L5960" s="4" t="s">
        <v>60</v>
      </c>
      <c r="M5960" s="4" t="s">
        <v>7500</v>
      </c>
      <c r="N5960" s="4"/>
      <c r="O5960" s="4" t="s">
        <v>63</v>
      </c>
      <c r="P5960" s="4" t="s">
        <v>64</v>
      </c>
    </row>
    <row r="5961">
      <c r="A5961" s="4" t="s">
        <v>7500</v>
      </c>
      <c r="B5961" s="4" t="s">
        <v>7501</v>
      </c>
      <c r="C5961" s="4">
        <v>95.0</v>
      </c>
      <c r="D5961" s="5" t="str">
        <f t="shared" ref="D5961:D5962" si="2083">HYPERLINK("https://www.linkedin.com/ad-library/detail/971832343","Open Ad")</f>
        <v>Open Ad</v>
      </c>
      <c r="E5961" s="4" t="s">
        <v>78</v>
      </c>
      <c r="F5961" s="4" t="s">
        <v>6765</v>
      </c>
      <c r="G5961" s="4" t="s">
        <v>7522</v>
      </c>
      <c r="H5961" s="4" t="s">
        <v>49</v>
      </c>
      <c r="I5961" s="4" t="s">
        <v>7503</v>
      </c>
      <c r="J5961" s="4" t="s">
        <v>78</v>
      </c>
      <c r="K5961" s="7" t="str">
        <f t="shared" ref="K5961:K5962" si="2084">HYPERLINK("https://media.licdn.com/dms/image/v2/D4D22AQGjw75XWr_ZeQ/feedshare-shrink_1280/B4DZra26_7JcAw-/0/1764608422336?e=2147483647&amp;v=beta&amp;t=UdvYuib9z4kg21VtRtaQ9nbOE4xkQfPkNrHPzaiOyhs","View Creative")</f>
        <v>View Creative</v>
      </c>
      <c r="L5961" s="4" t="s">
        <v>60</v>
      </c>
      <c r="M5961" s="4" t="s">
        <v>7500</v>
      </c>
      <c r="N5961" s="4"/>
      <c r="O5961" s="4" t="s">
        <v>63</v>
      </c>
      <c r="P5961" s="4" t="s">
        <v>64</v>
      </c>
    </row>
    <row r="5962">
      <c r="A5962" s="4" t="s">
        <v>7500</v>
      </c>
      <c r="B5962" s="4" t="s">
        <v>7501</v>
      </c>
      <c r="C5962" s="4">
        <v>96.0</v>
      </c>
      <c r="D5962" s="5" t="str">
        <f t="shared" si="2083"/>
        <v>Open Ad</v>
      </c>
      <c r="E5962" s="4" t="s">
        <v>78</v>
      </c>
      <c r="F5962" s="4" t="s">
        <v>6765</v>
      </c>
      <c r="G5962" s="4" t="s">
        <v>7522</v>
      </c>
      <c r="H5962" s="4" t="s">
        <v>49</v>
      </c>
      <c r="I5962" s="4" t="s">
        <v>7503</v>
      </c>
      <c r="J5962" s="4" t="s">
        <v>78</v>
      </c>
      <c r="K5962" s="7" t="str">
        <f t="shared" si="2084"/>
        <v>View Creative</v>
      </c>
      <c r="L5962" s="4" t="s">
        <v>60</v>
      </c>
      <c r="M5962" s="4" t="s">
        <v>7500</v>
      </c>
      <c r="N5962" s="4"/>
      <c r="O5962" s="4" t="s">
        <v>63</v>
      </c>
      <c r="P5962" s="4" t="s">
        <v>64</v>
      </c>
    </row>
    <row r="5963">
      <c r="A5963" s="4" t="s">
        <v>7500</v>
      </c>
      <c r="B5963" s="4" t="s">
        <v>7501</v>
      </c>
      <c r="C5963" s="4">
        <v>97.0</v>
      </c>
      <c r="D5963" s="5" t="str">
        <f t="shared" ref="D5963:D5964" si="2085">HYPERLINK("https://www.linkedin.com/ad-library/detail/971051233","Open Ad")</f>
        <v>Open Ad</v>
      </c>
      <c r="E5963" s="4" t="s">
        <v>78</v>
      </c>
      <c r="F5963" s="4" t="s">
        <v>6765</v>
      </c>
      <c r="G5963" s="4" t="s">
        <v>7511</v>
      </c>
      <c r="H5963" s="4" t="s">
        <v>49</v>
      </c>
      <c r="I5963" s="4" t="s">
        <v>7503</v>
      </c>
      <c r="J5963" s="4" t="s">
        <v>78</v>
      </c>
      <c r="K5963" s="7" t="str">
        <f t="shared" ref="K5963:K5966" si="2086">HYPERLINK("https://media.licdn.com/dms/image/v2/D4D10AQGj9lkQHr_AuQ/image-shrink_1280/B4DZbhb0P_HEAM-/0/1747538888502/free_audit_1apng?e=2147483647&amp;v=beta&amp;t=L2QKK2ykt05Lx3KsQWBlF4SDz_teitGPAUTVshAA4H8","View Creative")</f>
        <v>View Creative</v>
      </c>
      <c r="L5963" s="4" t="s">
        <v>60</v>
      </c>
      <c r="M5963" s="4" t="s">
        <v>7500</v>
      </c>
      <c r="N5963" s="4"/>
      <c r="O5963" s="4" t="s">
        <v>63</v>
      </c>
      <c r="P5963" s="4" t="s">
        <v>64</v>
      </c>
    </row>
    <row r="5964">
      <c r="A5964" s="4" t="s">
        <v>7500</v>
      </c>
      <c r="B5964" s="4" t="s">
        <v>7501</v>
      </c>
      <c r="C5964" s="4">
        <v>98.0</v>
      </c>
      <c r="D5964" s="5" t="str">
        <f t="shared" si="2085"/>
        <v>Open Ad</v>
      </c>
      <c r="E5964" s="4" t="s">
        <v>78</v>
      </c>
      <c r="F5964" s="4" t="s">
        <v>6765</v>
      </c>
      <c r="G5964" s="4" t="s">
        <v>7511</v>
      </c>
      <c r="H5964" s="4" t="s">
        <v>49</v>
      </c>
      <c r="I5964" s="4" t="s">
        <v>7503</v>
      </c>
      <c r="J5964" s="4" t="s">
        <v>78</v>
      </c>
      <c r="K5964" s="7" t="str">
        <f t="shared" si="2086"/>
        <v>View Creative</v>
      </c>
      <c r="L5964" s="4" t="s">
        <v>60</v>
      </c>
      <c r="M5964" s="4" t="s">
        <v>7500</v>
      </c>
      <c r="N5964" s="4"/>
      <c r="O5964" s="4" t="s">
        <v>63</v>
      </c>
      <c r="P5964" s="4" t="s">
        <v>64</v>
      </c>
    </row>
    <row r="5965">
      <c r="A5965" s="4" t="s">
        <v>7500</v>
      </c>
      <c r="B5965" s="4" t="s">
        <v>7501</v>
      </c>
      <c r="C5965" s="4">
        <v>99.0</v>
      </c>
      <c r="D5965" s="5" t="str">
        <f t="shared" ref="D5965:D5966" si="2087">HYPERLINK("https://www.linkedin.com/ad-library/detail/971001673","Open Ad")</f>
        <v>Open Ad</v>
      </c>
      <c r="E5965" s="4" t="s">
        <v>78</v>
      </c>
      <c r="F5965" s="4" t="s">
        <v>6765</v>
      </c>
      <c r="G5965" s="4" t="s">
        <v>7511</v>
      </c>
      <c r="H5965" s="4" t="s">
        <v>49</v>
      </c>
      <c r="I5965" s="4" t="s">
        <v>7503</v>
      </c>
      <c r="J5965" s="4" t="s">
        <v>78</v>
      </c>
      <c r="K5965" s="7" t="str">
        <f t="shared" si="2086"/>
        <v>View Creative</v>
      </c>
      <c r="L5965" s="4" t="s">
        <v>60</v>
      </c>
      <c r="M5965" s="4" t="s">
        <v>7500</v>
      </c>
      <c r="N5965" s="4"/>
      <c r="O5965" s="4" t="s">
        <v>63</v>
      </c>
      <c r="P5965" s="4" t="s">
        <v>64</v>
      </c>
    </row>
    <row r="5966">
      <c r="A5966" s="4" t="s">
        <v>7500</v>
      </c>
      <c r="B5966" s="4" t="s">
        <v>7501</v>
      </c>
      <c r="C5966" s="4">
        <v>100.0</v>
      </c>
      <c r="D5966" s="5" t="str">
        <f t="shared" si="2087"/>
        <v>Open Ad</v>
      </c>
      <c r="E5966" s="4" t="s">
        <v>78</v>
      </c>
      <c r="F5966" s="4" t="s">
        <v>6765</v>
      </c>
      <c r="G5966" s="4" t="s">
        <v>7511</v>
      </c>
      <c r="H5966" s="4" t="s">
        <v>49</v>
      </c>
      <c r="I5966" s="4" t="s">
        <v>7503</v>
      </c>
      <c r="J5966" s="4" t="s">
        <v>78</v>
      </c>
      <c r="K5966" s="7" t="str">
        <f t="shared" si="2086"/>
        <v>View Creative</v>
      </c>
      <c r="L5966" s="4" t="s">
        <v>60</v>
      </c>
      <c r="M5966" s="4" t="s">
        <v>7500</v>
      </c>
      <c r="N5966" s="4"/>
      <c r="O5966" s="4" t="s">
        <v>63</v>
      </c>
      <c r="P5966" s="4" t="s">
        <v>64</v>
      </c>
    </row>
    <row r="5967">
      <c r="A5967" s="4" t="s">
        <v>7500</v>
      </c>
      <c r="B5967" s="4" t="s">
        <v>7501</v>
      </c>
      <c r="C5967" s="4">
        <v>101.0</v>
      </c>
      <c r="D5967" s="5" t="str">
        <f t="shared" ref="D5967:D5968" si="2088">HYPERLINK("https://www.linkedin.com/ad-library/detail/971110313","Open Ad")</f>
        <v>Open Ad</v>
      </c>
      <c r="E5967" s="4" t="s">
        <v>78</v>
      </c>
      <c r="F5967" s="4" t="s">
        <v>6765</v>
      </c>
      <c r="G5967" s="4" t="s">
        <v>7511</v>
      </c>
      <c r="H5967" s="4" t="s">
        <v>49</v>
      </c>
      <c r="I5967" s="4" t="s">
        <v>7503</v>
      </c>
      <c r="J5967" s="4" t="s">
        <v>78</v>
      </c>
      <c r="K5967" s="7" t="str">
        <f t="shared" ref="K5967:K5970" si="2089">HYPERLINK("https://media.licdn.com/dms/image/v2/D4D10AQFN-J9SCqa0kg/image-shrink_1280/B4DZbhb5i8HQAM-/0/1747538910054/free_audit_1bpng?e=2147483647&amp;v=beta&amp;t=4RJ5_lGa2mzhIciZXwhfKhP3iigxJYT-Boy2_47QqdA","View Creative")</f>
        <v>View Creative</v>
      </c>
      <c r="L5967" s="4" t="s">
        <v>60</v>
      </c>
      <c r="M5967" s="4" t="s">
        <v>7500</v>
      </c>
      <c r="N5967" s="4"/>
      <c r="O5967" s="4" t="s">
        <v>63</v>
      </c>
      <c r="P5967" s="4" t="s">
        <v>64</v>
      </c>
    </row>
    <row r="5968">
      <c r="A5968" s="4" t="s">
        <v>7500</v>
      </c>
      <c r="B5968" s="4" t="s">
        <v>7501</v>
      </c>
      <c r="C5968" s="4">
        <v>102.0</v>
      </c>
      <c r="D5968" s="5" t="str">
        <f t="shared" si="2088"/>
        <v>Open Ad</v>
      </c>
      <c r="E5968" s="4" t="s">
        <v>78</v>
      </c>
      <c r="F5968" s="4" t="s">
        <v>6765</v>
      </c>
      <c r="G5968" s="4" t="s">
        <v>7511</v>
      </c>
      <c r="H5968" s="4" t="s">
        <v>49</v>
      </c>
      <c r="I5968" s="4" t="s">
        <v>7503</v>
      </c>
      <c r="J5968" s="4" t="s">
        <v>78</v>
      </c>
      <c r="K5968" s="7" t="str">
        <f t="shared" si="2089"/>
        <v>View Creative</v>
      </c>
      <c r="L5968" s="4" t="s">
        <v>60</v>
      </c>
      <c r="M5968" s="4" t="s">
        <v>7500</v>
      </c>
      <c r="N5968" s="4"/>
      <c r="O5968" s="4" t="s">
        <v>63</v>
      </c>
      <c r="P5968" s="4" t="s">
        <v>64</v>
      </c>
    </row>
    <row r="5969">
      <c r="A5969" s="4" t="s">
        <v>7500</v>
      </c>
      <c r="B5969" s="4" t="s">
        <v>7501</v>
      </c>
      <c r="C5969" s="4">
        <v>103.0</v>
      </c>
      <c r="D5969" s="5" t="str">
        <f t="shared" ref="D5969:D5970" si="2090">HYPERLINK("https://www.linkedin.com/ad-library/detail/970972133","Open Ad")</f>
        <v>Open Ad</v>
      </c>
      <c r="E5969" s="4" t="s">
        <v>78</v>
      </c>
      <c r="F5969" s="4" t="s">
        <v>6765</v>
      </c>
      <c r="G5969" s="4" t="s">
        <v>7511</v>
      </c>
      <c r="H5969" s="4" t="s">
        <v>49</v>
      </c>
      <c r="I5969" s="4" t="s">
        <v>7503</v>
      </c>
      <c r="J5969" s="4" t="s">
        <v>78</v>
      </c>
      <c r="K5969" s="7" t="str">
        <f t="shared" si="2089"/>
        <v>View Creative</v>
      </c>
      <c r="L5969" s="4" t="s">
        <v>60</v>
      </c>
      <c r="M5969" s="4" t="s">
        <v>7500</v>
      </c>
      <c r="N5969" s="4"/>
      <c r="O5969" s="4" t="s">
        <v>63</v>
      </c>
      <c r="P5969" s="4" t="s">
        <v>64</v>
      </c>
    </row>
    <row r="5970">
      <c r="A5970" s="4" t="s">
        <v>7500</v>
      </c>
      <c r="B5970" s="4" t="s">
        <v>7501</v>
      </c>
      <c r="C5970" s="4">
        <v>104.0</v>
      </c>
      <c r="D5970" s="5" t="str">
        <f t="shared" si="2090"/>
        <v>Open Ad</v>
      </c>
      <c r="E5970" s="4" t="s">
        <v>78</v>
      </c>
      <c r="F5970" s="4" t="s">
        <v>6765</v>
      </c>
      <c r="G5970" s="4" t="s">
        <v>7511</v>
      </c>
      <c r="H5970" s="4" t="s">
        <v>49</v>
      </c>
      <c r="I5970" s="4" t="s">
        <v>7503</v>
      </c>
      <c r="J5970" s="4" t="s">
        <v>78</v>
      </c>
      <c r="K5970" s="7" t="str">
        <f t="shared" si="2089"/>
        <v>View Creative</v>
      </c>
      <c r="L5970" s="4" t="s">
        <v>60</v>
      </c>
      <c r="M5970" s="4" t="s">
        <v>7500</v>
      </c>
      <c r="N5970" s="4"/>
      <c r="O5970" s="4" t="s">
        <v>63</v>
      </c>
      <c r="P5970" s="4" t="s">
        <v>64</v>
      </c>
    </row>
    <row r="5971">
      <c r="A5971" s="4" t="s">
        <v>7500</v>
      </c>
      <c r="B5971" s="4" t="s">
        <v>7501</v>
      </c>
      <c r="C5971" s="4">
        <v>105.0</v>
      </c>
      <c r="D5971" s="5" t="str">
        <f t="shared" ref="D5971:D5972" si="2091">HYPERLINK("https://www.linkedin.com/ad-library/detail/971140213","Open Ad")</f>
        <v>Open Ad</v>
      </c>
      <c r="E5971" s="4" t="s">
        <v>78</v>
      </c>
      <c r="F5971" s="4" t="s">
        <v>6765</v>
      </c>
      <c r="G5971" s="4" t="s">
        <v>7511</v>
      </c>
      <c r="H5971" s="4" t="s">
        <v>49</v>
      </c>
      <c r="I5971" s="4" t="s">
        <v>7503</v>
      </c>
      <c r="J5971" s="4" t="s">
        <v>78</v>
      </c>
      <c r="K5971" s="7" t="str">
        <f t="shared" ref="K5971:K5972" si="2092">HYPERLINK("https://media.licdn.com/dms/image/v2/D4D10AQE4qB6SLCf5qg/image-shrink_1280/B4DZbhcAxTH8AM-/0/1747538939667/free_audit_2apng?e=2147483647&amp;v=beta&amp;t=CTLsSK1l0hBkjeHfT9xHoRra2pV4PaoSXeUTrmBsHzI","View Creative")</f>
        <v>View Creative</v>
      </c>
      <c r="L5971" s="4" t="s">
        <v>60</v>
      </c>
      <c r="M5971" s="4" t="s">
        <v>7500</v>
      </c>
      <c r="N5971" s="4"/>
      <c r="O5971" s="4" t="s">
        <v>63</v>
      </c>
      <c r="P5971" s="4" t="s">
        <v>64</v>
      </c>
    </row>
    <row r="5972">
      <c r="A5972" s="4" t="s">
        <v>7500</v>
      </c>
      <c r="B5972" s="4" t="s">
        <v>7501</v>
      </c>
      <c r="C5972" s="4">
        <v>106.0</v>
      </c>
      <c r="D5972" s="5" t="str">
        <f t="shared" si="2091"/>
        <v>Open Ad</v>
      </c>
      <c r="E5972" s="4" t="s">
        <v>78</v>
      </c>
      <c r="F5972" s="4" t="s">
        <v>6765</v>
      </c>
      <c r="G5972" s="4" t="s">
        <v>7511</v>
      </c>
      <c r="H5972" s="4" t="s">
        <v>49</v>
      </c>
      <c r="I5972" s="4" t="s">
        <v>7503</v>
      </c>
      <c r="J5972" s="4" t="s">
        <v>78</v>
      </c>
      <c r="K5972" s="7" t="str">
        <f t="shared" si="2092"/>
        <v>View Creative</v>
      </c>
      <c r="L5972" s="4" t="s">
        <v>60</v>
      </c>
      <c r="M5972" s="4" t="s">
        <v>7500</v>
      </c>
      <c r="N5972" s="4"/>
      <c r="O5972" s="4" t="s">
        <v>63</v>
      </c>
      <c r="P5972" s="4" t="s">
        <v>64</v>
      </c>
    </row>
    <row r="5973">
      <c r="A5973" s="4" t="s">
        <v>7500</v>
      </c>
      <c r="B5973" s="4" t="s">
        <v>7501</v>
      </c>
      <c r="C5973" s="4">
        <v>107.0</v>
      </c>
      <c r="D5973" s="5" t="str">
        <f t="shared" ref="D5973:D5974" si="2093">HYPERLINK("https://www.linkedin.com/ad-library/detail/971021463","Open Ad")</f>
        <v>Open Ad</v>
      </c>
      <c r="E5973" s="4" t="s">
        <v>78</v>
      </c>
      <c r="F5973" s="4" t="s">
        <v>6765</v>
      </c>
      <c r="G5973" s="4" t="s">
        <v>7511</v>
      </c>
      <c r="H5973" s="4" t="s">
        <v>49</v>
      </c>
      <c r="I5973" s="4" t="s">
        <v>7503</v>
      </c>
      <c r="J5973" s="4" t="s">
        <v>78</v>
      </c>
      <c r="K5973" s="7" t="str">
        <f t="shared" ref="K5973:K5974" si="2094">HYPERLINK("https://media.licdn.com/dms/image/v2/D4D10AQGzsH1_-5nYqw/image-shrink_1280/B4DZbhbfwgHsAQ-/0/1747538804241/testimonial_1bpng?e=2147483647&amp;v=beta&amp;t=VZEMKc7aCFhRj0dOdZWxCDo_hDaQ9M08tNn42UFoeuw","View Creative")</f>
        <v>View Creative</v>
      </c>
      <c r="L5973" s="4" t="s">
        <v>60</v>
      </c>
      <c r="M5973" s="4" t="s">
        <v>7500</v>
      </c>
      <c r="N5973" s="4"/>
      <c r="O5973" s="4" t="s">
        <v>63</v>
      </c>
      <c r="P5973" s="4" t="s">
        <v>64</v>
      </c>
    </row>
    <row r="5974">
      <c r="A5974" s="4" t="s">
        <v>7500</v>
      </c>
      <c r="B5974" s="4" t="s">
        <v>7501</v>
      </c>
      <c r="C5974" s="4">
        <v>108.0</v>
      </c>
      <c r="D5974" s="5" t="str">
        <f t="shared" si="2093"/>
        <v>Open Ad</v>
      </c>
      <c r="E5974" s="4" t="s">
        <v>78</v>
      </c>
      <c r="F5974" s="4" t="s">
        <v>6765</v>
      </c>
      <c r="G5974" s="4" t="s">
        <v>7511</v>
      </c>
      <c r="H5974" s="4" t="s">
        <v>49</v>
      </c>
      <c r="I5974" s="4" t="s">
        <v>7503</v>
      </c>
      <c r="J5974" s="4" t="s">
        <v>78</v>
      </c>
      <c r="K5974" s="7" t="str">
        <f t="shared" si="2094"/>
        <v>View Creative</v>
      </c>
      <c r="L5974" s="4" t="s">
        <v>60</v>
      </c>
      <c r="M5974" s="4" t="s">
        <v>7500</v>
      </c>
      <c r="N5974" s="4"/>
      <c r="O5974" s="4" t="s">
        <v>63</v>
      </c>
      <c r="P5974" s="4" t="s">
        <v>64</v>
      </c>
    </row>
    <row r="5975">
      <c r="A5975" s="4" t="s">
        <v>7500</v>
      </c>
      <c r="B5975" s="4" t="s">
        <v>7501</v>
      </c>
      <c r="C5975" s="4">
        <v>109.0</v>
      </c>
      <c r="D5975" s="5" t="str">
        <f t="shared" ref="D5975:D5976" si="2095">HYPERLINK("https://www.linkedin.com/ad-library/detail/878628003","Open Ad")</f>
        <v>Open Ad</v>
      </c>
      <c r="E5975" s="4" t="s">
        <v>78</v>
      </c>
      <c r="F5975" s="4" t="s">
        <v>6765</v>
      </c>
      <c r="G5975" s="4" t="s">
        <v>7526</v>
      </c>
      <c r="H5975" s="4" t="s">
        <v>49</v>
      </c>
      <c r="I5975" s="4" t="s">
        <v>7503</v>
      </c>
      <c r="J5975" s="4" t="s">
        <v>78</v>
      </c>
      <c r="K5975" s="7" t="str">
        <f t="shared" ref="K5975:K5978" si="2096">HYPERLINK("https://media.licdn.com/dms/image/v2/D4D10AQHFQ3HK1TSE0A/image-shrink_1280/B4DZnfXORMIcAM-/0/1760389032850/2png?e=2147483647&amp;v=beta&amp;t=cRXhaT9Pg-DYKK8k2XZ1u28JGI5n7Qj970xjbHc1Ykg","View Creative")</f>
        <v>View Creative</v>
      </c>
      <c r="L5975" s="4" t="s">
        <v>60</v>
      </c>
      <c r="M5975" s="4" t="s">
        <v>7500</v>
      </c>
      <c r="N5975" s="4"/>
      <c r="O5975" s="4" t="s">
        <v>63</v>
      </c>
      <c r="P5975" s="4" t="s">
        <v>64</v>
      </c>
    </row>
    <row r="5976">
      <c r="A5976" s="4" t="s">
        <v>7500</v>
      </c>
      <c r="B5976" s="4" t="s">
        <v>7501</v>
      </c>
      <c r="C5976" s="4">
        <v>110.0</v>
      </c>
      <c r="D5976" s="5" t="str">
        <f t="shared" si="2095"/>
        <v>Open Ad</v>
      </c>
      <c r="E5976" s="4" t="s">
        <v>78</v>
      </c>
      <c r="F5976" s="4" t="s">
        <v>6765</v>
      </c>
      <c r="G5976" s="4" t="s">
        <v>7526</v>
      </c>
      <c r="H5976" s="4" t="s">
        <v>49</v>
      </c>
      <c r="I5976" s="4" t="s">
        <v>7503</v>
      </c>
      <c r="J5976" s="4" t="s">
        <v>78</v>
      </c>
      <c r="K5976" s="7" t="str">
        <f t="shared" si="2096"/>
        <v>View Creative</v>
      </c>
      <c r="L5976" s="4" t="s">
        <v>60</v>
      </c>
      <c r="M5976" s="4" t="s">
        <v>7500</v>
      </c>
      <c r="N5976" s="4"/>
      <c r="O5976" s="4" t="s">
        <v>63</v>
      </c>
      <c r="P5976" s="4" t="s">
        <v>64</v>
      </c>
    </row>
    <row r="5977">
      <c r="A5977" s="4" t="s">
        <v>7500</v>
      </c>
      <c r="B5977" s="4" t="s">
        <v>7501</v>
      </c>
      <c r="C5977" s="4">
        <v>111.0</v>
      </c>
      <c r="D5977" s="5" t="str">
        <f t="shared" ref="D5977:D5978" si="2097">HYPERLINK("https://www.linkedin.com/ad-library/detail/970952403","Open Ad")</f>
        <v>Open Ad</v>
      </c>
      <c r="E5977" s="4" t="s">
        <v>78</v>
      </c>
      <c r="F5977" s="4" t="s">
        <v>6765</v>
      </c>
      <c r="G5977" s="4" t="s">
        <v>7526</v>
      </c>
      <c r="H5977" s="4" t="s">
        <v>49</v>
      </c>
      <c r="I5977" s="4" t="s">
        <v>7503</v>
      </c>
      <c r="J5977" s="4" t="s">
        <v>78</v>
      </c>
      <c r="K5977" s="7" t="str">
        <f t="shared" si="2096"/>
        <v>View Creative</v>
      </c>
      <c r="L5977" s="4" t="s">
        <v>60</v>
      </c>
      <c r="M5977" s="4" t="s">
        <v>7500</v>
      </c>
      <c r="N5977" s="4"/>
      <c r="O5977" s="4" t="s">
        <v>63</v>
      </c>
      <c r="P5977" s="4" t="s">
        <v>64</v>
      </c>
    </row>
    <row r="5978">
      <c r="A5978" s="4" t="s">
        <v>7500</v>
      </c>
      <c r="B5978" s="4" t="s">
        <v>7501</v>
      </c>
      <c r="C5978" s="4">
        <v>112.0</v>
      </c>
      <c r="D5978" s="5" t="str">
        <f t="shared" si="2097"/>
        <v>Open Ad</v>
      </c>
      <c r="E5978" s="4" t="s">
        <v>78</v>
      </c>
      <c r="F5978" s="4" t="s">
        <v>6765</v>
      </c>
      <c r="G5978" s="4" t="s">
        <v>7526</v>
      </c>
      <c r="H5978" s="4" t="s">
        <v>49</v>
      </c>
      <c r="I5978" s="4" t="s">
        <v>7503</v>
      </c>
      <c r="J5978" s="4" t="s">
        <v>78</v>
      </c>
      <c r="K5978" s="7" t="str">
        <f t="shared" si="2096"/>
        <v>View Creative</v>
      </c>
      <c r="L5978" s="4" t="s">
        <v>60</v>
      </c>
      <c r="M5978" s="4" t="s">
        <v>7500</v>
      </c>
      <c r="N5978" s="4"/>
      <c r="O5978" s="4" t="s">
        <v>63</v>
      </c>
      <c r="P5978" s="4" t="s">
        <v>64</v>
      </c>
    </row>
    <row r="5979">
      <c r="A5979" s="4" t="s">
        <v>7500</v>
      </c>
      <c r="B5979" s="4" t="s">
        <v>7501</v>
      </c>
      <c r="C5979" s="4">
        <v>113.0</v>
      </c>
      <c r="D5979" s="5" t="str">
        <f t="shared" ref="D5979:D5980" si="2098">HYPERLINK("https://www.linkedin.com/ad-library/detail/970991713","Open Ad")</f>
        <v>Open Ad</v>
      </c>
      <c r="E5979" s="4" t="s">
        <v>78</v>
      </c>
      <c r="F5979" s="4" t="s">
        <v>6765</v>
      </c>
      <c r="G5979" s="4" t="s">
        <v>7511</v>
      </c>
      <c r="H5979" s="4" t="s">
        <v>49</v>
      </c>
      <c r="I5979" s="4" t="s">
        <v>7503</v>
      </c>
      <c r="J5979" s="4" t="s">
        <v>78</v>
      </c>
      <c r="K5979" s="7" t="str">
        <f t="shared" ref="K5979:K5980" si="2099">HYPERLINK("https://media.licdn.com/dms/image/v2/D4D10AQGzsH1_-5nYqw/image-shrink_1280/B4DZbhbfwgHsAQ-/0/1747538804241/testimonial_1bpng?e=2147483647&amp;v=beta&amp;t=VZEMKc7aCFhRj0dOdZWxCDo_hDaQ9M08tNn42UFoeuw","View Creative")</f>
        <v>View Creative</v>
      </c>
      <c r="L5979" s="4" t="s">
        <v>60</v>
      </c>
      <c r="M5979" s="4" t="s">
        <v>7500</v>
      </c>
      <c r="N5979" s="4"/>
      <c r="O5979" s="4" t="s">
        <v>63</v>
      </c>
      <c r="P5979" s="4" t="s">
        <v>64</v>
      </c>
    </row>
    <row r="5980">
      <c r="A5980" s="4" t="s">
        <v>7500</v>
      </c>
      <c r="B5980" s="4" t="s">
        <v>7501</v>
      </c>
      <c r="C5980" s="4">
        <v>114.0</v>
      </c>
      <c r="D5980" s="5" t="str">
        <f t="shared" si="2098"/>
        <v>Open Ad</v>
      </c>
      <c r="E5980" s="4" t="s">
        <v>78</v>
      </c>
      <c r="F5980" s="4" t="s">
        <v>6765</v>
      </c>
      <c r="G5980" s="4" t="s">
        <v>7511</v>
      </c>
      <c r="H5980" s="4" t="s">
        <v>49</v>
      </c>
      <c r="I5980" s="4" t="s">
        <v>7503</v>
      </c>
      <c r="J5980" s="4" t="s">
        <v>78</v>
      </c>
      <c r="K5980" s="7" t="str">
        <f t="shared" si="2099"/>
        <v>View Creative</v>
      </c>
      <c r="L5980" s="4" t="s">
        <v>60</v>
      </c>
      <c r="M5980" s="4" t="s">
        <v>7500</v>
      </c>
      <c r="N5980" s="4"/>
      <c r="O5980" s="4" t="s">
        <v>63</v>
      </c>
      <c r="P5980" s="4" t="s">
        <v>64</v>
      </c>
    </row>
    <row r="5981">
      <c r="A5981" s="4" t="s">
        <v>7500</v>
      </c>
      <c r="B5981" s="4" t="s">
        <v>7501</v>
      </c>
      <c r="C5981" s="4">
        <v>115.0</v>
      </c>
      <c r="D5981" s="5" t="str">
        <f t="shared" ref="D5981:D5982" si="2100">HYPERLINK("https://www.linkedin.com/ad-library/detail/971061113","Open Ad")</f>
        <v>Open Ad</v>
      </c>
      <c r="E5981" s="4" t="s">
        <v>78</v>
      </c>
      <c r="F5981" s="4" t="s">
        <v>6765</v>
      </c>
      <c r="G5981" s="4" t="s">
        <v>7511</v>
      </c>
      <c r="H5981" s="4" t="s">
        <v>49</v>
      </c>
      <c r="I5981" s="4" t="s">
        <v>7503</v>
      </c>
      <c r="J5981" s="4" t="s">
        <v>78</v>
      </c>
      <c r="K5981" s="7" t="str">
        <f t="shared" ref="K5981:K5982" si="2101">HYPERLINK("https://media.licdn.com/dms/image/v2/D4D10AQFluvEyyy-JOA/image-shrink_1280/B4DZbhbbj2HEAM-/0/1747538787039/testimonialpng?e=2147483647&amp;v=beta&amp;t=VJWRIUnC3aqtI_-unph4BLl7QgcKU-XRN4SYJhM0uO0","View Creative")</f>
        <v>View Creative</v>
      </c>
      <c r="L5981" s="4" t="s">
        <v>60</v>
      </c>
      <c r="M5981" s="4" t="s">
        <v>7500</v>
      </c>
      <c r="N5981" s="4"/>
      <c r="O5981" s="4" t="s">
        <v>63</v>
      </c>
      <c r="P5981" s="4" t="s">
        <v>64</v>
      </c>
    </row>
    <row r="5982">
      <c r="A5982" s="4" t="s">
        <v>7500</v>
      </c>
      <c r="B5982" s="4" t="s">
        <v>7501</v>
      </c>
      <c r="C5982" s="4">
        <v>116.0</v>
      </c>
      <c r="D5982" s="5" t="str">
        <f t="shared" si="2100"/>
        <v>Open Ad</v>
      </c>
      <c r="E5982" s="4" t="s">
        <v>78</v>
      </c>
      <c r="F5982" s="4" t="s">
        <v>6765</v>
      </c>
      <c r="G5982" s="4" t="s">
        <v>7511</v>
      </c>
      <c r="H5982" s="4" t="s">
        <v>49</v>
      </c>
      <c r="I5982" s="4" t="s">
        <v>7503</v>
      </c>
      <c r="J5982" s="4" t="s">
        <v>78</v>
      </c>
      <c r="K5982" s="7" t="str">
        <f t="shared" si="2101"/>
        <v>View Creative</v>
      </c>
      <c r="L5982" s="4" t="s">
        <v>60</v>
      </c>
      <c r="M5982" s="4" t="s">
        <v>7500</v>
      </c>
      <c r="N5982" s="4"/>
      <c r="O5982" s="4" t="s">
        <v>63</v>
      </c>
      <c r="P5982" s="4" t="s">
        <v>64</v>
      </c>
    </row>
    <row r="5983">
      <c r="A5983" s="4" t="s">
        <v>7500</v>
      </c>
      <c r="B5983" s="4" t="s">
        <v>7501</v>
      </c>
      <c r="C5983" s="4">
        <v>117.0</v>
      </c>
      <c r="D5983" s="5" t="str">
        <f>HYPERLINK("https://www.linkedin.com/ad-library/detail/971021473","Open Ad")</f>
        <v>Open Ad</v>
      </c>
      <c r="E5983" s="4" t="s">
        <v>52</v>
      </c>
      <c r="F5983" s="4" t="s">
        <v>6765</v>
      </c>
      <c r="G5983" s="4" t="s">
        <v>7527</v>
      </c>
      <c r="H5983" s="4" t="s">
        <v>49</v>
      </c>
      <c r="I5983" s="4" t="s">
        <v>7503</v>
      </c>
      <c r="J5983" s="4" t="s">
        <v>52</v>
      </c>
      <c r="K5983" s="4" t="s">
        <v>59</v>
      </c>
      <c r="L5983" s="4" t="s">
        <v>60</v>
      </c>
      <c r="M5983" s="4" t="s">
        <v>7500</v>
      </c>
      <c r="N5983" s="4"/>
      <c r="O5983" s="4" t="s">
        <v>63</v>
      </c>
      <c r="P5983" s="4" t="s">
        <v>64</v>
      </c>
    </row>
    <row r="5984">
      <c r="A5984" s="4" t="s">
        <v>7500</v>
      </c>
      <c r="B5984" s="4" t="s">
        <v>7501</v>
      </c>
      <c r="C5984" s="4">
        <v>118.0</v>
      </c>
      <c r="D5984" s="5" t="str">
        <f t="shared" ref="D5984:D5985" si="2102">HYPERLINK("https://www.linkedin.com/ad-library/detail/971041593","Open Ad")</f>
        <v>Open Ad</v>
      </c>
      <c r="E5984" s="4" t="s">
        <v>78</v>
      </c>
      <c r="F5984" s="4" t="s">
        <v>6765</v>
      </c>
      <c r="G5984" s="4" t="s">
        <v>7526</v>
      </c>
      <c r="H5984" s="4" t="s">
        <v>49</v>
      </c>
      <c r="I5984" s="4" t="s">
        <v>7503</v>
      </c>
      <c r="J5984" s="4" t="s">
        <v>78</v>
      </c>
      <c r="K5984" s="7" t="str">
        <f t="shared" ref="K5984:K5985" si="2103">HYPERLINK("https://media.licdn.com/dms/image/v2/D4D10AQHFQ3HK1TSE0A/image-shrink_1280/B4DZnfXORMIcAM-/0/1760389032850/2png?e=2147483647&amp;v=beta&amp;t=cRXhaT9Pg-DYKK8k2XZ1u28JGI5n7Qj970xjbHc1Ykg","View Creative")</f>
        <v>View Creative</v>
      </c>
      <c r="L5984" s="4" t="s">
        <v>60</v>
      </c>
      <c r="M5984" s="4" t="s">
        <v>7500</v>
      </c>
      <c r="N5984" s="4"/>
      <c r="O5984" s="4" t="s">
        <v>63</v>
      </c>
      <c r="P5984" s="4" t="s">
        <v>64</v>
      </c>
    </row>
    <row r="5985">
      <c r="A5985" s="4" t="s">
        <v>7500</v>
      </c>
      <c r="B5985" s="4" t="s">
        <v>7501</v>
      </c>
      <c r="C5985" s="4">
        <v>119.0</v>
      </c>
      <c r="D5985" s="5" t="str">
        <f t="shared" si="2102"/>
        <v>Open Ad</v>
      </c>
      <c r="E5985" s="4" t="s">
        <v>78</v>
      </c>
      <c r="F5985" s="4" t="s">
        <v>6765</v>
      </c>
      <c r="G5985" s="4" t="s">
        <v>7526</v>
      </c>
      <c r="H5985" s="4" t="s">
        <v>49</v>
      </c>
      <c r="I5985" s="4" t="s">
        <v>7503</v>
      </c>
      <c r="J5985" s="4" t="s">
        <v>78</v>
      </c>
      <c r="K5985" s="7" t="str">
        <f t="shared" si="2103"/>
        <v>View Creative</v>
      </c>
      <c r="L5985" s="4" t="s">
        <v>60</v>
      </c>
      <c r="M5985" s="4" t="s">
        <v>7500</v>
      </c>
      <c r="N5985" s="4"/>
      <c r="O5985" s="4" t="s">
        <v>63</v>
      </c>
      <c r="P5985" s="4" t="s">
        <v>64</v>
      </c>
    </row>
    <row r="5986">
      <c r="A5986" s="4" t="s">
        <v>7500</v>
      </c>
      <c r="B5986" s="4" t="s">
        <v>7501</v>
      </c>
      <c r="C5986" s="4">
        <v>120.0</v>
      </c>
      <c r="D5986" s="5" t="str">
        <f>HYPERLINK("https://www.linkedin.com/ad-library/detail/971021483","Open Ad")</f>
        <v>Open Ad</v>
      </c>
      <c r="E5986" s="4" t="s">
        <v>52</v>
      </c>
      <c r="F5986" s="4" t="s">
        <v>6765</v>
      </c>
      <c r="G5986" s="4" t="s">
        <v>7528</v>
      </c>
      <c r="H5986" s="4" t="s">
        <v>49</v>
      </c>
      <c r="I5986" s="4" t="s">
        <v>7503</v>
      </c>
      <c r="J5986" s="4" t="s">
        <v>52</v>
      </c>
      <c r="K5986" s="4" t="s">
        <v>59</v>
      </c>
      <c r="L5986" s="4" t="s">
        <v>60</v>
      </c>
      <c r="M5986" s="4" t="s">
        <v>7500</v>
      </c>
      <c r="N5986" s="4"/>
      <c r="O5986" s="4" t="s">
        <v>63</v>
      </c>
      <c r="P5986" s="4" t="s">
        <v>64</v>
      </c>
    </row>
    <row r="5987">
      <c r="A5987" s="4" t="s">
        <v>7500</v>
      </c>
      <c r="B5987" s="4" t="s">
        <v>7501</v>
      </c>
      <c r="C5987" s="4">
        <v>121.0</v>
      </c>
      <c r="D5987" s="5" t="str">
        <f t="shared" ref="D5987:D5988" si="2104">HYPERLINK("https://www.linkedin.com/ad-library/detail/971041583","Open Ad")</f>
        <v>Open Ad</v>
      </c>
      <c r="E5987" s="4" t="s">
        <v>78</v>
      </c>
      <c r="F5987" s="4" t="s">
        <v>6765</v>
      </c>
      <c r="G5987" s="4" t="s">
        <v>7511</v>
      </c>
      <c r="H5987" s="4" t="s">
        <v>49</v>
      </c>
      <c r="I5987" s="4" t="s">
        <v>7503</v>
      </c>
      <c r="J5987" s="4" t="s">
        <v>78</v>
      </c>
      <c r="K5987" s="7" t="str">
        <f t="shared" ref="K5987:K5988" si="2105">HYPERLINK("https://media.licdn.com/dms/image/v2/D4D10AQE4qB6SLCf5qg/image-shrink_1280/B4DZbhcAxTH8AM-/0/1747538939667/free_audit_2apng?e=2147483647&amp;v=beta&amp;t=CTLsSK1l0hBkjeHfT9xHoRra2pV4PaoSXeUTrmBsHzI","View Creative")</f>
        <v>View Creative</v>
      </c>
      <c r="L5987" s="4" t="s">
        <v>60</v>
      </c>
      <c r="M5987" s="4" t="s">
        <v>7500</v>
      </c>
      <c r="N5987" s="4"/>
      <c r="O5987" s="4" t="s">
        <v>63</v>
      </c>
      <c r="P5987" s="4" t="s">
        <v>64</v>
      </c>
    </row>
    <row r="5988">
      <c r="A5988" s="4" t="s">
        <v>7500</v>
      </c>
      <c r="B5988" s="4" t="s">
        <v>7501</v>
      </c>
      <c r="C5988" s="4">
        <v>122.0</v>
      </c>
      <c r="D5988" s="5" t="str">
        <f t="shared" si="2104"/>
        <v>Open Ad</v>
      </c>
      <c r="E5988" s="4" t="s">
        <v>78</v>
      </c>
      <c r="F5988" s="4" t="s">
        <v>6765</v>
      </c>
      <c r="G5988" s="4" t="s">
        <v>7511</v>
      </c>
      <c r="H5988" s="4" t="s">
        <v>49</v>
      </c>
      <c r="I5988" s="4" t="s">
        <v>7503</v>
      </c>
      <c r="J5988" s="4" t="s">
        <v>78</v>
      </c>
      <c r="K5988" s="7" t="str">
        <f t="shared" si="2105"/>
        <v>View Creative</v>
      </c>
      <c r="L5988" s="4" t="s">
        <v>60</v>
      </c>
      <c r="M5988" s="4" t="s">
        <v>7500</v>
      </c>
      <c r="N5988" s="4"/>
      <c r="O5988" s="4" t="s">
        <v>63</v>
      </c>
      <c r="P5988" s="4" t="s">
        <v>64</v>
      </c>
    </row>
    <row r="5989">
      <c r="A5989" s="4" t="s">
        <v>7500</v>
      </c>
      <c r="B5989" s="4" t="s">
        <v>7501</v>
      </c>
      <c r="C5989" s="4">
        <v>123.0</v>
      </c>
      <c r="D5989" s="5" t="str">
        <f t="shared" ref="D5989:D5990" si="2106">HYPERLINK("https://www.linkedin.com/ad-library/detail/878598223","Open Ad")</f>
        <v>Open Ad</v>
      </c>
      <c r="E5989" s="4" t="s">
        <v>78</v>
      </c>
      <c r="F5989" s="4" t="s">
        <v>6765</v>
      </c>
      <c r="G5989" s="4" t="s">
        <v>7529</v>
      </c>
      <c r="H5989" s="4" t="s">
        <v>49</v>
      </c>
      <c r="I5989" s="4" t="s">
        <v>7503</v>
      </c>
      <c r="J5989" s="4" t="s">
        <v>78</v>
      </c>
      <c r="K5989" s="7" t="str">
        <f t="shared" ref="K5989:K5990" si="2107">HYPERLINK("https://media.licdn.com/dms/image/v2/D4D10AQED9UTug38qEg/image-shrink_1280/B4DZnfbL6oIEAM-/0/1760390070853/Untitleddesign24png?e=2147483647&amp;v=beta&amp;t=aCk2i6nr6hLwnPzB_uu1WYYEFB9YxcGRzHsiJR4OAKs","View Creative")</f>
        <v>View Creative</v>
      </c>
      <c r="L5989" s="4" t="s">
        <v>60</v>
      </c>
      <c r="M5989" s="4" t="s">
        <v>7500</v>
      </c>
      <c r="N5989" s="4"/>
      <c r="O5989" s="4" t="s">
        <v>63</v>
      </c>
      <c r="P5989" s="4" t="s">
        <v>64</v>
      </c>
    </row>
    <row r="5990">
      <c r="A5990" s="4" t="s">
        <v>7500</v>
      </c>
      <c r="B5990" s="4" t="s">
        <v>7501</v>
      </c>
      <c r="C5990" s="4">
        <v>124.0</v>
      </c>
      <c r="D5990" s="5" t="str">
        <f t="shared" si="2106"/>
        <v>Open Ad</v>
      </c>
      <c r="E5990" s="4" t="s">
        <v>78</v>
      </c>
      <c r="F5990" s="4" t="s">
        <v>6765</v>
      </c>
      <c r="G5990" s="4" t="s">
        <v>7529</v>
      </c>
      <c r="H5990" s="4" t="s">
        <v>49</v>
      </c>
      <c r="I5990" s="4" t="s">
        <v>7503</v>
      </c>
      <c r="J5990" s="4" t="s">
        <v>78</v>
      </c>
      <c r="K5990" s="7" t="str">
        <f t="shared" si="2107"/>
        <v>View Creative</v>
      </c>
      <c r="L5990" s="4" t="s">
        <v>60</v>
      </c>
      <c r="M5990" s="4" t="s">
        <v>7500</v>
      </c>
      <c r="N5990" s="4"/>
      <c r="O5990" s="4" t="s">
        <v>63</v>
      </c>
      <c r="P5990" s="4" t="s">
        <v>64</v>
      </c>
    </row>
    <row r="5991">
      <c r="A5991" s="4" t="s">
        <v>7500</v>
      </c>
      <c r="B5991" s="4" t="s">
        <v>7501</v>
      </c>
      <c r="C5991" s="4">
        <v>125.0</v>
      </c>
      <c r="D5991" s="5" t="str">
        <f t="shared" ref="D5991:D5992" si="2108">HYPERLINK("https://www.linkedin.com/ad-library/detail/971150223","Open Ad")</f>
        <v>Open Ad</v>
      </c>
      <c r="E5991" s="4" t="s">
        <v>78</v>
      </c>
      <c r="F5991" s="4" t="s">
        <v>6765</v>
      </c>
      <c r="G5991" s="4" t="s">
        <v>7502</v>
      </c>
      <c r="H5991" s="4" t="s">
        <v>49</v>
      </c>
      <c r="I5991" s="4" t="s">
        <v>7503</v>
      </c>
      <c r="J5991" s="4" t="s">
        <v>78</v>
      </c>
      <c r="K5991" s="7" t="str">
        <f t="shared" ref="K5991:K5992" si="2109">HYPERLINK("https://media.licdn.com/dms/image/v2/D4D10AQFluvEyyy-JOA/image-shrink_1280/B4DZbhbbj2HEAM-/0/1747538787039/testimonialpng?e=2147483647&amp;v=beta&amp;t=VJWRIUnC3aqtI_-unph4BLl7QgcKU-XRN4SYJhM0uO0","View Creative")</f>
        <v>View Creative</v>
      </c>
      <c r="L5991" s="4" t="s">
        <v>60</v>
      </c>
      <c r="M5991" s="4" t="s">
        <v>7500</v>
      </c>
      <c r="N5991" s="4"/>
      <c r="O5991" s="4" t="s">
        <v>63</v>
      </c>
      <c r="P5991" s="4" t="s">
        <v>64</v>
      </c>
    </row>
    <row r="5992">
      <c r="A5992" s="4" t="s">
        <v>7500</v>
      </c>
      <c r="B5992" s="4" t="s">
        <v>7501</v>
      </c>
      <c r="C5992" s="4">
        <v>126.0</v>
      </c>
      <c r="D5992" s="5" t="str">
        <f t="shared" si="2108"/>
        <v>Open Ad</v>
      </c>
      <c r="E5992" s="4" t="s">
        <v>78</v>
      </c>
      <c r="F5992" s="4" t="s">
        <v>6765</v>
      </c>
      <c r="G5992" s="4" t="s">
        <v>7502</v>
      </c>
      <c r="H5992" s="4" t="s">
        <v>49</v>
      </c>
      <c r="I5992" s="4" t="s">
        <v>7503</v>
      </c>
      <c r="J5992" s="4" t="s">
        <v>78</v>
      </c>
      <c r="K5992" s="7" t="str">
        <f t="shared" si="2109"/>
        <v>View Creative</v>
      </c>
      <c r="L5992" s="4" t="s">
        <v>60</v>
      </c>
      <c r="M5992" s="4" t="s">
        <v>7500</v>
      </c>
      <c r="N5992" s="4"/>
      <c r="O5992" s="4" t="s">
        <v>63</v>
      </c>
      <c r="P5992" s="4" t="s">
        <v>64</v>
      </c>
    </row>
    <row r="5993">
      <c r="A5993" s="4" t="s">
        <v>7500</v>
      </c>
      <c r="B5993" s="4" t="s">
        <v>7501</v>
      </c>
      <c r="C5993" s="4">
        <v>127.0</v>
      </c>
      <c r="D5993" s="5" t="str">
        <f t="shared" ref="D5993:D5998" si="2110">HYPERLINK("https://www.linkedin.com/ad-library/detail/719736953","Open Ad")</f>
        <v>Open Ad</v>
      </c>
      <c r="E5993" s="4" t="s">
        <v>78</v>
      </c>
      <c r="F5993" s="4" t="s">
        <v>6765</v>
      </c>
      <c r="G5993" s="4" t="s">
        <v>7530</v>
      </c>
      <c r="H5993" s="4" t="s">
        <v>49</v>
      </c>
      <c r="I5993" s="4" t="s">
        <v>7503</v>
      </c>
      <c r="J5993" s="4" t="s">
        <v>78</v>
      </c>
      <c r="K5993" s="7" t="str">
        <f t="shared" ref="K5993:K5998" si="2111">HYPERLINK("https://media.licdn.com/dms/image/v2/D4D10AQHpdBl-JyeevA/image-shrink_627_1200/B4DZe.OLYyGkAY-/0/1751243078197?e=1789538400&amp;v=beta&amp;t=FdQj-iMeiM8cLqdIyUfClTbbLBZARKlAOy8YYJ-SoW4","View Creative")</f>
        <v>View Creative</v>
      </c>
      <c r="L5993" s="4" t="s">
        <v>60</v>
      </c>
      <c r="M5993" s="4" t="s">
        <v>7500</v>
      </c>
      <c r="N5993" s="4"/>
      <c r="O5993" s="4" t="s">
        <v>63</v>
      </c>
      <c r="P5993" s="4" t="s">
        <v>64</v>
      </c>
    </row>
    <row r="5994">
      <c r="A5994" s="4" t="s">
        <v>7500</v>
      </c>
      <c r="B5994" s="4" t="s">
        <v>7501</v>
      </c>
      <c r="C5994" s="4">
        <v>128.0</v>
      </c>
      <c r="D5994" s="5" t="str">
        <f t="shared" si="2110"/>
        <v>Open Ad</v>
      </c>
      <c r="E5994" s="4" t="s">
        <v>78</v>
      </c>
      <c r="F5994" s="4" t="s">
        <v>6765</v>
      </c>
      <c r="G5994" s="4" t="s">
        <v>7530</v>
      </c>
      <c r="H5994" s="4" t="s">
        <v>49</v>
      </c>
      <c r="I5994" s="4" t="s">
        <v>7503</v>
      </c>
      <c r="J5994" s="4" t="s">
        <v>78</v>
      </c>
      <c r="K5994" s="7" t="str">
        <f t="shared" si="2111"/>
        <v>View Creative</v>
      </c>
      <c r="L5994" s="4" t="s">
        <v>60</v>
      </c>
      <c r="M5994" s="4" t="s">
        <v>7500</v>
      </c>
      <c r="N5994" s="4"/>
      <c r="O5994" s="4" t="s">
        <v>63</v>
      </c>
      <c r="P5994" s="4" t="s">
        <v>64</v>
      </c>
    </row>
    <row r="5995">
      <c r="A5995" s="4" t="s">
        <v>7500</v>
      </c>
      <c r="B5995" s="4" t="s">
        <v>7501</v>
      </c>
      <c r="C5995" s="4">
        <v>129.0</v>
      </c>
      <c r="D5995" s="5" t="str">
        <f t="shared" si="2110"/>
        <v>Open Ad</v>
      </c>
      <c r="E5995" s="4" t="s">
        <v>78</v>
      </c>
      <c r="F5995" s="4" t="s">
        <v>6765</v>
      </c>
      <c r="G5995" s="4" t="s">
        <v>7530</v>
      </c>
      <c r="H5995" s="4" t="s">
        <v>49</v>
      </c>
      <c r="I5995" s="4" t="s">
        <v>7503</v>
      </c>
      <c r="J5995" s="4" t="s">
        <v>78</v>
      </c>
      <c r="K5995" s="7" t="str">
        <f t="shared" si="2111"/>
        <v>View Creative</v>
      </c>
      <c r="L5995" s="4" t="s">
        <v>60</v>
      </c>
      <c r="M5995" s="4" t="s">
        <v>7500</v>
      </c>
      <c r="N5995" s="4"/>
      <c r="O5995" s="4" t="s">
        <v>63</v>
      </c>
      <c r="P5995" s="4" t="s">
        <v>64</v>
      </c>
    </row>
    <row r="5996">
      <c r="A5996" s="4" t="s">
        <v>7500</v>
      </c>
      <c r="B5996" s="4" t="s">
        <v>7501</v>
      </c>
      <c r="C5996" s="4">
        <v>130.0</v>
      </c>
      <c r="D5996" s="5" t="str">
        <f t="shared" si="2110"/>
        <v>Open Ad</v>
      </c>
      <c r="E5996" s="4" t="s">
        <v>78</v>
      </c>
      <c r="F5996" s="4" t="s">
        <v>6765</v>
      </c>
      <c r="G5996" s="4" t="s">
        <v>7530</v>
      </c>
      <c r="H5996" s="4" t="s">
        <v>49</v>
      </c>
      <c r="I5996" s="4" t="s">
        <v>7503</v>
      </c>
      <c r="J5996" s="4" t="s">
        <v>78</v>
      </c>
      <c r="K5996" s="7" t="str">
        <f t="shared" si="2111"/>
        <v>View Creative</v>
      </c>
      <c r="L5996" s="4" t="s">
        <v>60</v>
      </c>
      <c r="M5996" s="4" t="s">
        <v>7500</v>
      </c>
      <c r="N5996" s="4"/>
      <c r="O5996" s="4" t="s">
        <v>63</v>
      </c>
      <c r="P5996" s="4" t="s">
        <v>64</v>
      </c>
    </row>
    <row r="5997">
      <c r="A5997" s="4" t="s">
        <v>7500</v>
      </c>
      <c r="B5997" s="4" t="s">
        <v>7501</v>
      </c>
      <c r="C5997" s="4">
        <v>131.0</v>
      </c>
      <c r="D5997" s="5" t="str">
        <f t="shared" si="2110"/>
        <v>Open Ad</v>
      </c>
      <c r="E5997" s="4" t="s">
        <v>78</v>
      </c>
      <c r="F5997" s="4" t="s">
        <v>6765</v>
      </c>
      <c r="G5997" s="4" t="s">
        <v>7530</v>
      </c>
      <c r="H5997" s="4" t="s">
        <v>49</v>
      </c>
      <c r="I5997" s="4" t="s">
        <v>7503</v>
      </c>
      <c r="J5997" s="4" t="s">
        <v>78</v>
      </c>
      <c r="K5997" s="7" t="str">
        <f t="shared" si="2111"/>
        <v>View Creative</v>
      </c>
      <c r="L5997" s="4" t="s">
        <v>60</v>
      </c>
      <c r="M5997" s="4" t="s">
        <v>7500</v>
      </c>
      <c r="N5997" s="4"/>
      <c r="O5997" s="4" t="s">
        <v>63</v>
      </c>
      <c r="P5997" s="4" t="s">
        <v>64</v>
      </c>
    </row>
    <row r="5998">
      <c r="A5998" s="4" t="s">
        <v>7500</v>
      </c>
      <c r="B5998" s="4" t="s">
        <v>7501</v>
      </c>
      <c r="C5998" s="4">
        <v>132.0</v>
      </c>
      <c r="D5998" s="5" t="str">
        <f t="shared" si="2110"/>
        <v>Open Ad</v>
      </c>
      <c r="E5998" s="4" t="s">
        <v>78</v>
      </c>
      <c r="F5998" s="4" t="s">
        <v>6765</v>
      </c>
      <c r="G5998" s="4" t="s">
        <v>7530</v>
      </c>
      <c r="H5998" s="4" t="s">
        <v>49</v>
      </c>
      <c r="I5998" s="4" t="s">
        <v>7503</v>
      </c>
      <c r="J5998" s="4" t="s">
        <v>78</v>
      </c>
      <c r="K5998" s="7" t="str">
        <f t="shared" si="2111"/>
        <v>View Creative</v>
      </c>
      <c r="L5998" s="4" t="s">
        <v>60</v>
      </c>
      <c r="M5998" s="4" t="s">
        <v>7500</v>
      </c>
      <c r="N5998" s="4"/>
      <c r="O5998" s="4" t="s">
        <v>63</v>
      </c>
      <c r="P5998" s="4" t="s">
        <v>64</v>
      </c>
    </row>
    <row r="5999">
      <c r="A5999" s="4" t="s">
        <v>7500</v>
      </c>
      <c r="B5999" s="4" t="s">
        <v>7501</v>
      </c>
      <c r="C5999" s="4">
        <v>133.0</v>
      </c>
      <c r="D5999" s="5" t="str">
        <f t="shared" ref="D5999:D6000" si="2112">HYPERLINK("https://www.linkedin.com/ad-library/detail/971011553","Open Ad")</f>
        <v>Open Ad</v>
      </c>
      <c r="E5999" s="4" t="s">
        <v>78</v>
      </c>
      <c r="F5999" s="4" t="s">
        <v>6765</v>
      </c>
      <c r="G5999" s="4" t="s">
        <v>7529</v>
      </c>
      <c r="H5999" s="4" t="s">
        <v>49</v>
      </c>
      <c r="I5999" s="4" t="s">
        <v>7503</v>
      </c>
      <c r="J5999" s="4" t="s">
        <v>78</v>
      </c>
      <c r="K5999" s="7" t="str">
        <f t="shared" ref="K5999:K6000" si="2113">HYPERLINK("https://media.licdn.com/dms/image/v2/D4D10AQED9UTug38qEg/image-shrink_1280/B4DZnfbL6oIEAM-/0/1760390070853/Untitleddesign24png?e=2147483647&amp;v=beta&amp;t=aCk2i6nr6hLwnPzB_uu1WYYEFB9YxcGRzHsiJR4OAKs","View Creative")</f>
        <v>View Creative</v>
      </c>
      <c r="L5999" s="4" t="s">
        <v>60</v>
      </c>
      <c r="M5999" s="4" t="s">
        <v>7500</v>
      </c>
      <c r="N5999" s="4"/>
      <c r="O5999" s="4" t="s">
        <v>63</v>
      </c>
      <c r="P5999" s="4" t="s">
        <v>64</v>
      </c>
    </row>
    <row r="6000">
      <c r="A6000" s="4" t="s">
        <v>7500</v>
      </c>
      <c r="B6000" s="4" t="s">
        <v>7501</v>
      </c>
      <c r="C6000" s="4">
        <v>134.0</v>
      </c>
      <c r="D6000" s="5" t="str">
        <f t="shared" si="2112"/>
        <v>Open Ad</v>
      </c>
      <c r="E6000" s="4" t="s">
        <v>78</v>
      </c>
      <c r="F6000" s="4" t="s">
        <v>6765</v>
      </c>
      <c r="G6000" s="4" t="s">
        <v>7529</v>
      </c>
      <c r="H6000" s="4" t="s">
        <v>49</v>
      </c>
      <c r="I6000" s="4" t="s">
        <v>7503</v>
      </c>
      <c r="J6000" s="4" t="s">
        <v>78</v>
      </c>
      <c r="K6000" s="7" t="str">
        <f t="shared" si="2113"/>
        <v>View Creative</v>
      </c>
      <c r="L6000" s="4" t="s">
        <v>60</v>
      </c>
      <c r="M6000" s="4" t="s">
        <v>7500</v>
      </c>
      <c r="N6000" s="4"/>
      <c r="O6000" s="4" t="s">
        <v>63</v>
      </c>
      <c r="P6000" s="4" t="s">
        <v>64</v>
      </c>
    </row>
    <row r="6001">
      <c r="A6001" s="4" t="s">
        <v>7500</v>
      </c>
      <c r="B6001" s="4" t="s">
        <v>7501</v>
      </c>
      <c r="C6001" s="4">
        <v>135.0</v>
      </c>
      <c r="D6001" s="5" t="str">
        <f t="shared" ref="D6001:D6002" si="2114">HYPERLINK("https://www.linkedin.com/ad-library/detail/971110303","Open Ad")</f>
        <v>Open Ad</v>
      </c>
      <c r="E6001" s="4" t="s">
        <v>78</v>
      </c>
      <c r="F6001" s="4" t="s">
        <v>6765</v>
      </c>
      <c r="G6001" s="4" t="s">
        <v>7511</v>
      </c>
      <c r="H6001" s="4" t="s">
        <v>49</v>
      </c>
      <c r="I6001" s="4" t="s">
        <v>7503</v>
      </c>
      <c r="J6001" s="4" t="s">
        <v>78</v>
      </c>
      <c r="K6001" s="7" t="str">
        <f t="shared" ref="K6001:K6002" si="2115">HYPERLINK("https://media.licdn.com/dms/image/v2/D4D10AQFluvEyyy-JOA/image-shrink_1280/B4DZbhbbj2HEAM-/0/1747538787039/testimonialpng?e=2147483647&amp;v=beta&amp;t=VJWRIUnC3aqtI_-unph4BLl7QgcKU-XRN4SYJhM0uO0","View Creative")</f>
        <v>View Creative</v>
      </c>
      <c r="L6001" s="4" t="s">
        <v>60</v>
      </c>
      <c r="M6001" s="4" t="s">
        <v>7500</v>
      </c>
      <c r="N6001" s="4"/>
      <c r="O6001" s="4" t="s">
        <v>63</v>
      </c>
      <c r="P6001" s="4" t="s">
        <v>64</v>
      </c>
    </row>
    <row r="6002">
      <c r="A6002" s="4" t="s">
        <v>7500</v>
      </c>
      <c r="B6002" s="4" t="s">
        <v>7501</v>
      </c>
      <c r="C6002" s="4">
        <v>136.0</v>
      </c>
      <c r="D6002" s="5" t="str">
        <f t="shared" si="2114"/>
        <v>Open Ad</v>
      </c>
      <c r="E6002" s="4" t="s">
        <v>78</v>
      </c>
      <c r="F6002" s="4" t="s">
        <v>6765</v>
      </c>
      <c r="G6002" s="4" t="s">
        <v>7511</v>
      </c>
      <c r="H6002" s="4" t="s">
        <v>49</v>
      </c>
      <c r="I6002" s="4" t="s">
        <v>7503</v>
      </c>
      <c r="J6002" s="4" t="s">
        <v>78</v>
      </c>
      <c r="K6002" s="7" t="str">
        <f t="shared" si="2115"/>
        <v>View Creative</v>
      </c>
      <c r="L6002" s="4" t="s">
        <v>60</v>
      </c>
      <c r="M6002" s="4" t="s">
        <v>7500</v>
      </c>
      <c r="N6002" s="4"/>
      <c r="O6002" s="4" t="s">
        <v>63</v>
      </c>
      <c r="P6002" s="4" t="s">
        <v>64</v>
      </c>
    </row>
    <row r="6003">
      <c r="A6003" s="4" t="s">
        <v>7500</v>
      </c>
      <c r="B6003" s="4" t="s">
        <v>7501</v>
      </c>
      <c r="C6003" s="4">
        <v>137.0</v>
      </c>
      <c r="D6003" s="5" t="str">
        <f>HYPERLINK("https://www.linkedin.com/ad-library/detail/971169863","Open Ad")</f>
        <v>Open Ad</v>
      </c>
      <c r="E6003" s="4" t="s">
        <v>52</v>
      </c>
      <c r="F6003" s="4" t="s">
        <v>6765</v>
      </c>
      <c r="G6003" s="4" t="s">
        <v>7531</v>
      </c>
      <c r="H6003" s="4" t="s">
        <v>49</v>
      </c>
      <c r="I6003" s="4" t="s">
        <v>7503</v>
      </c>
      <c r="J6003" s="4" t="s">
        <v>52</v>
      </c>
      <c r="K6003" s="4" t="s">
        <v>59</v>
      </c>
      <c r="L6003" s="4" t="s">
        <v>60</v>
      </c>
      <c r="M6003" s="4" t="s">
        <v>7500</v>
      </c>
      <c r="N6003" s="4"/>
      <c r="O6003" s="4" t="s">
        <v>63</v>
      </c>
      <c r="P6003" s="4" t="s">
        <v>64</v>
      </c>
    </row>
    <row r="6004">
      <c r="A6004" s="4" t="s">
        <v>7500</v>
      </c>
      <c r="B6004" s="4" t="s">
        <v>7501</v>
      </c>
      <c r="C6004" s="4">
        <v>138.0</v>
      </c>
      <c r="D6004" s="5" t="str">
        <f t="shared" ref="D6004:D6005" si="2116">HYPERLINK("https://www.linkedin.com/ad-library/detail/971169893","Open Ad")</f>
        <v>Open Ad</v>
      </c>
      <c r="E6004" s="4" t="s">
        <v>78</v>
      </c>
      <c r="F6004" s="4" t="s">
        <v>6765</v>
      </c>
      <c r="G6004" s="4" t="s">
        <v>7529</v>
      </c>
      <c r="H6004" s="4" t="s">
        <v>49</v>
      </c>
      <c r="I6004" s="4" t="s">
        <v>7503</v>
      </c>
      <c r="J6004" s="4" t="s">
        <v>78</v>
      </c>
      <c r="K6004" s="7" t="str">
        <f t="shared" ref="K6004:K6005" si="2117">HYPERLINK("https://media.licdn.com/dms/image/v2/D4D10AQED9UTug38qEg/image-shrink_1280/B4DZnfbL6oIEAM-/0/1760390070853/Untitleddesign24png?e=2147483647&amp;v=beta&amp;t=aCk2i6nr6hLwnPzB_uu1WYYEFB9YxcGRzHsiJR4OAKs","View Creative")</f>
        <v>View Creative</v>
      </c>
      <c r="L6004" s="4" t="s">
        <v>60</v>
      </c>
      <c r="M6004" s="4" t="s">
        <v>7500</v>
      </c>
      <c r="N6004" s="4"/>
      <c r="O6004" s="4" t="s">
        <v>63</v>
      </c>
      <c r="P6004" s="4" t="s">
        <v>64</v>
      </c>
    </row>
    <row r="6005">
      <c r="A6005" s="4" t="s">
        <v>7500</v>
      </c>
      <c r="B6005" s="4" t="s">
        <v>7501</v>
      </c>
      <c r="C6005" s="4">
        <v>139.0</v>
      </c>
      <c r="D6005" s="5" t="str">
        <f t="shared" si="2116"/>
        <v>Open Ad</v>
      </c>
      <c r="E6005" s="4" t="s">
        <v>78</v>
      </c>
      <c r="F6005" s="4" t="s">
        <v>6765</v>
      </c>
      <c r="G6005" s="4" t="s">
        <v>7529</v>
      </c>
      <c r="H6005" s="4" t="s">
        <v>49</v>
      </c>
      <c r="I6005" s="4" t="s">
        <v>7503</v>
      </c>
      <c r="J6005" s="4" t="s">
        <v>78</v>
      </c>
      <c r="K6005" s="7" t="str">
        <f t="shared" si="2117"/>
        <v>View Creative</v>
      </c>
      <c r="L6005" s="4" t="s">
        <v>60</v>
      </c>
      <c r="M6005" s="4" t="s">
        <v>7500</v>
      </c>
      <c r="N6005" s="4"/>
      <c r="O6005" s="4" t="s">
        <v>63</v>
      </c>
      <c r="P6005" s="4" t="s">
        <v>64</v>
      </c>
    </row>
    <row r="6006">
      <c r="A6006" s="4" t="s">
        <v>7500</v>
      </c>
      <c r="B6006" s="4" t="s">
        <v>7501</v>
      </c>
      <c r="C6006" s="4">
        <v>140.0</v>
      </c>
      <c r="D6006" s="5" t="str">
        <f>HYPERLINK("https://www.linkedin.com/ad-library/detail/971140193","Open Ad")</f>
        <v>Open Ad</v>
      </c>
      <c r="E6006" s="4" t="s">
        <v>52</v>
      </c>
      <c r="F6006" s="4" t="s">
        <v>6765</v>
      </c>
      <c r="G6006" s="4" t="s">
        <v>7527</v>
      </c>
      <c r="H6006" s="4" t="s">
        <v>49</v>
      </c>
      <c r="I6006" s="4" t="s">
        <v>7503</v>
      </c>
      <c r="J6006" s="4" t="s">
        <v>52</v>
      </c>
      <c r="K6006" s="4" t="s">
        <v>59</v>
      </c>
      <c r="L6006" s="4" t="s">
        <v>60</v>
      </c>
      <c r="M6006" s="4" t="s">
        <v>7500</v>
      </c>
      <c r="N6006" s="4"/>
      <c r="O6006" s="4" t="s">
        <v>63</v>
      </c>
      <c r="P6006" s="4" t="s">
        <v>64</v>
      </c>
    </row>
    <row r="6007">
      <c r="A6007" s="4" t="s">
        <v>7500</v>
      </c>
      <c r="B6007" s="4" t="s">
        <v>7501</v>
      </c>
      <c r="C6007" s="4">
        <v>141.0</v>
      </c>
      <c r="D6007" s="5" t="str">
        <f>HYPERLINK("https://www.linkedin.com/ad-library/detail/970981923","Open Ad")</f>
        <v>Open Ad</v>
      </c>
      <c r="E6007" s="4" t="s">
        <v>52</v>
      </c>
      <c r="F6007" s="4" t="s">
        <v>6765</v>
      </c>
      <c r="G6007" s="4" t="s">
        <v>7528</v>
      </c>
      <c r="H6007" s="4" t="s">
        <v>49</v>
      </c>
      <c r="I6007" s="4" t="s">
        <v>7503</v>
      </c>
      <c r="J6007" s="4" t="s">
        <v>52</v>
      </c>
      <c r="K6007" s="4" t="s">
        <v>59</v>
      </c>
      <c r="L6007" s="4" t="s">
        <v>60</v>
      </c>
      <c r="M6007" s="4" t="s">
        <v>7500</v>
      </c>
      <c r="N6007" s="4"/>
      <c r="O6007" s="4" t="s">
        <v>63</v>
      </c>
      <c r="P6007" s="4" t="s">
        <v>64</v>
      </c>
    </row>
    <row r="6008">
      <c r="A6008" s="4" t="s">
        <v>7500</v>
      </c>
      <c r="B6008" s="4" t="s">
        <v>7501</v>
      </c>
      <c r="C6008" s="4">
        <v>142.0</v>
      </c>
      <c r="D6008" s="5" t="str">
        <f t="shared" ref="D6008:D6009" si="2118">HYPERLINK("https://www.linkedin.com/ad-library/detail/970981933","Open Ad")</f>
        <v>Open Ad</v>
      </c>
      <c r="E6008" s="4" t="s">
        <v>78</v>
      </c>
      <c r="F6008" s="4" t="s">
        <v>6765</v>
      </c>
      <c r="G6008" s="4" t="s">
        <v>7502</v>
      </c>
      <c r="H6008" s="4" t="s">
        <v>49</v>
      </c>
      <c r="I6008" s="4" t="s">
        <v>7503</v>
      </c>
      <c r="J6008" s="4" t="s">
        <v>78</v>
      </c>
      <c r="K6008" s="7" t="str">
        <f t="shared" ref="K6008:K6011" si="2119">HYPERLINK("https://media.licdn.com/dms/image/v2/D4D10AQFluvEyyy-JOA/image-shrink_1280/B4DZbhbbj2HEAM-/0/1747538787039/testimonialpng?e=2147483647&amp;v=beta&amp;t=VJWRIUnC3aqtI_-unph4BLl7QgcKU-XRN4SYJhM0uO0","View Creative")</f>
        <v>View Creative</v>
      </c>
      <c r="L6008" s="4" t="s">
        <v>60</v>
      </c>
      <c r="M6008" s="4" t="s">
        <v>7500</v>
      </c>
      <c r="N6008" s="4"/>
      <c r="O6008" s="4" t="s">
        <v>63</v>
      </c>
      <c r="P6008" s="4" t="s">
        <v>64</v>
      </c>
    </row>
    <row r="6009">
      <c r="A6009" s="4" t="s">
        <v>7500</v>
      </c>
      <c r="B6009" s="4" t="s">
        <v>7501</v>
      </c>
      <c r="C6009" s="4">
        <v>143.0</v>
      </c>
      <c r="D6009" s="5" t="str">
        <f t="shared" si="2118"/>
        <v>Open Ad</v>
      </c>
      <c r="E6009" s="4" t="s">
        <v>78</v>
      </c>
      <c r="F6009" s="4" t="s">
        <v>6765</v>
      </c>
      <c r="G6009" s="4" t="s">
        <v>7502</v>
      </c>
      <c r="H6009" s="4" t="s">
        <v>49</v>
      </c>
      <c r="I6009" s="4" t="s">
        <v>7503</v>
      </c>
      <c r="J6009" s="4" t="s">
        <v>78</v>
      </c>
      <c r="K6009" s="7" t="str">
        <f t="shared" si="2119"/>
        <v>View Creative</v>
      </c>
      <c r="L6009" s="4" t="s">
        <v>60</v>
      </c>
      <c r="M6009" s="4" t="s">
        <v>7500</v>
      </c>
      <c r="N6009" s="4"/>
      <c r="O6009" s="4" t="s">
        <v>63</v>
      </c>
      <c r="P6009" s="4" t="s">
        <v>64</v>
      </c>
    </row>
    <row r="6010">
      <c r="A6010" s="4" t="s">
        <v>7500</v>
      </c>
      <c r="B6010" s="4" t="s">
        <v>7501</v>
      </c>
      <c r="C6010" s="4">
        <v>144.0</v>
      </c>
      <c r="D6010" s="5" t="str">
        <f t="shared" ref="D6010:D6011" si="2120">HYPERLINK("https://www.linkedin.com/ad-library/detail/688506793","Open Ad")</f>
        <v>Open Ad</v>
      </c>
      <c r="E6010" s="4" t="s">
        <v>78</v>
      </c>
      <c r="F6010" s="4" t="s">
        <v>6765</v>
      </c>
      <c r="G6010" s="4" t="s">
        <v>7511</v>
      </c>
      <c r="H6010" s="4" t="s">
        <v>49</v>
      </c>
      <c r="I6010" s="4" t="s">
        <v>7503</v>
      </c>
      <c r="J6010" s="4" t="s">
        <v>78</v>
      </c>
      <c r="K6010" s="7" t="str">
        <f t="shared" si="2119"/>
        <v>View Creative</v>
      </c>
      <c r="L6010" s="4" t="s">
        <v>60</v>
      </c>
      <c r="M6010" s="4" t="s">
        <v>7500</v>
      </c>
      <c r="N6010" s="4"/>
      <c r="O6010" s="4" t="s">
        <v>63</v>
      </c>
      <c r="P6010" s="4" t="s">
        <v>64</v>
      </c>
    </row>
    <row r="6011">
      <c r="A6011" s="4" t="s">
        <v>7500</v>
      </c>
      <c r="B6011" s="4" t="s">
        <v>7501</v>
      </c>
      <c r="C6011" s="4">
        <v>145.0</v>
      </c>
      <c r="D6011" s="5" t="str">
        <f t="shared" si="2120"/>
        <v>Open Ad</v>
      </c>
      <c r="E6011" s="4" t="s">
        <v>78</v>
      </c>
      <c r="F6011" s="4" t="s">
        <v>6765</v>
      </c>
      <c r="G6011" s="4" t="s">
        <v>7511</v>
      </c>
      <c r="H6011" s="4" t="s">
        <v>49</v>
      </c>
      <c r="I6011" s="4" t="s">
        <v>7503</v>
      </c>
      <c r="J6011" s="4" t="s">
        <v>78</v>
      </c>
      <c r="K6011" s="7" t="str">
        <f t="shared" si="2119"/>
        <v>View Creative</v>
      </c>
      <c r="L6011" s="4" t="s">
        <v>60</v>
      </c>
      <c r="M6011" s="4" t="s">
        <v>7500</v>
      </c>
      <c r="N6011" s="4"/>
      <c r="O6011" s="4" t="s">
        <v>63</v>
      </c>
      <c r="P6011" s="4" t="s">
        <v>64</v>
      </c>
    </row>
    <row r="6012">
      <c r="A6012" s="4" t="s">
        <v>7500</v>
      </c>
      <c r="B6012" s="4" t="s">
        <v>7501</v>
      </c>
      <c r="C6012" s="4">
        <v>146.0</v>
      </c>
      <c r="D6012" s="5" t="str">
        <f t="shared" ref="D6012:D6013" si="2121">HYPERLINK("https://www.linkedin.com/ad-library/detail/688515393","Open Ad")</f>
        <v>Open Ad</v>
      </c>
      <c r="E6012" s="4" t="s">
        <v>78</v>
      </c>
      <c r="F6012" s="4" t="s">
        <v>6765</v>
      </c>
      <c r="G6012" s="4" t="s">
        <v>7511</v>
      </c>
      <c r="H6012" s="4" t="s">
        <v>49</v>
      </c>
      <c r="I6012" s="4" t="s">
        <v>7503</v>
      </c>
      <c r="J6012" s="4" t="s">
        <v>78</v>
      </c>
      <c r="K6012" s="7" t="str">
        <f t="shared" ref="K6012:K6013" si="2122">HYPERLINK("https://media.licdn.com/dms/image/v2/D4D10AQFN-J9SCqa0kg/image-shrink_1280/B4DZbhb5i8HQAM-/0/1747538910054/free_audit_1bpng?e=2147483647&amp;v=beta&amp;t=4RJ5_lGa2mzhIciZXwhfKhP3iigxJYT-Boy2_47QqdA","View Creative")</f>
        <v>View Creative</v>
      </c>
      <c r="L6012" s="4" t="s">
        <v>60</v>
      </c>
      <c r="M6012" s="4" t="s">
        <v>7500</v>
      </c>
      <c r="N6012" s="4"/>
      <c r="O6012" s="4" t="s">
        <v>63</v>
      </c>
      <c r="P6012" s="4" t="s">
        <v>64</v>
      </c>
    </row>
    <row r="6013">
      <c r="A6013" s="4" t="s">
        <v>7500</v>
      </c>
      <c r="B6013" s="4" t="s">
        <v>7501</v>
      </c>
      <c r="C6013" s="4">
        <v>147.0</v>
      </c>
      <c r="D6013" s="5" t="str">
        <f t="shared" si="2121"/>
        <v>Open Ad</v>
      </c>
      <c r="E6013" s="4" t="s">
        <v>78</v>
      </c>
      <c r="F6013" s="4" t="s">
        <v>6765</v>
      </c>
      <c r="G6013" s="4" t="s">
        <v>7511</v>
      </c>
      <c r="H6013" s="4" t="s">
        <v>49</v>
      </c>
      <c r="I6013" s="4" t="s">
        <v>7503</v>
      </c>
      <c r="J6013" s="4" t="s">
        <v>78</v>
      </c>
      <c r="K6013" s="7" t="str">
        <f t="shared" si="2122"/>
        <v>View Creative</v>
      </c>
      <c r="L6013" s="4" t="s">
        <v>60</v>
      </c>
      <c r="M6013" s="4" t="s">
        <v>7500</v>
      </c>
      <c r="N6013" s="4"/>
      <c r="O6013" s="4" t="s">
        <v>63</v>
      </c>
      <c r="P6013" s="4" t="s">
        <v>64</v>
      </c>
    </row>
    <row r="6014">
      <c r="A6014" s="4" t="s">
        <v>7500</v>
      </c>
      <c r="B6014" s="4" t="s">
        <v>7501</v>
      </c>
      <c r="C6014" s="4">
        <v>148.0</v>
      </c>
      <c r="D6014" s="5" t="str">
        <f t="shared" ref="D6014:D6015" si="2123">HYPERLINK("https://www.linkedin.com/ad-library/detail/683788093","Open Ad")</f>
        <v>Open Ad</v>
      </c>
      <c r="E6014" s="4" t="s">
        <v>78</v>
      </c>
      <c r="F6014" s="4" t="s">
        <v>6765</v>
      </c>
      <c r="G6014" s="4" t="s">
        <v>7502</v>
      </c>
      <c r="H6014" s="4" t="s">
        <v>49</v>
      </c>
      <c r="I6014" s="4" t="s">
        <v>7503</v>
      </c>
      <c r="J6014" s="4" t="s">
        <v>78</v>
      </c>
      <c r="K6014" s="7" t="str">
        <f t="shared" ref="K6014:K6015" si="2124">HYPERLINK("https://media.licdn.com/dms/image/v2/D4D10AQFluvEyyy-JOA/image-shrink_1280/B4DZbhbbj2HEAM-/0/1747538787039/testimonialpng?e=2147483647&amp;v=beta&amp;t=VJWRIUnC3aqtI_-unph4BLl7QgcKU-XRN4SYJhM0uO0","View Creative")</f>
        <v>View Creative</v>
      </c>
      <c r="L6014" s="4" t="s">
        <v>60</v>
      </c>
      <c r="M6014" s="4" t="s">
        <v>7500</v>
      </c>
      <c r="N6014" s="4"/>
      <c r="O6014" s="4" t="s">
        <v>63</v>
      </c>
      <c r="P6014" s="4" t="s">
        <v>64</v>
      </c>
    </row>
    <row r="6015">
      <c r="A6015" s="4" t="s">
        <v>7500</v>
      </c>
      <c r="B6015" s="4" t="s">
        <v>7501</v>
      </c>
      <c r="C6015" s="4">
        <v>149.0</v>
      </c>
      <c r="D6015" s="5" t="str">
        <f t="shared" si="2123"/>
        <v>Open Ad</v>
      </c>
      <c r="E6015" s="4" t="s">
        <v>78</v>
      </c>
      <c r="F6015" s="4" t="s">
        <v>6765</v>
      </c>
      <c r="G6015" s="4" t="s">
        <v>7502</v>
      </c>
      <c r="H6015" s="4" t="s">
        <v>49</v>
      </c>
      <c r="I6015" s="4" t="s">
        <v>7503</v>
      </c>
      <c r="J6015" s="4" t="s">
        <v>78</v>
      </c>
      <c r="K6015" s="7" t="str">
        <f t="shared" si="2124"/>
        <v>View Creative</v>
      </c>
      <c r="L6015" s="4" t="s">
        <v>60</v>
      </c>
      <c r="M6015" s="4" t="s">
        <v>7500</v>
      </c>
      <c r="N6015" s="4"/>
      <c r="O6015" s="4" t="s">
        <v>63</v>
      </c>
      <c r="P6015" s="4" t="s">
        <v>64</v>
      </c>
    </row>
    <row r="6016">
      <c r="A6016" s="4" t="s">
        <v>7500</v>
      </c>
      <c r="B6016" s="4" t="s">
        <v>7501</v>
      </c>
      <c r="C6016" s="4">
        <v>150.0</v>
      </c>
      <c r="D6016" s="5" t="str">
        <f t="shared" ref="D6016:D6017" si="2125">HYPERLINK("https://www.linkedin.com/ad-library/detail/688506783","Open Ad")</f>
        <v>Open Ad</v>
      </c>
      <c r="E6016" s="4" t="s">
        <v>78</v>
      </c>
      <c r="F6016" s="4" t="s">
        <v>6765</v>
      </c>
      <c r="G6016" s="4" t="s">
        <v>7511</v>
      </c>
      <c r="H6016" s="4" t="s">
        <v>49</v>
      </c>
      <c r="I6016" s="4" t="s">
        <v>7503</v>
      </c>
      <c r="J6016" s="4" t="s">
        <v>78</v>
      </c>
      <c r="K6016" s="7" t="str">
        <f t="shared" ref="K6016:K6017" si="2126">HYPERLINK("https://media.licdn.com/dms/image/v2/D4D10AQGj9lkQHr_AuQ/image-shrink_1280/B4DZbhb0P_HEAM-/0/1747538888502/free_audit_1apng?e=2147483647&amp;v=beta&amp;t=L2QKK2ykt05Lx3KsQWBlF4SDz_teitGPAUTVshAA4H8","View Creative")</f>
        <v>View Creative</v>
      </c>
      <c r="L6016" s="4" t="s">
        <v>60</v>
      </c>
      <c r="M6016" s="4" t="s">
        <v>7500</v>
      </c>
      <c r="N6016" s="4"/>
      <c r="O6016" s="4" t="s">
        <v>63</v>
      </c>
      <c r="P6016" s="4" t="s">
        <v>64</v>
      </c>
    </row>
    <row r="6017">
      <c r="A6017" s="4" t="s">
        <v>7500</v>
      </c>
      <c r="B6017" s="4" t="s">
        <v>7501</v>
      </c>
      <c r="C6017" s="4">
        <v>151.0</v>
      </c>
      <c r="D6017" s="5" t="str">
        <f t="shared" si="2125"/>
        <v>Open Ad</v>
      </c>
      <c r="E6017" s="4" t="s">
        <v>78</v>
      </c>
      <c r="F6017" s="4" t="s">
        <v>6765</v>
      </c>
      <c r="G6017" s="4" t="s">
        <v>7511</v>
      </c>
      <c r="H6017" s="4" t="s">
        <v>49</v>
      </c>
      <c r="I6017" s="4" t="s">
        <v>7503</v>
      </c>
      <c r="J6017" s="4" t="s">
        <v>78</v>
      </c>
      <c r="K6017" s="7" t="str">
        <f t="shared" si="2126"/>
        <v>View Creative</v>
      </c>
      <c r="L6017" s="4" t="s">
        <v>60</v>
      </c>
      <c r="M6017" s="4" t="s">
        <v>7500</v>
      </c>
      <c r="N6017" s="4"/>
      <c r="O6017" s="4" t="s">
        <v>63</v>
      </c>
      <c r="P6017" s="4" t="s">
        <v>64</v>
      </c>
    </row>
    <row r="6018">
      <c r="A6018" s="4" t="s">
        <v>7500</v>
      </c>
      <c r="B6018" s="4" t="s">
        <v>7501</v>
      </c>
      <c r="C6018" s="4">
        <v>152.0</v>
      </c>
      <c r="D6018" s="5" t="str">
        <f t="shared" ref="D6018:D6019" si="2127">HYPERLINK("https://www.linkedin.com/ad-library/detail/688515403","Open Ad")</f>
        <v>Open Ad</v>
      </c>
      <c r="E6018" s="4" t="s">
        <v>78</v>
      </c>
      <c r="F6018" s="4" t="s">
        <v>6765</v>
      </c>
      <c r="G6018" s="4" t="s">
        <v>7511</v>
      </c>
      <c r="H6018" s="4" t="s">
        <v>49</v>
      </c>
      <c r="I6018" s="4" t="s">
        <v>7503</v>
      </c>
      <c r="J6018" s="4" t="s">
        <v>78</v>
      </c>
      <c r="K6018" s="7" t="str">
        <f t="shared" ref="K6018:K6019" si="2128">HYPERLINK("https://media.licdn.com/dms/image/v2/D4D10AQE4qB6SLCf5qg/image-shrink_1280/B4DZbhcAxTH8AM-/0/1747538939667/free_audit_2apng?e=2147483647&amp;v=beta&amp;t=CTLsSK1l0hBkjeHfT9xHoRra2pV4PaoSXeUTrmBsHzI","View Creative")</f>
        <v>View Creative</v>
      </c>
      <c r="L6018" s="4" t="s">
        <v>60</v>
      </c>
      <c r="M6018" s="4" t="s">
        <v>7500</v>
      </c>
      <c r="N6018" s="4"/>
      <c r="O6018" s="4" t="s">
        <v>63</v>
      </c>
      <c r="P6018" s="4" t="s">
        <v>64</v>
      </c>
    </row>
    <row r="6019">
      <c r="A6019" s="4" t="s">
        <v>7500</v>
      </c>
      <c r="B6019" s="4" t="s">
        <v>7501</v>
      </c>
      <c r="C6019" s="4">
        <v>153.0</v>
      </c>
      <c r="D6019" s="5" t="str">
        <f t="shared" si="2127"/>
        <v>Open Ad</v>
      </c>
      <c r="E6019" s="4" t="s">
        <v>78</v>
      </c>
      <c r="F6019" s="4" t="s">
        <v>6765</v>
      </c>
      <c r="G6019" s="4" t="s">
        <v>7511</v>
      </c>
      <c r="H6019" s="4" t="s">
        <v>49</v>
      </c>
      <c r="I6019" s="4" t="s">
        <v>7503</v>
      </c>
      <c r="J6019" s="4" t="s">
        <v>78</v>
      </c>
      <c r="K6019" s="7" t="str">
        <f t="shared" si="2128"/>
        <v>View Creative</v>
      </c>
      <c r="L6019" s="4" t="s">
        <v>60</v>
      </c>
      <c r="M6019" s="4" t="s">
        <v>7500</v>
      </c>
      <c r="N6019" s="4"/>
      <c r="O6019" s="4" t="s">
        <v>63</v>
      </c>
      <c r="P6019" s="4" t="s">
        <v>64</v>
      </c>
    </row>
    <row r="6020">
      <c r="A6020" s="4" t="s">
        <v>7500</v>
      </c>
      <c r="B6020" s="4" t="s">
        <v>7501</v>
      </c>
      <c r="C6020" s="4">
        <v>154.0</v>
      </c>
      <c r="D6020" s="5" t="str">
        <f t="shared" ref="D6020:D6021" si="2129">HYPERLINK("https://www.linkedin.com/ad-library/detail/688506803","Open Ad")</f>
        <v>Open Ad</v>
      </c>
      <c r="E6020" s="4" t="s">
        <v>78</v>
      </c>
      <c r="F6020" s="4" t="s">
        <v>6765</v>
      </c>
      <c r="G6020" s="4" t="s">
        <v>7511</v>
      </c>
      <c r="H6020" s="4" t="s">
        <v>49</v>
      </c>
      <c r="I6020" s="4" t="s">
        <v>7503</v>
      </c>
      <c r="J6020" s="4" t="s">
        <v>78</v>
      </c>
      <c r="K6020" s="7" t="str">
        <f t="shared" ref="K6020:K6021" si="2130">HYPERLINK("https://media.licdn.com/dms/image/v2/D4D10AQGzsH1_-5nYqw/image-shrink_1280/B4DZbhbfwgHsAQ-/0/1747538804241/testimonial_1bpng?e=2147483647&amp;v=beta&amp;t=VZEMKc7aCFhRj0dOdZWxCDo_hDaQ9M08tNn42UFoeuw","View Creative")</f>
        <v>View Creative</v>
      </c>
      <c r="L6020" s="4" t="s">
        <v>60</v>
      </c>
      <c r="M6020" s="4" t="s">
        <v>7500</v>
      </c>
      <c r="N6020" s="4"/>
      <c r="O6020" s="4" t="s">
        <v>63</v>
      </c>
      <c r="P6020" s="4" t="s">
        <v>64</v>
      </c>
    </row>
    <row r="6021">
      <c r="A6021" s="4" t="s">
        <v>7500</v>
      </c>
      <c r="B6021" s="4" t="s">
        <v>7501</v>
      </c>
      <c r="C6021" s="4">
        <v>155.0</v>
      </c>
      <c r="D6021" s="5" t="str">
        <f t="shared" si="2129"/>
        <v>Open Ad</v>
      </c>
      <c r="E6021" s="4" t="s">
        <v>78</v>
      </c>
      <c r="F6021" s="4" t="s">
        <v>6765</v>
      </c>
      <c r="G6021" s="4" t="s">
        <v>7511</v>
      </c>
      <c r="H6021" s="4" t="s">
        <v>49</v>
      </c>
      <c r="I6021" s="4" t="s">
        <v>7503</v>
      </c>
      <c r="J6021" s="4" t="s">
        <v>78</v>
      </c>
      <c r="K6021" s="7" t="str">
        <f t="shared" si="2130"/>
        <v>View Creative</v>
      </c>
      <c r="L6021" s="4" t="s">
        <v>60</v>
      </c>
      <c r="M6021" s="4" t="s">
        <v>7500</v>
      </c>
      <c r="N6021" s="4"/>
      <c r="O6021" s="4" t="s">
        <v>63</v>
      </c>
      <c r="P6021" s="4" t="s">
        <v>64</v>
      </c>
    </row>
  </sheetData>
  <drawing r:id="rId1"/>
</worksheet>
</file>